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Supplemental Filing\2020 PCORC Work Papers SUPP To File\"/>
    </mc:Choice>
  </mc:AlternateContent>
  <bookViews>
    <workbookView xWindow="0" yWindow="0" windowWidth="19200" windowHeight="6270"/>
  </bookViews>
  <sheets>
    <sheet name="Lead" sheetId="4" r:id="rId1"/>
    <sheet name="Total RB w Prod Sep" sheetId="1" r:id="rId2"/>
    <sheet name="PowerPlant Detail" sheetId="3" r:id="rId3"/>
    <sheet name="DFIT" sheetId="5" r:id="rId4"/>
    <sheet name="EIM Summary" sheetId="8" r:id="rId5"/>
    <sheet name="WH Jun 20 PP Report" sheetId="9" r:id="rId6"/>
    <sheet name="Green Direct" sheetId="10" r:id="rId7"/>
    <sheet name="Cols 1&amp;2" sheetId="12" r:id="rId8"/>
    <sheet name="6-2020 Qtrly Rpt UE-200743" sheetId="11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D63" i="1"/>
  <c r="H62" i="1"/>
  <c r="D62" i="1"/>
  <c r="R356" i="5" l="1"/>
  <c r="Q356" i="5"/>
  <c r="B365" i="5"/>
  <c r="B364" i="5"/>
  <c r="B363" i="5"/>
  <c r="B373" i="5"/>
  <c r="B372" i="5"/>
  <c r="B369" i="5"/>
  <c r="O369" i="5" s="1"/>
  <c r="B368" i="5"/>
  <c r="N369" i="5" s="1"/>
  <c r="B367" i="5"/>
  <c r="N368" i="5" s="1"/>
  <c r="K369" i="5"/>
  <c r="G369" i="5"/>
  <c r="D369" i="5"/>
  <c r="O368" i="5"/>
  <c r="O365" i="5"/>
  <c r="N365" i="5"/>
  <c r="M365" i="5"/>
  <c r="L365" i="5"/>
  <c r="K365" i="5"/>
  <c r="J365" i="5"/>
  <c r="I365" i="5"/>
  <c r="R365" i="5" s="1"/>
  <c r="H365" i="5"/>
  <c r="G365" i="5"/>
  <c r="F365" i="5"/>
  <c r="E365" i="5"/>
  <c r="D365" i="5"/>
  <c r="O364" i="5"/>
  <c r="N364" i="5"/>
  <c r="M364" i="5"/>
  <c r="L364" i="5"/>
  <c r="K364" i="5"/>
  <c r="J364" i="5"/>
  <c r="I364" i="5"/>
  <c r="H364" i="5"/>
  <c r="G364" i="5"/>
  <c r="F364" i="5"/>
  <c r="E364" i="5"/>
  <c r="D364" i="5"/>
  <c r="N373" i="5" l="1"/>
  <c r="E369" i="5"/>
  <c r="I369" i="5"/>
  <c r="R369" i="5" s="1"/>
  <c r="M369" i="5"/>
  <c r="H369" i="5"/>
  <c r="L369" i="5"/>
  <c r="F369" i="5"/>
  <c r="J369" i="5"/>
  <c r="P369" i="5" s="1"/>
  <c r="G368" i="5"/>
  <c r="K368" i="5"/>
  <c r="D368" i="5"/>
  <c r="H368" i="5"/>
  <c r="L368" i="5"/>
  <c r="E368" i="5"/>
  <c r="I368" i="5"/>
  <c r="M368" i="5"/>
  <c r="B371" i="5"/>
  <c r="F368" i="5"/>
  <c r="J368" i="5"/>
  <c r="K373" i="5"/>
  <c r="O373" i="5"/>
  <c r="F372" i="5"/>
  <c r="N372" i="5"/>
  <c r="D373" i="5"/>
  <c r="H373" i="5"/>
  <c r="L373" i="5"/>
  <c r="J372" i="5"/>
  <c r="G372" i="5"/>
  <c r="K372" i="5"/>
  <c r="E373" i="5"/>
  <c r="I373" i="5"/>
  <c r="R373" i="5" s="1"/>
  <c r="M373" i="5"/>
  <c r="G373" i="5"/>
  <c r="O372" i="5"/>
  <c r="D372" i="5"/>
  <c r="H372" i="5"/>
  <c r="F373" i="5"/>
  <c r="J373" i="5"/>
  <c r="P365" i="5"/>
  <c r="Q365" i="5"/>
  <c r="P364" i="5"/>
  <c r="P368" i="5" l="1"/>
  <c r="Q369" i="5"/>
  <c r="L372" i="5"/>
  <c r="Q373" i="5" s="1"/>
  <c r="I372" i="5"/>
  <c r="M372" i="5"/>
  <c r="E372" i="5"/>
  <c r="P373" i="5"/>
  <c r="H34" i="3"/>
  <c r="G34" i="3"/>
  <c r="D35" i="3"/>
  <c r="C35" i="3"/>
  <c r="P372" i="5" l="1"/>
  <c r="D27" i="4"/>
  <c r="C27" i="4"/>
  <c r="K27" i="12"/>
  <c r="J27" i="12"/>
  <c r="I27" i="12"/>
  <c r="H27" i="12"/>
  <c r="G27" i="12"/>
  <c r="F27" i="12"/>
  <c r="B27" i="12"/>
  <c r="C25" i="12"/>
  <c r="D25" i="12" s="1"/>
  <c r="C24" i="12"/>
  <c r="D24" i="12" s="1"/>
  <c r="C23" i="12"/>
  <c r="D23" i="12" s="1"/>
  <c r="C22" i="12"/>
  <c r="D22" i="12" s="1"/>
  <c r="C21" i="12"/>
  <c r="D21" i="12" s="1"/>
  <c r="C20" i="12"/>
  <c r="D20" i="12" s="1"/>
  <c r="C19" i="12"/>
  <c r="D19" i="12" s="1"/>
  <c r="C18" i="12"/>
  <c r="D18" i="12" s="1"/>
  <c r="C17" i="12"/>
  <c r="D17" i="12" s="1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C27" i="12" s="1"/>
  <c r="D7" i="12" l="1"/>
  <c r="D27" i="12" s="1"/>
  <c r="D28" i="12" s="1"/>
  <c r="L27" i="4" l="1"/>
  <c r="M27" i="4" s="1"/>
  <c r="K27" i="4"/>
  <c r="I27" i="4"/>
  <c r="E27" i="4"/>
  <c r="B55" i="11" l="1"/>
  <c r="C61" i="1"/>
  <c r="B59" i="11"/>
  <c r="C59" i="11"/>
  <c r="C58" i="11"/>
  <c r="B58" i="11"/>
  <c r="C57" i="11"/>
  <c r="B57" i="11"/>
  <c r="B54" i="11"/>
  <c r="C54" i="11"/>
  <c r="A42" i="11" l="1"/>
  <c r="D36" i="11"/>
  <c r="D34" i="11"/>
  <c r="D32" i="11"/>
  <c r="D30" i="11"/>
  <c r="D29" i="11"/>
  <c r="D27" i="11"/>
  <c r="D25" i="11"/>
  <c r="D24" i="11"/>
  <c r="D21" i="11"/>
  <c r="D20" i="11"/>
  <c r="D18" i="11"/>
  <c r="D11" i="11"/>
  <c r="D9" i="11"/>
  <c r="D33" i="11" l="1"/>
  <c r="D12" i="11"/>
  <c r="C13" i="11"/>
  <c r="D37" i="11"/>
  <c r="D10" i="11"/>
  <c r="D31" i="11"/>
  <c r="C22" i="11"/>
  <c r="C38" i="11" s="1"/>
  <c r="C40" i="11" s="1"/>
  <c r="D19" i="11"/>
  <c r="D26" i="11"/>
  <c r="D28" i="11"/>
  <c r="D35" i="11"/>
  <c r="D22" i="11"/>
  <c r="B22" i="11"/>
  <c r="B38" i="11" s="1"/>
  <c r="B13" i="11"/>
  <c r="D13" i="11" l="1"/>
  <c r="B40" i="11"/>
  <c r="D38" i="11"/>
  <c r="D40" i="11" s="1"/>
  <c r="H6" i="3" l="1"/>
  <c r="G6" i="3"/>
  <c r="D6" i="3"/>
  <c r="C6" i="3"/>
  <c r="O32" i="10"/>
  <c r="L35" i="10"/>
  <c r="K35" i="10" s="1"/>
  <c r="J35" i="10" s="1"/>
  <c r="I35" i="10" s="1"/>
  <c r="H35" i="10" s="1"/>
  <c r="G35" i="10" s="1"/>
  <c r="F35" i="10" s="1"/>
  <c r="E35" i="10" s="1"/>
  <c r="D35" i="10" s="1"/>
  <c r="C35" i="10" s="1"/>
  <c r="B35" i="10" s="1"/>
  <c r="O35" i="10" s="1"/>
  <c r="M35" i="10"/>
  <c r="D38" i="10"/>
  <c r="O38" i="10" s="1"/>
  <c r="E38" i="10"/>
  <c r="F38" i="10" s="1"/>
  <c r="G38" i="10" s="1"/>
  <c r="H38" i="10" s="1"/>
  <c r="I38" i="10" s="1"/>
  <c r="J38" i="10" s="1"/>
  <c r="K38" i="10" s="1"/>
  <c r="L38" i="10" s="1"/>
  <c r="M38" i="10" s="1"/>
  <c r="N38" i="10" s="1"/>
  <c r="H10" i="4" l="1"/>
  <c r="D10" i="4"/>
  <c r="C10" i="4"/>
  <c r="G10" i="4" s="1"/>
  <c r="B4" i="9"/>
  <c r="C4" i="9"/>
  <c r="B5" i="9"/>
  <c r="C5" i="9"/>
  <c r="B6" i="9"/>
  <c r="C6" i="9"/>
  <c r="B7" i="9"/>
  <c r="C7" i="9"/>
  <c r="B8" i="9"/>
  <c r="C8" i="9"/>
  <c r="B9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O33" i="9"/>
  <c r="D4" i="9" s="1"/>
  <c r="O34" i="9"/>
  <c r="D5" i="9" s="1"/>
  <c r="O35" i="9"/>
  <c r="D6" i="9" s="1"/>
  <c r="O36" i="9"/>
  <c r="D7" i="9" s="1"/>
  <c r="O37" i="9"/>
  <c r="D8" i="9" s="1"/>
  <c r="C38" i="9"/>
  <c r="D38" i="9"/>
  <c r="E38" i="9"/>
  <c r="F38" i="9"/>
  <c r="G38" i="9"/>
  <c r="H38" i="9"/>
  <c r="I38" i="9"/>
  <c r="J38" i="9"/>
  <c r="K38" i="9"/>
  <c r="L38" i="9"/>
  <c r="M38" i="9"/>
  <c r="N38" i="9"/>
  <c r="O38" i="9" l="1"/>
  <c r="C9" i="9"/>
  <c r="D9" i="9"/>
  <c r="G3" i="3" l="1"/>
  <c r="H4" i="3"/>
  <c r="G4" i="3"/>
  <c r="C7" i="8"/>
  <c r="H3" i="3"/>
  <c r="D6" i="8"/>
  <c r="C6" i="8"/>
  <c r="D7" i="8" l="1"/>
  <c r="E6" i="8"/>
  <c r="E7" i="8"/>
  <c r="D9" i="8"/>
  <c r="C9" i="8"/>
  <c r="E9" i="8" l="1"/>
  <c r="G51" i="3" l="1"/>
  <c r="G52" i="3" s="1"/>
  <c r="C51" i="3"/>
  <c r="C52" i="3" s="1"/>
  <c r="G42" i="3"/>
  <c r="G43" i="3" s="1"/>
  <c r="C42" i="3"/>
  <c r="C43" i="3" s="1"/>
  <c r="I31" i="3"/>
  <c r="E31" i="3"/>
  <c r="I13" i="3"/>
  <c r="E13" i="3"/>
  <c r="I12" i="3"/>
  <c r="E12" i="3"/>
  <c r="I11" i="3"/>
  <c r="E11" i="3"/>
  <c r="I10" i="3"/>
  <c r="E10" i="3"/>
  <c r="I9" i="3"/>
  <c r="E9" i="3"/>
  <c r="I8" i="3"/>
  <c r="E8" i="3"/>
  <c r="I7" i="3"/>
  <c r="E7" i="3"/>
  <c r="E6" i="3"/>
  <c r="D5" i="3"/>
  <c r="D14" i="3" s="1"/>
  <c r="C5" i="3"/>
  <c r="C14" i="3" s="1"/>
  <c r="E4" i="3"/>
  <c r="E3" i="3"/>
  <c r="D28" i="3" l="1"/>
  <c r="E5" i="3"/>
  <c r="E14" i="3" s="1"/>
  <c r="H28" i="3"/>
  <c r="H5" i="3"/>
  <c r="H14" i="3" s="1"/>
  <c r="H29" i="3" s="1"/>
  <c r="H30" i="3" s="1"/>
  <c r="H32" i="3" s="1"/>
  <c r="C20" i="3"/>
  <c r="C22" i="3" s="1"/>
  <c r="E27" i="3"/>
  <c r="E18" i="3"/>
  <c r="E25" i="3"/>
  <c r="I18" i="3"/>
  <c r="I25" i="3"/>
  <c r="I6" i="3"/>
  <c r="I19" i="3"/>
  <c r="I26" i="3"/>
  <c r="I24" i="3"/>
  <c r="I27" i="3"/>
  <c r="D20" i="3"/>
  <c r="D22" i="3" s="1"/>
  <c r="G20" i="3"/>
  <c r="H20" i="3"/>
  <c r="G5" i="3"/>
  <c r="G14" i="3" s="1"/>
  <c r="E19" i="3"/>
  <c r="E26" i="3"/>
  <c r="E24" i="3"/>
  <c r="E35" i="3"/>
  <c r="I35" i="3"/>
  <c r="C29" i="3"/>
  <c r="D29" i="3"/>
  <c r="E17" i="3"/>
  <c r="I17" i="3"/>
  <c r="C28" i="3"/>
  <c r="I4" i="3"/>
  <c r="I3" i="3"/>
  <c r="G28" i="3"/>
  <c r="O186" i="5"/>
  <c r="N186" i="5"/>
  <c r="M186" i="5"/>
  <c r="L186" i="5"/>
  <c r="K186" i="5"/>
  <c r="J186" i="5"/>
  <c r="I186" i="5"/>
  <c r="R186" i="5" s="1"/>
  <c r="H186" i="5"/>
  <c r="G186" i="5"/>
  <c r="F186" i="5"/>
  <c r="E186" i="5"/>
  <c r="D186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D30" i="3" l="1"/>
  <c r="D32" i="3" s="1"/>
  <c r="D34" i="3" s="1"/>
  <c r="D36" i="3" s="1"/>
  <c r="I5" i="3"/>
  <c r="I14" i="3"/>
  <c r="I29" i="3" s="1"/>
  <c r="I20" i="3"/>
  <c r="E20" i="3"/>
  <c r="E22" i="3" s="1"/>
  <c r="E28" i="3"/>
  <c r="G22" i="3"/>
  <c r="G29" i="3"/>
  <c r="G30" i="3" s="1"/>
  <c r="G32" i="3" s="1"/>
  <c r="I28" i="3"/>
  <c r="E29" i="3"/>
  <c r="H22" i="3"/>
  <c r="H36" i="3" s="1"/>
  <c r="C30" i="3"/>
  <c r="C32" i="3" s="1"/>
  <c r="C34" i="3" s="1"/>
  <c r="P186" i="5"/>
  <c r="Q186" i="5"/>
  <c r="P185" i="5"/>
  <c r="I22" i="3" l="1"/>
  <c r="I30" i="3"/>
  <c r="I32" i="3" s="1"/>
  <c r="E30" i="3"/>
  <c r="E32" i="3" s="1"/>
  <c r="G36" i="3"/>
  <c r="E34" i="3"/>
  <c r="C36" i="3"/>
  <c r="R76" i="5"/>
  <c r="N76" i="5"/>
  <c r="M76" i="5"/>
  <c r="L76" i="5"/>
  <c r="K76" i="5"/>
  <c r="J76" i="5"/>
  <c r="I76" i="5"/>
  <c r="H76" i="5"/>
  <c r="G76" i="5"/>
  <c r="F76" i="5"/>
  <c r="E76" i="5"/>
  <c r="D76" i="5"/>
  <c r="N75" i="5"/>
  <c r="M75" i="5"/>
  <c r="L75" i="5"/>
  <c r="K75" i="5"/>
  <c r="J75" i="5"/>
  <c r="I75" i="5"/>
  <c r="H75" i="5"/>
  <c r="G75" i="5"/>
  <c r="F75" i="5"/>
  <c r="E75" i="5"/>
  <c r="D75" i="5"/>
  <c r="O76" i="5"/>
  <c r="P76" i="5" s="1"/>
  <c r="O75" i="5"/>
  <c r="Q76" i="5" s="1"/>
  <c r="I34" i="3" l="1"/>
  <c r="I36" i="3" s="1"/>
  <c r="P75" i="5"/>
  <c r="C7" i="5"/>
  <c r="L7" i="5"/>
  <c r="M7" i="5"/>
  <c r="N7" i="5"/>
  <c r="O7" i="5"/>
  <c r="P7" i="5"/>
  <c r="C8" i="5"/>
  <c r="D8" i="5"/>
  <c r="O8" i="5"/>
  <c r="C9" i="5"/>
  <c r="D9" i="5"/>
  <c r="O9" i="5"/>
  <c r="C10" i="5"/>
  <c r="D10" i="5"/>
  <c r="O10" i="5"/>
  <c r="C11" i="5"/>
  <c r="E11" i="5" s="1"/>
  <c r="D11" i="5"/>
  <c r="F11" i="5"/>
  <c r="O11" i="5"/>
  <c r="B14" i="5"/>
  <c r="C14" i="5"/>
  <c r="B15" i="5"/>
  <c r="C15" i="5"/>
  <c r="J15" i="5"/>
  <c r="B16" i="5"/>
  <c r="C16" i="5"/>
  <c r="H16" i="5"/>
  <c r="C17" i="5"/>
  <c r="D17" i="5"/>
  <c r="H17" i="5"/>
  <c r="M17" i="5"/>
  <c r="N17" i="5"/>
  <c r="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C26" i="5"/>
  <c r="D26" i="5"/>
  <c r="E26" i="5"/>
  <c r="F26" i="5"/>
  <c r="G26" i="5"/>
  <c r="H26" i="5"/>
  <c r="I26" i="5"/>
  <c r="R26" i="5" s="1"/>
  <c r="I28" i="4" s="1"/>
  <c r="J26" i="5"/>
  <c r="K26" i="5"/>
  <c r="L26" i="5"/>
  <c r="M26" i="5"/>
  <c r="N26" i="5"/>
  <c r="O26" i="5"/>
  <c r="B29" i="5"/>
  <c r="H30" i="5" s="1"/>
  <c r="B30" i="5"/>
  <c r="C30" i="5"/>
  <c r="O30" i="5"/>
  <c r="B31" i="5"/>
  <c r="F31" i="5"/>
  <c r="I31" i="5"/>
  <c r="J31" i="5"/>
  <c r="N31" i="5"/>
  <c r="C32" i="5"/>
  <c r="D32" i="5"/>
  <c r="H32" i="5"/>
  <c r="K32" i="5"/>
  <c r="L32" i="5"/>
  <c r="O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C41" i="5"/>
  <c r="D41" i="5"/>
  <c r="E41" i="5"/>
  <c r="F41" i="5"/>
  <c r="G41" i="5"/>
  <c r="H41" i="5"/>
  <c r="I41" i="5"/>
  <c r="R41" i="5" s="1"/>
  <c r="J41" i="5"/>
  <c r="K41" i="5"/>
  <c r="L41" i="5"/>
  <c r="M41" i="5"/>
  <c r="N41" i="5"/>
  <c r="O41" i="5"/>
  <c r="B44" i="5"/>
  <c r="C44" i="5" s="1"/>
  <c r="B45" i="5"/>
  <c r="F45" i="5"/>
  <c r="N45" i="5"/>
  <c r="O45" i="5"/>
  <c r="B46" i="5"/>
  <c r="C46" i="5" s="1"/>
  <c r="D46" i="5"/>
  <c r="G46" i="5"/>
  <c r="O46" i="5"/>
  <c r="C47" i="5"/>
  <c r="D47" i="5"/>
  <c r="E47" i="5"/>
  <c r="F47" i="5"/>
  <c r="H47" i="5"/>
  <c r="I47" i="5"/>
  <c r="J47" i="5"/>
  <c r="L47" i="5"/>
  <c r="M47" i="5"/>
  <c r="N47" i="5"/>
  <c r="O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C56" i="5"/>
  <c r="D56" i="5"/>
  <c r="E56" i="5"/>
  <c r="F56" i="5"/>
  <c r="G56" i="5"/>
  <c r="H56" i="5"/>
  <c r="I56" i="5"/>
  <c r="R56" i="5" s="1"/>
  <c r="R349" i="5" s="1"/>
  <c r="J56" i="5"/>
  <c r="K56" i="5"/>
  <c r="L56" i="5"/>
  <c r="M56" i="5"/>
  <c r="N56" i="5"/>
  <c r="O56" i="5"/>
  <c r="C59" i="5"/>
  <c r="B60" i="5"/>
  <c r="J60" i="5"/>
  <c r="N60" i="5"/>
  <c r="B61" i="5"/>
  <c r="C61" i="5"/>
  <c r="G61" i="5"/>
  <c r="J61" i="5"/>
  <c r="O61" i="5"/>
  <c r="C62" i="5"/>
  <c r="D62" i="5"/>
  <c r="H62" i="5"/>
  <c r="I62" i="5"/>
  <c r="L62" i="5"/>
  <c r="O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C71" i="5"/>
  <c r="D71" i="5"/>
  <c r="E71" i="5"/>
  <c r="F71" i="5"/>
  <c r="G71" i="5"/>
  <c r="H71" i="5"/>
  <c r="I71" i="5"/>
  <c r="R71" i="5" s="1"/>
  <c r="J71" i="5"/>
  <c r="K71" i="5"/>
  <c r="L71" i="5"/>
  <c r="M71" i="5"/>
  <c r="N71" i="5"/>
  <c r="O71" i="5"/>
  <c r="O72" i="5"/>
  <c r="B79" i="5"/>
  <c r="C79" i="5" s="1"/>
  <c r="B80" i="5"/>
  <c r="O80" i="5" s="1"/>
  <c r="F80" i="5"/>
  <c r="B81" i="5"/>
  <c r="C81" i="5"/>
  <c r="O81" i="5"/>
  <c r="C82" i="5"/>
  <c r="D82" i="5"/>
  <c r="E82" i="5"/>
  <c r="F82" i="5"/>
  <c r="H82" i="5"/>
  <c r="I82" i="5"/>
  <c r="J82" i="5"/>
  <c r="L82" i="5"/>
  <c r="M82" i="5"/>
  <c r="N82" i="5"/>
  <c r="O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C91" i="5"/>
  <c r="D91" i="5"/>
  <c r="E91" i="5"/>
  <c r="F91" i="5"/>
  <c r="G91" i="5"/>
  <c r="H91" i="5"/>
  <c r="I91" i="5"/>
  <c r="R91" i="5" s="1"/>
  <c r="J91" i="5"/>
  <c r="K91" i="5"/>
  <c r="L91" i="5"/>
  <c r="M91" i="5"/>
  <c r="N91" i="5"/>
  <c r="O91" i="5"/>
  <c r="B94" i="5"/>
  <c r="M95" i="5" s="1"/>
  <c r="C94" i="5"/>
  <c r="B95" i="5"/>
  <c r="C95" i="5" s="1"/>
  <c r="E95" i="5"/>
  <c r="O95" i="5"/>
  <c r="B96" i="5"/>
  <c r="C97" i="5"/>
  <c r="O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C106" i="5"/>
  <c r="D106" i="5"/>
  <c r="E106" i="5"/>
  <c r="F106" i="5"/>
  <c r="G106" i="5"/>
  <c r="H106" i="5"/>
  <c r="I106" i="5"/>
  <c r="R106" i="5" s="1"/>
  <c r="J106" i="5"/>
  <c r="K106" i="5"/>
  <c r="L106" i="5"/>
  <c r="M106" i="5"/>
  <c r="N106" i="5"/>
  <c r="O106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C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B124" i="5"/>
  <c r="B125" i="5"/>
  <c r="C125" i="5"/>
  <c r="L125" i="5"/>
  <c r="B126" i="5"/>
  <c r="H126" i="5" s="1"/>
  <c r="C126" i="5"/>
  <c r="G126" i="5"/>
  <c r="L126" i="5"/>
  <c r="O126" i="5"/>
  <c r="C127" i="5"/>
  <c r="E127" i="5"/>
  <c r="F127" i="5"/>
  <c r="G127" i="5"/>
  <c r="I127" i="5"/>
  <c r="J127" i="5"/>
  <c r="K127" i="5"/>
  <c r="M127" i="5"/>
  <c r="N127" i="5"/>
  <c r="O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C136" i="5"/>
  <c r="D136" i="5"/>
  <c r="E136" i="5"/>
  <c r="F136" i="5"/>
  <c r="G136" i="5"/>
  <c r="H136" i="5"/>
  <c r="I136" i="5"/>
  <c r="R136" i="5" s="1"/>
  <c r="J136" i="5"/>
  <c r="K136" i="5"/>
  <c r="L136" i="5"/>
  <c r="M136" i="5"/>
  <c r="N136" i="5"/>
  <c r="O136" i="5"/>
  <c r="O137" i="5"/>
  <c r="B139" i="5"/>
  <c r="B140" i="5"/>
  <c r="C140" i="5"/>
  <c r="H140" i="5"/>
  <c r="O140" i="5"/>
  <c r="B141" i="5"/>
  <c r="D141" i="5"/>
  <c r="E141" i="5"/>
  <c r="H141" i="5"/>
  <c r="I141" i="5"/>
  <c r="J141" i="5"/>
  <c r="M141" i="5"/>
  <c r="N141" i="5"/>
  <c r="C142" i="5"/>
  <c r="D142" i="5"/>
  <c r="F142" i="5"/>
  <c r="G142" i="5"/>
  <c r="J142" i="5"/>
  <c r="K142" i="5"/>
  <c r="L142" i="5"/>
  <c r="O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C151" i="5"/>
  <c r="D151" i="5"/>
  <c r="E151" i="5"/>
  <c r="F151" i="5"/>
  <c r="G151" i="5"/>
  <c r="H151" i="5"/>
  <c r="I151" i="5"/>
  <c r="R151" i="5" s="1"/>
  <c r="J151" i="5"/>
  <c r="K151" i="5"/>
  <c r="L151" i="5"/>
  <c r="M151" i="5"/>
  <c r="N151" i="5"/>
  <c r="O151" i="5"/>
  <c r="B154" i="5"/>
  <c r="C154" i="5"/>
  <c r="B155" i="5"/>
  <c r="C155" i="5"/>
  <c r="E155" i="5"/>
  <c r="G155" i="5"/>
  <c r="M155" i="5"/>
  <c r="N155" i="5"/>
  <c r="O155" i="5"/>
  <c r="B156" i="5"/>
  <c r="F156" i="5" s="1"/>
  <c r="C156" i="5"/>
  <c r="D156" i="5"/>
  <c r="H156" i="5"/>
  <c r="J156" i="5"/>
  <c r="K156" i="5"/>
  <c r="O156" i="5"/>
  <c r="C157" i="5"/>
  <c r="D157" i="5"/>
  <c r="F157" i="5"/>
  <c r="H157" i="5"/>
  <c r="I157" i="5"/>
  <c r="K157" i="5"/>
  <c r="L157" i="5"/>
  <c r="M157" i="5"/>
  <c r="O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C166" i="5"/>
  <c r="D166" i="5"/>
  <c r="E166" i="5"/>
  <c r="F166" i="5"/>
  <c r="G166" i="5"/>
  <c r="H166" i="5"/>
  <c r="I166" i="5"/>
  <c r="R166" i="5" s="1"/>
  <c r="J166" i="5"/>
  <c r="K166" i="5"/>
  <c r="L166" i="5"/>
  <c r="M166" i="5"/>
  <c r="N166" i="5"/>
  <c r="O166" i="5"/>
  <c r="C169" i="5"/>
  <c r="B170" i="5"/>
  <c r="C170" i="5"/>
  <c r="F170" i="5"/>
  <c r="G170" i="5"/>
  <c r="J170" i="5"/>
  <c r="K170" i="5"/>
  <c r="N170" i="5"/>
  <c r="O170" i="5"/>
  <c r="B171" i="5"/>
  <c r="E171" i="5" s="1"/>
  <c r="C171" i="5"/>
  <c r="D171" i="5"/>
  <c r="G171" i="5"/>
  <c r="H171" i="5"/>
  <c r="K171" i="5"/>
  <c r="L171" i="5"/>
  <c r="O171" i="5"/>
  <c r="C172" i="5"/>
  <c r="D172" i="5"/>
  <c r="E172" i="5"/>
  <c r="F172" i="5"/>
  <c r="H172" i="5"/>
  <c r="I172" i="5"/>
  <c r="J172" i="5"/>
  <c r="L172" i="5"/>
  <c r="M172" i="5"/>
  <c r="N172" i="5"/>
  <c r="O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C181" i="5"/>
  <c r="D181" i="5"/>
  <c r="E181" i="5"/>
  <c r="F181" i="5"/>
  <c r="G181" i="5"/>
  <c r="H181" i="5"/>
  <c r="I181" i="5"/>
  <c r="R181" i="5" s="1"/>
  <c r="J181" i="5"/>
  <c r="K181" i="5"/>
  <c r="L181" i="5"/>
  <c r="M181" i="5"/>
  <c r="N181" i="5"/>
  <c r="O181" i="5"/>
  <c r="B189" i="5"/>
  <c r="B190" i="5"/>
  <c r="C190" i="5"/>
  <c r="B191" i="5"/>
  <c r="C192" i="5"/>
  <c r="D192" i="5"/>
  <c r="O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 s="1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C200" i="5"/>
  <c r="D200" i="5"/>
  <c r="E200" i="5"/>
  <c r="P200" i="5" s="1"/>
  <c r="F200" i="5"/>
  <c r="G200" i="5"/>
  <c r="H200" i="5"/>
  <c r="I200" i="5"/>
  <c r="J200" i="5"/>
  <c r="K200" i="5"/>
  <c r="L200" i="5"/>
  <c r="M200" i="5"/>
  <c r="N200" i="5"/>
  <c r="O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B204" i="5"/>
  <c r="C204" i="5" s="1"/>
  <c r="B205" i="5"/>
  <c r="J205" i="5"/>
  <c r="B206" i="5"/>
  <c r="O206" i="5"/>
  <c r="C207" i="5"/>
  <c r="F207" i="5"/>
  <c r="H207" i="5"/>
  <c r="L207" i="5"/>
  <c r="M207" i="5"/>
  <c r="O207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B210" i="5"/>
  <c r="C210" i="5" s="1"/>
  <c r="J210" i="5"/>
  <c r="K210" i="5"/>
  <c r="B211" i="5"/>
  <c r="E211" i="5" s="1"/>
  <c r="H211" i="5"/>
  <c r="K211" i="5"/>
  <c r="O211" i="5"/>
  <c r="C212" i="5"/>
  <c r="D212" i="5"/>
  <c r="E212" i="5"/>
  <c r="F212" i="5"/>
  <c r="H212" i="5"/>
  <c r="I212" i="5"/>
  <c r="J212" i="5"/>
  <c r="L212" i="5"/>
  <c r="M212" i="5"/>
  <c r="N212" i="5"/>
  <c r="O212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B214" i="5"/>
  <c r="C214" i="5"/>
  <c r="F214" i="5"/>
  <c r="J214" i="5"/>
  <c r="K214" i="5"/>
  <c r="N214" i="5"/>
  <c r="B215" i="5"/>
  <c r="J215" i="5" s="1"/>
  <c r="B216" i="5"/>
  <c r="K216" i="5" s="1"/>
  <c r="C216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C221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C223" i="5"/>
  <c r="D223" i="5"/>
  <c r="E223" i="5"/>
  <c r="P223" i="5" s="1"/>
  <c r="F223" i="5"/>
  <c r="G223" i="5"/>
  <c r="H223" i="5"/>
  <c r="I223" i="5"/>
  <c r="J223" i="5"/>
  <c r="K223" i="5"/>
  <c r="L223" i="5"/>
  <c r="M223" i="5"/>
  <c r="N223" i="5"/>
  <c r="O223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C227" i="5"/>
  <c r="D227" i="5"/>
  <c r="E227" i="5"/>
  <c r="P227" i="5" s="1"/>
  <c r="F227" i="5"/>
  <c r="G227" i="5"/>
  <c r="H227" i="5"/>
  <c r="I227" i="5"/>
  <c r="J227" i="5"/>
  <c r="K227" i="5"/>
  <c r="L227" i="5"/>
  <c r="M227" i="5"/>
  <c r="N227" i="5"/>
  <c r="O227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C231" i="5"/>
  <c r="D231" i="5"/>
  <c r="E231" i="5"/>
  <c r="F231" i="5"/>
  <c r="G231" i="5"/>
  <c r="H231" i="5"/>
  <c r="I231" i="5"/>
  <c r="R231" i="5" s="1"/>
  <c r="J231" i="5"/>
  <c r="K231" i="5"/>
  <c r="L231" i="5"/>
  <c r="M231" i="5"/>
  <c r="N231" i="5"/>
  <c r="O231" i="5"/>
  <c r="C234" i="5"/>
  <c r="B235" i="5"/>
  <c r="E235" i="5"/>
  <c r="F235" i="5"/>
  <c r="I235" i="5"/>
  <c r="J235" i="5"/>
  <c r="M235" i="5"/>
  <c r="N235" i="5"/>
  <c r="B236" i="5"/>
  <c r="J236" i="5" s="1"/>
  <c r="C237" i="5"/>
  <c r="I237" i="5"/>
  <c r="O237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B249" i="5"/>
  <c r="C249" i="5" s="1"/>
  <c r="B250" i="5"/>
  <c r="C250" i="5" s="1"/>
  <c r="O250" i="5"/>
  <c r="B251" i="5"/>
  <c r="C251" i="5"/>
  <c r="D251" i="5"/>
  <c r="E251" i="5"/>
  <c r="H251" i="5"/>
  <c r="I251" i="5"/>
  <c r="K251" i="5"/>
  <c r="L251" i="5"/>
  <c r="M251" i="5"/>
  <c r="O251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B256" i="5"/>
  <c r="F256" i="5" s="1"/>
  <c r="D256" i="5"/>
  <c r="I256" i="5"/>
  <c r="M256" i="5"/>
  <c r="N256" i="5"/>
  <c r="C257" i="5"/>
  <c r="D257" i="5"/>
  <c r="F257" i="5"/>
  <c r="J257" i="5"/>
  <c r="K257" i="5"/>
  <c r="O257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R261" i="5"/>
  <c r="C262" i="5"/>
  <c r="O262" i="5"/>
  <c r="C264" i="5"/>
  <c r="C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C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C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C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C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C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C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C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C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C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C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C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C279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B281" i="5"/>
  <c r="H281" i="5" s="1"/>
  <c r="M281" i="5"/>
  <c r="C282" i="5"/>
  <c r="J282" i="5"/>
  <c r="O282" i="5"/>
  <c r="C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C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C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C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C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C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C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C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C291" i="5"/>
  <c r="D291" i="5"/>
  <c r="E291" i="5"/>
  <c r="F291" i="5"/>
  <c r="G291" i="5"/>
  <c r="H291" i="5"/>
  <c r="I291" i="5"/>
  <c r="R291" i="5" s="1"/>
  <c r="J291" i="5"/>
  <c r="K291" i="5"/>
  <c r="L291" i="5"/>
  <c r="M291" i="5"/>
  <c r="N291" i="5"/>
  <c r="O291" i="5"/>
  <c r="B294" i="5"/>
  <c r="C294" i="5"/>
  <c r="B295" i="5"/>
  <c r="G295" i="5" s="1"/>
  <c r="M295" i="5"/>
  <c r="B296" i="5"/>
  <c r="C297" i="5"/>
  <c r="H297" i="5"/>
  <c r="M297" i="5"/>
  <c r="O297" i="5"/>
  <c r="C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C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C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C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C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C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C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C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C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R306" i="5"/>
  <c r="B309" i="5"/>
  <c r="B310" i="5"/>
  <c r="E310" i="5" s="1"/>
  <c r="C310" i="5"/>
  <c r="D310" i="5"/>
  <c r="K310" i="5"/>
  <c r="O310" i="5"/>
  <c r="B311" i="5"/>
  <c r="C311" i="5" s="1"/>
  <c r="D311" i="5"/>
  <c r="E311" i="5"/>
  <c r="F311" i="5"/>
  <c r="H311" i="5"/>
  <c r="I311" i="5"/>
  <c r="J311" i="5"/>
  <c r="L311" i="5"/>
  <c r="M311" i="5"/>
  <c r="N311" i="5"/>
  <c r="O311" i="5"/>
  <c r="C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C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C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C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C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C317" i="5"/>
  <c r="P318" i="5" s="1"/>
  <c r="D317" i="5"/>
  <c r="E317" i="5"/>
  <c r="F317" i="5"/>
  <c r="G317" i="5"/>
  <c r="H317" i="5"/>
  <c r="I317" i="5"/>
  <c r="J317" i="5"/>
  <c r="K317" i="5"/>
  <c r="L317" i="5"/>
  <c r="M317" i="5"/>
  <c r="N317" i="5"/>
  <c r="O317" i="5"/>
  <c r="C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C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C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 s="1"/>
  <c r="C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B324" i="5"/>
  <c r="G325" i="5" s="1"/>
  <c r="C324" i="5"/>
  <c r="B325" i="5"/>
  <c r="J325" i="5"/>
  <c r="K325" i="5"/>
  <c r="O325" i="5"/>
  <c r="B326" i="5"/>
  <c r="C326" i="5"/>
  <c r="G326" i="5"/>
  <c r="K326" i="5"/>
  <c r="O326" i="5"/>
  <c r="C327" i="5"/>
  <c r="E327" i="5"/>
  <c r="F327" i="5"/>
  <c r="H327" i="5"/>
  <c r="J327" i="5"/>
  <c r="L327" i="5"/>
  <c r="M327" i="5"/>
  <c r="O327" i="5"/>
  <c r="C328" i="5"/>
  <c r="D328" i="5"/>
  <c r="E328" i="5"/>
  <c r="P328" i="5" s="1"/>
  <c r="F328" i="5"/>
  <c r="G328" i="5"/>
  <c r="H328" i="5"/>
  <c r="I328" i="5"/>
  <c r="J328" i="5"/>
  <c r="K328" i="5"/>
  <c r="L328" i="5"/>
  <c r="M328" i="5"/>
  <c r="N328" i="5"/>
  <c r="O328" i="5"/>
  <c r="C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C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C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C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C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C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C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C336" i="5"/>
  <c r="D336" i="5"/>
  <c r="E336" i="5"/>
  <c r="P336" i="5" s="1"/>
  <c r="F336" i="5"/>
  <c r="G336" i="5"/>
  <c r="H336" i="5"/>
  <c r="I336" i="5"/>
  <c r="J336" i="5"/>
  <c r="K336" i="5"/>
  <c r="L336" i="5"/>
  <c r="M336" i="5"/>
  <c r="N336" i="5"/>
  <c r="O336" i="5"/>
  <c r="R336" i="5"/>
  <c r="B343" i="5"/>
  <c r="E343" i="5"/>
  <c r="B344" i="5"/>
  <c r="E344" i="5" s="1"/>
  <c r="B345" i="5"/>
  <c r="E345" i="5"/>
  <c r="B348" i="5"/>
  <c r="E348" i="5" s="1"/>
  <c r="B349" i="5"/>
  <c r="B350" i="5"/>
  <c r="E350" i="5" s="1"/>
  <c r="P317" i="5" l="1"/>
  <c r="P269" i="5"/>
  <c r="P229" i="5"/>
  <c r="P330" i="5"/>
  <c r="Q276" i="5"/>
  <c r="Q246" i="5"/>
  <c r="I30" i="4"/>
  <c r="P287" i="5"/>
  <c r="P334" i="5"/>
  <c r="P332" i="5"/>
  <c r="P312" i="5"/>
  <c r="P280" i="5"/>
  <c r="P150" i="5"/>
  <c r="P87" i="5"/>
  <c r="P181" i="5"/>
  <c r="P173" i="5"/>
  <c r="P162" i="5"/>
  <c r="P116" i="5"/>
  <c r="P89" i="5"/>
  <c r="P103" i="5"/>
  <c r="P144" i="5"/>
  <c r="P118" i="5"/>
  <c r="P130" i="5"/>
  <c r="P20" i="5"/>
  <c r="P67" i="5"/>
  <c r="P48" i="5"/>
  <c r="F349" i="5"/>
  <c r="Q336" i="5"/>
  <c r="Q321" i="5"/>
  <c r="R321" i="5"/>
  <c r="Q306" i="5"/>
  <c r="P275" i="5"/>
  <c r="P265" i="5"/>
  <c r="P261" i="5"/>
  <c r="P245" i="5"/>
  <c r="P241" i="5"/>
  <c r="P179" i="5"/>
  <c r="P143" i="5"/>
  <c r="P329" i="5"/>
  <c r="L281" i="5"/>
  <c r="P271" i="5"/>
  <c r="K250" i="5"/>
  <c r="R246" i="5"/>
  <c r="P198" i="5"/>
  <c r="P160" i="5"/>
  <c r="P101" i="5"/>
  <c r="P83" i="5"/>
  <c r="P22" i="5"/>
  <c r="B352" i="5"/>
  <c r="D352" i="5" s="1"/>
  <c r="P331" i="5"/>
  <c r="E326" i="5"/>
  <c r="D326" i="5"/>
  <c r="L326" i="5"/>
  <c r="P316" i="5"/>
  <c r="G296" i="5"/>
  <c r="P289" i="5"/>
  <c r="P286" i="5"/>
  <c r="D282" i="5"/>
  <c r="P259" i="5"/>
  <c r="P253" i="5"/>
  <c r="F250" i="5"/>
  <c r="D214" i="5"/>
  <c r="H214" i="5"/>
  <c r="L214" i="5"/>
  <c r="E214" i="5"/>
  <c r="I214" i="5"/>
  <c r="M214" i="5"/>
  <c r="Q201" i="5"/>
  <c r="J191" i="5"/>
  <c r="P177" i="5"/>
  <c r="P164" i="5"/>
  <c r="P151" i="5"/>
  <c r="C124" i="5"/>
  <c r="N125" i="5"/>
  <c r="Q121" i="5"/>
  <c r="P120" i="5"/>
  <c r="P98" i="5"/>
  <c r="G81" i="5"/>
  <c r="P24" i="5"/>
  <c r="E16" i="5"/>
  <c r="D16" i="5"/>
  <c r="L16" i="5"/>
  <c r="E17" i="5"/>
  <c r="J17" i="5"/>
  <c r="G16" i="5"/>
  <c r="O16" i="5"/>
  <c r="F17" i="5"/>
  <c r="L17" i="5"/>
  <c r="F15" i="5"/>
  <c r="N15" i="5"/>
  <c r="G15" i="5"/>
  <c r="O15" i="5"/>
  <c r="P335" i="5"/>
  <c r="P314" i="5"/>
  <c r="C295" i="5"/>
  <c r="I295" i="5"/>
  <c r="N295" i="5"/>
  <c r="E295" i="5"/>
  <c r="J295" i="5"/>
  <c r="O295" i="5"/>
  <c r="D281" i="5"/>
  <c r="I281" i="5"/>
  <c r="N281" i="5"/>
  <c r="G282" i="5"/>
  <c r="L282" i="5"/>
  <c r="E281" i="5"/>
  <c r="J281" i="5"/>
  <c r="H282" i="5"/>
  <c r="N282" i="5"/>
  <c r="P134" i="5"/>
  <c r="I96" i="5"/>
  <c r="K97" i="5"/>
  <c r="M96" i="5"/>
  <c r="L97" i="5"/>
  <c r="P64" i="5"/>
  <c r="K295" i="5"/>
  <c r="F282" i="5"/>
  <c r="R276" i="5"/>
  <c r="P267" i="5"/>
  <c r="P231" i="5"/>
  <c r="D190" i="5"/>
  <c r="L190" i="5"/>
  <c r="P148" i="5"/>
  <c r="D97" i="5"/>
  <c r="P84" i="5"/>
  <c r="G80" i="5"/>
  <c r="H81" i="5"/>
  <c r="J80" i="5"/>
  <c r="L81" i="5"/>
  <c r="F345" i="5"/>
  <c r="P333" i="5"/>
  <c r="N327" i="5"/>
  <c r="I327" i="5"/>
  <c r="D327" i="5"/>
  <c r="H326" i="5"/>
  <c r="D325" i="5"/>
  <c r="C325" i="5"/>
  <c r="N325" i="5"/>
  <c r="P319" i="5"/>
  <c r="C309" i="5"/>
  <c r="I310" i="5"/>
  <c r="P304" i="5"/>
  <c r="P305" i="5"/>
  <c r="P300" i="5"/>
  <c r="P301" i="5"/>
  <c r="L296" i="5"/>
  <c r="F295" i="5"/>
  <c r="P288" i="5"/>
  <c r="K282" i="5"/>
  <c r="P283" i="5"/>
  <c r="F281" i="5"/>
  <c r="P255" i="5"/>
  <c r="P239" i="5"/>
  <c r="O214" i="5"/>
  <c r="G214" i="5"/>
  <c r="P213" i="5"/>
  <c r="P208" i="5"/>
  <c r="E206" i="5"/>
  <c r="C206" i="5"/>
  <c r="D207" i="5"/>
  <c r="I207" i="5"/>
  <c r="N207" i="5"/>
  <c r="H206" i="5"/>
  <c r="E207" i="5"/>
  <c r="J207" i="5"/>
  <c r="R201" i="5"/>
  <c r="P196" i="5"/>
  <c r="L192" i="5"/>
  <c r="O190" i="5"/>
  <c r="P175" i="5"/>
  <c r="I155" i="5"/>
  <c r="J155" i="5"/>
  <c r="P146" i="5"/>
  <c r="P132" i="5"/>
  <c r="G125" i="5"/>
  <c r="R121" i="5"/>
  <c r="P99" i="5"/>
  <c r="E96" i="5"/>
  <c r="D95" i="5"/>
  <c r="D81" i="5"/>
  <c r="N80" i="5"/>
  <c r="P54" i="5"/>
  <c r="G45" i="5"/>
  <c r="H46" i="5"/>
  <c r="J45" i="5"/>
  <c r="I17" i="5"/>
  <c r="K16" i="5"/>
  <c r="K15" i="5"/>
  <c r="P321" i="5"/>
  <c r="P313" i="5"/>
  <c r="P306" i="5"/>
  <c r="P302" i="5"/>
  <c r="P303" i="5"/>
  <c r="P298" i="5"/>
  <c r="P299" i="5"/>
  <c r="Q291" i="5"/>
  <c r="P290" i="5"/>
  <c r="P273" i="5"/>
  <c r="P258" i="5"/>
  <c r="G251" i="5"/>
  <c r="P219" i="5"/>
  <c r="P220" i="5"/>
  <c r="C211" i="5"/>
  <c r="P193" i="5"/>
  <c r="Q166" i="5"/>
  <c r="P166" i="5"/>
  <c r="P110" i="5"/>
  <c r="P105" i="5"/>
  <c r="P106" i="5"/>
  <c r="P52" i="5"/>
  <c r="L46" i="5"/>
  <c r="P315" i="5"/>
  <c r="K311" i="5"/>
  <c r="G311" i="5"/>
  <c r="P291" i="5"/>
  <c r="P284" i="5"/>
  <c r="P260" i="5"/>
  <c r="P243" i="5"/>
  <c r="P225" i="5"/>
  <c r="P161" i="5"/>
  <c r="P158" i="5"/>
  <c r="N157" i="5"/>
  <c r="J157" i="5"/>
  <c r="E157" i="5"/>
  <c r="N156" i="5"/>
  <c r="P129" i="5"/>
  <c r="L127" i="5"/>
  <c r="H127" i="5"/>
  <c r="D127" i="5"/>
  <c r="P113" i="5"/>
  <c r="Q106" i="5"/>
  <c r="P91" i="5"/>
  <c r="P85" i="5"/>
  <c r="P86" i="5"/>
  <c r="E81" i="5"/>
  <c r="P70" i="5"/>
  <c r="E46" i="5"/>
  <c r="P40" i="5"/>
  <c r="P38" i="5"/>
  <c r="P34" i="5"/>
  <c r="P26" i="5"/>
  <c r="P49" i="5"/>
  <c r="P35" i="5"/>
  <c r="P68" i="5"/>
  <c r="P18" i="5"/>
  <c r="E349" i="5"/>
  <c r="P56" i="5"/>
  <c r="P50" i="5"/>
  <c r="P51" i="5"/>
  <c r="P36" i="5"/>
  <c r="P37" i="5"/>
  <c r="F10" i="5"/>
  <c r="H11" i="5" s="1"/>
  <c r="P63" i="5"/>
  <c r="E296" i="5"/>
  <c r="I296" i="5"/>
  <c r="M296" i="5"/>
  <c r="G297" i="5"/>
  <c r="K297" i="5"/>
  <c r="P276" i="5"/>
  <c r="P268" i="5"/>
  <c r="P244" i="5"/>
  <c r="D236" i="5"/>
  <c r="H236" i="5"/>
  <c r="L236" i="5"/>
  <c r="F237" i="5"/>
  <c r="J237" i="5"/>
  <c r="N237" i="5"/>
  <c r="E236" i="5"/>
  <c r="I236" i="5"/>
  <c r="M236" i="5"/>
  <c r="G237" i="5"/>
  <c r="K237" i="5"/>
  <c r="C215" i="5"/>
  <c r="G215" i="5"/>
  <c r="K215" i="5"/>
  <c r="O215" i="5"/>
  <c r="D215" i="5"/>
  <c r="H215" i="5"/>
  <c r="L215" i="5"/>
  <c r="P209" i="5"/>
  <c r="D205" i="5"/>
  <c r="H205" i="5"/>
  <c r="L205" i="5"/>
  <c r="E205" i="5"/>
  <c r="I205" i="5"/>
  <c r="M205" i="5"/>
  <c r="F206" i="5"/>
  <c r="J206" i="5"/>
  <c r="N206" i="5"/>
  <c r="C191" i="5"/>
  <c r="G191" i="5"/>
  <c r="K191" i="5"/>
  <c r="O191" i="5"/>
  <c r="E192" i="5"/>
  <c r="I192" i="5"/>
  <c r="M192" i="5"/>
  <c r="D191" i="5"/>
  <c r="H191" i="5"/>
  <c r="L191" i="5"/>
  <c r="F192" i="5"/>
  <c r="J192" i="5"/>
  <c r="N192" i="5"/>
  <c r="F190" i="5"/>
  <c r="J190" i="5"/>
  <c r="N190" i="5"/>
  <c r="G190" i="5"/>
  <c r="K190" i="5"/>
  <c r="P176" i="5"/>
  <c r="F140" i="5"/>
  <c r="J140" i="5"/>
  <c r="N140" i="5"/>
  <c r="C139" i="5"/>
  <c r="E140" i="5"/>
  <c r="K140" i="5"/>
  <c r="G140" i="5"/>
  <c r="L140" i="5"/>
  <c r="Q41" i="5"/>
  <c r="P39" i="5"/>
  <c r="F30" i="5"/>
  <c r="J30" i="5"/>
  <c r="N30" i="5"/>
  <c r="G30" i="5"/>
  <c r="K30" i="5"/>
  <c r="C29" i="5"/>
  <c r="E30" i="5"/>
  <c r="M30" i="5"/>
  <c r="I30" i="5"/>
  <c r="L30" i="5"/>
  <c r="F8" i="5"/>
  <c r="H8" i="5" s="1"/>
  <c r="J8" i="5" s="1"/>
  <c r="L8" i="5" s="1"/>
  <c r="N8" i="5" s="1"/>
  <c r="B351" i="5"/>
  <c r="F325" i="5"/>
  <c r="F310" i="5"/>
  <c r="J310" i="5"/>
  <c r="N310" i="5"/>
  <c r="L297" i="5"/>
  <c r="F296" i="5"/>
  <c r="P270" i="5"/>
  <c r="Q261" i="5"/>
  <c r="H256" i="5"/>
  <c r="D250" i="5"/>
  <c r="O236" i="5"/>
  <c r="P228" i="5"/>
  <c r="J216" i="5"/>
  <c r="D216" i="5"/>
  <c r="H216" i="5"/>
  <c r="L216" i="5"/>
  <c r="E216" i="5"/>
  <c r="I216" i="5"/>
  <c r="R216" i="5" s="1"/>
  <c r="M216" i="5"/>
  <c r="I215" i="5"/>
  <c r="D210" i="5"/>
  <c r="H210" i="5"/>
  <c r="L210" i="5"/>
  <c r="E210" i="5"/>
  <c r="I210" i="5"/>
  <c r="M210" i="5"/>
  <c r="F211" i="5"/>
  <c r="J211" i="5"/>
  <c r="N211" i="5"/>
  <c r="G206" i="5"/>
  <c r="O205" i="5"/>
  <c r="G205" i="5"/>
  <c r="P197" i="5"/>
  <c r="I190" i="5"/>
  <c r="P178" i="5"/>
  <c r="P163" i="5"/>
  <c r="D140" i="5"/>
  <c r="P128" i="5"/>
  <c r="E8" i="5"/>
  <c r="G8" i="5" s="1"/>
  <c r="I8" i="5" s="1"/>
  <c r="K8" i="5" s="1"/>
  <c r="M8" i="5" s="1"/>
  <c r="E9" i="5"/>
  <c r="F350" i="5"/>
  <c r="B342" i="5"/>
  <c r="N326" i="5"/>
  <c r="J326" i="5"/>
  <c r="F326" i="5"/>
  <c r="M325" i="5"/>
  <c r="I325" i="5"/>
  <c r="E325" i="5"/>
  <c r="M310" i="5"/>
  <c r="H310" i="5"/>
  <c r="J297" i="5"/>
  <c r="E297" i="5"/>
  <c r="O296" i="5"/>
  <c r="J296" i="5"/>
  <c r="D296" i="5"/>
  <c r="P272" i="5"/>
  <c r="N257" i="5"/>
  <c r="H257" i="5"/>
  <c r="L256" i="5"/>
  <c r="P254" i="5"/>
  <c r="P252" i="5"/>
  <c r="N250" i="5"/>
  <c r="H250" i="5"/>
  <c r="P240" i="5"/>
  <c r="M237" i="5"/>
  <c r="E237" i="5"/>
  <c r="N236" i="5"/>
  <c r="F236" i="5"/>
  <c r="Q231" i="5"/>
  <c r="P230" i="5"/>
  <c r="O216" i="5"/>
  <c r="G216" i="5"/>
  <c r="N215" i="5"/>
  <c r="F215" i="5"/>
  <c r="G211" i="5"/>
  <c r="O210" i="5"/>
  <c r="G210" i="5"/>
  <c r="L206" i="5"/>
  <c r="D206" i="5"/>
  <c r="N205" i="5"/>
  <c r="F205" i="5"/>
  <c r="P199" i="5"/>
  <c r="H192" i="5"/>
  <c r="N191" i="5"/>
  <c r="F191" i="5"/>
  <c r="H190" i="5"/>
  <c r="Q181" i="5"/>
  <c r="P180" i="5"/>
  <c r="P165" i="5"/>
  <c r="P147" i="5"/>
  <c r="M140" i="5"/>
  <c r="P131" i="5"/>
  <c r="E125" i="5"/>
  <c r="I125" i="5"/>
  <c r="M125" i="5"/>
  <c r="F126" i="5"/>
  <c r="J126" i="5"/>
  <c r="N126" i="5"/>
  <c r="D125" i="5"/>
  <c r="J125" i="5"/>
  <c r="O125" i="5"/>
  <c r="D126" i="5"/>
  <c r="I126" i="5"/>
  <c r="F125" i="5"/>
  <c r="K125" i="5"/>
  <c r="E126" i="5"/>
  <c r="K126" i="5"/>
  <c r="F95" i="5"/>
  <c r="J95" i="5"/>
  <c r="N95" i="5"/>
  <c r="G95" i="5"/>
  <c r="K95" i="5"/>
  <c r="H95" i="5"/>
  <c r="I95" i="5"/>
  <c r="L95" i="5"/>
  <c r="P88" i="5"/>
  <c r="C60" i="5"/>
  <c r="G60" i="5"/>
  <c r="K60" i="5"/>
  <c r="O60" i="5"/>
  <c r="D60" i="5"/>
  <c r="H60" i="5"/>
  <c r="L60" i="5"/>
  <c r="E60" i="5"/>
  <c r="M60" i="5"/>
  <c r="F60" i="5"/>
  <c r="K61" i="5"/>
  <c r="I60" i="5"/>
  <c r="P238" i="5"/>
  <c r="P226" i="5"/>
  <c r="P195" i="5"/>
  <c r="B341" i="5"/>
  <c r="F297" i="5"/>
  <c r="K296" i="5"/>
  <c r="C256" i="5"/>
  <c r="G256" i="5"/>
  <c r="K256" i="5"/>
  <c r="O256" i="5"/>
  <c r="E257" i="5"/>
  <c r="I257" i="5"/>
  <c r="M257" i="5"/>
  <c r="J250" i="5"/>
  <c r="P246" i="5"/>
  <c r="H237" i="5"/>
  <c r="G236" i="5"/>
  <c r="P222" i="5"/>
  <c r="K192" i="5"/>
  <c r="I191" i="5"/>
  <c r="P145" i="5"/>
  <c r="P117" i="5"/>
  <c r="D30" i="5"/>
  <c r="P23" i="5"/>
  <c r="F348" i="5"/>
  <c r="B346" i="5"/>
  <c r="F344" i="5"/>
  <c r="B347" i="5"/>
  <c r="B340" i="5"/>
  <c r="E340" i="5" s="1"/>
  <c r="K327" i="5"/>
  <c r="G327" i="5"/>
  <c r="P327" i="5" s="1"/>
  <c r="M326" i="5"/>
  <c r="I326" i="5"/>
  <c r="L325" i="5"/>
  <c r="H325" i="5"/>
  <c r="L310" i="5"/>
  <c r="G310" i="5"/>
  <c r="N297" i="5"/>
  <c r="I297" i="5"/>
  <c r="D297" i="5"/>
  <c r="N296" i="5"/>
  <c r="H296" i="5"/>
  <c r="C296" i="5"/>
  <c r="D295" i="5"/>
  <c r="H295" i="5"/>
  <c r="L295" i="5"/>
  <c r="C281" i="5"/>
  <c r="G281" i="5"/>
  <c r="K281" i="5"/>
  <c r="O281" i="5"/>
  <c r="E282" i="5"/>
  <c r="I282" i="5"/>
  <c r="M282" i="5"/>
  <c r="P274" i="5"/>
  <c r="P266" i="5"/>
  <c r="L257" i="5"/>
  <c r="G257" i="5"/>
  <c r="J256" i="5"/>
  <c r="E256" i="5"/>
  <c r="L250" i="5"/>
  <c r="G250" i="5"/>
  <c r="E250" i="5"/>
  <c r="I250" i="5"/>
  <c r="M250" i="5"/>
  <c r="F251" i="5"/>
  <c r="J251" i="5"/>
  <c r="N251" i="5"/>
  <c r="P242" i="5"/>
  <c r="L237" i="5"/>
  <c r="D237" i="5"/>
  <c r="K236" i="5"/>
  <c r="C236" i="5"/>
  <c r="C235" i="5"/>
  <c r="G235" i="5"/>
  <c r="K235" i="5"/>
  <c r="O235" i="5"/>
  <c r="D235" i="5"/>
  <c r="H235" i="5"/>
  <c r="L235" i="5"/>
  <c r="P224" i="5"/>
  <c r="N216" i="5"/>
  <c r="F216" i="5"/>
  <c r="M215" i="5"/>
  <c r="E215" i="5"/>
  <c r="L211" i="5"/>
  <c r="D211" i="5"/>
  <c r="N210" i="5"/>
  <c r="F210" i="5"/>
  <c r="K206" i="5"/>
  <c r="K205" i="5"/>
  <c r="C205" i="5"/>
  <c r="P201" i="5"/>
  <c r="G192" i="5"/>
  <c r="M191" i="5"/>
  <c r="E191" i="5"/>
  <c r="M190" i="5"/>
  <c r="E190" i="5"/>
  <c r="C189" i="5"/>
  <c r="P174" i="5"/>
  <c r="D170" i="5"/>
  <c r="H170" i="5"/>
  <c r="L170" i="5"/>
  <c r="E170" i="5"/>
  <c r="I170" i="5"/>
  <c r="M170" i="5"/>
  <c r="F171" i="5"/>
  <c r="J171" i="5"/>
  <c r="N171" i="5"/>
  <c r="P159" i="5"/>
  <c r="Q151" i="5"/>
  <c r="P149" i="5"/>
  <c r="I140" i="5"/>
  <c r="Q136" i="5"/>
  <c r="P136" i="5"/>
  <c r="M126" i="5"/>
  <c r="H125" i="5"/>
  <c r="P53" i="5"/>
  <c r="F9" i="5"/>
  <c r="D155" i="5"/>
  <c r="H155" i="5"/>
  <c r="L155" i="5"/>
  <c r="C141" i="5"/>
  <c r="G141" i="5"/>
  <c r="K141" i="5"/>
  <c r="O141" i="5"/>
  <c r="E142" i="5"/>
  <c r="I142" i="5"/>
  <c r="M142" i="5"/>
  <c r="P133" i="5"/>
  <c r="P119" i="5"/>
  <c r="P100" i="5"/>
  <c r="C96" i="5"/>
  <c r="G96" i="5"/>
  <c r="K96" i="5"/>
  <c r="O96" i="5"/>
  <c r="E97" i="5"/>
  <c r="I97" i="5"/>
  <c r="M97" i="5"/>
  <c r="D96" i="5"/>
  <c r="H96" i="5"/>
  <c r="L96" i="5"/>
  <c r="F97" i="5"/>
  <c r="J97" i="5"/>
  <c r="N97" i="5"/>
  <c r="F96" i="5"/>
  <c r="N96" i="5"/>
  <c r="H97" i="5"/>
  <c r="P33" i="5"/>
  <c r="Q26" i="5"/>
  <c r="E28" i="4" s="1"/>
  <c r="E30" i="4" s="1"/>
  <c r="P25" i="5"/>
  <c r="K212" i="5"/>
  <c r="G212" i="5"/>
  <c r="M211" i="5"/>
  <c r="I211" i="5"/>
  <c r="K207" i="5"/>
  <c r="G207" i="5"/>
  <c r="M206" i="5"/>
  <c r="I206" i="5"/>
  <c r="K172" i="5"/>
  <c r="G172" i="5"/>
  <c r="M171" i="5"/>
  <c r="I171" i="5"/>
  <c r="L156" i="5"/>
  <c r="G156" i="5"/>
  <c r="E156" i="5"/>
  <c r="I156" i="5"/>
  <c r="M156" i="5"/>
  <c r="G157" i="5"/>
  <c r="K155" i="5"/>
  <c r="F155" i="5"/>
  <c r="N142" i="5"/>
  <c r="H142" i="5"/>
  <c r="L141" i="5"/>
  <c r="F141" i="5"/>
  <c r="P135" i="5"/>
  <c r="P121" i="5"/>
  <c r="P115" i="5"/>
  <c r="P109" i="5"/>
  <c r="P102" i="5"/>
  <c r="G97" i="5"/>
  <c r="J96" i="5"/>
  <c r="D80" i="5"/>
  <c r="H80" i="5"/>
  <c r="L80" i="5"/>
  <c r="E80" i="5"/>
  <c r="I80" i="5"/>
  <c r="M80" i="5"/>
  <c r="F81" i="5"/>
  <c r="J81" i="5"/>
  <c r="N81" i="5"/>
  <c r="C80" i="5"/>
  <c r="K80" i="5"/>
  <c r="K81" i="5"/>
  <c r="P71" i="5"/>
  <c r="Q71" i="5"/>
  <c r="P66" i="5"/>
  <c r="D61" i="5"/>
  <c r="H61" i="5"/>
  <c r="L61" i="5"/>
  <c r="F62" i="5"/>
  <c r="J62" i="5"/>
  <c r="N62" i="5"/>
  <c r="E61" i="5"/>
  <c r="I61" i="5"/>
  <c r="M61" i="5"/>
  <c r="G62" i="5"/>
  <c r="K62" i="5"/>
  <c r="F61" i="5"/>
  <c r="N61" i="5"/>
  <c r="E62" i="5"/>
  <c r="M62" i="5"/>
  <c r="D45" i="5"/>
  <c r="H45" i="5"/>
  <c r="L45" i="5"/>
  <c r="E45" i="5"/>
  <c r="I45" i="5"/>
  <c r="M45" i="5"/>
  <c r="F46" i="5"/>
  <c r="J46" i="5"/>
  <c r="N46" i="5"/>
  <c r="C45" i="5"/>
  <c r="K45" i="5"/>
  <c r="K46" i="5"/>
  <c r="C31" i="5"/>
  <c r="G31" i="5"/>
  <c r="K31" i="5"/>
  <c r="O31" i="5"/>
  <c r="E32" i="5"/>
  <c r="I32" i="5"/>
  <c r="M32" i="5"/>
  <c r="D31" i="5"/>
  <c r="H31" i="5"/>
  <c r="L31" i="5"/>
  <c r="F32" i="5"/>
  <c r="J32" i="5"/>
  <c r="N32" i="5"/>
  <c r="E31" i="5"/>
  <c r="M31" i="5"/>
  <c r="G32" i="5"/>
  <c r="P21" i="5"/>
  <c r="E10" i="5"/>
  <c r="P114" i="5"/>
  <c r="P104" i="5"/>
  <c r="Q91" i="5"/>
  <c r="P90" i="5"/>
  <c r="P69" i="5"/>
  <c r="P65" i="5"/>
  <c r="Q56" i="5"/>
  <c r="Q349" i="5" s="1"/>
  <c r="P55" i="5"/>
  <c r="P41" i="5"/>
  <c r="P19" i="5"/>
  <c r="D15" i="5"/>
  <c r="H15" i="5"/>
  <c r="L15" i="5"/>
  <c r="E15" i="5"/>
  <c r="I15" i="5"/>
  <c r="M15" i="5"/>
  <c r="F16" i="5"/>
  <c r="J16" i="5"/>
  <c r="N16" i="5"/>
  <c r="K82" i="5"/>
  <c r="G82" i="5"/>
  <c r="M81" i="5"/>
  <c r="I81" i="5"/>
  <c r="K47" i="5"/>
  <c r="G47" i="5"/>
  <c r="M46" i="5"/>
  <c r="I46" i="5"/>
  <c r="K17" i="5"/>
  <c r="G17" i="5"/>
  <c r="M16" i="5"/>
  <c r="I16" i="5"/>
  <c r="P295" i="5" l="1"/>
  <c r="P326" i="5"/>
  <c r="P207" i="5"/>
  <c r="P212" i="5"/>
  <c r="P311" i="5"/>
  <c r="M28" i="4"/>
  <c r="M30" i="4" s="1"/>
  <c r="P205" i="5"/>
  <c r="P127" i="5"/>
  <c r="P82" i="5"/>
  <c r="P171" i="5"/>
  <c r="P126" i="5"/>
  <c r="P157" i="5"/>
  <c r="P172" i="5"/>
  <c r="P17" i="5"/>
  <c r="P47" i="5"/>
  <c r="E352" i="5"/>
  <c r="P80" i="5"/>
  <c r="P211" i="5"/>
  <c r="P95" i="5"/>
  <c r="P325" i="5"/>
  <c r="P214" i="5"/>
  <c r="P236" i="5"/>
  <c r="P251" i="5"/>
  <c r="P155" i="5"/>
  <c r="P170" i="5"/>
  <c r="P235" i="5"/>
  <c r="G9" i="5"/>
  <c r="I9" i="5" s="1"/>
  <c r="K9" i="5" s="1"/>
  <c r="M9" i="5" s="1"/>
  <c r="P16" i="5"/>
  <c r="P8" i="5"/>
  <c r="P15" i="5"/>
  <c r="P46" i="5"/>
  <c r="P45" i="5"/>
  <c r="P60" i="5"/>
  <c r="P62" i="5"/>
  <c r="P30" i="5"/>
  <c r="G10" i="5"/>
  <c r="G11" i="5"/>
  <c r="P257" i="5"/>
  <c r="P310" i="5"/>
  <c r="P156" i="5"/>
  <c r="P96" i="5"/>
  <c r="P206" i="5"/>
  <c r="F342" i="5"/>
  <c r="E342" i="5"/>
  <c r="F343" i="5"/>
  <c r="P81" i="5"/>
  <c r="P142" i="5"/>
  <c r="P190" i="5"/>
  <c r="P282" i="5"/>
  <c r="P297" i="5"/>
  <c r="P296" i="5"/>
  <c r="Q216" i="5"/>
  <c r="F351" i="5"/>
  <c r="E351" i="5"/>
  <c r="P191" i="5"/>
  <c r="P216" i="5"/>
  <c r="P97" i="5"/>
  <c r="P61" i="5"/>
  <c r="P250" i="5"/>
  <c r="P32" i="5"/>
  <c r="P237" i="5"/>
  <c r="E347" i="5"/>
  <c r="F347" i="5"/>
  <c r="P256" i="5"/>
  <c r="P125" i="5"/>
  <c r="P140" i="5"/>
  <c r="P192" i="5"/>
  <c r="P31" i="5"/>
  <c r="H9" i="5"/>
  <c r="J9" i="5" s="1"/>
  <c r="L9" i="5" s="1"/>
  <c r="N9" i="5" s="1"/>
  <c r="H10" i="5"/>
  <c r="P141" i="5"/>
  <c r="P281" i="5"/>
  <c r="E346" i="5"/>
  <c r="F346" i="5"/>
  <c r="F341" i="5"/>
  <c r="E341" i="5"/>
  <c r="P210" i="5"/>
  <c r="F352" i="5"/>
  <c r="P215" i="5"/>
  <c r="I10" i="5" l="1"/>
  <c r="P9" i="5"/>
  <c r="I11" i="5"/>
  <c r="K10" i="5"/>
  <c r="M10" i="5" s="1"/>
  <c r="J10" i="5"/>
  <c r="L10" i="5" s="1"/>
  <c r="N10" i="5" s="1"/>
  <c r="J11" i="5"/>
  <c r="L11" i="5" l="1"/>
  <c r="N11" i="5" s="1"/>
  <c r="P10" i="5"/>
  <c r="Q11" i="5"/>
  <c r="Q339" i="5" s="1"/>
  <c r="K11" i="5"/>
  <c r="M11" i="5" s="1"/>
  <c r="R11" i="5"/>
  <c r="Q351" i="5" l="1"/>
  <c r="Q353" i="5"/>
  <c r="Q358" i="5" s="1"/>
  <c r="Q357" i="5" s="1"/>
  <c r="P11" i="5"/>
  <c r="R339" i="5"/>
  <c r="R351" i="5"/>
  <c r="R353" i="5" l="1"/>
  <c r="R358" i="5" s="1"/>
  <c r="R357" i="5" s="1"/>
  <c r="H9" i="4" l="1"/>
  <c r="L10" i="4" l="1"/>
  <c r="C9" i="4"/>
  <c r="G9" i="4"/>
  <c r="I9" i="4" s="1"/>
  <c r="I10" i="4"/>
  <c r="K10" i="4"/>
  <c r="M10" i="4" s="1"/>
  <c r="D9" i="4"/>
  <c r="E10" i="4"/>
  <c r="K20" i="4" l="1"/>
  <c r="L19" i="4"/>
  <c r="L16" i="4"/>
  <c r="L15" i="4"/>
  <c r="L18" i="4"/>
  <c r="G16" i="4"/>
  <c r="I16" i="4" s="1"/>
  <c r="G15" i="4"/>
  <c r="I15" i="4" s="1"/>
  <c r="H14" i="4"/>
  <c r="G14" i="4"/>
  <c r="H13" i="4"/>
  <c r="G13" i="4"/>
  <c r="L9" i="4"/>
  <c r="H8" i="4"/>
  <c r="G8" i="4"/>
  <c r="G5" i="4"/>
  <c r="D14" i="4"/>
  <c r="D13" i="4"/>
  <c r="D12" i="4"/>
  <c r="D11" i="4"/>
  <c r="D8" i="4"/>
  <c r="C16" i="4"/>
  <c r="E16" i="4" s="1"/>
  <c r="C15" i="4"/>
  <c r="E15" i="4" s="1"/>
  <c r="C14" i="4"/>
  <c r="C13" i="4"/>
  <c r="C12" i="4"/>
  <c r="C11" i="4"/>
  <c r="E9" i="4"/>
  <c r="C8" i="4"/>
  <c r="C5" i="4"/>
  <c r="E13" i="4" l="1"/>
  <c r="K14" i="4"/>
  <c r="L13" i="4"/>
  <c r="E8" i="4"/>
  <c r="K5" i="4"/>
  <c r="K8" i="4"/>
  <c r="L14" i="4"/>
  <c r="E12" i="4"/>
  <c r="L8" i="4"/>
  <c r="K13" i="4"/>
  <c r="M14" i="4"/>
  <c r="K16" i="4"/>
  <c r="M16" i="4" s="1"/>
  <c r="I14" i="4"/>
  <c r="K9" i="4"/>
  <c r="M9" i="4" s="1"/>
  <c r="K15" i="4"/>
  <c r="M15" i="4" s="1"/>
  <c r="I13" i="4"/>
  <c r="E14" i="4"/>
  <c r="I8" i="4"/>
  <c r="E11" i="4"/>
  <c r="M13" i="4" l="1"/>
  <c r="M8" i="4"/>
  <c r="H64" i="1" l="1"/>
  <c r="G19" i="4" s="1"/>
  <c r="I19" i="4" l="1"/>
  <c r="D64" i="1"/>
  <c r="C19" i="4" s="1"/>
  <c r="K19" i="4" s="1"/>
  <c r="M19" i="4" s="1"/>
  <c r="H12" i="4"/>
  <c r="L12" i="4" s="1"/>
  <c r="G12" i="4"/>
  <c r="I12" i="4" l="1"/>
  <c r="K12" i="4"/>
  <c r="M12" i="4" s="1"/>
  <c r="E19" i="4"/>
  <c r="H11" i="4"/>
  <c r="G11" i="4"/>
  <c r="L11" i="4" l="1"/>
  <c r="I11" i="4"/>
  <c r="K11" i="4"/>
  <c r="M11" i="4" l="1"/>
  <c r="H9" i="1" l="1"/>
  <c r="H25" i="1"/>
  <c r="H39" i="1"/>
  <c r="H40" i="1"/>
  <c r="J40" i="1" s="1"/>
  <c r="I42" i="1"/>
  <c r="I43" i="1"/>
  <c r="H44" i="1"/>
  <c r="J44" i="1" s="1"/>
  <c r="H46" i="1"/>
  <c r="J46" i="1" s="1"/>
  <c r="I48" i="1"/>
  <c r="J48" i="1" s="1"/>
  <c r="I50" i="1"/>
  <c r="H52" i="1"/>
  <c r="J52" i="1" s="1"/>
  <c r="H54" i="1"/>
  <c r="J54" i="1" s="1"/>
  <c r="I25" i="1" l="1"/>
  <c r="I9" i="1"/>
  <c r="J39" i="1"/>
  <c r="H47" i="1"/>
  <c r="J47" i="1" s="1"/>
  <c r="H55" i="1"/>
  <c r="J55" i="1" s="1"/>
  <c r="J43" i="1"/>
  <c r="J50" i="1"/>
  <c r="J42" i="1"/>
  <c r="H41" i="1"/>
  <c r="J41" i="1" s="1"/>
  <c r="H45" i="1"/>
  <c r="J45" i="1" s="1"/>
  <c r="I49" i="1"/>
  <c r="J49" i="1" s="1"/>
  <c r="H53" i="1"/>
  <c r="J53" i="1" s="1"/>
  <c r="E9" i="1"/>
  <c r="D9" i="1"/>
  <c r="H56" i="1" l="1"/>
  <c r="G18" i="4" s="1"/>
  <c r="I18" i="4" l="1"/>
  <c r="E25" i="1"/>
  <c r="D25" i="1" l="1"/>
  <c r="H111" i="1" l="1"/>
  <c r="H97" i="1"/>
  <c r="H91" i="1"/>
  <c r="H85" i="1"/>
  <c r="H77" i="1"/>
  <c r="H31" i="1" l="1"/>
  <c r="I11" i="1"/>
  <c r="J11" i="1" s="1"/>
  <c r="H15" i="1"/>
  <c r="J15" i="1" s="1"/>
  <c r="H13" i="1"/>
  <c r="D20" i="4"/>
  <c r="J13" i="1" l="1"/>
  <c r="H20" i="4"/>
  <c r="D5" i="4"/>
  <c r="E20" i="4"/>
  <c r="J31" i="1"/>
  <c r="H10" i="1"/>
  <c r="G6" i="4" s="1"/>
  <c r="H16" i="1"/>
  <c r="G17" i="4" s="1"/>
  <c r="J16" i="1"/>
  <c r="H32" i="1"/>
  <c r="J32" i="1" s="1"/>
  <c r="H14" i="1"/>
  <c r="J14" i="1" s="1"/>
  <c r="H26" i="1"/>
  <c r="I27" i="1"/>
  <c r="I30" i="1"/>
  <c r="J30" i="1" s="1"/>
  <c r="I12" i="1"/>
  <c r="J12" i="1" s="1"/>
  <c r="H33" i="1"/>
  <c r="J33" i="1" s="1"/>
  <c r="H34" i="1"/>
  <c r="J34" i="1" s="1"/>
  <c r="I29" i="1"/>
  <c r="J29" i="1" s="1"/>
  <c r="D40" i="1"/>
  <c r="F40" i="1" s="1"/>
  <c r="D41" i="1"/>
  <c r="F41" i="1" s="1"/>
  <c r="D26" i="1"/>
  <c r="D16" i="1"/>
  <c r="F16" i="1" s="1"/>
  <c r="G108" i="1"/>
  <c r="G110" i="1" s="1"/>
  <c r="G58" i="1" s="1"/>
  <c r="C108" i="1"/>
  <c r="C97" i="1"/>
  <c r="C96" i="1"/>
  <c r="G96" i="1"/>
  <c r="G51" i="1" s="1"/>
  <c r="G97" i="1"/>
  <c r="C91" i="1"/>
  <c r="C90" i="1"/>
  <c r="G91" i="1"/>
  <c r="G90" i="1"/>
  <c r="G82" i="1"/>
  <c r="G84" i="1" s="1"/>
  <c r="G24" i="1" s="1"/>
  <c r="G25" i="1" s="1"/>
  <c r="C82" i="1"/>
  <c r="G74" i="1"/>
  <c r="G77" i="1" s="1"/>
  <c r="C74" i="1"/>
  <c r="J25" i="1" l="1"/>
  <c r="G7" i="4"/>
  <c r="G22" i="4" s="1"/>
  <c r="F26" i="1"/>
  <c r="D6" i="4"/>
  <c r="D7" i="4" s="1"/>
  <c r="H17" i="4"/>
  <c r="E5" i="4"/>
  <c r="H5" i="4"/>
  <c r="L20" i="4"/>
  <c r="M20" i="4" s="1"/>
  <c r="I20" i="4"/>
  <c r="J27" i="1"/>
  <c r="J26" i="1"/>
  <c r="H6" i="4"/>
  <c r="H35" i="1"/>
  <c r="I51" i="1"/>
  <c r="I56" i="1" s="1"/>
  <c r="H17" i="1"/>
  <c r="H37" i="1" s="1"/>
  <c r="E50" i="1"/>
  <c r="F50" i="1" s="1"/>
  <c r="I58" i="1"/>
  <c r="J10" i="1"/>
  <c r="G56" i="1"/>
  <c r="D39" i="1"/>
  <c r="F39" i="1" s="1"/>
  <c r="D54" i="1"/>
  <c r="F54" i="1" s="1"/>
  <c r="D47" i="1"/>
  <c r="F47" i="1" s="1"/>
  <c r="D44" i="1"/>
  <c r="F44" i="1" s="1"/>
  <c r="D46" i="1"/>
  <c r="F46" i="1" s="1"/>
  <c r="D53" i="1"/>
  <c r="F53" i="1" s="1"/>
  <c r="D52" i="1"/>
  <c r="F52" i="1" s="1"/>
  <c r="E43" i="1"/>
  <c r="F43" i="1" s="1"/>
  <c r="D55" i="1"/>
  <c r="F55" i="1" s="1"/>
  <c r="E49" i="1"/>
  <c r="F49" i="1" s="1"/>
  <c r="E42" i="1"/>
  <c r="F42" i="1" s="1"/>
  <c r="D45" i="1"/>
  <c r="F45" i="1" s="1"/>
  <c r="E48" i="1"/>
  <c r="F48" i="1" s="1"/>
  <c r="D32" i="1"/>
  <c r="F32" i="1" s="1"/>
  <c r="E29" i="1"/>
  <c r="F29" i="1" s="1"/>
  <c r="D33" i="1"/>
  <c r="F33" i="1" s="1"/>
  <c r="E27" i="1"/>
  <c r="F27" i="1" s="1"/>
  <c r="E30" i="1"/>
  <c r="F30" i="1" s="1"/>
  <c r="D34" i="1"/>
  <c r="F34" i="1" s="1"/>
  <c r="D31" i="1"/>
  <c r="D10" i="1"/>
  <c r="D14" i="1"/>
  <c r="F14" i="1" s="1"/>
  <c r="E12" i="1"/>
  <c r="F12" i="1" s="1"/>
  <c r="E11" i="1"/>
  <c r="F11" i="1" s="1"/>
  <c r="D13" i="1"/>
  <c r="D15" i="1"/>
  <c r="F15" i="1" s="1"/>
  <c r="G111" i="1"/>
  <c r="G112" i="1" s="1"/>
  <c r="C111" i="1"/>
  <c r="C110" i="1"/>
  <c r="C58" i="1" s="1"/>
  <c r="C98" i="1"/>
  <c r="C51" i="1"/>
  <c r="G98" i="1"/>
  <c r="G92" i="1"/>
  <c r="G28" i="1"/>
  <c r="G35" i="1" s="1"/>
  <c r="C92" i="1"/>
  <c r="C28" i="1"/>
  <c r="G85" i="1"/>
  <c r="G86" i="1" s="1"/>
  <c r="C85" i="1"/>
  <c r="C84" i="1"/>
  <c r="G76" i="1"/>
  <c r="G8" i="1" s="1"/>
  <c r="C76" i="1"/>
  <c r="C8" i="1" s="1"/>
  <c r="C77" i="1"/>
  <c r="F10" i="1" l="1"/>
  <c r="C6" i="4"/>
  <c r="F31" i="1"/>
  <c r="D17" i="4"/>
  <c r="D22" i="4" s="1"/>
  <c r="L6" i="4"/>
  <c r="I6" i="4"/>
  <c r="F13" i="1"/>
  <c r="C17" i="4"/>
  <c r="K17" i="4" s="1"/>
  <c r="L5" i="4"/>
  <c r="I5" i="4"/>
  <c r="H7" i="4"/>
  <c r="H22" i="4" s="1"/>
  <c r="I17" i="4"/>
  <c r="H60" i="1"/>
  <c r="H66" i="1" s="1"/>
  <c r="J51" i="1"/>
  <c r="J56" i="1"/>
  <c r="J58" i="1"/>
  <c r="I28" i="1"/>
  <c r="I17" i="1"/>
  <c r="G9" i="1"/>
  <c r="E58" i="1"/>
  <c r="F58" i="1" s="1"/>
  <c r="D56" i="1"/>
  <c r="C18" i="4" s="1"/>
  <c r="C56" i="1"/>
  <c r="E51" i="1"/>
  <c r="E56" i="1" s="1"/>
  <c r="D35" i="1"/>
  <c r="E28" i="1"/>
  <c r="F28" i="1" s="1"/>
  <c r="E17" i="1"/>
  <c r="D17" i="1"/>
  <c r="C9" i="1"/>
  <c r="F9" i="1" s="1"/>
  <c r="C112" i="1"/>
  <c r="C86" i="1"/>
  <c r="C24" i="1"/>
  <c r="G78" i="1"/>
  <c r="C78" i="1"/>
  <c r="L17" i="4" l="1"/>
  <c r="M17" i="4"/>
  <c r="M5" i="4"/>
  <c r="L7" i="4"/>
  <c r="J28" i="1"/>
  <c r="I35" i="1"/>
  <c r="J35" i="1" s="1"/>
  <c r="E17" i="4"/>
  <c r="C7" i="4"/>
  <c r="C22" i="4" s="1"/>
  <c r="E6" i="4"/>
  <c r="E7" i="4" s="1"/>
  <c r="K6" i="4"/>
  <c r="K7" i="4" s="1"/>
  <c r="E18" i="4"/>
  <c r="K18" i="4"/>
  <c r="M18" i="4" s="1"/>
  <c r="I7" i="4"/>
  <c r="F51" i="1"/>
  <c r="J9" i="1"/>
  <c r="F56" i="1"/>
  <c r="E35" i="1"/>
  <c r="E37" i="1" s="1"/>
  <c r="E60" i="1" s="1"/>
  <c r="G17" i="1"/>
  <c r="J17" i="1" s="1"/>
  <c r="D37" i="1"/>
  <c r="D60" i="1" s="1"/>
  <c r="C25" i="1"/>
  <c r="C17" i="1"/>
  <c r="F17" i="1" s="1"/>
  <c r="I22" i="4" l="1"/>
  <c r="I23" i="4" s="1"/>
  <c r="L22" i="4"/>
  <c r="E22" i="4"/>
  <c r="I37" i="1"/>
  <c r="I60" i="1" s="1"/>
  <c r="K22" i="4"/>
  <c r="M6" i="4"/>
  <c r="M7" i="4" s="1"/>
  <c r="M22" i="4" s="1"/>
  <c r="F25" i="1"/>
  <c r="D66" i="1"/>
  <c r="G37" i="1"/>
  <c r="G60" i="1" s="1"/>
  <c r="G61" i="1" s="1"/>
  <c r="E23" i="4" l="1"/>
  <c r="J37" i="1"/>
  <c r="J60" i="1"/>
  <c r="C35" i="1" l="1"/>
  <c r="F35" i="1" s="1"/>
  <c r="C37" i="1" l="1"/>
  <c r="C60" i="1" s="1"/>
  <c r="F37" i="1" l="1"/>
  <c r="F60" i="1"/>
</calcChain>
</file>

<file path=xl/comments1.xml><?xml version="1.0" encoding="utf-8"?>
<comments xmlns="http://schemas.openxmlformats.org/spreadsheetml/2006/main">
  <authors>
    <author>Free, Susan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Free, Susan:</t>
        </r>
        <r>
          <rPr>
            <sz val="9"/>
            <color indexed="81"/>
            <rFont val="Tahoma"/>
            <family val="2"/>
          </rPr>
          <t xml:space="preserve">
Includes Treasury Grants</t>
        </r>
      </text>
    </comment>
  </commentList>
</comments>
</file>

<file path=xl/comments2.xml><?xml version="1.0" encoding="utf-8"?>
<comments xmlns="http://schemas.openxmlformats.org/spreadsheetml/2006/main">
  <authors>
    <author>Jonathan Kim</author>
    <author>Puget Sound Energy</author>
  </authors>
  <commentList>
    <comment ref="B121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due to book reserve true-up at the end of 2019.</t>
        </r>
      </text>
    </comment>
    <comment ref="E347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manual adj. to fix LSR.</t>
        </r>
      </text>
    </comment>
  </commentList>
</comments>
</file>

<file path=xl/sharedStrings.xml><?xml version="1.0" encoding="utf-8"?>
<sst xmlns="http://schemas.openxmlformats.org/spreadsheetml/2006/main" count="495" uniqueCount="361">
  <si>
    <t>Puget Sound Energy</t>
  </si>
  <si>
    <t xml:space="preserve"> </t>
  </si>
  <si>
    <t>Account</t>
  </si>
  <si>
    <t>Category</t>
  </si>
  <si>
    <t>Electric - Plant in Service - PP</t>
  </si>
  <si>
    <t>Common - Plant in Service - PP</t>
  </si>
  <si>
    <t>Electric Plant In Service -Manual Adjustment</t>
  </si>
  <si>
    <t>10100603</t>
  </si>
  <si>
    <t>Common plant in service - Manual adj</t>
  </si>
  <si>
    <t>Electric - Plant Held for Future Use -</t>
  </si>
  <si>
    <t>Electric Plant - NOT CLASSIFIED - PP</t>
  </si>
  <si>
    <t>16</t>
  </si>
  <si>
    <t>Common - Plant - NOT CLASSIFIED - PP</t>
  </si>
  <si>
    <t>Elec-Accum Depreciation -PP</t>
  </si>
  <si>
    <t>Common-Accum Depreciation -PP</t>
  </si>
  <si>
    <t>Elec-RWIP-CED3 C.O.R./Salvage-PP</t>
  </si>
  <si>
    <t>Common-RWIP-RET1 C.O.R./Salvage PP</t>
  </si>
  <si>
    <t>Electric  Depr Reserve - Manual Adjustments</t>
  </si>
  <si>
    <t>108-TGrant RCW 80.84</t>
  </si>
  <si>
    <t>10800641</t>
  </si>
  <si>
    <t>108TGrant NLD RCW 80.84</t>
  </si>
  <si>
    <t>1080XXXX</t>
  </si>
  <si>
    <t>Electric-Accum Amortization - PP</t>
  </si>
  <si>
    <t>Common-Accum Amortization - PP</t>
  </si>
  <si>
    <t>Electric - Plant Acq Adj. Milwaukee RR</t>
  </si>
  <si>
    <t>Electric - Plant Acq Adj. DuPont</t>
  </si>
  <si>
    <t>Acquisition Adjustment - Encogen</t>
  </si>
  <si>
    <t>Mint Farm - Electric Plant Acquisition Adjustments</t>
  </si>
  <si>
    <t>Whitehorn - Electric Plant Acquisition</t>
  </si>
  <si>
    <t>Ferndale - Electric Plant Acquistion Adjust</t>
  </si>
  <si>
    <t>Accum Amort Acq Adj. Milwaukee RR - Electric</t>
  </si>
  <si>
    <t>Accum Amort Acq Adj. DuPont - Electric</t>
  </si>
  <si>
    <t>Accumulated Amort Acqu Adj. - Encogen</t>
  </si>
  <si>
    <t>Accum Amort Acquis Adjust - Mint Farm</t>
  </si>
  <si>
    <t>Accum Amort Acquis Adjust - Whitehorn</t>
  </si>
  <si>
    <t>Accum Amort Acquis Adjust - Ferndale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</si>
  <si>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</si>
  <si>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</si>
  <si>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</si>
  <si>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</si>
  <si>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</si>
  <si>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Lower Snake River Wind Facility</t>
  </si>
  <si>
    <t>ARO - Crystal Mountain Generator Site</t>
  </si>
  <si>
    <t>ARO - Meteorological Tower Long Term</t>
  </si>
  <si>
    <t>ARO - Ferndale - Long Term</t>
  </si>
  <si>
    <t>ARO - Frederickson</t>
  </si>
  <si>
    <t>ARO-Wild Horse Wind</t>
  </si>
  <si>
    <t>ARO - Transmission Wood Poles to Short Term</t>
  </si>
  <si>
    <t>ARO - Distribution Wood Poles Short Term</t>
  </si>
  <si>
    <t>ARO - Electric Short Term</t>
  </si>
  <si>
    <t>23002093</t>
  </si>
  <si>
    <t>East Building ARO</t>
  </si>
  <si>
    <t>ARO-Colstrip unit 1&amp;2 Ash Pond Capping</t>
  </si>
  <si>
    <t>ARO - Colstrip unit 3&amp;4 Ash Pond Cappin</t>
  </si>
  <si>
    <t>PSE Building (A) - Landlord Incentives</t>
  </si>
  <si>
    <t>Bothel Data Center Landlord Incentives</t>
  </si>
  <si>
    <t>25300463</t>
  </si>
  <si>
    <t>Redmond West Tenant Improvement - ST</t>
  </si>
  <si>
    <t>Redmond West Tenant Improvement</t>
  </si>
  <si>
    <t>25302233</t>
  </si>
  <si>
    <t>Bothell Bldg O Landlord Incentives</t>
  </si>
  <si>
    <t>25302243</t>
  </si>
  <si>
    <t>Bothell Bldg G/H Landlord Incentives</t>
  </si>
  <si>
    <t>25302253</t>
  </si>
  <si>
    <t>25302263</t>
  </si>
  <si>
    <t>Gross Plant</t>
  </si>
  <si>
    <t>Accum Dep</t>
  </si>
  <si>
    <t>Description</t>
  </si>
  <si>
    <t>Electric portion of Common</t>
  </si>
  <si>
    <t>Gas portion of Common</t>
  </si>
  <si>
    <t>Common Plant</t>
  </si>
  <si>
    <t>ARO Spent Against Treasury Grant</t>
  </si>
  <si>
    <t>Landlord Incentives</t>
  </si>
  <si>
    <t>Accumulated Amortization</t>
  </si>
  <si>
    <t>Included in PowerPlant</t>
  </si>
  <si>
    <t>Net Book Value</t>
  </si>
  <si>
    <t>Total ARO</t>
  </si>
  <si>
    <t>Total Gross Plant and Accum Dep &amp; Amort</t>
  </si>
  <si>
    <t>6/30/2020 AMA</t>
  </si>
  <si>
    <t>Production</t>
  </si>
  <si>
    <t>Non-Production</t>
  </si>
  <si>
    <t>Total Power Plant</t>
  </si>
  <si>
    <t>Unidentified Reonciling Item</t>
  </si>
  <si>
    <t>6/30/2020 EOP</t>
  </si>
  <si>
    <t>Total Electric</t>
  </si>
  <si>
    <t>E303 - Software</t>
  </si>
  <si>
    <t>EIM Software</t>
  </si>
  <si>
    <t>E391</t>
  </si>
  <si>
    <t>EIM Computer Hardware</t>
  </si>
  <si>
    <t>Green Direct-SW.CN.3YR-143003850</t>
  </si>
  <si>
    <t>Frederickson - WO 141002697</t>
  </si>
  <si>
    <t>Lower Baker - WO 103007439</t>
  </si>
  <si>
    <t>Lower Baker - WO 103007440</t>
  </si>
  <si>
    <t>Lower Baker - WO 103007359</t>
  </si>
  <si>
    <t>E303 - Leaseholds</t>
  </si>
  <si>
    <t>Whitehorn 2 &amp; 3</t>
  </si>
  <si>
    <t>E302 - License</t>
  </si>
  <si>
    <t>Baker Project</t>
  </si>
  <si>
    <t>Snoqualmie</t>
  </si>
  <si>
    <t>Total EIM</t>
  </si>
  <si>
    <t>FERC</t>
  </si>
  <si>
    <t>Tota Production in Other FERCs</t>
  </si>
  <si>
    <t>Steam Production PowerPlant</t>
  </si>
  <si>
    <t>Hydro Production PowerPlant</t>
  </si>
  <si>
    <t>Other Production PowerPlant</t>
  </si>
  <si>
    <t>Total Power Plant Production</t>
  </si>
  <si>
    <t>Transmission</t>
  </si>
  <si>
    <t>Distribution</t>
  </si>
  <si>
    <t>Intangible Plant</t>
  </si>
  <si>
    <t>General Plant</t>
  </si>
  <si>
    <t>Total Non-Production per PowerPlant</t>
  </si>
  <si>
    <t>Remove General Plant Allocable to Production</t>
  </si>
  <si>
    <t>Total Non-Production</t>
  </si>
  <si>
    <t>Total Electric Non-Production</t>
  </si>
  <si>
    <t>Common Non-Production</t>
  </si>
  <si>
    <t>Total Production + Non-Production</t>
  </si>
  <si>
    <t>Colstrip Common FERC Adjustment, Net of Accumulated Amortization</t>
  </si>
  <si>
    <t>Colstrip Deferred Depreciation FERC Adj., Net of Accumulated Amortization</t>
  </si>
  <si>
    <t>Accumulated Deferred Income Taxes including Excess Deferred Income Taxes</t>
  </si>
  <si>
    <t>This Detail</t>
  </si>
  <si>
    <t>Total Production FERCs</t>
  </si>
  <si>
    <t>AMA</t>
  </si>
  <si>
    <t>Accumulated</t>
  </si>
  <si>
    <t>Depreciation</t>
  </si>
  <si>
    <t>Steam Production Total</t>
  </si>
  <si>
    <t>Asset Retirement Obligations, Net of Accretion</t>
  </si>
  <si>
    <t>EIM</t>
  </si>
  <si>
    <t>Green Direct</t>
  </si>
  <si>
    <t>Other Software</t>
  </si>
  <si>
    <t>Licensing</t>
  </si>
  <si>
    <t>Acquisition Adjustments</t>
  </si>
  <si>
    <t>Total Test Year Production Rate Base</t>
  </si>
  <si>
    <t>Steam Manual Adjustment</t>
  </si>
  <si>
    <t>EOP</t>
  </si>
  <si>
    <t>Difference</t>
  </si>
  <si>
    <t>Wild Horse Solar</t>
  </si>
  <si>
    <t>Net Prodcution Plant</t>
  </si>
  <si>
    <t>T&amp;A to PT rpt 120 JK</t>
  </si>
  <si>
    <t>Less Gas Plant</t>
  </si>
  <si>
    <t>Less Transmission Plant</t>
  </si>
  <si>
    <t>Sub Total</t>
  </si>
  <si>
    <t>Per Report</t>
  </si>
  <si>
    <t>Sum Above</t>
  </si>
  <si>
    <t>Check Totals</t>
  </si>
  <si>
    <t>Wild Horse</t>
  </si>
  <si>
    <t>Whitehorn</t>
  </si>
  <si>
    <t>Upper Baker</t>
  </si>
  <si>
    <t>Sumas</t>
  </si>
  <si>
    <t>Mint Farm</t>
  </si>
  <si>
    <t>Lower Snake River</t>
  </si>
  <si>
    <t>Lower Baker</t>
  </si>
  <si>
    <t>Hopkins Ridge</t>
  </si>
  <si>
    <t>Goldendale</t>
  </si>
  <si>
    <t>Fredrickson #1 - EPCOR</t>
  </si>
  <si>
    <t>Fredrickson</t>
  </si>
  <si>
    <t>Fredonia</t>
  </si>
  <si>
    <t>Ferndale</t>
  </si>
  <si>
    <t>Encogen</t>
  </si>
  <si>
    <t>Electron</t>
  </si>
  <si>
    <t>Crystal Mountain</t>
  </si>
  <si>
    <t>Colstrip Transmission</t>
  </si>
  <si>
    <t>Colstrip 3&amp;4</t>
  </si>
  <si>
    <t>Colstrip 1&amp;2</t>
  </si>
  <si>
    <t>CNG</t>
  </si>
  <si>
    <t>AMA - Jun 2020</t>
  </si>
  <si>
    <t>AMA Dec to Dec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</si>
  <si>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</si>
  <si>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</si>
  <si>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</si>
  <si>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</si>
  <si>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</si>
  <si>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</si>
  <si>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</si>
  <si>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</si>
  <si>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</si>
  <si>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</si>
  <si>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</si>
  <si>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</si>
  <si>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EOY</t>
  </si>
  <si>
    <t>√ JK OK 9/29/20</t>
  </si>
  <si>
    <t>Calculation of Production Plant Monthly and AMA Deferred Tax Balances</t>
  </si>
  <si>
    <t>Production Rate Base Summary</t>
  </si>
  <si>
    <t>Treasury Grants</t>
  </si>
  <si>
    <t>EOP Jun 2020</t>
  </si>
  <si>
    <t>Green Direct Software</t>
  </si>
  <si>
    <t>SAP "AMA"</t>
  </si>
  <si>
    <t>SAP</t>
  </si>
  <si>
    <t>"Common"</t>
  </si>
  <si>
    <t>Total</t>
  </si>
  <si>
    <t>Plant</t>
  </si>
  <si>
    <t>Electric</t>
  </si>
  <si>
    <t>Gas</t>
  </si>
  <si>
    <t>Gross Utility Plant in Service</t>
  </si>
  <si>
    <t>Less Accum Dep and Amort</t>
  </si>
  <si>
    <t>Deferred Debits and Credits</t>
  </si>
  <si>
    <t>Deferred Taxes</t>
  </si>
  <si>
    <t>Customer Deposits/Advances</t>
  </si>
  <si>
    <t>Total Rate Base</t>
  </si>
  <si>
    <t>EIM Project Hardware and Software</t>
  </si>
  <si>
    <t>12 ME Jun 2020</t>
  </si>
  <si>
    <t>Depreciation Group</t>
  </si>
  <si>
    <t>FERC Description</t>
  </si>
  <si>
    <t>A/D</t>
  </si>
  <si>
    <t>Depr Exp</t>
  </si>
  <si>
    <t>E303 INT Misc Intangible Plant</t>
  </si>
  <si>
    <t>Intangible Plant, Electric</t>
  </si>
  <si>
    <t>C3912 CMN Computer Eq, new</t>
  </si>
  <si>
    <t>General Plant, Common</t>
  </si>
  <si>
    <t>FROM POWER PLANT REPORT (PLANT ACCOUNTING)</t>
  </si>
  <si>
    <t>orders</t>
  </si>
  <si>
    <t>Asset Id</t>
  </si>
  <si>
    <t>Gl Posting Mo Yr</t>
  </si>
  <si>
    <t>Gross plant</t>
  </si>
  <si>
    <t>Ending Reserve</t>
  </si>
  <si>
    <t>Monthly Depr Expense</t>
  </si>
  <si>
    <t>Misc Intangible Plant</t>
  </si>
  <si>
    <t>143002080, 143003406, 143004743</t>
  </si>
  <si>
    <t>28451299, 33558974, 44534540</t>
  </si>
  <si>
    <t>143002080, 143003406, 143004744</t>
  </si>
  <si>
    <t>28451299, 33558974, 44534541</t>
  </si>
  <si>
    <t>143002080, 143003406, 143004745</t>
  </si>
  <si>
    <t>28451299, 33558974, 44534542</t>
  </si>
  <si>
    <t>143002080, 143003406, 143004746</t>
  </si>
  <si>
    <t>28451299, 33558974, 44534543</t>
  </si>
  <si>
    <t>143002080, 143003406, 143004747</t>
  </si>
  <si>
    <t>28451299, 33558974, 44534544</t>
  </si>
  <si>
    <t>143002080, 143003406, 143004748</t>
  </si>
  <si>
    <t>28451299, 33558974, 44534545</t>
  </si>
  <si>
    <t>143002080, 143003406, 143004749</t>
  </si>
  <si>
    <t>28451299, 33558974, 44534546</t>
  </si>
  <si>
    <t>143002080, 143003406, 143004750</t>
  </si>
  <si>
    <t>28451299, 33558974, 44534547</t>
  </si>
  <si>
    <t>143002080, 143003406, 143004751</t>
  </si>
  <si>
    <t>28451299, 33558974, 44534548</t>
  </si>
  <si>
    <t>143002080, 143003406, 143004752</t>
  </si>
  <si>
    <t>28451299, 33558974, 44534549</t>
  </si>
  <si>
    <t>143002080, 143003406, 143004753</t>
  </si>
  <si>
    <t>28451299, 33558974, 44534550</t>
  </si>
  <si>
    <t>143002080, 143003406, 143004754</t>
  </si>
  <si>
    <t>28451299, 33558974, 44534551</t>
  </si>
  <si>
    <t>CMN Computer Equip</t>
  </si>
  <si>
    <t>Total Depr Expense</t>
  </si>
  <si>
    <t>DST O/H Cond</t>
  </si>
  <si>
    <t>E3650 DST O/H Cond, WildHorse Solar</t>
  </si>
  <si>
    <t>DST Poles</t>
  </si>
  <si>
    <t>E3640 DST Poles, Wild Horse Solar</t>
  </si>
  <si>
    <t>DST Sub</t>
  </si>
  <si>
    <t>E3620 DST Sub Eq Wild Horse Solar</t>
  </si>
  <si>
    <t>PRD</t>
  </si>
  <si>
    <t>E34501 PRD Accessory,WildHorseSolar</t>
  </si>
  <si>
    <t>E34401 PRD Gen, Wild Horse Solar</t>
  </si>
  <si>
    <t>Ending Bal</t>
  </si>
  <si>
    <t>Gain/Loss</t>
  </si>
  <si>
    <t>Transfers</t>
  </si>
  <si>
    <t>Salv Credits</t>
  </si>
  <si>
    <t>Cost of Removal</t>
  </si>
  <si>
    <t>Retirements</t>
  </si>
  <si>
    <t>Begin Bal</t>
  </si>
  <si>
    <t>depr_group</t>
  </si>
  <si>
    <t>Depr 1085-Combined</t>
  </si>
  <si>
    <t>Depreciation Expense Wild Horse Solar Jul 2019 to Jun 2020</t>
  </si>
  <si>
    <t xml:space="preserve">Total </t>
  </si>
  <si>
    <t>Distribution Plant - Electric</t>
  </si>
  <si>
    <t>Other Production Plant</t>
  </si>
  <si>
    <t>Amount In Thousands (000)</t>
  </si>
  <si>
    <t>Depr-PSE-1039</t>
  </si>
  <si>
    <t>12 Month Depreciation Expense Wild Horse Solar Jul 2019 to Jun 2020</t>
  </si>
  <si>
    <t>avg_of_avgs</t>
  </si>
  <si>
    <t>Depr-1302</t>
  </si>
  <si>
    <t>Wild Horse Solar Depreciation Reserve</t>
  </si>
  <si>
    <t>Depr-1301</t>
  </si>
  <si>
    <t>Wild Horse Solar Plant In Service</t>
  </si>
  <si>
    <t>E365</t>
  </si>
  <si>
    <t>E364</t>
  </si>
  <si>
    <t>E362</t>
  </si>
  <si>
    <t>E345</t>
  </si>
  <si>
    <t>E344</t>
  </si>
  <si>
    <t>Expense</t>
  </si>
  <si>
    <t>Reserve</t>
  </si>
  <si>
    <t>Power Plant Report 1301-FC</t>
  </si>
  <si>
    <t>AMA June 2020</t>
  </si>
  <si>
    <t>Report from Plant Accounting</t>
  </si>
  <si>
    <t>Amortization Expense:</t>
  </si>
  <si>
    <t>Accumulated Amortization:</t>
  </si>
  <si>
    <t>Plant Balance:</t>
  </si>
  <si>
    <t>PUGET SOUND ENERGY</t>
  </si>
  <si>
    <t>PERIODIC ALLOCATED RESULTS OF OPERATIONS</t>
  </si>
  <si>
    <t>FOR THE 12 MONTHS ENDED June 30, 2020</t>
  </si>
  <si>
    <t>(JUL - DEC 2019 Spread is based on allocation factors developed for the 12 ME 12/31/2018 CBR)</t>
  </si>
  <si>
    <t>(JAN - JUN 2020 Spread is based on allocation factors developed for the 12 ME 12/31/2019 CBR)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</si>
  <si>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</si>
  <si>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</si>
  <si>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</si>
  <si>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</si>
  <si>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</si>
  <si>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</si>
  <si>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</si>
  <si>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</si>
  <si>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</si>
  <si>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</si>
  <si>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</si>
  <si>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</si>
  <si>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</si>
  <si>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</si>
  <si>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</si>
  <si>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</si>
  <si>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</si>
  <si>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</si>
  <si>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</si>
  <si>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</si>
  <si>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</si>
  <si>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</si>
  <si>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</si>
  <si>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</si>
  <si>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</si>
  <si>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</si>
  <si>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</si>
  <si>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</si>
  <si>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</si>
  <si>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</si>
  <si>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</si>
  <si>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</si>
  <si>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Allowance for Working Capital</t>
  </si>
  <si>
    <t>Electric AMA</t>
  </si>
  <si>
    <t>Electric EOP</t>
  </si>
  <si>
    <t>Net Book Value Only - First 2 Lines</t>
  </si>
  <si>
    <t>↑↑↑  12ME Income Statement Filed in UE-200743  ↑↑↑</t>
  </si>
  <si>
    <t>↓↓↓  Additional Detail  ↓↓↓</t>
  </si>
  <si>
    <t>Total Net Book Value to Reconcile</t>
  </si>
  <si>
    <t>See Below</t>
  </si>
  <si>
    <t>&lt;==check</t>
  </si>
  <si>
    <t>Change Attributable to Cosltrip Units 1 and 2 Plant in Service:</t>
  </si>
  <si>
    <t>Accumulated Deferred Income Taxes</t>
  </si>
  <si>
    <t>Represents EDIT</t>
  </si>
  <si>
    <t>E310 STM Land, Colstrip 1</t>
  </si>
  <si>
    <t>E310 STM Land, Colstrip 1-2 Com</t>
  </si>
  <si>
    <t>E310 STM Land, Colstrip 2</t>
  </si>
  <si>
    <t>E311 STM Str/Impv, Colstrip 1</t>
  </si>
  <si>
    <t>E311 STM Str/Impv, Colstrip 1-2 Com</t>
  </si>
  <si>
    <t>E311 STM Str/Impv, Colstrip 2</t>
  </si>
  <si>
    <t>E312 STM Boiler, Colstrip 1</t>
  </si>
  <si>
    <t>E312 STM Boiler, Colstrip 1-2 Com</t>
  </si>
  <si>
    <t>E312 STM Boiler, Colstrip 2</t>
  </si>
  <si>
    <t>E314 STM Turbogen, Colstrip 1</t>
  </si>
  <si>
    <t>E314 STM Turbogen, Colstrip 1-2 Com</t>
  </si>
  <si>
    <t>E314 STM Turbogen, Colstrip 2</t>
  </si>
  <si>
    <t>E315 STM Accessory, Colstrip 1</t>
  </si>
  <si>
    <t>E315 STM Accessory, Colstrip 1-2 Cm</t>
  </si>
  <si>
    <t>E315 STM Accessory, Colstrip 2</t>
  </si>
  <si>
    <t>E316 STM Misc, Colstrip 1</t>
  </si>
  <si>
    <t>E316 STM Misc, Colstrip 1-2 Com</t>
  </si>
  <si>
    <t>E316 STM Misc, Colstrip 1-4 Com</t>
  </si>
  <si>
    <t>E316 STM Misc, Colstrip 2</t>
  </si>
  <si>
    <t>Software is in Plant Held for Future Use in the Test Year and so was not amortizing.  Therefore, there is also no Accumulated Deferred Income Taxes in the test year.</t>
  </si>
  <si>
    <t>Recap</t>
  </si>
  <si>
    <t>ADIT</t>
  </si>
  <si>
    <t>Based on Amounts from PowerTax</t>
  </si>
  <si>
    <t>Deferred Tax Asset on Production Related Regulatory Liability for Protected Plus EDIT</t>
  </si>
  <si>
    <t>Production Related Regulatory Liability for Protected Plus EDIT</t>
  </si>
  <si>
    <t>Production Related Regulatory Liability for Protected Plus EDIT in Rate Base</t>
  </si>
  <si>
    <t>PP 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</si>
</sst>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_@"/>
    <numFmt numFmtId="167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Helv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 val="singleAccounting"/>
      <sz val="10"/>
      <name val="Arial"/>
      <family val="2"/>
    </font>
    <font>
      <sz val="8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1" xfId="0" applyNumberFormat="1" applyFont="1" applyFill="1" applyBorder="1" applyAlignment="1">
      <alignment horizontal="left"/>
    </xf>
    <xf numFmtId="164" fontId="4" fillId="0" borderId="0" xfId="0" applyNumberFormat="1" applyFont="1" applyFill="1"/>
    <xf numFmtId="43" fontId="0" fillId="0" borderId="0" xfId="0" applyNumberFormat="1"/>
    <xf numFmtId="41" fontId="0" fillId="0" borderId="0" xfId="0" applyNumberFormat="1"/>
    <xf numFmtId="44" fontId="0" fillId="0" borderId="0" xfId="0" applyNumberFormat="1" applyFont="1"/>
    <xf numFmtId="43" fontId="0" fillId="0" borderId="0" xfId="0" applyNumberFormat="1" applyFont="1"/>
    <xf numFmtId="44" fontId="0" fillId="0" borderId="0" xfId="0" applyNumberFormat="1"/>
    <xf numFmtId="0" fontId="9" fillId="0" borderId="0" xfId="0" applyFont="1"/>
    <xf numFmtId="44" fontId="9" fillId="0" borderId="0" xfId="0" applyNumberFormat="1" applyFont="1"/>
    <xf numFmtId="43" fontId="9" fillId="0" borderId="0" xfId="0" applyNumberFormat="1" applyFont="1"/>
    <xf numFmtId="44" fontId="9" fillId="0" borderId="0" xfId="0" applyNumberFormat="1" applyFont="1"/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44" fontId="9" fillId="0" borderId="3" xfId="0" applyNumberFormat="1" applyFont="1" applyBorder="1"/>
    <xf numFmtId="43" fontId="9" fillId="0" borderId="0" xfId="0" applyNumberFormat="1" applyFont="1"/>
    <xf numFmtId="44" fontId="9" fillId="0" borderId="16" xfId="0" applyNumberFormat="1" applyFont="1" applyBorder="1"/>
    <xf numFmtId="0" fontId="11" fillId="0" borderId="0" xfId="0" applyNumberFormat="1" applyFont="1" applyFill="1" applyBorder="1" applyAlignment="1">
      <alignment horizontal="left"/>
    </xf>
    <xf numFmtId="44" fontId="9" fillId="0" borderId="0" xfId="0" applyNumberFormat="1" applyFont="1" applyBorder="1"/>
    <xf numFmtId="0" fontId="11" fillId="0" borderId="0" xfId="0" applyFont="1"/>
    <xf numFmtId="44" fontId="11" fillId="0" borderId="0" xfId="0" applyNumberFormat="1" applyFont="1"/>
    <xf numFmtId="0" fontId="12" fillId="0" borderId="0" xfId="0" applyFont="1"/>
    <xf numFmtId="0" fontId="12" fillId="0" borderId="0" xfId="0" applyNumberFormat="1" applyFont="1" applyFill="1" applyBorder="1" applyAlignment="1">
      <alignment horizontal="left"/>
    </xf>
    <xf numFmtId="43" fontId="12" fillId="0" borderId="0" xfId="0" applyNumberFormat="1" applyFont="1"/>
    <xf numFmtId="44" fontId="9" fillId="0" borderId="15" xfId="0" applyNumberFormat="1" applyFont="1" applyBorder="1"/>
    <xf numFmtId="43" fontId="9" fillId="0" borderId="0" xfId="0" applyNumberFormat="1" applyFont="1" applyBorder="1"/>
    <xf numFmtId="43" fontId="11" fillId="0" borderId="0" xfId="0" applyNumberFormat="1" applyFont="1"/>
    <xf numFmtId="44" fontId="12" fillId="0" borderId="0" xfId="0" applyNumberFormat="1" applyFont="1"/>
    <xf numFmtId="43" fontId="12" fillId="0" borderId="3" xfId="0" applyNumberFormat="1" applyFont="1" applyBorder="1"/>
    <xf numFmtId="43" fontId="11" fillId="0" borderId="3" xfId="0" applyNumberFormat="1" applyFont="1" applyBorder="1"/>
    <xf numFmtId="0" fontId="9" fillId="0" borderId="3" xfId="0" applyFont="1" applyBorder="1"/>
    <xf numFmtId="44" fontId="9" fillId="0" borderId="15" xfId="0" applyNumberFormat="1" applyFont="1" applyBorder="1"/>
    <xf numFmtId="0" fontId="12" fillId="0" borderId="22" xfId="0" applyFont="1" applyBorder="1"/>
    <xf numFmtId="0" fontId="12" fillId="0" borderId="22" xfId="0" applyNumberFormat="1" applyFont="1" applyFill="1" applyBorder="1" applyAlignment="1">
      <alignment horizontal="left"/>
    </xf>
    <xf numFmtId="43" fontId="12" fillId="0" borderId="22" xfId="0" applyNumberFormat="1" applyFont="1" applyBorder="1"/>
    <xf numFmtId="0" fontId="10" fillId="0" borderId="23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1" fillId="3" borderId="0" xfId="0" applyNumberFormat="1" applyFont="1" applyFill="1" applyBorder="1" applyAlignment="1">
      <alignment horizontal="left"/>
    </xf>
    <xf numFmtId="43" fontId="11" fillId="3" borderId="0" xfId="0" applyNumberFormat="1" applyFont="1" applyFill="1"/>
    <xf numFmtId="41" fontId="9" fillId="0" borderId="0" xfId="0" applyNumberFormat="1" applyFont="1"/>
    <xf numFmtId="37" fontId="13" fillId="0" borderId="0" xfId="0" applyNumberFormat="1" applyFont="1"/>
    <xf numFmtId="43" fontId="0" fillId="0" borderId="0" xfId="0" applyNumberFormat="1" applyFont="1"/>
    <xf numFmtId="43" fontId="0" fillId="0" borderId="3" xfId="0" applyNumberFormat="1" applyFont="1" applyBorder="1"/>
    <xf numFmtId="43" fontId="0" fillId="0" borderId="0" xfId="0" applyNumberFormat="1" applyFont="1" applyBorder="1"/>
    <xf numFmtId="43" fontId="0" fillId="0" borderId="0" xfId="0" applyNumberFormat="1" applyFont="1" applyBorder="1"/>
    <xf numFmtId="0" fontId="3" fillId="0" borderId="2" xfId="0" applyFont="1" applyBorder="1" applyAlignment="1">
      <alignment horizontal="center"/>
    </xf>
    <xf numFmtId="44" fontId="0" fillId="0" borderId="3" xfId="0" applyNumberFormat="1" applyBorder="1"/>
    <xf numFmtId="44" fontId="0" fillId="0" borderId="16" xfId="0" applyNumberFormat="1" applyBorder="1"/>
    <xf numFmtId="43" fontId="11" fillId="0" borderId="0" xfId="0" applyNumberFormat="1" applyFont="1" applyFill="1"/>
    <xf numFmtId="44" fontId="12" fillId="0" borderId="0" xfId="0" applyNumberFormat="1" applyFont="1" applyFill="1"/>
    <xf numFmtId="0" fontId="12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NumberFormat="1" applyFont="1" applyAlignment="1">
      <alignment horizontal="left"/>
    </xf>
    <xf numFmtId="44" fontId="0" fillId="0" borderId="3" xfId="0" applyNumberFormat="1" applyFont="1" applyBorder="1"/>
    <xf numFmtId="0" fontId="0" fillId="0" borderId="3" xfId="0" applyBorder="1"/>
    <xf numFmtId="44" fontId="0" fillId="0" borderId="15" xfId="0" applyNumberFormat="1" applyBorder="1"/>
    <xf numFmtId="44" fontId="0" fillId="0" borderId="0" xfId="0" applyNumberFormat="1" applyFont="1" applyFill="1"/>
    <xf numFmtId="43" fontId="0" fillId="0" borderId="0" xfId="0" applyNumberFormat="1" applyFont="1" applyFill="1"/>
    <xf numFmtId="43" fontId="0" fillId="0" borderId="3" xfId="0" applyNumberFormat="1" applyFont="1" applyFill="1" applyBorder="1"/>
    <xf numFmtId="43" fontId="0" fillId="0" borderId="0" xfId="0" applyNumberFormat="1" applyFont="1" applyFill="1" applyBorder="1"/>
    <xf numFmtId="43" fontId="0" fillId="0" borderId="0" xfId="0" applyNumberFormat="1" applyFill="1"/>
    <xf numFmtId="37" fontId="13" fillId="3" borderId="0" xfId="0" applyNumberFormat="1" applyFont="1" applyFill="1"/>
    <xf numFmtId="44" fontId="9" fillId="0" borderId="3" xfId="0" applyNumberFormat="1" applyFont="1" applyFill="1" applyBorder="1"/>
    <xf numFmtId="0" fontId="9" fillId="0" borderId="0" xfId="0" applyFont="1" applyFill="1"/>
    <xf numFmtId="43" fontId="12" fillId="0" borderId="0" xfId="0" applyNumberFormat="1" applyFont="1" applyFill="1"/>
    <xf numFmtId="43" fontId="11" fillId="0" borderId="3" xfId="0" applyNumberFormat="1" applyFont="1" applyFill="1" applyBorder="1"/>
    <xf numFmtId="43" fontId="12" fillId="0" borderId="3" xfId="0" applyNumberFormat="1" applyFont="1" applyFill="1" applyBorder="1"/>
    <xf numFmtId="44" fontId="11" fillId="0" borderId="0" xfId="0" applyNumberFormat="1" applyFont="1" applyFill="1"/>
    <xf numFmtId="0" fontId="9" fillId="0" borderId="3" xfId="0" applyFont="1" applyFill="1" applyBorder="1"/>
    <xf numFmtId="44" fontId="9" fillId="0" borderId="15" xfId="0" applyNumberFormat="1" applyFont="1" applyFill="1" applyBorder="1"/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41" fontId="0" fillId="0" borderId="3" xfId="0" applyNumberFormat="1" applyFill="1" applyBorder="1"/>
    <xf numFmtId="41" fontId="0" fillId="0" borderId="3" xfId="0" applyNumberFormat="1" applyBorder="1"/>
    <xf numFmtId="41" fontId="0" fillId="0" borderId="0" xfId="0" applyNumberFormat="1" applyFill="1"/>
    <xf numFmtId="42" fontId="0" fillId="0" borderId="15" xfId="0" applyNumberFormat="1" applyBorder="1"/>
    <xf numFmtId="0" fontId="1" fillId="0" borderId="0" xfId="0" applyFont="1" applyFill="1"/>
    <xf numFmtId="41" fontId="0" fillId="0" borderId="0" xfId="0" applyNumberFormat="1" applyFont="1" applyFill="1"/>
    <xf numFmtId="164" fontId="0" fillId="0" borderId="0" xfId="0" applyNumberFormat="1" applyFont="1" applyFill="1"/>
    <xf numFmtId="0" fontId="1" fillId="4" borderId="0" xfId="0" applyFont="1" applyFill="1"/>
    <xf numFmtId="0" fontId="1" fillId="0" borderId="0" xfId="0" applyFont="1" applyFill="1" applyAlignment="1">
      <alignment horizontal="right"/>
    </xf>
    <xf numFmtId="41" fontId="0" fillId="5" borderId="9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/>
    <xf numFmtId="164" fontId="0" fillId="4" borderId="0" xfId="0" applyNumberFormat="1" applyFont="1" applyFill="1"/>
    <xf numFmtId="164" fontId="0" fillId="0" borderId="0" xfId="0" applyNumberFormat="1" applyFont="1" applyFill="1"/>
    <xf numFmtId="41" fontId="0" fillId="5" borderId="25" xfId="0" applyNumberFormat="1" applyFont="1" applyFill="1" applyBorder="1"/>
    <xf numFmtId="0" fontId="1" fillId="0" borderId="0" xfId="0" applyFont="1" applyFill="1"/>
    <xf numFmtId="164" fontId="14" fillId="0" borderId="0" xfId="0" applyNumberFormat="1" applyFont="1" applyFill="1"/>
    <xf numFmtId="0" fontId="15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43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7" fontId="1" fillId="0" borderId="0" xfId="0" applyNumberFormat="1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41" fontId="5" fillId="5" borderId="9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1" fontId="0" fillId="0" borderId="9" xfId="0" applyNumberFormat="1" applyFont="1" applyFill="1" applyBorder="1"/>
    <xf numFmtId="0" fontId="16" fillId="0" borderId="0" xfId="0" applyFont="1" applyFill="1"/>
    <xf numFmtId="0" fontId="17" fillId="0" borderId="0" xfId="0" applyFont="1" applyFill="1"/>
    <xf numFmtId="41" fontId="0" fillId="0" borderId="6" xfId="0" applyNumberFormat="1" applyFont="1" applyFill="1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43" fontId="0" fillId="0" borderId="2" xfId="0" applyNumberFormat="1" applyBorder="1"/>
    <xf numFmtId="43" fontId="0" fillId="0" borderId="2" xfId="0" applyNumberFormat="1" applyFont="1" applyBorder="1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165" fontId="21" fillId="0" borderId="0" xfId="0" applyNumberFormat="1" applyFont="1" applyAlignment="1">
      <alignment horizontal="left" wrapText="1"/>
    </xf>
    <xf numFmtId="0" fontId="3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Fill="1" applyAlignment="1"/>
    <xf numFmtId="164" fontId="1" fillId="0" borderId="0" xfId="0" applyNumberFormat="1" applyFont="1" applyFill="1" applyAlignment="1"/>
    <xf numFmtId="41" fontId="1" fillId="0" borderId="3" xfId="0" applyNumberFormat="1" applyFont="1" applyFill="1" applyBorder="1" applyAlignment="1"/>
    <xf numFmtId="42" fontId="1" fillId="0" borderId="15" xfId="0" applyNumberFormat="1" applyFont="1" applyFill="1" applyBorder="1" applyAlignment="1"/>
    <xf numFmtId="165" fontId="3" fillId="0" borderId="19" xfId="0" applyNumberFormat="1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center" wrapText="1"/>
    </xf>
    <xf numFmtId="165" fontId="3" fillId="0" borderId="21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wrapText="1"/>
    </xf>
    <xf numFmtId="17" fontId="23" fillId="0" borderId="0" xfId="0" applyNumberFormat="1" applyFont="1" applyFill="1" applyBorder="1" applyAlignment="1"/>
    <xf numFmtId="164" fontId="23" fillId="0" borderId="0" xfId="0" applyNumberFormat="1" applyFont="1" applyFill="1" applyBorder="1" applyAlignment="1"/>
    <xf numFmtId="164" fontId="23" fillId="0" borderId="8" xfId="0" applyNumberFormat="1" applyFont="1" applyFill="1" applyBorder="1" applyAlignment="1"/>
    <xf numFmtId="1" fontId="23" fillId="0" borderId="7" xfId="0" quotePrefix="1" applyNumberFormat="1" applyFont="1" applyFill="1" applyBorder="1" applyAlignment="1"/>
    <xf numFmtId="1" fontId="23" fillId="0" borderId="0" xfId="0" quotePrefix="1" applyNumberFormat="1" applyFont="1" applyFill="1" applyBorder="1" applyAlignment="1"/>
    <xf numFmtId="1" fontId="23" fillId="0" borderId="7" xfId="0" applyNumberFormat="1" applyFont="1" applyFill="1" applyBorder="1" applyAlignment="1"/>
    <xf numFmtId="1" fontId="23" fillId="0" borderId="0" xfId="0" applyNumberFormat="1" applyFont="1" applyFill="1" applyBorder="1" applyAlignment="1"/>
    <xf numFmtId="17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 applyAlignment="1"/>
    <xf numFmtId="43" fontId="24" fillId="0" borderId="0" xfId="0" applyNumberFormat="1" applyFont="1" applyFill="1" applyBorder="1" applyAlignment="1"/>
    <xf numFmtId="43" fontId="24" fillId="0" borderId="8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1" fillId="0" borderId="14" xfId="0" applyNumberFormat="1" applyFont="1" applyFill="1" applyBorder="1" applyAlignment="1"/>
    <xf numFmtId="17" fontId="24" fillId="0" borderId="14" xfId="0" applyNumberFormat="1" applyFont="1" applyFill="1" applyBorder="1" applyAlignment="1">
      <alignment horizontal="right"/>
    </xf>
    <xf numFmtId="164" fontId="24" fillId="0" borderId="14" xfId="0" applyNumberFormat="1" applyFont="1" applyFill="1" applyBorder="1" applyAlignment="1"/>
    <xf numFmtId="164" fontId="24" fillId="0" borderId="17" xfId="0" applyNumberFormat="1" applyFont="1" applyFill="1" applyBorder="1" applyAlignment="1"/>
    <xf numFmtId="0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" fillId="0" borderId="0" xfId="0" applyFont="1"/>
    <xf numFmtId="164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164" fontId="20" fillId="0" borderId="0" xfId="0" applyNumberFormat="1" applyFont="1"/>
    <xf numFmtId="0" fontId="20" fillId="0" borderId="0" xfId="0" applyFont="1"/>
    <xf numFmtId="0" fontId="5" fillId="0" borderId="0" xfId="0" applyFont="1"/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17" fontId="5" fillId="0" borderId="0" xfId="0" applyNumberFormat="1" applyFont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5" fillId="0" borderId="0" xfId="0" applyFont="1"/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27" fillId="0" borderId="0" xfId="0" applyFont="1"/>
    <xf numFmtId="0" fontId="28" fillId="0" borderId="0" xfId="0" applyFont="1"/>
    <xf numFmtId="43" fontId="0" fillId="0" borderId="0" xfId="0" applyNumberFormat="1" applyFont="1"/>
    <xf numFmtId="0" fontId="28" fillId="0" borderId="2" xfId="0" applyFont="1" applyBorder="1" applyAlignment="1">
      <alignment horizontal="right"/>
    </xf>
    <xf numFmtId="17" fontId="28" fillId="0" borderId="2" xfId="0" applyNumberFormat="1" applyFont="1" applyBorder="1"/>
    <xf numFmtId="0" fontId="29" fillId="0" borderId="0" xfId="0" applyFont="1"/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Continuous"/>
    </xf>
    <xf numFmtId="0" fontId="6" fillId="0" borderId="0" xfId="0" applyFont="1"/>
    <xf numFmtId="0" fontId="18" fillId="0" borderId="0" xfId="0" applyFont="1" applyAlignment="1">
      <alignment horizontal="centerContinuous" vertical="center"/>
    </xf>
    <xf numFmtId="0" fontId="0" fillId="0" borderId="10" xfId="0" applyBorder="1"/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6" fontId="4" fillId="0" borderId="12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4" xfId="0" applyNumberFormat="1" applyFont="1" applyFill="1" applyBorder="1"/>
    <xf numFmtId="166" fontId="4" fillId="0" borderId="12" xfId="0" applyNumberFormat="1" applyFont="1" applyFill="1" applyBorder="1"/>
    <xf numFmtId="167" fontId="4" fillId="0" borderId="0" xfId="0" applyNumberFormat="1" applyFont="1" applyFill="1"/>
    <xf numFmtId="167" fontId="4" fillId="0" borderId="4" xfId="0" applyNumberFormat="1" applyFont="1" applyFill="1" applyBorder="1"/>
    <xf numFmtId="164" fontId="4" fillId="0" borderId="26" xfId="0" applyNumberFormat="1" applyFont="1" applyFill="1" applyBorder="1"/>
    <xf numFmtId="164" fontId="4" fillId="0" borderId="2" xfId="0" applyNumberFormat="1" applyFont="1" applyFill="1" applyBorder="1"/>
    <xf numFmtId="37" fontId="4" fillId="0" borderId="13" xfId="0" applyNumberFormat="1" applyFont="1" applyFill="1" applyBorder="1"/>
    <xf numFmtId="167" fontId="4" fillId="0" borderId="0" xfId="0" applyNumberFormat="1" applyFont="1" applyFill="1" applyBorder="1"/>
    <xf numFmtId="164" fontId="4" fillId="0" borderId="4" xfId="0" applyNumberFormat="1" applyFont="1" applyFill="1" applyBorder="1"/>
    <xf numFmtId="164" fontId="4" fillId="0" borderId="13" xfId="0" applyNumberFormat="1" applyFont="1" applyFill="1" applyBorder="1"/>
    <xf numFmtId="166" fontId="4" fillId="0" borderId="12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4" xfId="0" applyNumberFormat="1" applyFont="1" applyBorder="1"/>
    <xf numFmtId="164" fontId="4" fillId="0" borderId="0" xfId="0" applyNumberFormat="1" applyFont="1"/>
    <xf numFmtId="166" fontId="4" fillId="0" borderId="12" xfId="0" applyNumberFormat="1" applyFont="1" applyBorder="1"/>
    <xf numFmtId="164" fontId="4" fillId="0" borderId="4" xfId="0" applyNumberFormat="1" applyFont="1" applyBorder="1"/>
    <xf numFmtId="164" fontId="4" fillId="0" borderId="26" xfId="0" applyNumberFormat="1" applyFont="1" applyBorder="1"/>
    <xf numFmtId="164" fontId="4" fillId="0" borderId="2" xfId="0" applyNumberFormat="1" applyFont="1" applyBorder="1"/>
    <xf numFmtId="164" fontId="4" fillId="0" borderId="13" xfId="0" applyNumberFormat="1" applyFont="1" applyBorder="1"/>
    <xf numFmtId="166" fontId="19" fillId="0" borderId="12" xfId="0" applyNumberFormat="1" applyFont="1" applyBorder="1"/>
    <xf numFmtId="167" fontId="30" fillId="0" borderId="0" xfId="0" applyNumberFormat="1" applyFont="1" applyBorder="1"/>
    <xf numFmtId="167" fontId="30" fillId="0" borderId="4" xfId="0" applyNumberFormat="1" applyFont="1" applyBorder="1"/>
    <xf numFmtId="166" fontId="5" fillId="0" borderId="12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5" fillId="0" borderId="26" xfId="0" quotePrefix="1" applyNumberFormat="1" applyFont="1" applyFill="1" applyBorder="1" applyAlignment="1">
      <alignment horizontal="left" vertical="center"/>
    </xf>
    <xf numFmtId="42" fontId="5" fillId="0" borderId="2" xfId="0" applyNumberFormat="1" applyFont="1" applyFill="1" applyBorder="1"/>
    <xf numFmtId="37" fontId="1" fillId="0" borderId="13" xfId="0" applyNumberFormat="1" applyFont="1" applyFill="1" applyBorder="1"/>
    <xf numFmtId="0" fontId="0" fillId="0" borderId="0" xfId="0" applyAlignment="1">
      <alignment horizontal="left" indent="1"/>
    </xf>
    <xf numFmtId="167" fontId="4" fillId="0" borderId="16" xfId="0" applyNumberFormat="1" applyFont="1" applyFill="1" applyBorder="1"/>
    <xf numFmtId="0" fontId="0" fillId="0" borderId="0" xfId="0" applyAlignment="1">
      <alignment horizontal="left" indent="2"/>
    </xf>
    <xf numFmtId="166" fontId="4" fillId="0" borderId="12" xfId="0" applyNumberFormat="1" applyFont="1" applyFill="1" applyBorder="1" applyAlignment="1">
      <alignment horizontal="left" indent="1"/>
    </xf>
    <xf numFmtId="166" fontId="4" fillId="0" borderId="12" xfId="0" applyNumberFormat="1" applyFont="1" applyFill="1" applyBorder="1" applyAlignment="1">
      <alignment horizontal="left" indent="2"/>
    </xf>
    <xf numFmtId="0" fontId="3" fillId="0" borderId="26" xfId="0" applyFont="1" applyBorder="1" applyAlignment="1">
      <alignment horizontal="center"/>
    </xf>
    <xf numFmtId="0" fontId="2" fillId="2" borderId="0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10" fontId="9" fillId="0" borderId="0" xfId="0" applyNumberFormat="1" applyFont="1"/>
    <xf numFmtId="10" fontId="9" fillId="0" borderId="16" xfId="0" applyNumberFormat="1" applyFont="1" applyBorder="1"/>
    <xf numFmtId="10" fontId="9" fillId="0" borderId="15" xfId="0" applyNumberFormat="1" applyFont="1" applyBorder="1"/>
    <xf numFmtId="1" fontId="31" fillId="0" borderId="0" xfId="0" applyNumberFormat="1" applyFont="1"/>
    <xf numFmtId="0" fontId="31" fillId="0" borderId="0" xfId="0" applyFont="1"/>
    <xf numFmtId="0" fontId="3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Continuous"/>
    </xf>
    <xf numFmtId="14" fontId="3" fillId="0" borderId="2" xfId="0" applyNumberFormat="1" applyFont="1" applyBorder="1" applyAlignment="1">
      <alignment horizontal="center"/>
    </xf>
    <xf numFmtId="43" fontId="0" fillId="0" borderId="0" xfId="0" applyNumberFormat="1" applyFill="1" applyBorder="1"/>
    <xf numFmtId="41" fontId="0" fillId="5" borderId="6" xfId="0" applyNumberFormat="1" applyFont="1" applyFill="1" applyBorder="1"/>
    <xf numFmtId="41" fontId="5" fillId="5" borderId="27" xfId="0" applyNumberFormat="1" applyFont="1" applyFill="1" applyBorder="1" applyAlignment="1">
      <alignment horizontal="center"/>
    </xf>
    <xf numFmtId="42" fontId="0" fillId="5" borderId="9" xfId="0" applyNumberFormat="1" applyFont="1" applyFill="1" applyBorder="1"/>
    <xf numFmtId="42" fontId="1" fillId="0" borderId="0" xfId="0" applyNumberFormat="1" applyFont="1" applyFill="1" applyAlignment="1">
      <alignment horizontal="right"/>
    </xf>
    <xf numFmtId="42" fontId="1" fillId="0" borderId="0" xfId="0" applyNumberFormat="1" applyFont="1" applyFill="1"/>
    <xf numFmtId="42" fontId="0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center"/>
    </xf>
    <xf numFmtId="42" fontId="0" fillId="5" borderId="24" xfId="0" applyNumberFormat="1" applyFont="1" applyFill="1" applyBorder="1"/>
    <xf numFmtId="42" fontId="0" fillId="5" borderId="28" xfId="0" applyNumberFormat="1" applyFont="1" applyFill="1" applyBorder="1"/>
    <xf numFmtId="42" fontId="0" fillId="6" borderId="16" xfId="0" applyNumberFormat="1" applyFont="1" applyFill="1" applyBorder="1"/>
    <xf numFmtId="0" fontId="1" fillId="6" borderId="29" xfId="0" applyFont="1" applyFill="1" applyBorder="1"/>
    <xf numFmtId="41" fontId="0" fillId="6" borderId="3" xfId="0" applyNumberFormat="1" applyFont="1" applyFill="1" applyBorder="1"/>
    <xf numFmtId="0" fontId="1" fillId="6" borderId="30" xfId="0" applyFont="1" applyFill="1" applyBorder="1"/>
    <xf numFmtId="0" fontId="1" fillId="6" borderId="1" xfId="0" applyFont="1" applyFill="1" applyBorder="1"/>
    <xf numFmtId="42" fontId="0" fillId="6" borderId="0" xfId="0" applyNumberFormat="1" applyFont="1" applyFill="1" applyBorder="1"/>
    <xf numFmtId="42" fontId="0" fillId="6" borderId="4" xfId="0" applyNumberFormat="1" applyFont="1" applyFill="1" applyBorder="1"/>
    <xf numFmtId="0" fontId="0" fillId="6" borderId="1" xfId="0" applyFont="1" applyFill="1" applyBorder="1"/>
    <xf numFmtId="41" fontId="0" fillId="6" borderId="0" xfId="0" applyNumberFormat="1" applyFont="1" applyFill="1" applyBorder="1"/>
    <xf numFmtId="41" fontId="0" fillId="6" borderId="4" xfId="0" applyNumberFormat="1" applyFont="1" applyFill="1" applyBorder="1"/>
    <xf numFmtId="42" fontId="0" fillId="6" borderId="31" xfId="0" applyNumberFormat="1" applyFont="1" applyFill="1" applyBorder="1"/>
    <xf numFmtId="0" fontId="1" fillId="6" borderId="26" xfId="0" applyFont="1" applyFill="1" applyBorder="1"/>
    <xf numFmtId="41" fontId="0" fillId="6" borderId="2" xfId="0" applyNumberFormat="1" applyFont="1" applyFill="1" applyBorder="1"/>
    <xf numFmtId="0" fontId="1" fillId="6" borderId="13" xfId="0" applyFont="1" applyFill="1" applyBorder="1"/>
    <xf numFmtId="41" fontId="23" fillId="0" borderId="3" xfId="0" applyNumberFormat="1" applyFont="1" applyFill="1" applyBorder="1"/>
    <xf numFmtId="41" fontId="23" fillId="0" borderId="0" xfId="0" applyNumberFormat="1" applyFont="1" applyFill="1"/>
    <xf numFmtId="0" fontId="22" fillId="0" borderId="19" xfId="0" applyNumberFormat="1" applyFont="1" applyFill="1" applyBorder="1" applyAlignment="1">
      <alignment horizontal="center"/>
    </xf>
    <xf numFmtId="0" fontId="22" fillId="0" borderId="20" xfId="0" applyNumberFormat="1" applyFont="1" applyFill="1" applyBorder="1" applyAlignment="1">
      <alignment horizontal="center"/>
    </xf>
    <xf numFmtId="0" fontId="22" fillId="0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17"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769090" cy="516647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69090" cy="51664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SEF-1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3">
          <cell r="B303">
            <v>1400940.2499999157</v>
          </cell>
          <cell r="G303">
            <v>1578274.6299999158</v>
          </cell>
        </row>
      </sheetData>
      <sheetData sheetId="13">
        <row r="21">
          <cell r="F21">
            <v>467755.39350000006</v>
          </cell>
          <cell r="G21">
            <v>415599.7905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defaultRowHeight="15" x14ac:dyDescent="0.25"/>
  <cols>
    <col min="1" max="1" width="67.7109375" bestFit="1" customWidth="1"/>
    <col min="2" max="2" width="4.42578125" customWidth="1"/>
    <col min="3" max="3" width="15.28515625" bestFit="1" customWidth="1"/>
    <col min="4" max="4" width="15.5703125" bestFit="1" customWidth="1"/>
    <col min="5" max="5" width="15.5703125" customWidth="1"/>
    <col min="6" max="6" width="4.42578125" customWidth="1"/>
    <col min="7" max="7" width="15.28515625" bestFit="1" customWidth="1"/>
    <col min="8" max="9" width="15.5703125" bestFit="1" customWidth="1"/>
    <col min="10" max="10" width="4.42578125" customWidth="1"/>
    <col min="11" max="11" width="15.28515625" bestFit="1" customWidth="1"/>
    <col min="12" max="13" width="15.5703125" bestFit="1" customWidth="1"/>
  </cols>
  <sheetData>
    <row r="1" spans="1:13" x14ac:dyDescent="0.25">
      <c r="A1" s="118" t="s">
        <v>181</v>
      </c>
      <c r="C1" s="75" t="s">
        <v>121</v>
      </c>
      <c r="D1" s="75"/>
      <c r="E1" s="75"/>
      <c r="G1" s="75" t="s">
        <v>133</v>
      </c>
      <c r="H1" s="75"/>
      <c r="I1" s="75"/>
      <c r="K1" s="75" t="s">
        <v>134</v>
      </c>
      <c r="L1" s="75"/>
      <c r="M1" s="75"/>
    </row>
    <row r="2" spans="1:13" x14ac:dyDescent="0.25">
      <c r="A2" s="76"/>
      <c r="C2" s="76"/>
      <c r="D2" s="77" t="s">
        <v>122</v>
      </c>
      <c r="E2" s="77"/>
      <c r="G2" s="76"/>
      <c r="H2" s="77" t="s">
        <v>122</v>
      </c>
      <c r="I2" s="77"/>
      <c r="K2" s="76"/>
      <c r="L2" s="77" t="s">
        <v>122</v>
      </c>
      <c r="M2" s="77"/>
    </row>
    <row r="3" spans="1:13" x14ac:dyDescent="0.25">
      <c r="A3" s="78" t="s">
        <v>67</v>
      </c>
      <c r="C3" s="78" t="s">
        <v>65</v>
      </c>
      <c r="D3" s="78" t="s">
        <v>123</v>
      </c>
      <c r="E3" s="78" t="s">
        <v>75</v>
      </c>
      <c r="G3" s="78" t="s">
        <v>65</v>
      </c>
      <c r="H3" s="78" t="s">
        <v>123</v>
      </c>
      <c r="I3" s="78" t="s">
        <v>75</v>
      </c>
      <c r="K3" s="78" t="s">
        <v>65</v>
      </c>
      <c r="L3" s="78" t="s">
        <v>123</v>
      </c>
      <c r="M3" s="78" t="s">
        <v>75</v>
      </c>
    </row>
    <row r="4" spans="1:13" x14ac:dyDescent="0.25">
      <c r="A4" s="79"/>
    </row>
    <row r="5" spans="1:13" x14ac:dyDescent="0.25">
      <c r="A5" t="s">
        <v>102</v>
      </c>
      <c r="C5" s="80">
        <f>'PowerPlant Detail'!C17</f>
        <v>1210238173.9254167</v>
      </c>
      <c r="D5" s="80">
        <f>'PowerPlant Detail'!D17-D20</f>
        <v>-791170464.10166669</v>
      </c>
      <c r="E5" s="80">
        <f>SUM(C5:D5)</f>
        <v>419067709.82375002</v>
      </c>
      <c r="G5" s="80">
        <f>'PowerPlant Detail'!G17</f>
        <v>1040478165.1699998</v>
      </c>
      <c r="H5" s="80">
        <f>'PowerPlant Detail'!H17-H20</f>
        <v>-697528441.00999975</v>
      </c>
      <c r="I5" s="80">
        <f>SUM(G5:H5)</f>
        <v>342949724.16000009</v>
      </c>
      <c r="K5" s="80">
        <f>G5-C5</f>
        <v>-169760008.75541687</v>
      </c>
      <c r="L5" s="80">
        <f>H5-D5</f>
        <v>93642023.091666937</v>
      </c>
      <c r="M5" s="80">
        <f>SUM(K5:L5)</f>
        <v>-76117985.663749933</v>
      </c>
    </row>
    <row r="6" spans="1:13" x14ac:dyDescent="0.25">
      <c r="A6" t="s">
        <v>132</v>
      </c>
      <c r="C6" s="4">
        <f>'Total RB w Prod Sep'!D10</f>
        <v>-4652561.6141666668</v>
      </c>
      <c r="D6" s="4">
        <f>'Total RB w Prod Sep'!D26</f>
        <v>4211502.4116666671</v>
      </c>
      <c r="E6" s="4">
        <f>SUM(C6:D6)</f>
        <v>-441059.20249999966</v>
      </c>
      <c r="G6" s="4">
        <f>'Total RB w Prod Sep'!H10</f>
        <v>-7248345.8200000003</v>
      </c>
      <c r="H6" s="4">
        <f>'Total RB w Prod Sep'!H26</f>
        <v>649530.28</v>
      </c>
      <c r="I6" s="4">
        <f>SUM(G6:H6)</f>
        <v>-6598815.54</v>
      </c>
      <c r="K6" s="4">
        <f>G6-C6</f>
        <v>-2595784.2058333335</v>
      </c>
      <c r="L6" s="4">
        <f>H6-D6</f>
        <v>-3561972.1316666668</v>
      </c>
      <c r="M6" s="4">
        <f>SUM(K6:L6)</f>
        <v>-6157756.3375000004</v>
      </c>
    </row>
    <row r="7" spans="1:13" x14ac:dyDescent="0.25">
      <c r="A7" t="s">
        <v>124</v>
      </c>
      <c r="C7" s="81">
        <f>SUM(C5:C6)</f>
        <v>1205585612.31125</v>
      </c>
      <c r="D7" s="82">
        <f>SUM(D5:D6)</f>
        <v>-786958961.69000006</v>
      </c>
      <c r="E7" s="82">
        <f>SUM(E5:E6)</f>
        <v>418626650.62125003</v>
      </c>
      <c r="G7" s="256">
        <f>SUM(G5:G6)</f>
        <v>1033229819.3499998</v>
      </c>
      <c r="H7" s="82">
        <f>SUM(H5:H6)</f>
        <v>-696878910.72999978</v>
      </c>
      <c r="I7" s="82">
        <f>SUM(I5:I6)</f>
        <v>336350908.62000006</v>
      </c>
      <c r="K7" s="81">
        <f>SUM(K5:K6)</f>
        <v>-172355792.96125022</v>
      </c>
      <c r="L7" s="82">
        <f>SUM(L5:L6)</f>
        <v>90080050.960000277</v>
      </c>
      <c r="M7" s="82">
        <f>SUM(M5:M6)</f>
        <v>-82275742.001249939</v>
      </c>
    </row>
    <row r="8" spans="1:13" x14ac:dyDescent="0.25">
      <c r="A8" t="s">
        <v>103</v>
      </c>
      <c r="C8" s="83">
        <f>'PowerPlant Detail'!C18</f>
        <v>733713073.80499995</v>
      </c>
      <c r="D8" s="4">
        <f>'PowerPlant Detail'!D18</f>
        <v>-201101025.4854168</v>
      </c>
      <c r="E8" s="4">
        <f t="shared" ref="E8:E20" si="0">SUM(C8:D8)</f>
        <v>532612048.31958318</v>
      </c>
      <c r="G8" s="257">
        <f>'PowerPlant Detail'!G18</f>
        <v>734617071.70000017</v>
      </c>
      <c r="H8" s="4">
        <f>'PowerPlant Detail'!H18</f>
        <v>-210581897.14000008</v>
      </c>
      <c r="I8" s="4">
        <f t="shared" ref="I8:I20" si="1">SUM(G8:H8)</f>
        <v>524035174.56000006</v>
      </c>
      <c r="K8" s="83">
        <f t="shared" ref="K8:K20" si="2">G8-C8</f>
        <v>903997.89500021935</v>
      </c>
      <c r="L8" s="4">
        <f t="shared" ref="L8:L20" si="3">H8-D8</f>
        <v>-9480871.6545832753</v>
      </c>
      <c r="M8" s="4">
        <f t="shared" ref="M8:M20" si="4">SUM(K8:L8)</f>
        <v>-8576873.759583056</v>
      </c>
    </row>
    <row r="9" spans="1:13" x14ac:dyDescent="0.25">
      <c r="A9" t="s">
        <v>104</v>
      </c>
      <c r="C9" s="83">
        <f>'PowerPlant Detail'!C19-C10</f>
        <v>1972654269.9508338</v>
      </c>
      <c r="D9" s="83">
        <f>'PowerPlant Detail'!D19-D10</f>
        <v>-855769432.56624997</v>
      </c>
      <c r="E9" s="4">
        <f t="shared" si="0"/>
        <v>1116884837.384584</v>
      </c>
      <c r="G9" s="257">
        <f>'PowerPlant Detail'!G19-G10</f>
        <v>1980834339.0399997</v>
      </c>
      <c r="H9" s="83">
        <f>'PowerPlant Detail'!H19-H10</f>
        <v>-885014326.3299998</v>
      </c>
      <c r="I9" s="4">
        <f t="shared" si="1"/>
        <v>1095820012.71</v>
      </c>
      <c r="K9" s="83">
        <f t="shared" si="2"/>
        <v>8180069.089165926</v>
      </c>
      <c r="L9" s="4">
        <f t="shared" si="3"/>
        <v>-29244893.763749838</v>
      </c>
      <c r="M9" s="4">
        <f t="shared" si="4"/>
        <v>-21064824.674583912</v>
      </c>
    </row>
    <row r="10" spans="1:13" x14ac:dyDescent="0.25">
      <c r="A10" t="s">
        <v>135</v>
      </c>
      <c r="C10" s="83">
        <f>'WH Jun 20 PP Report'!P18</f>
        <v>4539303</v>
      </c>
      <c r="D10" s="4">
        <f>-'WH Jun 20 PP Report'!P28</f>
        <v>-2332296</v>
      </c>
      <c r="E10" s="4">
        <f t="shared" si="0"/>
        <v>2207007</v>
      </c>
      <c r="G10" s="257">
        <f>C10</f>
        <v>4539303</v>
      </c>
      <c r="H10" s="4">
        <f>-'WH Jun 20 PP Report'!O28*1000</f>
        <v>-2438000</v>
      </c>
      <c r="I10" s="4">
        <f t="shared" si="1"/>
        <v>2101303</v>
      </c>
      <c r="K10" s="83">
        <f>G10-C10</f>
        <v>0</v>
      </c>
      <c r="L10" s="4">
        <f>H10-D10</f>
        <v>-105704</v>
      </c>
      <c r="M10" s="4">
        <f>SUM(K10:L10)</f>
        <v>-105704</v>
      </c>
    </row>
    <row r="11" spans="1:13" x14ac:dyDescent="0.25">
      <c r="A11" t="s">
        <v>126</v>
      </c>
      <c r="C11" s="83">
        <f>'PowerPlant Detail'!C5</f>
        <v>7279799.8237500014</v>
      </c>
      <c r="D11" s="83">
        <f>'PowerPlant Detail'!D5</f>
        <v>-6106590.6309166662</v>
      </c>
      <c r="E11" s="4">
        <f t="shared" si="0"/>
        <v>1173209.1928333351</v>
      </c>
      <c r="G11" s="83">
        <f>'PowerPlant Detail'!G5</f>
        <v>2683622.25</v>
      </c>
      <c r="H11" s="83">
        <f>'PowerPlant Detail'!H5</f>
        <v>-1777545.5254166669</v>
      </c>
      <c r="I11" s="4">
        <f t="shared" si="1"/>
        <v>906076.72458333313</v>
      </c>
      <c r="K11" s="83">
        <f t="shared" si="2"/>
        <v>-4596177.5737500014</v>
      </c>
      <c r="L11" s="83">
        <f t="shared" si="3"/>
        <v>4329045.1054999996</v>
      </c>
      <c r="M11" s="4">
        <f t="shared" si="4"/>
        <v>-267132.46825000178</v>
      </c>
    </row>
    <row r="12" spans="1:13" x14ac:dyDescent="0.25">
      <c r="A12" t="s">
        <v>127</v>
      </c>
      <c r="C12" s="83">
        <f>'PowerPlant Detail'!C6</f>
        <v>340637.08999999997</v>
      </c>
      <c r="D12" s="83">
        <f>'PowerPlant Detail'!D6</f>
        <v>-0.35999999999999993</v>
      </c>
      <c r="E12" s="4">
        <f t="shared" si="0"/>
        <v>340636.73</v>
      </c>
      <c r="G12" s="83">
        <f>'PowerPlant Detail'!G6</f>
        <v>340637.09</v>
      </c>
      <c r="H12" s="83">
        <f>'PowerPlant Detail'!H6</f>
        <v>-0.54</v>
      </c>
      <c r="I12" s="4">
        <f t="shared" si="1"/>
        <v>340636.55000000005</v>
      </c>
      <c r="K12" s="83">
        <f t="shared" si="2"/>
        <v>0</v>
      </c>
      <c r="L12" s="83">
        <f t="shared" si="3"/>
        <v>-0.1800000000000001</v>
      </c>
      <c r="M12" s="4">
        <f t="shared" si="4"/>
        <v>-0.1800000000000001</v>
      </c>
    </row>
    <row r="13" spans="1:13" x14ac:dyDescent="0.25">
      <c r="A13" t="s">
        <v>128</v>
      </c>
      <c r="C13" s="83">
        <f>SUM('PowerPlant Detail'!C7:C11)</f>
        <v>1160199</v>
      </c>
      <c r="D13" s="83">
        <f>SUM('PowerPlant Detail'!D7:D11)</f>
        <v>-758551</v>
      </c>
      <c r="E13" s="4">
        <f t="shared" si="0"/>
        <v>401648</v>
      </c>
      <c r="G13" s="83">
        <f>SUM('PowerPlant Detail'!G7:G11)</f>
        <v>1094663.6599999999</v>
      </c>
      <c r="H13" s="83">
        <f>SUM('PowerPlant Detail'!H7:H11)</f>
        <v>-914952.46000000008</v>
      </c>
      <c r="I13" s="4">
        <f t="shared" si="1"/>
        <v>179711.19999999984</v>
      </c>
      <c r="K13" s="83">
        <f t="shared" si="2"/>
        <v>-65535.340000000084</v>
      </c>
      <c r="L13" s="83">
        <f t="shared" si="3"/>
        <v>-156401.46000000008</v>
      </c>
      <c r="M13" s="4">
        <f t="shared" si="4"/>
        <v>-221936.80000000016</v>
      </c>
    </row>
    <row r="14" spans="1:13" x14ac:dyDescent="0.25">
      <c r="A14" t="s">
        <v>129</v>
      </c>
      <c r="C14" s="83">
        <f>SUM('PowerPlant Detail'!C12:C13)</f>
        <v>55293708</v>
      </c>
      <c r="D14" s="83">
        <f>SUM('PowerPlant Detail'!D12:D13)</f>
        <v>-14368477</v>
      </c>
      <c r="E14" s="4">
        <f t="shared" si="0"/>
        <v>40925231</v>
      </c>
      <c r="G14" s="83">
        <f>SUM('PowerPlant Detail'!G12:G13)</f>
        <v>55338714.709999993</v>
      </c>
      <c r="H14" s="83">
        <f>SUM('PowerPlant Detail'!H12:H13)</f>
        <v>-14965277.41</v>
      </c>
      <c r="I14" s="4">
        <f t="shared" si="1"/>
        <v>40373437.299999997</v>
      </c>
      <c r="K14" s="83">
        <f t="shared" si="2"/>
        <v>45006.709999993443</v>
      </c>
      <c r="L14" s="83">
        <f t="shared" si="3"/>
        <v>-596800.41000000015</v>
      </c>
      <c r="M14" s="4">
        <f t="shared" si="4"/>
        <v>-551793.70000000671</v>
      </c>
    </row>
    <row r="15" spans="1:13" x14ac:dyDescent="0.25">
      <c r="A15" t="s">
        <v>116</v>
      </c>
      <c r="C15" s="83">
        <f>'Total RB w Prod Sep'!D62</f>
        <v>1578274.6299999158</v>
      </c>
      <c r="D15" s="4">
        <v>0</v>
      </c>
      <c r="E15" s="4">
        <f t="shared" si="0"/>
        <v>1578274.6299999158</v>
      </c>
      <c r="G15" s="83">
        <f>'Total RB w Prod Sep'!H62</f>
        <v>1400940.2499999157</v>
      </c>
      <c r="H15" s="4">
        <v>0</v>
      </c>
      <c r="I15" s="4">
        <f t="shared" si="1"/>
        <v>1400940.2499999157</v>
      </c>
      <c r="K15" s="83">
        <f t="shared" si="2"/>
        <v>-177334.38000000012</v>
      </c>
      <c r="L15" s="4">
        <f t="shared" si="3"/>
        <v>0</v>
      </c>
      <c r="M15" s="4">
        <f t="shared" si="4"/>
        <v>-177334.38000000012</v>
      </c>
    </row>
    <row r="16" spans="1:13" x14ac:dyDescent="0.25">
      <c r="A16" t="s">
        <v>117</v>
      </c>
      <c r="C16" s="83">
        <f>'Total RB w Prod Sep'!D63</f>
        <v>467755.39350000006</v>
      </c>
      <c r="D16" s="4">
        <v>0</v>
      </c>
      <c r="E16" s="4">
        <f t="shared" si="0"/>
        <v>467755.39350000006</v>
      </c>
      <c r="G16" s="83">
        <f>'Total RB w Prod Sep'!H63</f>
        <v>415599.7905</v>
      </c>
      <c r="H16" s="4">
        <v>0</v>
      </c>
      <c r="I16" s="4">
        <f t="shared" si="1"/>
        <v>415599.7905</v>
      </c>
      <c r="K16" s="83">
        <f t="shared" si="2"/>
        <v>-52155.603000000061</v>
      </c>
      <c r="L16" s="4">
        <f t="shared" si="3"/>
        <v>0</v>
      </c>
      <c r="M16" s="4">
        <f t="shared" si="4"/>
        <v>-52155.603000000061</v>
      </c>
    </row>
    <row r="17" spans="1:13" x14ac:dyDescent="0.25">
      <c r="A17" t="s">
        <v>130</v>
      </c>
      <c r="C17" s="83">
        <f>SUM('Total RB w Prod Sep'!D13:D16)</f>
        <v>281543144.61000001</v>
      </c>
      <c r="D17" s="4">
        <f>SUM('Total RB w Prod Sep'!D31:D34)</f>
        <v>-145246764.56999999</v>
      </c>
      <c r="E17" s="4">
        <f t="shared" si="0"/>
        <v>136296380.04000002</v>
      </c>
      <c r="G17" s="83">
        <f>SUM('Total RB w Prod Sep'!H13:H16)</f>
        <v>281543144.61000001</v>
      </c>
      <c r="H17" s="4">
        <f>SUM('Total RB w Prod Sep'!H31:H34)</f>
        <v>-149453961.14999998</v>
      </c>
      <c r="I17" s="4">
        <f t="shared" si="1"/>
        <v>132089183.46000004</v>
      </c>
      <c r="K17" s="83">
        <f t="shared" si="2"/>
        <v>0</v>
      </c>
      <c r="L17" s="4">
        <f t="shared" si="3"/>
        <v>-4207196.5799999833</v>
      </c>
      <c r="M17" s="4">
        <f t="shared" si="4"/>
        <v>-4207196.5799999833</v>
      </c>
    </row>
    <row r="18" spans="1:13" x14ac:dyDescent="0.25">
      <c r="A18" t="s">
        <v>125</v>
      </c>
      <c r="C18" s="83">
        <f>'Total RB w Prod Sep'!D56</f>
        <v>-150654882.25291669</v>
      </c>
      <c r="D18" s="4">
        <v>0</v>
      </c>
      <c r="E18" s="4">
        <f>SUM(C18:D18)</f>
        <v>-150654882.25291669</v>
      </c>
      <c r="G18" s="83">
        <f>'Total RB w Prod Sep'!H56</f>
        <v>-150865209.69</v>
      </c>
      <c r="H18" s="4">
        <v>0</v>
      </c>
      <c r="I18" s="4">
        <f>SUM(G18:H18)</f>
        <v>-150865209.69</v>
      </c>
      <c r="K18" s="83">
        <f>G18-C18</f>
        <v>-210327.43708330393</v>
      </c>
      <c r="L18" s="4">
        <f>H18-D18</f>
        <v>0</v>
      </c>
      <c r="M18" s="4">
        <f>SUM(K18:L18)</f>
        <v>-210327.43708330393</v>
      </c>
    </row>
    <row r="19" spans="1:13" x14ac:dyDescent="0.25">
      <c r="A19" t="s">
        <v>118</v>
      </c>
      <c r="C19" s="4">
        <f>'Total RB w Prod Sep'!D64</f>
        <v>-488477983.55321652</v>
      </c>
      <c r="D19" s="4">
        <v>0</v>
      </c>
      <c r="E19" s="4">
        <f t="shared" si="0"/>
        <v>-488477983.55321652</v>
      </c>
      <c r="G19" s="4">
        <f>'Total RB w Prod Sep'!H64</f>
        <v>-464140049.55676377</v>
      </c>
      <c r="H19" s="4">
        <v>0</v>
      </c>
      <c r="I19" s="4">
        <f t="shared" si="1"/>
        <v>-464140049.55676377</v>
      </c>
      <c r="K19" s="4">
        <f t="shared" si="2"/>
        <v>24337933.996452749</v>
      </c>
      <c r="L19" s="4">
        <f t="shared" si="3"/>
        <v>0</v>
      </c>
      <c r="M19" s="4">
        <f t="shared" si="4"/>
        <v>24337933.996452749</v>
      </c>
    </row>
    <row r="20" spans="1:13" x14ac:dyDescent="0.25">
      <c r="A20" t="s">
        <v>182</v>
      </c>
      <c r="C20" s="4"/>
      <c r="D20" s="4">
        <f>SUM('Total RB w Prod Sep'!C21:C23)</f>
        <v>-85376773.737916663</v>
      </c>
      <c r="E20" s="4">
        <f t="shared" si="0"/>
        <v>-85376773.737916663</v>
      </c>
      <c r="G20" s="4"/>
      <c r="H20" s="4">
        <f>SUM('Total RB w Prod Sep'!G21:G23)</f>
        <v>-77559257.430000007</v>
      </c>
      <c r="I20" s="4">
        <f t="shared" si="1"/>
        <v>-77559257.430000007</v>
      </c>
      <c r="K20" s="4">
        <f t="shared" si="2"/>
        <v>0</v>
      </c>
      <c r="L20" s="4">
        <f t="shared" si="3"/>
        <v>7817516.3079166561</v>
      </c>
      <c r="M20" s="4">
        <f t="shared" si="4"/>
        <v>7817516.3079166561</v>
      </c>
    </row>
    <row r="21" spans="1:13" x14ac:dyDescent="0.25">
      <c r="C21" s="82"/>
      <c r="D21" s="82"/>
      <c r="E21" s="82"/>
      <c r="G21" s="82"/>
      <c r="H21" s="82"/>
      <c r="I21" s="82"/>
      <c r="K21" s="82"/>
      <c r="L21" s="82"/>
      <c r="M21" s="82"/>
    </row>
    <row r="22" spans="1:13" ht="15.75" thickBot="1" x14ac:dyDescent="0.3">
      <c r="A22" t="s">
        <v>131</v>
      </c>
      <c r="C22" s="84">
        <f>SUM(C7:C21)</f>
        <v>3625022911.8082008</v>
      </c>
      <c r="D22" s="84">
        <f>SUM(D7:D21)</f>
        <v>-2098018873.0404999</v>
      </c>
      <c r="E22" s="84">
        <f>SUM(E7:E21)</f>
        <v>1527004038.7677004</v>
      </c>
      <c r="G22" s="84">
        <f>SUM(G7:G21)</f>
        <v>3481032596.2037363</v>
      </c>
      <c r="H22" s="84">
        <f>SUM(H7:H21)</f>
        <v>-2039584128.7154167</v>
      </c>
      <c r="I22" s="84">
        <f>SUM(I7:I21)</f>
        <v>1441448467.4883196</v>
      </c>
      <c r="K22" s="84">
        <f>SUM(K7:K21)</f>
        <v>-143990315.60446459</v>
      </c>
      <c r="L22" s="84">
        <f>SUM(L7:L21)</f>
        <v>58434744.325083837</v>
      </c>
      <c r="M22" s="84">
        <f>SUM(M7:M21)</f>
        <v>-85555571.279380798</v>
      </c>
    </row>
    <row r="23" spans="1:13" ht="15.75" thickTop="1" x14ac:dyDescent="0.25">
      <c r="C23" s="4"/>
      <c r="D23" s="4"/>
      <c r="E23" s="42">
        <f>'Total RB w Prod Sep'!D66-E22</f>
        <v>0</v>
      </c>
      <c r="G23" s="4"/>
      <c r="H23" s="4"/>
      <c r="I23" s="42">
        <f>'Total RB w Prod Sep'!H66-I22</f>
        <v>0</v>
      </c>
      <c r="K23" s="4"/>
      <c r="L23" s="4"/>
      <c r="M23" s="42"/>
    </row>
    <row r="24" spans="1:13" x14ac:dyDescent="0.25">
      <c r="C24" s="4"/>
      <c r="D24" s="4"/>
      <c r="E24" s="4"/>
      <c r="G24" s="4"/>
      <c r="H24" s="4"/>
      <c r="I24" s="4"/>
      <c r="K24" s="4"/>
      <c r="L24" s="4"/>
      <c r="M24" s="4"/>
    </row>
    <row r="25" spans="1:13" x14ac:dyDescent="0.25">
      <c r="D25" s="4"/>
      <c r="E25" s="4"/>
      <c r="H25" s="4"/>
      <c r="I25" s="4"/>
      <c r="L25" s="4"/>
      <c r="M25" s="4"/>
    </row>
    <row r="26" spans="1:13" x14ac:dyDescent="0.25">
      <c r="A26" s="228" t="s">
        <v>331</v>
      </c>
      <c r="C26" s="4"/>
      <c r="D26" s="4"/>
      <c r="E26" s="4"/>
      <c r="G26" s="4"/>
      <c r="H26" s="4"/>
      <c r="I26" s="4"/>
      <c r="K26" s="4"/>
      <c r="L26" s="4"/>
      <c r="M26" s="4"/>
    </row>
    <row r="27" spans="1:13" ht="15.75" thickBot="1" x14ac:dyDescent="0.3">
      <c r="A27" t="s">
        <v>75</v>
      </c>
      <c r="C27" s="84">
        <f>'Cols 1&amp;2'!B27</f>
        <v>147203842.22499996</v>
      </c>
      <c r="D27" s="84">
        <f>'Cols 1&amp;2'!C27</f>
        <v>-87653120.337499991</v>
      </c>
      <c r="E27" s="80">
        <f>SUM(C27:D27)</f>
        <v>59550721.887499973</v>
      </c>
      <c r="G27" s="84">
        <v>0</v>
      </c>
      <c r="H27" s="84">
        <v>0</v>
      </c>
      <c r="I27" s="80">
        <f>SUM(G27:H27)</f>
        <v>0</v>
      </c>
      <c r="K27" s="84">
        <f>G27-C27</f>
        <v>-147203842.22499996</v>
      </c>
      <c r="L27" s="84">
        <f>H27-D27</f>
        <v>87653120.337499991</v>
      </c>
      <c r="M27" s="80">
        <f>SUM(K27:L27)</f>
        <v>-59550721.887499973</v>
      </c>
    </row>
    <row r="28" spans="1:13" ht="15.75" thickTop="1" x14ac:dyDescent="0.25">
      <c r="A28" t="s">
        <v>332</v>
      </c>
      <c r="C28" s="4"/>
      <c r="D28" s="4"/>
      <c r="E28" s="4">
        <f>-DFIT!Q26</f>
        <v>-27130919.499821428</v>
      </c>
      <c r="G28" s="4"/>
      <c r="H28" s="4"/>
      <c r="I28" s="4">
        <f>-DFIT!R26</f>
        <v>-19468813.909285717</v>
      </c>
      <c r="K28" s="4"/>
      <c r="L28" s="4"/>
      <c r="M28" s="4">
        <f>I28-E28</f>
        <v>7662105.5905357115</v>
      </c>
    </row>
    <row r="29" spans="1:13" x14ac:dyDescent="0.25">
      <c r="C29" s="4"/>
      <c r="D29" s="4"/>
      <c r="E29" s="82"/>
      <c r="G29" s="4"/>
      <c r="H29" s="4"/>
      <c r="I29" s="82"/>
      <c r="K29" s="4"/>
      <c r="L29" s="4"/>
      <c r="M29" s="82"/>
    </row>
    <row r="30" spans="1:13" ht="15.75" thickBot="1" x14ac:dyDescent="0.3">
      <c r="A30" t="s">
        <v>188</v>
      </c>
      <c r="C30" s="4"/>
      <c r="D30" s="4"/>
      <c r="E30" s="84">
        <f>SUM(E27:E29)</f>
        <v>32419802.387678545</v>
      </c>
      <c r="G30" t="s">
        <v>333</v>
      </c>
      <c r="H30" s="4"/>
      <c r="I30" s="84">
        <f>SUM(I27:I29)</f>
        <v>-19468813.909285717</v>
      </c>
      <c r="K30" s="4"/>
      <c r="L30" s="4"/>
      <c r="M30" s="84">
        <f>SUM(M27:M29)</f>
        <v>-51888616.296964258</v>
      </c>
    </row>
    <row r="31" spans="1:13" ht="15.75" thickTop="1" x14ac:dyDescent="0.25">
      <c r="C31" s="4"/>
      <c r="D31" s="4"/>
      <c r="E31" s="4"/>
      <c r="G31" s="4"/>
      <c r="H31" s="4"/>
      <c r="I31" s="4"/>
      <c r="K31" s="4"/>
      <c r="L31" s="4"/>
      <c r="M31" s="4"/>
    </row>
    <row r="32" spans="1:13" x14ac:dyDescent="0.25">
      <c r="C32" s="4"/>
      <c r="D32" s="4"/>
      <c r="E32" s="4"/>
      <c r="H32" s="4"/>
      <c r="I32" s="4"/>
      <c r="L32" s="4"/>
      <c r="M32" s="4"/>
    </row>
    <row r="33" spans="3:13" x14ac:dyDescent="0.25">
      <c r="C33" s="4"/>
      <c r="D33" s="4"/>
      <c r="E33" s="4"/>
      <c r="G33" s="4"/>
      <c r="H33" s="4"/>
      <c r="I33" s="4"/>
      <c r="K33" s="4"/>
      <c r="L33" s="4"/>
      <c r="M33" s="4"/>
    </row>
    <row r="34" spans="3:13" x14ac:dyDescent="0.25">
      <c r="C34" s="4"/>
      <c r="D34" s="4"/>
      <c r="E34" s="4"/>
      <c r="G34" s="4"/>
      <c r="H34" s="4"/>
      <c r="I34" s="4"/>
      <c r="K34" s="4"/>
      <c r="L34" s="4"/>
      <c r="M34" s="4"/>
    </row>
    <row r="35" spans="3:13" x14ac:dyDescent="0.25">
      <c r="D35" s="4"/>
      <c r="E35" s="4"/>
      <c r="H35" s="4"/>
      <c r="I35" s="4"/>
      <c r="L35" s="4"/>
      <c r="M35" s="4"/>
    </row>
    <row r="36" spans="3:13" x14ac:dyDescent="0.25">
      <c r="C36" s="4"/>
      <c r="D36" s="3"/>
      <c r="G36" s="4"/>
      <c r="H36" s="3"/>
      <c r="K36" s="4"/>
      <c r="L36" s="3"/>
    </row>
    <row r="38" spans="3:13" x14ac:dyDescent="0.25">
      <c r="C38" s="4"/>
      <c r="D38" s="3"/>
      <c r="G38" s="4"/>
      <c r="H38" s="3"/>
      <c r="K38" s="4"/>
      <c r="L38" s="3"/>
    </row>
    <row r="40" spans="3:13" x14ac:dyDescent="0.25">
      <c r="C40" s="4"/>
      <c r="D40" s="4"/>
      <c r="G40" s="4"/>
      <c r="H40" s="4"/>
      <c r="K40" s="4"/>
      <c r="L40" s="4"/>
    </row>
  </sheetData>
  <conditionalFormatting sqref="E23">
    <cfRule type="cellIs" dxfId="16" priority="3" operator="notEqual">
      <formula>0</formula>
    </cfRule>
  </conditionalFormatting>
  <conditionalFormatting sqref="I23">
    <cfRule type="cellIs" dxfId="15" priority="2" operator="notEqual">
      <formula>0</formula>
    </cfRule>
  </conditionalFormatting>
  <conditionalFormatting sqref="M23">
    <cfRule type="cellIs" dxfId="14" priority="1" operator="not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63" sqref="D63"/>
    </sheetView>
  </sheetViews>
  <sheetFormatPr defaultColWidth="8.7109375" defaultRowHeight="14.25" x14ac:dyDescent="0.2"/>
  <cols>
    <col min="1" max="1" width="11.5703125" style="8" customWidth="1"/>
    <col min="2" max="2" width="44.7109375" style="8" bestFit="1" customWidth="1"/>
    <col min="3" max="5" width="20.42578125" style="8" bestFit="1" customWidth="1"/>
    <col min="6" max="6" width="3" style="8" bestFit="1" customWidth="1"/>
    <col min="7" max="9" width="20.42578125" style="8" bestFit="1" customWidth="1"/>
    <col min="10" max="10" width="3" style="8" bestFit="1" customWidth="1"/>
    <col min="11" max="11" width="15.28515625" style="8" bestFit="1" customWidth="1"/>
    <col min="12" max="12" width="45.7109375" style="8" bestFit="1" customWidth="1"/>
    <col min="13" max="13" width="17.28515625" style="8" bestFit="1" customWidth="1"/>
    <col min="14" max="14" width="14.28515625" style="8" bestFit="1" customWidth="1"/>
    <col min="15" max="16384" width="8.7109375" style="8"/>
  </cols>
  <sheetData>
    <row r="1" spans="1:11" x14ac:dyDescent="0.2">
      <c r="A1" s="22" t="s">
        <v>74</v>
      </c>
      <c r="C1" s="11"/>
      <c r="D1" s="41"/>
      <c r="E1" s="16"/>
      <c r="G1" s="16"/>
    </row>
    <row r="2" spans="1:11" x14ac:dyDescent="0.2">
      <c r="C2" s="11"/>
      <c r="D2" s="16"/>
      <c r="E2" s="10"/>
    </row>
    <row r="3" spans="1:11" ht="15" x14ac:dyDescent="0.25">
      <c r="A3" s="12"/>
      <c r="B3" s="12"/>
      <c r="C3" s="36" t="s">
        <v>78</v>
      </c>
      <c r="D3" s="37"/>
      <c r="E3" s="38"/>
      <c r="F3" s="12"/>
      <c r="G3" s="36" t="s">
        <v>83</v>
      </c>
      <c r="H3" s="37"/>
      <c r="I3" s="38"/>
      <c r="J3" s="12"/>
    </row>
    <row r="4" spans="1:11" ht="15" x14ac:dyDescent="0.25">
      <c r="A4" s="13" t="s">
        <v>2</v>
      </c>
      <c r="B4" s="13" t="s">
        <v>67</v>
      </c>
      <c r="C4" s="14" t="s">
        <v>84</v>
      </c>
      <c r="D4" s="14" t="s">
        <v>79</v>
      </c>
      <c r="E4" s="14" t="s">
        <v>80</v>
      </c>
      <c r="F4" s="14"/>
      <c r="G4" s="14" t="s">
        <v>84</v>
      </c>
      <c r="H4" s="14" t="s">
        <v>79</v>
      </c>
      <c r="I4" s="14" t="s">
        <v>80</v>
      </c>
      <c r="J4" s="14"/>
    </row>
    <row r="5" spans="1:11" x14ac:dyDescent="0.2">
      <c r="A5" s="52">
        <v>10100501</v>
      </c>
      <c r="B5" s="23" t="s">
        <v>4</v>
      </c>
      <c r="C5" s="28">
        <v>10039178768.320417</v>
      </c>
      <c r="D5" s="28"/>
      <c r="E5" s="28"/>
      <c r="F5" s="28"/>
      <c r="G5" s="28">
        <v>10015047860.200001</v>
      </c>
      <c r="H5" s="28"/>
      <c r="I5" s="28"/>
      <c r="J5" s="28"/>
    </row>
    <row r="6" spans="1:11" x14ac:dyDescent="0.2">
      <c r="A6" s="52">
        <v>10500501</v>
      </c>
      <c r="B6" s="23" t="s">
        <v>9</v>
      </c>
      <c r="C6" s="24">
        <v>38997664.699999996</v>
      </c>
      <c r="D6" s="24"/>
      <c r="E6" s="24"/>
      <c r="F6" s="24"/>
      <c r="G6" s="24">
        <v>39015814.25</v>
      </c>
      <c r="H6" s="24"/>
      <c r="I6" s="24"/>
      <c r="J6" s="24"/>
    </row>
    <row r="7" spans="1:11" x14ac:dyDescent="0.2">
      <c r="A7" s="52">
        <v>10600501</v>
      </c>
      <c r="B7" s="23" t="s">
        <v>10</v>
      </c>
      <c r="C7" s="24">
        <v>157291806.56583336</v>
      </c>
      <c r="D7" s="24"/>
      <c r="E7" s="24"/>
      <c r="F7" s="24"/>
      <c r="G7" s="24">
        <v>130173970.09</v>
      </c>
      <c r="H7" s="24"/>
      <c r="I7" s="24"/>
      <c r="J7" s="24"/>
    </row>
    <row r="8" spans="1:11" x14ac:dyDescent="0.2">
      <c r="A8" s="52" t="s">
        <v>329</v>
      </c>
      <c r="B8" s="23" t="s">
        <v>70</v>
      </c>
      <c r="C8" s="24">
        <f>C76</f>
        <v>685508595.80076611</v>
      </c>
      <c r="D8" s="24"/>
      <c r="E8" s="24"/>
      <c r="F8" s="24"/>
      <c r="G8" s="24">
        <f>G76</f>
        <v>700539248.46324503</v>
      </c>
      <c r="H8" s="24"/>
      <c r="I8" s="24"/>
      <c r="J8" s="24"/>
    </row>
    <row r="9" spans="1:11" x14ac:dyDescent="0.2">
      <c r="A9" s="52"/>
      <c r="B9" s="23" t="s">
        <v>81</v>
      </c>
      <c r="C9" s="29">
        <f>SUM(C5:C8)</f>
        <v>10920976835.387018</v>
      </c>
      <c r="D9" s="51">
        <f>'PowerPlant Detail'!C22</f>
        <v>3985219164.5950007</v>
      </c>
      <c r="E9" s="28">
        <f>'PowerPlant Detail'!C32</f>
        <v>6935757670.792017</v>
      </c>
      <c r="F9" s="42">
        <f t="shared" ref="F9:F17" si="0">ROUND(SUM(D9:E9)-C9,0)</f>
        <v>0</v>
      </c>
      <c r="G9" s="29">
        <f>SUM(G5:G8)</f>
        <v>10884776893.003246</v>
      </c>
      <c r="H9" s="28">
        <f>'PowerPlant Detail'!G22</f>
        <v>3819926516.6199999</v>
      </c>
      <c r="I9" s="28">
        <f>'PowerPlant Detail'!G32</f>
        <v>7064850376.4699993</v>
      </c>
      <c r="J9" s="42">
        <f t="shared" ref="J9:J17" si="1">ROUND(SUM(H9:I9)-G9,0)</f>
        <v>0</v>
      </c>
    </row>
    <row r="10" spans="1:11" x14ac:dyDescent="0.2">
      <c r="A10" s="53">
        <v>10100601</v>
      </c>
      <c r="B10" s="39" t="s">
        <v>6</v>
      </c>
      <c r="C10" s="40">
        <v>-4652561.6141666668</v>
      </c>
      <c r="D10" s="40">
        <f>C10</f>
        <v>-4652561.6141666668</v>
      </c>
      <c r="E10" s="40"/>
      <c r="F10" s="66">
        <f t="shared" si="0"/>
        <v>0</v>
      </c>
      <c r="G10" s="40">
        <v>-7248345.8200000003</v>
      </c>
      <c r="H10" s="40">
        <f>G10</f>
        <v>-7248345.8200000003</v>
      </c>
      <c r="I10" s="40"/>
      <c r="J10" s="66">
        <f t="shared" si="1"/>
        <v>0</v>
      </c>
      <c r="K10" s="16"/>
    </row>
    <row r="11" spans="1:11" x14ac:dyDescent="0.2">
      <c r="A11" s="54">
        <v>11400001</v>
      </c>
      <c r="B11" s="20" t="s">
        <v>24</v>
      </c>
      <c r="C11" s="27">
        <v>946172.25</v>
      </c>
      <c r="D11" s="50"/>
      <c r="E11" s="27">
        <f>C11</f>
        <v>946172.25</v>
      </c>
      <c r="F11" s="42">
        <f t="shared" si="0"/>
        <v>0</v>
      </c>
      <c r="G11" s="27">
        <v>946172.25</v>
      </c>
      <c r="H11" s="27"/>
      <c r="I11" s="27">
        <f>G11</f>
        <v>946172.25</v>
      </c>
      <c r="J11" s="42">
        <f t="shared" si="1"/>
        <v>0</v>
      </c>
    </row>
    <row r="12" spans="1:11" x14ac:dyDescent="0.2">
      <c r="A12" s="54">
        <v>11400011</v>
      </c>
      <c r="B12" s="20" t="s">
        <v>25</v>
      </c>
      <c r="C12" s="27">
        <v>302358.00999999995</v>
      </c>
      <c r="D12" s="50"/>
      <c r="E12" s="27">
        <f>C12</f>
        <v>302358.00999999995</v>
      </c>
      <c r="F12" s="42">
        <f t="shared" si="0"/>
        <v>0</v>
      </c>
      <c r="G12" s="27">
        <v>302358.01</v>
      </c>
      <c r="H12" s="27"/>
      <c r="I12" s="27">
        <f>G12</f>
        <v>302358.01</v>
      </c>
      <c r="J12" s="42">
        <f t="shared" si="1"/>
        <v>0</v>
      </c>
    </row>
    <row r="13" spans="1:11" x14ac:dyDescent="0.2">
      <c r="A13" s="54">
        <v>11400031</v>
      </c>
      <c r="B13" s="20" t="s">
        <v>26</v>
      </c>
      <c r="C13" s="27">
        <v>76622596.840000018</v>
      </c>
      <c r="D13" s="50">
        <f>C13</f>
        <v>76622596.840000018</v>
      </c>
      <c r="E13" s="27"/>
      <c r="F13" s="42">
        <f t="shared" si="0"/>
        <v>0</v>
      </c>
      <c r="G13" s="27">
        <v>76622596.840000004</v>
      </c>
      <c r="H13" s="27">
        <f>G13</f>
        <v>76622596.840000004</v>
      </c>
      <c r="I13" s="27"/>
      <c r="J13" s="42">
        <f t="shared" si="1"/>
        <v>0</v>
      </c>
    </row>
    <row r="14" spans="1:11" x14ac:dyDescent="0.2">
      <c r="A14" s="54">
        <v>11400061</v>
      </c>
      <c r="B14" s="20" t="s">
        <v>27</v>
      </c>
      <c r="C14" s="27">
        <v>156960790.83999997</v>
      </c>
      <c r="D14" s="50">
        <f>C14</f>
        <v>156960790.83999997</v>
      </c>
      <c r="E14" s="27"/>
      <c r="F14" s="42">
        <f t="shared" si="0"/>
        <v>0</v>
      </c>
      <c r="G14" s="27">
        <v>156960790.84</v>
      </c>
      <c r="H14" s="27">
        <f>G14</f>
        <v>156960790.84</v>
      </c>
      <c r="I14" s="27"/>
      <c r="J14" s="42">
        <f t="shared" si="1"/>
        <v>0</v>
      </c>
    </row>
    <row r="15" spans="1:11" x14ac:dyDescent="0.2">
      <c r="A15" s="54">
        <v>11400071</v>
      </c>
      <c r="B15" s="20" t="s">
        <v>28</v>
      </c>
      <c r="C15" s="27">
        <v>16950332.900000002</v>
      </c>
      <c r="D15" s="50">
        <f>C15</f>
        <v>16950332.900000002</v>
      </c>
      <c r="E15" s="27"/>
      <c r="F15" s="42">
        <f t="shared" si="0"/>
        <v>0</v>
      </c>
      <c r="G15" s="27">
        <v>16950332.899999999</v>
      </c>
      <c r="H15" s="27">
        <f>G15</f>
        <v>16950332.899999999</v>
      </c>
      <c r="I15" s="27"/>
      <c r="J15" s="42">
        <f t="shared" si="1"/>
        <v>0</v>
      </c>
    </row>
    <row r="16" spans="1:11" x14ac:dyDescent="0.2">
      <c r="A16" s="54">
        <v>11400091</v>
      </c>
      <c r="B16" s="20" t="s">
        <v>29</v>
      </c>
      <c r="C16" s="27">
        <v>31009424.02999999</v>
      </c>
      <c r="D16" s="50">
        <f>C16</f>
        <v>31009424.02999999</v>
      </c>
      <c r="E16" s="27"/>
      <c r="F16" s="42">
        <f t="shared" si="0"/>
        <v>0</v>
      </c>
      <c r="G16" s="27">
        <v>31009424.030000001</v>
      </c>
      <c r="H16" s="27">
        <f>G16</f>
        <v>31009424.030000001</v>
      </c>
      <c r="I16" s="27"/>
      <c r="J16" s="42">
        <f t="shared" si="1"/>
        <v>0</v>
      </c>
    </row>
    <row r="17" spans="1:11" x14ac:dyDescent="0.2">
      <c r="A17" s="55" t="s">
        <v>65</v>
      </c>
      <c r="C17" s="15">
        <f>SUM(C9:C16)</f>
        <v>11199115948.642853</v>
      </c>
      <c r="D17" s="67">
        <f>SUM(D9:D16)</f>
        <v>4262109747.5908346</v>
      </c>
      <c r="E17" s="15">
        <f>SUM(E9:E16)</f>
        <v>6937006201.0520172</v>
      </c>
      <c r="F17" s="42">
        <f t="shared" si="0"/>
        <v>0</v>
      </c>
      <c r="G17" s="15">
        <f>SUM(G9:G16)</f>
        <v>11160320222.053247</v>
      </c>
      <c r="H17" s="15">
        <f>SUM(H9:H16)</f>
        <v>4094221315.4100003</v>
      </c>
      <c r="I17" s="15">
        <f>SUM(I9:I16)</f>
        <v>7066098906.7299995</v>
      </c>
      <c r="J17" s="42">
        <f t="shared" si="1"/>
        <v>0</v>
      </c>
    </row>
    <row r="18" spans="1:11" x14ac:dyDescent="0.2">
      <c r="A18" s="55"/>
      <c r="D18" s="68"/>
    </row>
    <row r="19" spans="1:11" x14ac:dyDescent="0.2">
      <c r="A19" s="52">
        <v>10800501</v>
      </c>
      <c r="B19" s="23" t="s">
        <v>13</v>
      </c>
      <c r="C19" s="28">
        <v>-4082154291.1075001</v>
      </c>
      <c r="D19" s="51"/>
      <c r="E19" s="28"/>
      <c r="F19" s="28"/>
      <c r="G19" s="28">
        <v>-4090162822.8499999</v>
      </c>
      <c r="H19" s="28"/>
      <c r="I19" s="28"/>
      <c r="J19" s="28"/>
    </row>
    <row r="20" spans="1:11" x14ac:dyDescent="0.2">
      <c r="A20" s="52">
        <v>11100501</v>
      </c>
      <c r="B20" s="23" t="s">
        <v>22</v>
      </c>
      <c r="C20" s="24">
        <v>-64590624.579166681</v>
      </c>
      <c r="D20" s="69"/>
      <c r="E20" s="24"/>
      <c r="F20" s="24"/>
      <c r="G20" s="24">
        <v>-64672866.25</v>
      </c>
      <c r="H20" s="24"/>
      <c r="I20" s="24"/>
      <c r="J20" s="24"/>
    </row>
    <row r="21" spans="1:11" x14ac:dyDescent="0.2">
      <c r="A21" s="56">
        <v>10800611</v>
      </c>
      <c r="B21" s="18" t="s">
        <v>18</v>
      </c>
      <c r="C21" s="50">
        <v>-95934500</v>
      </c>
      <c r="D21" s="50"/>
      <c r="E21" s="50"/>
      <c r="F21" s="50"/>
      <c r="G21" s="50">
        <v>-95934500</v>
      </c>
      <c r="H21" s="50"/>
      <c r="I21" s="50"/>
      <c r="J21" s="50"/>
    </row>
    <row r="22" spans="1:11" x14ac:dyDescent="0.2">
      <c r="A22" s="56" t="s">
        <v>19</v>
      </c>
      <c r="B22" s="18" t="s">
        <v>20</v>
      </c>
      <c r="C22" s="50">
        <v>4669644.8270833334</v>
      </c>
      <c r="D22" s="50"/>
      <c r="E22" s="50"/>
      <c r="F22" s="50"/>
      <c r="G22" s="50">
        <v>11259325.99</v>
      </c>
      <c r="H22" s="50"/>
      <c r="I22" s="50"/>
      <c r="J22" s="50"/>
    </row>
    <row r="23" spans="1:11" x14ac:dyDescent="0.2">
      <c r="A23" s="54" t="s">
        <v>21</v>
      </c>
      <c r="B23" s="18" t="s">
        <v>71</v>
      </c>
      <c r="C23" s="27">
        <v>5888081.4349999996</v>
      </c>
      <c r="D23" s="50"/>
      <c r="E23" s="50"/>
      <c r="F23" s="50"/>
      <c r="G23" s="27">
        <v>7115916.580000001</v>
      </c>
      <c r="H23" s="27"/>
      <c r="I23" s="50"/>
      <c r="J23" s="50"/>
    </row>
    <row r="24" spans="1:11" x14ac:dyDescent="0.2">
      <c r="A24" s="52" t="s">
        <v>329</v>
      </c>
      <c r="B24" s="23" t="s">
        <v>70</v>
      </c>
      <c r="C24" s="24">
        <f>C84</f>
        <v>-248881248.87733853</v>
      </c>
      <c r="D24" s="69"/>
      <c r="E24" s="24"/>
      <c r="F24" s="24"/>
      <c r="G24" s="24">
        <f>G84</f>
        <v>-283211332.74328995</v>
      </c>
      <c r="H24" s="24"/>
      <c r="I24" s="24"/>
      <c r="J24" s="24"/>
    </row>
    <row r="25" spans="1:11" x14ac:dyDescent="0.2">
      <c r="A25" s="52"/>
      <c r="B25" s="23" t="s">
        <v>81</v>
      </c>
      <c r="C25" s="29">
        <f>SUM(C19:C24)</f>
        <v>-4481002938.3019228</v>
      </c>
      <c r="D25" s="51">
        <f>'PowerPlant Detail'!D22</f>
        <v>-1956983610.8821669</v>
      </c>
      <c r="E25" s="28">
        <f>'PowerPlant Detail'!D32</f>
        <v>-2524019327.4255891</v>
      </c>
      <c r="F25" s="42">
        <f t="shared" ref="F25:F35" si="2">ROUND(SUM(D25:E25)-C25,0)</f>
        <v>0</v>
      </c>
      <c r="G25" s="29">
        <f>SUM(G19:G24)</f>
        <v>-4515606279.2732906</v>
      </c>
      <c r="H25" s="28">
        <f>'PowerPlant Detail'!H22</f>
        <v>-1890779697.8454163</v>
      </c>
      <c r="I25" s="28">
        <f>'PowerPlant Detail'!H32</f>
        <v>-2624826581.7345834</v>
      </c>
      <c r="J25" s="42">
        <f t="shared" ref="J25:J35" si="3">ROUND(SUM(H25:I25)-G25,0)</f>
        <v>0</v>
      </c>
    </row>
    <row r="26" spans="1:11" x14ac:dyDescent="0.2">
      <c r="A26" s="53">
        <v>10800601</v>
      </c>
      <c r="B26" s="39" t="s">
        <v>17</v>
      </c>
      <c r="C26" s="40">
        <v>4211502.4116666671</v>
      </c>
      <c r="D26" s="40">
        <f>C26</f>
        <v>4211502.4116666671</v>
      </c>
      <c r="E26" s="40"/>
      <c r="F26" s="66">
        <f t="shared" si="2"/>
        <v>0</v>
      </c>
      <c r="G26" s="40">
        <v>649530.28</v>
      </c>
      <c r="H26" s="40">
        <f>G26</f>
        <v>649530.28</v>
      </c>
      <c r="I26" s="40"/>
      <c r="J26" s="66">
        <f t="shared" si="3"/>
        <v>0</v>
      </c>
      <c r="K26" s="16"/>
    </row>
    <row r="27" spans="1:11" x14ac:dyDescent="0.2">
      <c r="A27" s="52">
        <v>10800541</v>
      </c>
      <c r="B27" s="23" t="s">
        <v>15</v>
      </c>
      <c r="C27" s="24">
        <v>20288933.4175</v>
      </c>
      <c r="D27" s="69"/>
      <c r="E27" s="24">
        <f>C27</f>
        <v>20288933.4175</v>
      </c>
      <c r="F27" s="42">
        <f t="shared" si="2"/>
        <v>0</v>
      </c>
      <c r="G27" s="24">
        <v>18392250.59</v>
      </c>
      <c r="H27" s="24"/>
      <c r="I27" s="24">
        <f>G27</f>
        <v>18392250.59</v>
      </c>
      <c r="J27" s="42">
        <f t="shared" si="3"/>
        <v>0</v>
      </c>
    </row>
    <row r="28" spans="1:11" x14ac:dyDescent="0.2">
      <c r="A28" s="52">
        <v>10800543</v>
      </c>
      <c r="B28" s="23" t="s">
        <v>16</v>
      </c>
      <c r="C28" s="24">
        <f>C90</f>
        <v>1394278.3996104167</v>
      </c>
      <c r="D28" s="69"/>
      <c r="E28" s="24">
        <f>C28</f>
        <v>1394278.3996104167</v>
      </c>
      <c r="F28" s="42">
        <f t="shared" si="2"/>
        <v>0</v>
      </c>
      <c r="G28" s="24">
        <f>G90</f>
        <v>1543457.0618349998</v>
      </c>
      <c r="H28" s="24"/>
      <c r="I28" s="24">
        <f>G28</f>
        <v>1543457.0618349998</v>
      </c>
      <c r="J28" s="42">
        <f t="shared" si="3"/>
        <v>0</v>
      </c>
    </row>
    <row r="29" spans="1:11" x14ac:dyDescent="0.2">
      <c r="A29" s="54">
        <v>11500001</v>
      </c>
      <c r="B29" s="18" t="s">
        <v>30</v>
      </c>
      <c r="C29" s="27">
        <v>-946172.25</v>
      </c>
      <c r="D29" s="50"/>
      <c r="E29" s="27">
        <f>C29</f>
        <v>-946172.25</v>
      </c>
      <c r="F29" s="42">
        <f t="shared" si="2"/>
        <v>0</v>
      </c>
      <c r="G29" s="27">
        <v>-946172.25</v>
      </c>
      <c r="H29" s="27"/>
      <c r="I29" s="27">
        <f>G29</f>
        <v>-946172.25</v>
      </c>
      <c r="J29" s="42">
        <f t="shared" si="3"/>
        <v>0</v>
      </c>
    </row>
    <row r="30" spans="1:11" x14ac:dyDescent="0.2">
      <c r="A30" s="54">
        <v>11500011</v>
      </c>
      <c r="B30" s="18" t="s">
        <v>31</v>
      </c>
      <c r="C30" s="27">
        <v>-302358.00999999995</v>
      </c>
      <c r="D30" s="50"/>
      <c r="E30" s="27">
        <f>C30</f>
        <v>-302358.00999999995</v>
      </c>
      <c r="F30" s="42">
        <f t="shared" si="2"/>
        <v>0</v>
      </c>
      <c r="G30" s="27">
        <v>-302358.01</v>
      </c>
      <c r="H30" s="27"/>
      <c r="I30" s="27">
        <f>G30</f>
        <v>-302358.01</v>
      </c>
      <c r="J30" s="42">
        <f t="shared" si="3"/>
        <v>0</v>
      </c>
    </row>
    <row r="31" spans="1:11" x14ac:dyDescent="0.2">
      <c r="A31" s="54">
        <v>11500031</v>
      </c>
      <c r="B31" s="18" t="s">
        <v>32</v>
      </c>
      <c r="C31" s="27">
        <v>-69106038.659999982</v>
      </c>
      <c r="D31" s="50">
        <f>C31</f>
        <v>-69106038.659999982</v>
      </c>
      <c r="E31" s="27"/>
      <c r="F31" s="42">
        <f t="shared" si="2"/>
        <v>0</v>
      </c>
      <c r="G31" s="27">
        <v>-70432488.659999996</v>
      </c>
      <c r="H31" s="27">
        <f>G31</f>
        <v>-70432488.659999996</v>
      </c>
      <c r="I31" s="27"/>
      <c r="J31" s="42">
        <f t="shared" si="3"/>
        <v>0</v>
      </c>
    </row>
    <row r="32" spans="1:11" x14ac:dyDescent="0.2">
      <c r="A32" s="57">
        <v>11500041</v>
      </c>
      <c r="B32" s="18" t="s">
        <v>33</v>
      </c>
      <c r="C32" s="27">
        <v>-51033137.240000002</v>
      </c>
      <c r="D32" s="50">
        <f>C32</f>
        <v>-51033137.240000002</v>
      </c>
      <c r="E32" s="27"/>
      <c r="F32" s="42">
        <f t="shared" si="2"/>
        <v>0</v>
      </c>
      <c r="G32" s="27">
        <v>-53341386.920000002</v>
      </c>
      <c r="H32" s="27">
        <f>G32</f>
        <v>-53341386.920000002</v>
      </c>
      <c r="I32" s="27"/>
      <c r="J32" s="42">
        <f t="shared" si="3"/>
        <v>0</v>
      </c>
    </row>
    <row r="33" spans="1:14" x14ac:dyDescent="0.2">
      <c r="A33" s="54">
        <v>11500051</v>
      </c>
      <c r="B33" s="18" t="s">
        <v>34</v>
      </c>
      <c r="C33" s="27">
        <v>-16950332.900000002</v>
      </c>
      <c r="D33" s="50">
        <f>C33</f>
        <v>-16950332.900000002</v>
      </c>
      <c r="E33" s="27"/>
      <c r="F33" s="42">
        <f t="shared" si="2"/>
        <v>0</v>
      </c>
      <c r="G33" s="27">
        <v>-16950332.899999999</v>
      </c>
      <c r="H33" s="27">
        <f>G33</f>
        <v>-16950332.899999999</v>
      </c>
      <c r="I33" s="27"/>
      <c r="J33" s="42">
        <f t="shared" si="3"/>
        <v>0</v>
      </c>
    </row>
    <row r="34" spans="1:14" x14ac:dyDescent="0.2">
      <c r="A34" s="54">
        <v>11500061</v>
      </c>
      <c r="B34" s="18" t="s">
        <v>35</v>
      </c>
      <c r="C34" s="27">
        <v>-8157255.7699999996</v>
      </c>
      <c r="D34" s="50">
        <f>C34</f>
        <v>-8157255.7699999996</v>
      </c>
      <c r="E34" s="27"/>
      <c r="F34" s="42">
        <f t="shared" si="2"/>
        <v>0</v>
      </c>
      <c r="G34" s="27">
        <v>-8729752.6699999999</v>
      </c>
      <c r="H34" s="27">
        <f>G34</f>
        <v>-8729752.6699999999</v>
      </c>
      <c r="I34" s="27"/>
      <c r="J34" s="42">
        <f t="shared" si="3"/>
        <v>0</v>
      </c>
    </row>
    <row r="35" spans="1:14" x14ac:dyDescent="0.2">
      <c r="A35" s="54" t="s">
        <v>73</v>
      </c>
      <c r="B35" s="23"/>
      <c r="C35" s="30">
        <f>SUM(C25:C34)</f>
        <v>-4601603518.9031458</v>
      </c>
      <c r="D35" s="70">
        <f>SUM(D25:D34)</f>
        <v>-2098018873.0405004</v>
      </c>
      <c r="E35" s="30">
        <f>SUM(E25:E34)</f>
        <v>-2503584645.8684788</v>
      </c>
      <c r="F35" s="42">
        <f t="shared" si="2"/>
        <v>0</v>
      </c>
      <c r="G35" s="30">
        <f>SUM(G25:G34)</f>
        <v>-4645723532.7514553</v>
      </c>
      <c r="H35" s="30">
        <f>SUM(H25:H34)</f>
        <v>-2039584128.7154167</v>
      </c>
      <c r="I35" s="30">
        <f>SUM(I25:I34)</f>
        <v>-2606139404.3427486</v>
      </c>
      <c r="J35" s="42">
        <f t="shared" si="3"/>
        <v>0</v>
      </c>
    </row>
    <row r="36" spans="1:14" x14ac:dyDescent="0.2">
      <c r="A36" s="52"/>
      <c r="B36" s="23"/>
      <c r="C36" s="29"/>
      <c r="D36" s="71"/>
      <c r="E36" s="29"/>
      <c r="F36" s="42"/>
      <c r="G36" s="29"/>
      <c r="H36" s="29"/>
      <c r="I36" s="29"/>
      <c r="J36" s="42"/>
    </row>
    <row r="37" spans="1:14" x14ac:dyDescent="0.2">
      <c r="A37" s="54" t="s">
        <v>75</v>
      </c>
      <c r="B37" s="18"/>
      <c r="C37" s="21">
        <f>C17+C35</f>
        <v>6597512429.739707</v>
      </c>
      <c r="D37" s="72">
        <f>D17+D35</f>
        <v>2164090874.550334</v>
      </c>
      <c r="E37" s="21">
        <f>E17+E35</f>
        <v>4433421555.1835384</v>
      </c>
      <c r="F37" s="42">
        <f>ROUND(SUM(D37:E37)-C37,0)</f>
        <v>0</v>
      </c>
      <c r="G37" s="21">
        <f>G17+G35</f>
        <v>6514596689.3017921</v>
      </c>
      <c r="H37" s="21">
        <f>H17+H35</f>
        <v>2054637186.6945837</v>
      </c>
      <c r="I37" s="21">
        <f>I17+I35</f>
        <v>4459959502.3872509</v>
      </c>
      <c r="J37" s="42">
        <f>ROUNDDOWN(SUM(H37:I37)-G37,0)</f>
        <v>0</v>
      </c>
    </row>
    <row r="38" spans="1:14" x14ac:dyDescent="0.2">
      <c r="A38" s="52"/>
      <c r="B38" s="23"/>
      <c r="C38" s="24"/>
      <c r="D38" s="69"/>
      <c r="E38" s="24"/>
      <c r="F38" s="24"/>
      <c r="G38" s="24"/>
      <c r="H38" s="24"/>
      <c r="I38" s="24"/>
      <c r="J38" s="24"/>
    </row>
    <row r="39" spans="1:14" x14ac:dyDescent="0.2">
      <c r="A39" s="54">
        <v>23001021</v>
      </c>
      <c r="B39" s="18" t="s">
        <v>36</v>
      </c>
      <c r="C39" s="27">
        <v>-54298632.982083321</v>
      </c>
      <c r="D39" s="50">
        <f>C39</f>
        <v>-54298632.982083321</v>
      </c>
      <c r="E39" s="27"/>
      <c r="F39" s="42">
        <f t="shared" ref="F39:F56" si="4">ROUND(SUM(D39:E39)-C39,0)</f>
        <v>0</v>
      </c>
      <c r="G39" s="27">
        <v>-54653789.909999996</v>
      </c>
      <c r="H39" s="27">
        <f>G39</f>
        <v>-54653789.909999996</v>
      </c>
      <c r="I39" s="27"/>
      <c r="J39" s="42">
        <f t="shared" ref="J39:J56" si="5">ROUND(SUM(H39:I39)-G39,0)</f>
        <v>0</v>
      </c>
      <c r="M39" s="10"/>
      <c r="N39" s="16"/>
    </row>
    <row r="40" spans="1:14" x14ac:dyDescent="0.2">
      <c r="A40" s="54">
        <v>23001031</v>
      </c>
      <c r="B40" s="18" t="s">
        <v>37</v>
      </c>
      <c r="C40" s="27">
        <v>-38515734.202499993</v>
      </c>
      <c r="D40" s="50">
        <f>C40</f>
        <v>-38515734.202499993</v>
      </c>
      <c r="E40" s="27"/>
      <c r="F40" s="42">
        <f t="shared" si="4"/>
        <v>0</v>
      </c>
      <c r="G40" s="27">
        <v>-38447213.789999999</v>
      </c>
      <c r="H40" s="27">
        <f>G40</f>
        <v>-38447213.789999999</v>
      </c>
      <c r="I40" s="27"/>
      <c r="J40" s="42">
        <f t="shared" si="5"/>
        <v>0</v>
      </c>
      <c r="M40" s="10"/>
      <c r="N40" s="16"/>
    </row>
    <row r="41" spans="1:14" x14ac:dyDescent="0.2">
      <c r="A41" s="54">
        <v>23001041</v>
      </c>
      <c r="B41" s="18" t="s">
        <v>38</v>
      </c>
      <c r="C41" s="27">
        <v>-14904084.730416669</v>
      </c>
      <c r="D41" s="50">
        <f>C41</f>
        <v>-14904084.730416669</v>
      </c>
      <c r="E41" s="27"/>
      <c r="F41" s="42">
        <f t="shared" si="4"/>
        <v>0</v>
      </c>
      <c r="G41" s="27">
        <v>-15156263.23</v>
      </c>
      <c r="H41" s="27">
        <f>G41</f>
        <v>-15156263.23</v>
      </c>
      <c r="I41" s="27"/>
      <c r="J41" s="42">
        <f t="shared" si="5"/>
        <v>0</v>
      </c>
      <c r="M41" s="10"/>
      <c r="N41" s="16"/>
    </row>
    <row r="42" spans="1:14" x14ac:dyDescent="0.2">
      <c r="A42" s="54">
        <v>23001061</v>
      </c>
      <c r="B42" s="18" t="s">
        <v>39</v>
      </c>
      <c r="C42" s="27">
        <v>-3423784.7254166664</v>
      </c>
      <c r="D42" s="50"/>
      <c r="E42" s="27">
        <f>C42</f>
        <v>-3423784.7254166664</v>
      </c>
      <c r="F42" s="42">
        <f t="shared" si="4"/>
        <v>0</v>
      </c>
      <c r="G42" s="27">
        <v>-2476842.4</v>
      </c>
      <c r="H42" s="27"/>
      <c r="I42" s="27">
        <f>G42</f>
        <v>-2476842.4</v>
      </c>
      <c r="J42" s="42">
        <f t="shared" si="5"/>
        <v>0</v>
      </c>
    </row>
    <row r="43" spans="1:14" x14ac:dyDescent="0.2">
      <c r="A43" s="54">
        <v>23001071</v>
      </c>
      <c r="B43" s="18" t="s">
        <v>40</v>
      </c>
      <c r="C43" s="27">
        <v>-9375492.2562499996</v>
      </c>
      <c r="D43" s="50"/>
      <c r="E43" s="27">
        <f>C43</f>
        <v>-9375492.2562499996</v>
      </c>
      <c r="F43" s="42">
        <f t="shared" si="4"/>
        <v>0</v>
      </c>
      <c r="G43" s="27">
        <v>-9810394.9399999995</v>
      </c>
      <c r="H43" s="27"/>
      <c r="I43" s="27">
        <f>G43</f>
        <v>-9810394.9399999995</v>
      </c>
      <c r="J43" s="42">
        <f t="shared" si="5"/>
        <v>0</v>
      </c>
    </row>
    <row r="44" spans="1:14" x14ac:dyDescent="0.2">
      <c r="A44" s="54">
        <v>23001131</v>
      </c>
      <c r="B44" s="18" t="s">
        <v>41</v>
      </c>
      <c r="C44" s="27">
        <v>-20926557.073333334</v>
      </c>
      <c r="D44" s="50">
        <f>C44</f>
        <v>-20926557.073333334</v>
      </c>
      <c r="E44" s="27"/>
      <c r="F44" s="42">
        <f t="shared" si="4"/>
        <v>0</v>
      </c>
      <c r="G44" s="27">
        <v>-21336588.289999999</v>
      </c>
      <c r="H44" s="27">
        <f>G44</f>
        <v>-21336588.289999999</v>
      </c>
      <c r="I44" s="27"/>
      <c r="J44" s="42">
        <f t="shared" si="5"/>
        <v>0</v>
      </c>
      <c r="M44" s="10"/>
      <c r="N44" s="16"/>
    </row>
    <row r="45" spans="1:14" x14ac:dyDescent="0.2">
      <c r="A45" s="54">
        <v>23001151</v>
      </c>
      <c r="B45" s="18" t="s">
        <v>43</v>
      </c>
      <c r="C45" s="27">
        <v>-126515.81583333331</v>
      </c>
      <c r="D45" s="50">
        <f>C45</f>
        <v>-126515.81583333331</v>
      </c>
      <c r="E45" s="27"/>
      <c r="F45" s="42">
        <f t="shared" si="4"/>
        <v>0</v>
      </c>
      <c r="G45" s="27">
        <v>-127731.35</v>
      </c>
      <c r="H45" s="27">
        <f>G45</f>
        <v>-127731.35</v>
      </c>
      <c r="I45" s="27"/>
      <c r="J45" s="42">
        <f t="shared" si="5"/>
        <v>0</v>
      </c>
      <c r="N45" s="16"/>
    </row>
    <row r="46" spans="1:14" x14ac:dyDescent="0.2">
      <c r="A46" s="54">
        <v>23002011</v>
      </c>
      <c r="B46" s="18" t="s">
        <v>45</v>
      </c>
      <c r="C46" s="27">
        <v>-1142291.79125</v>
      </c>
      <c r="D46" s="50">
        <f>C46</f>
        <v>-1142291.79125</v>
      </c>
      <c r="E46" s="27"/>
      <c r="F46" s="42">
        <f t="shared" si="4"/>
        <v>0</v>
      </c>
      <c r="G46" s="27">
        <v>-1177375.58</v>
      </c>
      <c r="H46" s="27">
        <f>G46</f>
        <v>-1177375.58</v>
      </c>
      <c r="I46" s="27"/>
      <c r="J46" s="42">
        <f t="shared" si="5"/>
        <v>0</v>
      </c>
      <c r="M46" s="10"/>
      <c r="N46" s="16"/>
    </row>
    <row r="47" spans="1:14" x14ac:dyDescent="0.2">
      <c r="A47" s="54">
        <v>23002041</v>
      </c>
      <c r="B47" s="18" t="s">
        <v>46</v>
      </c>
      <c r="C47" s="27">
        <v>-25404398.260833334</v>
      </c>
      <c r="D47" s="50">
        <f>C47</f>
        <v>-25404398.260833334</v>
      </c>
      <c r="E47" s="27"/>
      <c r="F47" s="42">
        <f t="shared" si="4"/>
        <v>0</v>
      </c>
      <c r="G47" s="27">
        <v>-25837842.18</v>
      </c>
      <c r="H47" s="27">
        <f>G47</f>
        <v>-25837842.18</v>
      </c>
      <c r="I47" s="27"/>
      <c r="J47" s="42">
        <f t="shared" si="5"/>
        <v>0</v>
      </c>
      <c r="M47" s="10"/>
      <c r="N47" s="16"/>
    </row>
    <row r="48" spans="1:14" x14ac:dyDescent="0.2">
      <c r="A48" s="54">
        <v>23002061</v>
      </c>
      <c r="B48" s="18" t="s">
        <v>47</v>
      </c>
      <c r="C48" s="27">
        <v>53378.462500000001</v>
      </c>
      <c r="D48" s="50"/>
      <c r="E48" s="27">
        <f>C48</f>
        <v>53378.462500000001</v>
      </c>
      <c r="F48" s="42">
        <f t="shared" si="4"/>
        <v>0</v>
      </c>
      <c r="G48" s="27">
        <v>51575.26</v>
      </c>
      <c r="H48" s="27"/>
      <c r="I48" s="27">
        <f>G48</f>
        <v>51575.26</v>
      </c>
      <c r="J48" s="42">
        <f t="shared" si="5"/>
        <v>0</v>
      </c>
      <c r="M48" s="10"/>
    </row>
    <row r="49" spans="1:10" x14ac:dyDescent="0.2">
      <c r="A49" s="54">
        <v>23002071</v>
      </c>
      <c r="B49" s="18" t="s">
        <v>48</v>
      </c>
      <c r="C49" s="27">
        <v>220301.17208333328</v>
      </c>
      <c r="D49" s="50"/>
      <c r="E49" s="27">
        <f>C49</f>
        <v>220301.17208333328</v>
      </c>
      <c r="F49" s="42">
        <f t="shared" si="4"/>
        <v>0</v>
      </c>
      <c r="G49" s="27">
        <v>242484.51</v>
      </c>
      <c r="H49" s="27"/>
      <c r="I49" s="27">
        <f>G49</f>
        <v>242484.51</v>
      </c>
      <c r="J49" s="42">
        <f t="shared" si="5"/>
        <v>0</v>
      </c>
    </row>
    <row r="50" spans="1:10" x14ac:dyDescent="0.2">
      <c r="A50" s="54">
        <v>23002091</v>
      </c>
      <c r="B50" s="18" t="s">
        <v>49</v>
      </c>
      <c r="C50" s="27">
        <v>-6884792.0512499986</v>
      </c>
      <c r="D50" s="50"/>
      <c r="E50" s="27">
        <f>C50</f>
        <v>-6884792.0512499986</v>
      </c>
      <c r="F50" s="42">
        <f t="shared" si="4"/>
        <v>0</v>
      </c>
      <c r="G50" s="27">
        <v>-8145349.7699999996</v>
      </c>
      <c r="H50" s="27"/>
      <c r="I50" s="27">
        <f>G50</f>
        <v>-8145349.7699999996</v>
      </c>
      <c r="J50" s="42">
        <f t="shared" si="5"/>
        <v>0</v>
      </c>
    </row>
    <row r="51" spans="1:10" x14ac:dyDescent="0.2">
      <c r="A51" s="54" t="s">
        <v>50</v>
      </c>
      <c r="B51" s="18" t="s">
        <v>51</v>
      </c>
      <c r="C51" s="27">
        <f>C96</f>
        <v>-354672.74396999995</v>
      </c>
      <c r="D51" s="50"/>
      <c r="E51" s="27">
        <f>C51</f>
        <v>-354672.74396999995</v>
      </c>
      <c r="F51" s="42">
        <f t="shared" si="4"/>
        <v>0</v>
      </c>
      <c r="G51" s="27">
        <f>G96</f>
        <v>-369002.86436499999</v>
      </c>
      <c r="H51" s="27"/>
      <c r="I51" s="27">
        <f>G51</f>
        <v>-369002.86436499999</v>
      </c>
      <c r="J51" s="42">
        <f t="shared" si="5"/>
        <v>0</v>
      </c>
    </row>
    <row r="52" spans="1:10" x14ac:dyDescent="0.2">
      <c r="A52" s="54">
        <v>23003021</v>
      </c>
      <c r="B52" s="18" t="s">
        <v>52</v>
      </c>
      <c r="C52" s="27">
        <v>4259499.375</v>
      </c>
      <c r="D52" s="50">
        <f>C52</f>
        <v>4259499.375</v>
      </c>
      <c r="E52" s="27"/>
      <c r="F52" s="42">
        <f t="shared" si="4"/>
        <v>0</v>
      </c>
      <c r="G52" s="27">
        <v>5745730</v>
      </c>
      <c r="H52" s="27">
        <f>G52</f>
        <v>5745730</v>
      </c>
      <c r="I52" s="27"/>
      <c r="J52" s="42">
        <f t="shared" si="5"/>
        <v>0</v>
      </c>
    </row>
    <row r="53" spans="1:10" x14ac:dyDescent="0.2">
      <c r="A53" s="54">
        <v>23003031</v>
      </c>
      <c r="B53" s="18" t="s">
        <v>53</v>
      </c>
      <c r="C53" s="27">
        <v>2351613.0416666665</v>
      </c>
      <c r="D53" s="50">
        <f>C53</f>
        <v>2351613.0416666665</v>
      </c>
      <c r="E53" s="27"/>
      <c r="F53" s="42">
        <f t="shared" si="4"/>
        <v>0</v>
      </c>
      <c r="G53" s="27">
        <v>2105560</v>
      </c>
      <c r="H53" s="27">
        <f>G53</f>
        <v>2105560</v>
      </c>
      <c r="I53" s="27"/>
      <c r="J53" s="42">
        <f t="shared" si="5"/>
        <v>0</v>
      </c>
    </row>
    <row r="54" spans="1:10" x14ac:dyDescent="0.2">
      <c r="A54" s="57">
        <v>23001141</v>
      </c>
      <c r="B54" s="18" t="s">
        <v>42</v>
      </c>
      <c r="C54" s="27">
        <v>-600615.29708333337</v>
      </c>
      <c r="D54" s="50">
        <f>C54</f>
        <v>-600615.29708333337</v>
      </c>
      <c r="E54" s="27"/>
      <c r="F54" s="42">
        <f t="shared" si="4"/>
        <v>0</v>
      </c>
      <c r="G54" s="27">
        <v>-606542.75</v>
      </c>
      <c r="H54" s="27">
        <f>G54</f>
        <v>-606542.75</v>
      </c>
      <c r="I54" s="27"/>
      <c r="J54" s="42">
        <f t="shared" si="5"/>
        <v>0</v>
      </c>
    </row>
    <row r="55" spans="1:10" x14ac:dyDescent="0.2">
      <c r="A55" s="57">
        <v>23001231</v>
      </c>
      <c r="B55" s="18" t="s">
        <v>44</v>
      </c>
      <c r="C55" s="27">
        <v>-1347164.5162500001</v>
      </c>
      <c r="D55" s="50">
        <f>C55</f>
        <v>-1347164.5162500001</v>
      </c>
      <c r="E55" s="27"/>
      <c r="F55" s="42">
        <f t="shared" si="4"/>
        <v>0</v>
      </c>
      <c r="G55" s="27">
        <v>-1373152.61</v>
      </c>
      <c r="H55" s="27">
        <f>G55</f>
        <v>-1373152.61</v>
      </c>
      <c r="I55" s="27"/>
      <c r="J55" s="42">
        <f t="shared" si="5"/>
        <v>0</v>
      </c>
    </row>
    <row r="56" spans="1:10" x14ac:dyDescent="0.2">
      <c r="A56" s="57"/>
      <c r="B56" s="18" t="s">
        <v>76</v>
      </c>
      <c r="C56" s="30">
        <f>SUM(C39:C55)</f>
        <v>-170419944.39521998</v>
      </c>
      <c r="D56" s="70">
        <f>SUM(D39:D55)</f>
        <v>-150654882.25291669</v>
      </c>
      <c r="E56" s="30">
        <f>SUM(E39:E55)</f>
        <v>-19765062.142303329</v>
      </c>
      <c r="F56" s="42">
        <f t="shared" si="4"/>
        <v>0</v>
      </c>
      <c r="G56" s="30">
        <f>SUM(G39:G55)</f>
        <v>-171372739.89436507</v>
      </c>
      <c r="H56" s="30">
        <f>SUM(H39:H55)</f>
        <v>-150865209.69</v>
      </c>
      <c r="I56" s="30">
        <f>SUM(I39:I55)</f>
        <v>-20507530.204365</v>
      </c>
      <c r="J56" s="42">
        <f t="shared" si="5"/>
        <v>0</v>
      </c>
    </row>
    <row r="57" spans="1:10" x14ac:dyDescent="0.2">
      <c r="A57" s="54"/>
      <c r="B57" s="18"/>
      <c r="C57" s="30"/>
      <c r="D57" s="70"/>
      <c r="E57" s="30"/>
      <c r="F57" s="42"/>
      <c r="G57" s="30"/>
      <c r="H57" s="30"/>
      <c r="I57" s="30"/>
      <c r="J57" s="42"/>
    </row>
    <row r="58" spans="1:10" x14ac:dyDescent="0.2">
      <c r="A58" s="54"/>
      <c r="B58" s="18" t="s">
        <v>72</v>
      </c>
      <c r="C58" s="27">
        <f>C110</f>
        <v>-5624869.2409549998</v>
      </c>
      <c r="D58" s="50"/>
      <c r="E58" s="27">
        <f>C58</f>
        <v>-5624869.2409549998</v>
      </c>
      <c r="F58" s="42">
        <f>ROUND(SUM(D58:E58)-C58,0)</f>
        <v>0</v>
      </c>
      <c r="G58" s="27">
        <f>G110</f>
        <v>-5319333.2700400008</v>
      </c>
      <c r="H58" s="27"/>
      <c r="I58" s="27">
        <f>G58</f>
        <v>-5319333.2700400008</v>
      </c>
      <c r="J58" s="42">
        <f>ROUND(SUM(H58:I58)-G58,0)</f>
        <v>0</v>
      </c>
    </row>
    <row r="59" spans="1:10" x14ac:dyDescent="0.2">
      <c r="C59" s="31"/>
      <c r="D59" s="73"/>
      <c r="E59" s="31"/>
      <c r="F59" s="42"/>
      <c r="G59" s="31"/>
      <c r="H59" s="31"/>
      <c r="I59" s="31"/>
      <c r="J59" s="42"/>
    </row>
    <row r="60" spans="1:10" ht="15" thickBot="1" x14ac:dyDescent="0.25">
      <c r="A60" s="8" t="s">
        <v>77</v>
      </c>
      <c r="C60" s="32">
        <f>C37+C56+C58</f>
        <v>6421467616.1035318</v>
      </c>
      <c r="D60" s="74">
        <f>D37+D56+D58</f>
        <v>2013435992.2974172</v>
      </c>
      <c r="E60" s="32">
        <f>E37+E56+E58</f>
        <v>4408031623.8002796</v>
      </c>
      <c r="F60" s="42">
        <f>ROUND(SUM(D60:E60)-C60,0)</f>
        <v>0</v>
      </c>
      <c r="G60" s="32">
        <f>G37+G56+G58</f>
        <v>6337904616.1373873</v>
      </c>
      <c r="H60" s="32">
        <f>H37+H56+H58</f>
        <v>1903771977.0045836</v>
      </c>
      <c r="I60" s="32">
        <f>I37+I56+I58</f>
        <v>4434132638.9128466</v>
      </c>
      <c r="J60" s="42">
        <f>ROUNDDOWN(SUM(H60:I60)-G60,0)</f>
        <v>0</v>
      </c>
    </row>
    <row r="61" spans="1:10" ht="15" thickTop="1" x14ac:dyDescent="0.2">
      <c r="C61" s="42">
        <f>'6-2020 Qtrly Rpt UE-200743'!B59-C60</f>
        <v>0</v>
      </c>
      <c r="D61" s="68"/>
      <c r="F61" s="42"/>
      <c r="G61" s="42">
        <f>'6-2020 Qtrly Rpt UE-200743'!C59-G60</f>
        <v>0</v>
      </c>
      <c r="J61" s="42"/>
    </row>
    <row r="62" spans="1:10" x14ac:dyDescent="0.2">
      <c r="A62" s="8" t="s">
        <v>116</v>
      </c>
      <c r="C62" s="42"/>
      <c r="D62" s="50">
        <f>'[1]Col Depr Adj'!$G$303</f>
        <v>1578274.6299999158</v>
      </c>
      <c r="F62" s="42"/>
      <c r="H62" s="27">
        <f>'[1]Col Depr Adj'!$B$303</f>
        <v>1400940.2499999157</v>
      </c>
      <c r="J62" s="42"/>
    </row>
    <row r="63" spans="1:10" x14ac:dyDescent="0.2">
      <c r="A63" s="8" t="s">
        <v>117</v>
      </c>
      <c r="C63" s="42"/>
      <c r="D63" s="50">
        <f>'[1]Col Acq Adj'!$F$21</f>
        <v>467755.39350000006</v>
      </c>
      <c r="F63" s="42"/>
      <c r="H63" s="27">
        <f>'[1]Col Acq Adj'!$G$21</f>
        <v>415599.7905</v>
      </c>
      <c r="J63" s="42"/>
    </row>
    <row r="64" spans="1:10" x14ac:dyDescent="0.2">
      <c r="A64" s="8" t="s">
        <v>118</v>
      </c>
      <c r="C64" s="42"/>
      <c r="D64" s="27">
        <f>-DFIT!$Q$353</f>
        <v>-488477983.55321652</v>
      </c>
      <c r="F64" s="42"/>
      <c r="H64" s="27">
        <f>-DFIT!$R$353</f>
        <v>-464140049.55676377</v>
      </c>
      <c r="J64" s="42"/>
    </row>
    <row r="65" spans="1:10" x14ac:dyDescent="0.2">
      <c r="C65" s="42"/>
      <c r="F65" s="42"/>
      <c r="J65" s="42"/>
    </row>
    <row r="66" spans="1:10" x14ac:dyDescent="0.2">
      <c r="A66" s="8" t="s">
        <v>119</v>
      </c>
      <c r="C66" s="42"/>
      <c r="D66" s="11">
        <f>SUM(D60:D65)</f>
        <v>1527004038.7677007</v>
      </c>
      <c r="F66" s="42"/>
      <c r="H66" s="11">
        <f>SUM(H60:H65)</f>
        <v>1441448467.4883199</v>
      </c>
      <c r="I66" s="11"/>
      <c r="J66" s="42"/>
    </row>
    <row r="67" spans="1:10" x14ac:dyDescent="0.2">
      <c r="C67" s="42"/>
      <c r="D67" s="11"/>
      <c r="E67" s="41"/>
      <c r="F67" s="42"/>
      <c r="H67" s="11"/>
      <c r="J67" s="42"/>
    </row>
    <row r="68" spans="1:10" ht="15" thickBot="1" x14ac:dyDescent="0.25">
      <c r="A68" s="22"/>
      <c r="B68" s="23"/>
      <c r="C68" s="24"/>
      <c r="D68" s="24"/>
      <c r="E68" s="24"/>
      <c r="F68" s="24"/>
      <c r="G68" s="24"/>
      <c r="H68" s="24"/>
      <c r="I68" s="24"/>
      <c r="J68" s="24"/>
    </row>
    <row r="69" spans="1:10" x14ac:dyDescent="0.2">
      <c r="A69" s="33"/>
      <c r="B69" s="34"/>
      <c r="C69" s="35"/>
      <c r="D69" s="35"/>
      <c r="E69" s="35"/>
      <c r="F69" s="35"/>
      <c r="G69" s="35"/>
      <c r="H69" s="35"/>
      <c r="I69" s="35"/>
      <c r="J69" s="35"/>
    </row>
    <row r="71" spans="1:10" x14ac:dyDescent="0.2">
      <c r="A71" s="8">
        <v>10100503</v>
      </c>
      <c r="B71" s="18" t="s">
        <v>5</v>
      </c>
      <c r="C71" s="9">
        <v>1010490868.455</v>
      </c>
      <c r="D71" s="9"/>
      <c r="E71" s="9"/>
      <c r="F71" s="9"/>
      <c r="G71" s="9">
        <v>1033113097.23</v>
      </c>
      <c r="H71" s="9"/>
      <c r="I71" s="9"/>
      <c r="J71" s="9"/>
    </row>
    <row r="72" spans="1:10" x14ac:dyDescent="0.2">
      <c r="A72" s="8" t="s">
        <v>7</v>
      </c>
      <c r="B72" s="18" t="s">
        <v>8</v>
      </c>
      <c r="C72" s="16">
        <v>465598.72166666668</v>
      </c>
      <c r="D72" s="16"/>
      <c r="E72" s="16"/>
      <c r="F72" s="16"/>
      <c r="G72" s="16">
        <v>0</v>
      </c>
      <c r="H72" s="16"/>
      <c r="I72" s="16"/>
      <c r="J72" s="16"/>
    </row>
    <row r="73" spans="1:10" x14ac:dyDescent="0.2">
      <c r="A73" s="8">
        <v>10600503</v>
      </c>
      <c r="B73" s="18" t="s">
        <v>12</v>
      </c>
      <c r="C73" s="16">
        <v>22213986.177916665</v>
      </c>
      <c r="D73" s="16"/>
      <c r="E73" s="16"/>
      <c r="F73" s="16"/>
      <c r="G73" s="16">
        <v>22710939.640000001</v>
      </c>
      <c r="H73" s="16"/>
      <c r="I73" s="16"/>
      <c r="J73" s="16"/>
    </row>
    <row r="74" spans="1:10" ht="15" thickBot="1" x14ac:dyDescent="0.25">
      <c r="B74" s="18"/>
      <c r="C74" s="17">
        <f>SUM(C71:C73)</f>
        <v>1033170453.3545834</v>
      </c>
      <c r="D74" s="17"/>
      <c r="E74" s="17"/>
      <c r="F74" s="17"/>
      <c r="G74" s="17">
        <f>SUM(G71:G73)</f>
        <v>1055824036.87</v>
      </c>
      <c r="H74" s="17"/>
      <c r="I74" s="17"/>
      <c r="J74" s="17"/>
    </row>
    <row r="75" spans="1:10" ht="15" thickTop="1" x14ac:dyDescent="0.2">
      <c r="B75" s="18"/>
      <c r="C75" s="19"/>
      <c r="D75" s="19"/>
      <c r="E75" s="19"/>
      <c r="F75" s="19"/>
      <c r="G75" s="19"/>
      <c r="H75" s="19"/>
      <c r="I75" s="19"/>
      <c r="J75" s="19"/>
    </row>
    <row r="76" spans="1:10" x14ac:dyDescent="0.2">
      <c r="A76" s="8" t="s">
        <v>68</v>
      </c>
      <c r="C76" s="11">
        <f>H76*C74</f>
        <v>685508595.80076611</v>
      </c>
      <c r="D76" s="11"/>
      <c r="E76" s="11"/>
      <c r="F76" s="11"/>
      <c r="G76" s="11">
        <f>H76*G74</f>
        <v>700539248.46324503</v>
      </c>
      <c r="H76" s="223">
        <v>0.66349999999999998</v>
      </c>
      <c r="I76" s="11"/>
      <c r="J76" s="11"/>
    </row>
    <row r="77" spans="1:10" x14ac:dyDescent="0.2">
      <c r="A77" s="8" t="s">
        <v>69</v>
      </c>
      <c r="C77" s="16">
        <f>C74*H77</f>
        <v>347661857.55381733</v>
      </c>
      <c r="D77" s="16"/>
      <c r="E77" s="16"/>
      <c r="F77" s="16"/>
      <c r="G77" s="16">
        <f>G74*H77</f>
        <v>355284788.40675503</v>
      </c>
      <c r="H77" s="223">
        <f>1-H76</f>
        <v>0.33650000000000002</v>
      </c>
      <c r="I77" s="16"/>
      <c r="J77" s="16"/>
    </row>
    <row r="78" spans="1:10" ht="15" thickBot="1" x14ac:dyDescent="0.25">
      <c r="A78" s="8">
        <v>10100503</v>
      </c>
      <c r="B78" s="18" t="s">
        <v>5</v>
      </c>
      <c r="C78" s="17">
        <f>SUM(C76:C77)</f>
        <v>1033170453.3545835</v>
      </c>
      <c r="D78" s="17"/>
      <c r="E78" s="17"/>
      <c r="F78" s="17"/>
      <c r="G78" s="17">
        <f>SUM(G76:G77)</f>
        <v>1055824036.8700001</v>
      </c>
      <c r="H78" s="17"/>
      <c r="I78" s="17"/>
      <c r="J78" s="17"/>
    </row>
    <row r="79" spans="1:10" ht="15" thickTop="1" x14ac:dyDescent="0.2"/>
    <row r="80" spans="1:10" x14ac:dyDescent="0.2">
      <c r="A80" s="8">
        <v>10800503</v>
      </c>
      <c r="B80" s="18" t="s">
        <v>14</v>
      </c>
      <c r="C80" s="9">
        <v>-134415899.96125001</v>
      </c>
      <c r="D80" s="9"/>
      <c r="E80" s="9"/>
      <c r="F80" s="9"/>
      <c r="G80" s="9">
        <v>-142110370.03999999</v>
      </c>
      <c r="H80" s="9"/>
      <c r="I80" s="9"/>
      <c r="J80" s="9"/>
    </row>
    <row r="81" spans="1:10" x14ac:dyDescent="0.2">
      <c r="A81" s="8">
        <v>11100503</v>
      </c>
      <c r="B81" s="18" t="s">
        <v>23</v>
      </c>
      <c r="C81" s="16">
        <v>-240687715.52833331</v>
      </c>
      <c r="D81" s="16"/>
      <c r="E81" s="16"/>
      <c r="F81" s="16"/>
      <c r="G81" s="16">
        <v>-284734140.5</v>
      </c>
      <c r="H81" s="16"/>
      <c r="I81" s="16"/>
      <c r="J81" s="16"/>
    </row>
    <row r="82" spans="1:10" ht="15" thickBot="1" x14ac:dyDescent="0.25">
      <c r="C82" s="17">
        <f>SUM(C80:C81)</f>
        <v>-375103615.48958331</v>
      </c>
      <c r="D82" s="17"/>
      <c r="E82" s="17"/>
      <c r="F82" s="17"/>
      <c r="G82" s="17">
        <f>SUM(G80:G81)</f>
        <v>-426844510.53999996</v>
      </c>
      <c r="H82" s="17"/>
      <c r="I82" s="17"/>
      <c r="J82" s="17"/>
    </row>
    <row r="83" spans="1:10" ht="15" thickTop="1" x14ac:dyDescent="0.2"/>
    <row r="84" spans="1:10" x14ac:dyDescent="0.2">
      <c r="A84" s="8" t="s">
        <v>68</v>
      </c>
      <c r="C84" s="11">
        <f>H84*C82</f>
        <v>-248881248.87733853</v>
      </c>
      <c r="D84" s="11"/>
      <c r="E84" s="11"/>
      <c r="F84" s="11"/>
      <c r="G84" s="11">
        <f>H84*G82</f>
        <v>-283211332.74328995</v>
      </c>
      <c r="H84" s="223">
        <v>0.66349999999999998</v>
      </c>
      <c r="I84" s="11"/>
      <c r="J84" s="11"/>
    </row>
    <row r="85" spans="1:10" x14ac:dyDescent="0.2">
      <c r="A85" s="8" t="s">
        <v>69</v>
      </c>
      <c r="C85" s="16">
        <f>C82*H85</f>
        <v>-126222366.6122448</v>
      </c>
      <c r="D85" s="16"/>
      <c r="E85" s="16"/>
      <c r="F85" s="16"/>
      <c r="G85" s="16">
        <f>G82*H85</f>
        <v>-143633177.79670998</v>
      </c>
      <c r="H85" s="223">
        <f>1-H84</f>
        <v>0.33650000000000002</v>
      </c>
      <c r="I85" s="16"/>
      <c r="J85" s="16"/>
    </row>
    <row r="86" spans="1:10" ht="15" thickBot="1" x14ac:dyDescent="0.25">
      <c r="A86" s="8">
        <v>10100503</v>
      </c>
      <c r="B86" s="18" t="s">
        <v>5</v>
      </c>
      <c r="C86" s="17">
        <f>SUM(C84:C85)</f>
        <v>-375103615.48958331</v>
      </c>
      <c r="D86" s="17"/>
      <c r="E86" s="17"/>
      <c r="F86" s="17"/>
      <c r="G86" s="17">
        <f>SUM(G84:G85)</f>
        <v>-426844510.53999996</v>
      </c>
      <c r="H86" s="17"/>
      <c r="I86" s="17"/>
      <c r="J86" s="17"/>
    </row>
    <row r="87" spans="1:10" ht="15" thickTop="1" x14ac:dyDescent="0.2"/>
    <row r="88" spans="1:10" ht="15" thickBot="1" x14ac:dyDescent="0.25">
      <c r="A88" s="8">
        <v>10800543</v>
      </c>
      <c r="B88" s="18" t="s">
        <v>16</v>
      </c>
      <c r="C88" s="25">
        <v>2101399.2458333336</v>
      </c>
      <c r="D88" s="25"/>
      <c r="E88" s="25"/>
      <c r="F88" s="25"/>
      <c r="G88" s="25">
        <v>2326235.21</v>
      </c>
      <c r="H88" s="25"/>
      <c r="I88" s="25"/>
      <c r="J88" s="25"/>
    </row>
    <row r="89" spans="1:10" ht="15" thickTop="1" x14ac:dyDescent="0.2"/>
    <row r="90" spans="1:10" x14ac:dyDescent="0.2">
      <c r="A90" s="8" t="s">
        <v>68</v>
      </c>
      <c r="C90" s="11">
        <f>H90*C88</f>
        <v>1394278.3996104167</v>
      </c>
      <c r="D90" s="11"/>
      <c r="E90" s="11"/>
      <c r="F90" s="11"/>
      <c r="G90" s="11">
        <f>H90*G88</f>
        <v>1543457.0618349998</v>
      </c>
      <c r="H90" s="223">
        <v>0.66349999999999998</v>
      </c>
      <c r="I90" s="11"/>
      <c r="J90" s="11"/>
    </row>
    <row r="91" spans="1:10" x14ac:dyDescent="0.2">
      <c r="A91" s="8" t="s">
        <v>69</v>
      </c>
      <c r="C91" s="16">
        <f>C88*H91</f>
        <v>707120.84622291685</v>
      </c>
      <c r="D91" s="16"/>
      <c r="E91" s="16"/>
      <c r="F91" s="16"/>
      <c r="G91" s="16">
        <f>G88*H91</f>
        <v>782778.14816500002</v>
      </c>
      <c r="H91" s="223">
        <f>1-H90</f>
        <v>0.33650000000000002</v>
      </c>
      <c r="I91" s="16"/>
      <c r="J91" s="16"/>
    </row>
    <row r="92" spans="1:10" ht="15" thickBot="1" x14ac:dyDescent="0.25">
      <c r="A92" s="8">
        <v>10800543</v>
      </c>
      <c r="B92" s="18" t="s">
        <v>16</v>
      </c>
      <c r="C92" s="17">
        <f>SUM(C90:C91)</f>
        <v>2101399.2458333336</v>
      </c>
      <c r="D92" s="17"/>
      <c r="E92" s="17"/>
      <c r="F92" s="17"/>
      <c r="G92" s="17">
        <f>SUM(G90:G91)</f>
        <v>2326235.21</v>
      </c>
      <c r="H92" s="224"/>
      <c r="I92" s="17"/>
      <c r="J92" s="17"/>
    </row>
    <row r="93" spans="1:10" ht="15" thickTop="1" x14ac:dyDescent="0.2">
      <c r="H93" s="223"/>
    </row>
    <row r="94" spans="1:10" ht="15" thickBot="1" x14ac:dyDescent="0.25">
      <c r="A94" s="8" t="s">
        <v>50</v>
      </c>
      <c r="B94" s="18" t="s">
        <v>51</v>
      </c>
      <c r="C94" s="25">
        <v>-534548.22</v>
      </c>
      <c r="D94" s="25"/>
      <c r="E94" s="25"/>
      <c r="F94" s="25"/>
      <c r="G94" s="25">
        <v>-556145.99</v>
      </c>
      <c r="H94" s="225"/>
      <c r="I94" s="25"/>
      <c r="J94" s="25"/>
    </row>
    <row r="95" spans="1:10" ht="15" thickTop="1" x14ac:dyDescent="0.2">
      <c r="H95" s="223"/>
    </row>
    <row r="96" spans="1:10" x14ac:dyDescent="0.2">
      <c r="A96" s="8" t="s">
        <v>68</v>
      </c>
      <c r="C96" s="11">
        <f>H96*C94</f>
        <v>-354672.74396999995</v>
      </c>
      <c r="D96" s="11"/>
      <c r="E96" s="11"/>
      <c r="F96" s="11"/>
      <c r="G96" s="11">
        <f>H96*G94</f>
        <v>-369002.86436499999</v>
      </c>
      <c r="H96" s="223">
        <v>0.66349999999999998</v>
      </c>
      <c r="I96" s="11"/>
      <c r="J96" s="11"/>
    </row>
    <row r="97" spans="1:10" x14ac:dyDescent="0.2">
      <c r="A97" s="8" t="s">
        <v>69</v>
      </c>
      <c r="C97" s="16">
        <f>C94*H97</f>
        <v>-179875.47602999999</v>
      </c>
      <c r="D97" s="16"/>
      <c r="E97" s="16"/>
      <c r="F97" s="16"/>
      <c r="G97" s="16">
        <f>G94*H97</f>
        <v>-187143.125635</v>
      </c>
      <c r="H97" s="223">
        <f>1-H96</f>
        <v>0.33650000000000002</v>
      </c>
      <c r="I97" s="16"/>
      <c r="J97" s="16"/>
    </row>
    <row r="98" spans="1:10" ht="15" thickBot="1" x14ac:dyDescent="0.25">
      <c r="A98" s="8" t="s">
        <v>50</v>
      </c>
      <c r="B98" s="18" t="s">
        <v>51</v>
      </c>
      <c r="C98" s="17">
        <f>SUM(C96:C97)</f>
        <v>-534548.22</v>
      </c>
      <c r="D98" s="17"/>
      <c r="E98" s="17"/>
      <c r="F98" s="17"/>
      <c r="G98" s="17">
        <f>SUM(G96:G97)</f>
        <v>-556145.99</v>
      </c>
      <c r="H98" s="17"/>
      <c r="I98" s="17"/>
      <c r="J98" s="17"/>
    </row>
    <row r="99" spans="1:10" ht="15" thickTop="1" x14ac:dyDescent="0.2"/>
    <row r="100" spans="1:10" x14ac:dyDescent="0.2">
      <c r="A100" s="1">
        <v>25300353</v>
      </c>
      <c r="B100" s="18" t="s">
        <v>54</v>
      </c>
      <c r="C100" s="19">
        <v>-5137221.2208333332</v>
      </c>
      <c r="D100" s="19"/>
      <c r="E100" s="19"/>
      <c r="F100" s="19"/>
      <c r="G100" s="19">
        <v>-4686075.9000000004</v>
      </c>
      <c r="H100" s="19"/>
      <c r="I100" s="19"/>
      <c r="J100" s="19"/>
    </row>
    <row r="101" spans="1:10" x14ac:dyDescent="0.2">
      <c r="A101" s="1">
        <v>25300443</v>
      </c>
      <c r="B101" s="18" t="s">
        <v>55</v>
      </c>
      <c r="C101" s="26">
        <v>-206604.18000000002</v>
      </c>
      <c r="D101" s="26"/>
      <c r="E101" s="26"/>
      <c r="F101" s="26"/>
      <c r="G101" s="26">
        <v>-137736.29999999999</v>
      </c>
      <c r="H101" s="26"/>
      <c r="I101" s="26"/>
      <c r="J101" s="26"/>
    </row>
    <row r="102" spans="1:10" x14ac:dyDescent="0.2">
      <c r="A102" s="1" t="s">
        <v>56</v>
      </c>
      <c r="B102" s="18" t="s">
        <v>57</v>
      </c>
      <c r="C102" s="26">
        <v>-96546.48</v>
      </c>
      <c r="D102" s="26"/>
      <c r="E102" s="26"/>
      <c r="F102" s="26"/>
      <c r="G102" s="26">
        <v>-96546.48</v>
      </c>
      <c r="H102" s="26"/>
      <c r="I102" s="26"/>
      <c r="J102" s="26"/>
    </row>
    <row r="103" spans="1:10" x14ac:dyDescent="0.2">
      <c r="A103" s="1" t="s">
        <v>63</v>
      </c>
      <c r="B103" s="18" t="s">
        <v>60</v>
      </c>
      <c r="C103" s="26">
        <v>-1160831.8054166667</v>
      </c>
      <c r="D103" s="26"/>
      <c r="E103" s="26"/>
      <c r="F103" s="26"/>
      <c r="G103" s="26">
        <v>-2004313.91</v>
      </c>
      <c r="H103" s="26"/>
      <c r="I103" s="26"/>
      <c r="J103" s="26"/>
    </row>
    <row r="104" spans="1:10" x14ac:dyDescent="0.2">
      <c r="A104" s="1" t="s">
        <v>64</v>
      </c>
      <c r="B104" s="18" t="s">
        <v>62</v>
      </c>
      <c r="C104" s="26">
        <v>-441638.71875</v>
      </c>
      <c r="D104" s="26"/>
      <c r="E104" s="26"/>
      <c r="F104" s="26"/>
      <c r="G104" s="26">
        <v>-762541.67</v>
      </c>
      <c r="H104" s="26"/>
      <c r="I104" s="26"/>
      <c r="J104" s="26"/>
    </row>
    <row r="105" spans="1:10" x14ac:dyDescent="0.2">
      <c r="A105" s="1">
        <v>25301213</v>
      </c>
      <c r="B105" s="18" t="s">
        <v>58</v>
      </c>
      <c r="C105" s="26">
        <v>-378140.02</v>
      </c>
      <c r="D105" s="26"/>
      <c r="E105" s="26"/>
      <c r="F105" s="26"/>
      <c r="G105" s="26">
        <v>-329866.78000000003</v>
      </c>
      <c r="H105" s="26"/>
      <c r="I105" s="26"/>
      <c r="J105" s="26"/>
    </row>
    <row r="106" spans="1:10" x14ac:dyDescent="0.2">
      <c r="A106" s="1" t="s">
        <v>59</v>
      </c>
      <c r="B106" s="18" t="s">
        <v>60</v>
      </c>
      <c r="C106" s="26">
        <v>-758820.84166666667</v>
      </c>
      <c r="D106" s="26"/>
      <c r="E106" s="26"/>
      <c r="F106" s="26"/>
      <c r="G106" s="26">
        <v>0</v>
      </c>
      <c r="H106" s="26"/>
      <c r="I106" s="26"/>
      <c r="J106" s="26"/>
    </row>
    <row r="107" spans="1:10" x14ac:dyDescent="0.2">
      <c r="A107" s="1" t="s">
        <v>61</v>
      </c>
      <c r="B107" s="18" t="s">
        <v>62</v>
      </c>
      <c r="C107" s="26">
        <v>-297769.0633333333</v>
      </c>
      <c r="D107" s="26"/>
      <c r="E107" s="26"/>
      <c r="F107" s="26"/>
      <c r="G107" s="26">
        <v>0</v>
      </c>
      <c r="H107" s="26"/>
      <c r="I107" s="26"/>
      <c r="J107" s="26"/>
    </row>
    <row r="108" spans="1:10" ht="15" thickBot="1" x14ac:dyDescent="0.25">
      <c r="C108" s="17">
        <f>SUM(C100:C107)</f>
        <v>-8477572.3300000001</v>
      </c>
      <c r="D108" s="17"/>
      <c r="E108" s="17"/>
      <c r="F108" s="17"/>
      <c r="G108" s="17">
        <f>SUM(G100:G107)</f>
        <v>-8017081.040000001</v>
      </c>
      <c r="H108" s="17"/>
      <c r="I108" s="17"/>
      <c r="J108" s="17"/>
    </row>
    <row r="109" spans="1:10" ht="15" thickTop="1" x14ac:dyDescent="0.2"/>
    <row r="110" spans="1:10" x14ac:dyDescent="0.2">
      <c r="A110" s="8" t="s">
        <v>68</v>
      </c>
      <c r="C110" s="11">
        <f>H110*C108</f>
        <v>-5624869.2409549998</v>
      </c>
      <c r="D110" s="11"/>
      <c r="E110" s="11"/>
      <c r="F110" s="11"/>
      <c r="G110" s="11">
        <f>H110*G108</f>
        <v>-5319333.2700400008</v>
      </c>
      <c r="H110" s="223">
        <v>0.66349999999999998</v>
      </c>
      <c r="I110" s="11"/>
      <c r="J110" s="11"/>
    </row>
    <row r="111" spans="1:10" x14ac:dyDescent="0.2">
      <c r="A111" s="8" t="s">
        <v>69</v>
      </c>
      <c r="C111" s="16">
        <f>C108*H111</f>
        <v>-2852703.0890450003</v>
      </c>
      <c r="D111" s="16"/>
      <c r="E111" s="16"/>
      <c r="F111" s="16"/>
      <c r="G111" s="16">
        <f>G108*H111</f>
        <v>-2697747.7699600006</v>
      </c>
      <c r="H111" s="223">
        <f>1-H110</f>
        <v>0.33650000000000002</v>
      </c>
      <c r="I111" s="16"/>
      <c r="J111" s="16"/>
    </row>
    <row r="112" spans="1:10" ht="15" thickBot="1" x14ac:dyDescent="0.25">
      <c r="A112" s="8" t="s">
        <v>72</v>
      </c>
      <c r="C112" s="17">
        <f>SUM(C110:C111)</f>
        <v>-8477572.3300000001</v>
      </c>
      <c r="D112" s="17"/>
      <c r="E112" s="17"/>
      <c r="F112" s="17"/>
      <c r="G112" s="17">
        <f>SUM(G110:G111)</f>
        <v>-8017081.040000001</v>
      </c>
      <c r="H112" s="17"/>
      <c r="I112" s="17"/>
      <c r="J112" s="17"/>
    </row>
    <row r="113" spans="1:3" ht="15" thickTop="1" x14ac:dyDescent="0.2"/>
    <row r="114" spans="1:3" x14ac:dyDescent="0.2">
      <c r="A114" s="8" t="s">
        <v>82</v>
      </c>
      <c r="C114" s="11">
        <v>-135668</v>
      </c>
    </row>
  </sheetData>
  <conditionalFormatting sqref="G61">
    <cfRule type="cellIs" dxfId="13" priority="18" operator="notEqual">
      <formula>0</formula>
    </cfRule>
  </conditionalFormatting>
  <conditionalFormatting sqref="C61">
    <cfRule type="cellIs" dxfId="12" priority="17" operator="notEqual">
      <formula>0</formula>
    </cfRule>
  </conditionalFormatting>
  <conditionalFormatting sqref="F60">
    <cfRule type="cellIs" dxfId="11" priority="16" operator="notEqual">
      <formula>0</formula>
    </cfRule>
  </conditionalFormatting>
  <conditionalFormatting sqref="F58">
    <cfRule type="cellIs" dxfId="10" priority="15" operator="notEqual">
      <formula>0</formula>
    </cfRule>
  </conditionalFormatting>
  <conditionalFormatting sqref="F39:F56">
    <cfRule type="cellIs" dxfId="9" priority="12" operator="notEqual">
      <formula>0</formula>
    </cfRule>
  </conditionalFormatting>
  <conditionalFormatting sqref="F37">
    <cfRule type="cellIs" dxfId="8" priority="11" operator="notEqual">
      <formula>0</formula>
    </cfRule>
  </conditionalFormatting>
  <conditionalFormatting sqref="F25:F35">
    <cfRule type="cellIs" dxfId="7" priority="10" operator="notEqual">
      <formula>0</formula>
    </cfRule>
  </conditionalFormatting>
  <conditionalFormatting sqref="F9:F17">
    <cfRule type="cellIs" dxfId="6" priority="9" operator="notEqual">
      <formula>0</formula>
    </cfRule>
  </conditionalFormatting>
  <conditionalFormatting sqref="J60">
    <cfRule type="cellIs" dxfId="5" priority="8" operator="notEqual">
      <formula>0</formula>
    </cfRule>
  </conditionalFormatting>
  <conditionalFormatting sqref="J58">
    <cfRule type="cellIs" dxfId="4" priority="7" operator="notEqual">
      <formula>0</formula>
    </cfRule>
  </conditionalFormatting>
  <conditionalFormatting sqref="J39:J56">
    <cfRule type="cellIs" dxfId="3" priority="4" operator="notEqual">
      <formula>0</formula>
    </cfRule>
  </conditionalFormatting>
  <conditionalFormatting sqref="J37">
    <cfRule type="cellIs" dxfId="2" priority="3" operator="notEqual">
      <formula>0</formula>
    </cfRule>
  </conditionalFormatting>
  <conditionalFormatting sqref="J25:J35">
    <cfRule type="cellIs" dxfId="1" priority="2" operator="notEqual">
      <formula>0</formula>
    </cfRule>
  </conditionalFormatting>
  <conditionalFormatting sqref="J9:J17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pane xSplit="2" ySplit="2" topLeftCell="C9" activePane="bottomRight" state="frozen"/>
      <selection pane="topRight" activeCell="C1" sqref="C1"/>
      <selection pane="bottomLeft" activeCell="A2" sqref="A2"/>
      <selection pane="bottomRight" activeCell="G17" sqref="G17"/>
    </sheetView>
  </sheetViews>
  <sheetFormatPr defaultRowHeight="15" x14ac:dyDescent="0.25"/>
  <cols>
    <col min="1" max="1" width="15.5703125" bestFit="1" customWidth="1"/>
    <col min="2" max="2" width="32.5703125" bestFit="1" customWidth="1"/>
    <col min="3" max="3" width="19" bestFit="1" customWidth="1"/>
    <col min="4" max="4" width="18.7109375" bestFit="1" customWidth="1"/>
    <col min="5" max="5" width="18" bestFit="1" customWidth="1"/>
    <col min="7" max="7" width="19" bestFit="1" customWidth="1"/>
    <col min="8" max="8" width="18.7109375" bestFit="1" customWidth="1"/>
    <col min="9" max="9" width="18" bestFit="1" customWidth="1"/>
  </cols>
  <sheetData>
    <row r="1" spans="1:9" x14ac:dyDescent="0.25">
      <c r="C1" s="36" t="s">
        <v>78</v>
      </c>
      <c r="D1" s="37"/>
      <c r="E1" s="38"/>
      <c r="F1" s="12"/>
      <c r="G1" s="36" t="s">
        <v>83</v>
      </c>
      <c r="H1" s="37"/>
      <c r="I1" s="38"/>
    </row>
    <row r="2" spans="1:9" x14ac:dyDescent="0.25">
      <c r="A2" s="47" t="s">
        <v>100</v>
      </c>
      <c r="B2" s="47" t="s">
        <v>67</v>
      </c>
      <c r="C2" s="47" t="s">
        <v>65</v>
      </c>
      <c r="D2" s="47" t="s">
        <v>66</v>
      </c>
      <c r="E2" s="47" t="s">
        <v>75</v>
      </c>
      <c r="G2" s="47" t="s">
        <v>65</v>
      </c>
      <c r="H2" s="47" t="s">
        <v>66</v>
      </c>
      <c r="I2" s="47" t="s">
        <v>75</v>
      </c>
    </row>
    <row r="3" spans="1:9" x14ac:dyDescent="0.25">
      <c r="A3" t="s">
        <v>85</v>
      </c>
      <c r="B3" s="6" t="s">
        <v>86</v>
      </c>
      <c r="C3" s="5">
        <v>7166134.8537500016</v>
      </c>
      <c r="D3" s="5">
        <v>-6037443.8324999996</v>
      </c>
      <c r="E3" s="5">
        <f>SUM(C3:D3)</f>
        <v>1128691.0212500021</v>
      </c>
      <c r="G3" s="61">
        <f>'EIM Summary'!$D$26</f>
        <v>2569957.2799999998</v>
      </c>
      <c r="H3" s="61">
        <f>-'EIM Summary'!$E$26</f>
        <v>-1697032.1300000001</v>
      </c>
      <c r="I3" s="5">
        <f>SUM(G3:H3)</f>
        <v>872925.14999999967</v>
      </c>
    </row>
    <row r="4" spans="1:9" x14ac:dyDescent="0.25">
      <c r="A4" t="s">
        <v>87</v>
      </c>
      <c r="B4" s="6" t="s">
        <v>88</v>
      </c>
      <c r="C4" s="43">
        <v>113664.96999999999</v>
      </c>
      <c r="D4" s="43">
        <v>-69146.798416666672</v>
      </c>
      <c r="E4" s="43">
        <f>SUM(C4:D4)</f>
        <v>44518.171583333315</v>
      </c>
      <c r="G4" s="62">
        <f>'EIM Summary'!$D$42</f>
        <v>113664.97</v>
      </c>
      <c r="H4" s="62">
        <f>-'EIM Summary'!$E$42</f>
        <v>-80513.395416666695</v>
      </c>
      <c r="I4" s="43">
        <f>SUM(G4:H4)</f>
        <v>33151.574583333306</v>
      </c>
    </row>
    <row r="5" spans="1:9" x14ac:dyDescent="0.25">
      <c r="A5" t="s">
        <v>99</v>
      </c>
      <c r="B5" t="s">
        <v>99</v>
      </c>
      <c r="C5" s="44">
        <f>SUM(C3:C4)</f>
        <v>7279799.8237500014</v>
      </c>
      <c r="D5" s="44">
        <f>SUM(D3:D4)</f>
        <v>-6106590.6309166662</v>
      </c>
      <c r="E5" s="44">
        <f>SUM(E3:E4)</f>
        <v>1173209.1928333354</v>
      </c>
      <c r="G5" s="63">
        <f>SUM(G3:G4)</f>
        <v>2683622.25</v>
      </c>
      <c r="H5" s="63">
        <f>SUM(H3:H4)</f>
        <v>-1777545.5254166669</v>
      </c>
      <c r="I5" s="44">
        <f>SUM(I3:I4)</f>
        <v>906076.72458333301</v>
      </c>
    </row>
    <row r="6" spans="1:9" x14ac:dyDescent="0.25">
      <c r="A6" t="s">
        <v>85</v>
      </c>
      <c r="B6" s="45" t="s">
        <v>89</v>
      </c>
      <c r="C6" s="46">
        <f>'Green Direct'!O32</f>
        <v>340637.08999999997</v>
      </c>
      <c r="D6" s="46">
        <f>'Green Direct'!O35</f>
        <v>-0.35999999999999993</v>
      </c>
      <c r="E6" s="46">
        <f t="shared" ref="E6:E13" si="0">SUM(C6:D6)</f>
        <v>340636.73</v>
      </c>
      <c r="G6" s="64">
        <f>'Green Direct'!N32</f>
        <v>340637.09</v>
      </c>
      <c r="H6" s="64">
        <f>'Green Direct'!N35</f>
        <v>-0.54</v>
      </c>
      <c r="I6" s="46">
        <f t="shared" ref="I6:I13" si="1">SUM(G6:H6)</f>
        <v>340636.55000000005</v>
      </c>
    </row>
    <row r="7" spans="1:9" x14ac:dyDescent="0.25">
      <c r="A7" t="s">
        <v>85</v>
      </c>
      <c r="B7" s="6" t="s">
        <v>90</v>
      </c>
      <c r="C7" s="43">
        <v>103098</v>
      </c>
      <c r="D7" s="43">
        <v>-90211</v>
      </c>
      <c r="E7" s="43">
        <f t="shared" si="0"/>
        <v>12887</v>
      </c>
      <c r="G7" s="62">
        <v>103098.41</v>
      </c>
      <c r="H7" s="62">
        <v>-103098.41</v>
      </c>
      <c r="I7" s="43">
        <f t="shared" si="1"/>
        <v>0</v>
      </c>
    </row>
    <row r="8" spans="1:9" x14ac:dyDescent="0.25">
      <c r="A8" t="s">
        <v>85</v>
      </c>
      <c r="B8" s="6" t="s">
        <v>91</v>
      </c>
      <c r="C8" s="43">
        <v>12115</v>
      </c>
      <c r="D8" s="43">
        <v>-5606</v>
      </c>
      <c r="E8" s="43">
        <f t="shared" si="0"/>
        <v>6509</v>
      </c>
      <c r="G8" s="62">
        <v>0</v>
      </c>
      <c r="H8" s="62">
        <v>0</v>
      </c>
      <c r="I8" s="43">
        <f t="shared" si="1"/>
        <v>0</v>
      </c>
    </row>
    <row r="9" spans="1:9" x14ac:dyDescent="0.25">
      <c r="A9" t="s">
        <v>85</v>
      </c>
      <c r="B9" s="6" t="s">
        <v>92</v>
      </c>
      <c r="C9" s="43">
        <v>48436</v>
      </c>
      <c r="D9" s="43">
        <v>-43188</v>
      </c>
      <c r="E9" s="43">
        <f t="shared" si="0"/>
        <v>5248</v>
      </c>
      <c r="G9" s="62">
        <v>48435.51</v>
      </c>
      <c r="H9" s="62">
        <v>-48031.88</v>
      </c>
      <c r="I9" s="43">
        <f t="shared" si="1"/>
        <v>403.63000000000466</v>
      </c>
    </row>
    <row r="10" spans="1:9" x14ac:dyDescent="0.25">
      <c r="A10" t="s">
        <v>85</v>
      </c>
      <c r="B10" t="s">
        <v>93</v>
      </c>
      <c r="C10" s="3">
        <v>943130</v>
      </c>
      <c r="D10" s="3">
        <v>-568214</v>
      </c>
      <c r="E10" s="3">
        <f t="shared" si="0"/>
        <v>374916</v>
      </c>
      <c r="G10" s="65">
        <v>943129.74</v>
      </c>
      <c r="H10" s="65">
        <v>-763822.17</v>
      </c>
      <c r="I10" s="3">
        <f t="shared" si="1"/>
        <v>179307.56999999995</v>
      </c>
    </row>
    <row r="11" spans="1:9" x14ac:dyDescent="0.25">
      <c r="A11" t="s">
        <v>94</v>
      </c>
      <c r="B11" t="s">
        <v>95</v>
      </c>
      <c r="C11" s="3">
        <v>53420</v>
      </c>
      <c r="D11" s="3">
        <v>-51332</v>
      </c>
      <c r="E11" s="3">
        <f t="shared" si="0"/>
        <v>2088</v>
      </c>
      <c r="G11" s="65">
        <v>0</v>
      </c>
      <c r="H11" s="65">
        <v>0</v>
      </c>
      <c r="I11" s="3">
        <f t="shared" si="1"/>
        <v>0</v>
      </c>
    </row>
    <row r="12" spans="1:9" x14ac:dyDescent="0.25">
      <c r="A12" t="s">
        <v>96</v>
      </c>
      <c r="B12" t="s">
        <v>97</v>
      </c>
      <c r="C12" s="3">
        <v>40305648</v>
      </c>
      <c r="D12" s="3">
        <v>-8833222</v>
      </c>
      <c r="E12" s="3">
        <f t="shared" si="0"/>
        <v>31472426</v>
      </c>
      <c r="G12" s="65">
        <v>40350654.439999998</v>
      </c>
      <c r="H12" s="65">
        <v>-9238411.3599999994</v>
      </c>
      <c r="I12" s="3">
        <f t="shared" si="1"/>
        <v>31112243.079999998</v>
      </c>
    </row>
    <row r="13" spans="1:9" x14ac:dyDescent="0.25">
      <c r="A13" t="s">
        <v>96</v>
      </c>
      <c r="B13" t="s">
        <v>98</v>
      </c>
      <c r="C13" s="3">
        <v>14988060</v>
      </c>
      <c r="D13" s="3">
        <v>-5535255</v>
      </c>
      <c r="E13" s="3">
        <f t="shared" si="0"/>
        <v>9452805</v>
      </c>
      <c r="G13" s="65">
        <v>14988060.27</v>
      </c>
      <c r="H13" s="65">
        <v>-5726866.0499999998</v>
      </c>
      <c r="I13" s="3">
        <f t="shared" si="1"/>
        <v>9261194.2199999988</v>
      </c>
    </row>
    <row r="14" spans="1:9" x14ac:dyDescent="0.25">
      <c r="A14" t="s">
        <v>101</v>
      </c>
      <c r="C14" s="58">
        <f>SUM(C5:C13)</f>
        <v>64074343.91375</v>
      </c>
      <c r="D14" s="58">
        <f>SUM(D5:D13)</f>
        <v>-21233618.990916666</v>
      </c>
      <c r="E14" s="58">
        <f>SUM(E5:E13)</f>
        <v>42840724.922833338</v>
      </c>
      <c r="G14" s="58">
        <f>SUM(G5:G13)</f>
        <v>59457637.709999993</v>
      </c>
      <c r="H14" s="58">
        <f>SUM(H5:H13)</f>
        <v>-17657775.935416665</v>
      </c>
      <c r="I14" s="58">
        <f>SUM(I5:I13)</f>
        <v>41799861.774583325</v>
      </c>
    </row>
    <row r="15" spans="1:9" x14ac:dyDescent="0.25">
      <c r="C15" s="59"/>
      <c r="D15" s="59"/>
      <c r="E15" s="59"/>
      <c r="G15" s="59"/>
      <c r="H15" s="59"/>
      <c r="I15" s="59"/>
    </row>
    <row r="17" spans="1:9" x14ac:dyDescent="0.25">
      <c r="A17" t="s">
        <v>102</v>
      </c>
      <c r="C17" s="5">
        <v>1210238173.9254167</v>
      </c>
      <c r="D17" s="5">
        <v>-876547237.8395834</v>
      </c>
      <c r="E17" s="5">
        <f>SUM(C17:D17)</f>
        <v>333690936.08583331</v>
      </c>
      <c r="F17" s="7"/>
      <c r="G17" s="5">
        <v>1040478165.1699998</v>
      </c>
      <c r="H17" s="5">
        <v>-775087698.4399997</v>
      </c>
      <c r="I17" s="5">
        <f>SUM(G17:H17)</f>
        <v>265390466.73000014</v>
      </c>
    </row>
    <row r="18" spans="1:9" x14ac:dyDescent="0.25">
      <c r="A18" t="s">
        <v>103</v>
      </c>
      <c r="C18" s="3">
        <v>733713073.80499995</v>
      </c>
      <c r="D18" s="3">
        <v>-201101025.4854168</v>
      </c>
      <c r="E18" s="3">
        <f>SUM(C18:D18)</f>
        <v>532612048.31958318</v>
      </c>
      <c r="F18" s="7"/>
      <c r="G18" s="3">
        <v>734617071.70000017</v>
      </c>
      <c r="H18" s="3">
        <v>-210581897.14000008</v>
      </c>
      <c r="I18" s="3">
        <f>SUM(G18:H18)</f>
        <v>524035174.56000006</v>
      </c>
    </row>
    <row r="19" spans="1:9" x14ac:dyDescent="0.25">
      <c r="A19" t="s">
        <v>104</v>
      </c>
      <c r="C19" s="3">
        <v>1977193572.9508338</v>
      </c>
      <c r="D19" s="3">
        <v>-858101728.56624997</v>
      </c>
      <c r="E19" s="3">
        <f>SUM(C19:D19)</f>
        <v>1119091844.384584</v>
      </c>
      <c r="F19" s="7"/>
      <c r="G19" s="3">
        <v>1985373642.0399997</v>
      </c>
      <c r="H19" s="3">
        <v>-887452326.3299998</v>
      </c>
      <c r="I19" s="3">
        <f>SUM(G19:H19)</f>
        <v>1097921315.71</v>
      </c>
    </row>
    <row r="20" spans="1:9" x14ac:dyDescent="0.25">
      <c r="A20" t="s">
        <v>120</v>
      </c>
      <c r="C20" s="58">
        <f>SUM(C17:C19)</f>
        <v>3921144820.6812506</v>
      </c>
      <c r="D20" s="58">
        <f>SUM(D17:D19)</f>
        <v>-1935749991.8912501</v>
      </c>
      <c r="E20" s="58">
        <f>SUM(E17:E19)</f>
        <v>1985394828.7900004</v>
      </c>
      <c r="G20" s="58">
        <f>SUM(G17:G19)</f>
        <v>3760468878.9099998</v>
      </c>
      <c r="H20" s="58">
        <f>SUM(H17:H19)</f>
        <v>-1873121921.9099996</v>
      </c>
      <c r="I20" s="58">
        <f>SUM(I17:I19)</f>
        <v>1887346957.0000002</v>
      </c>
    </row>
    <row r="21" spans="1:9" x14ac:dyDescent="0.25">
      <c r="C21" s="59"/>
      <c r="D21" s="59"/>
      <c r="E21" s="59"/>
      <c r="G21" s="59"/>
      <c r="H21" s="59"/>
      <c r="I21" s="59"/>
    </row>
    <row r="22" spans="1:9" ht="15.75" thickBot="1" x14ac:dyDescent="0.3">
      <c r="A22" t="s">
        <v>105</v>
      </c>
      <c r="C22" s="60">
        <f>C14+C20</f>
        <v>3985219164.5950007</v>
      </c>
      <c r="D22" s="60">
        <f>D14+D20</f>
        <v>-1956983610.8821669</v>
      </c>
      <c r="E22" s="60">
        <f>E14+E20</f>
        <v>2028235553.7128339</v>
      </c>
      <c r="G22" s="60">
        <f>G14+G20</f>
        <v>3819926516.6199999</v>
      </c>
      <c r="H22" s="60">
        <f>H14+H20</f>
        <v>-1890779697.8454163</v>
      </c>
      <c r="I22" s="60">
        <f>I14+I20</f>
        <v>1929146818.7745836</v>
      </c>
    </row>
    <row r="23" spans="1:9" ht="15.75" thickTop="1" x14ac:dyDescent="0.25"/>
    <row r="24" spans="1:9" x14ac:dyDescent="0.25">
      <c r="A24" t="s">
        <v>106</v>
      </c>
      <c r="C24" s="7">
        <v>1632077839.7620835</v>
      </c>
      <c r="D24" s="7">
        <v>-545798047.19375002</v>
      </c>
      <c r="E24" s="7">
        <f>SUM(C24:D24)</f>
        <v>1086279792.5683336</v>
      </c>
      <c r="F24" s="7"/>
      <c r="G24" s="7">
        <v>1633072514.8099999</v>
      </c>
      <c r="H24" s="7">
        <v>-556664663.23000002</v>
      </c>
      <c r="I24" s="7">
        <f>SUM(G24:H24)</f>
        <v>1076407851.5799999</v>
      </c>
    </row>
    <row r="25" spans="1:9" x14ac:dyDescent="0.25">
      <c r="A25" t="s">
        <v>107</v>
      </c>
      <c r="C25" s="3">
        <v>4289233160.8579173</v>
      </c>
      <c r="D25" s="3">
        <v>-1592640075.5866668</v>
      </c>
      <c r="E25" s="3">
        <f>SUM(C25:D25)</f>
        <v>2696593085.2712507</v>
      </c>
      <c r="F25" s="7"/>
      <c r="G25" s="3">
        <v>4398103422.9799995</v>
      </c>
      <c r="H25" s="3">
        <v>-1640491078.79</v>
      </c>
      <c r="I25" s="3">
        <f>SUM(G25:H25)</f>
        <v>2757612344.1899996</v>
      </c>
    </row>
    <row r="26" spans="1:9" x14ac:dyDescent="0.25">
      <c r="A26" t="s">
        <v>108</v>
      </c>
      <c r="C26" s="3">
        <v>158547402.28625</v>
      </c>
      <c r="D26" s="3">
        <v>-64590624.579166666</v>
      </c>
      <c r="E26" s="3">
        <f>SUM(C26:D26)</f>
        <v>93956777.70708333</v>
      </c>
      <c r="F26" s="7"/>
      <c r="G26" s="3">
        <v>154446169.49999997</v>
      </c>
      <c r="H26" s="3">
        <v>-64672866.25</v>
      </c>
      <c r="I26" s="3">
        <f>SUM(G26:H26)</f>
        <v>89773303.24999997</v>
      </c>
    </row>
    <row r="27" spans="1:9" x14ac:dyDescent="0.25">
      <c r="A27" t="s">
        <v>109</v>
      </c>
      <c r="C27" s="3">
        <v>234465015.99875003</v>
      </c>
      <c r="D27" s="3">
        <v>-93342950.179583311</v>
      </c>
      <c r="E27" s="3">
        <f>SUM(C27:D27)</f>
        <v>141122065.81916672</v>
      </c>
      <c r="F27" s="7"/>
      <c r="G27" s="3">
        <v>238146658.34</v>
      </c>
      <c r="H27" s="3">
        <v>-97444416.350000009</v>
      </c>
      <c r="I27" s="3">
        <f>SUM(G27:H27)</f>
        <v>140702241.99000001</v>
      </c>
    </row>
    <row r="28" spans="1:9" x14ac:dyDescent="0.25">
      <c r="A28" t="s">
        <v>110</v>
      </c>
      <c r="C28" s="48">
        <f>SUM(C24:C27)</f>
        <v>6314323418.9050007</v>
      </c>
      <c r="D28" s="48">
        <f>SUM(D24:D27)</f>
        <v>-2296371697.5391674</v>
      </c>
      <c r="E28" s="48">
        <f>SUM(E24:E27)</f>
        <v>4017951721.3658342</v>
      </c>
      <c r="G28" s="48">
        <f>SUM(G24:G27)</f>
        <v>6423768765.6299992</v>
      </c>
      <c r="H28" s="48">
        <f>SUM(H24:H27)</f>
        <v>-2359273024.6199999</v>
      </c>
      <c r="I28" s="48">
        <f>SUM(I24:I27)</f>
        <v>4064495741.0099993</v>
      </c>
    </row>
    <row r="29" spans="1:9" x14ac:dyDescent="0.25">
      <c r="A29" t="s">
        <v>111</v>
      </c>
      <c r="C29" s="3">
        <f>-C14</f>
        <v>-64074343.91375</v>
      </c>
      <c r="D29" s="3">
        <f>-D14</f>
        <v>21233618.990916666</v>
      </c>
      <c r="E29" s="3">
        <f>-E14</f>
        <v>-42840724.922833338</v>
      </c>
      <c r="G29" s="3">
        <f>-G14</f>
        <v>-59457637.709999993</v>
      </c>
      <c r="H29" s="3">
        <f>-H14</f>
        <v>17657775.935416665</v>
      </c>
      <c r="I29" s="3">
        <f>-I14</f>
        <v>-41799861.774583325</v>
      </c>
    </row>
    <row r="30" spans="1:9" x14ac:dyDescent="0.25">
      <c r="A30" t="s">
        <v>113</v>
      </c>
      <c r="C30" s="48">
        <f>SUM(C28:C29)</f>
        <v>6250249074.991251</v>
      </c>
      <c r="D30" s="48">
        <f>SUM(D28:D29)</f>
        <v>-2275138078.5482507</v>
      </c>
      <c r="E30" s="48">
        <f>SUM(E28:E29)</f>
        <v>3975110996.4430008</v>
      </c>
      <c r="G30" s="48">
        <f>SUM(G28:G29)</f>
        <v>6364311127.9199991</v>
      </c>
      <c r="H30" s="48">
        <f>SUM(H28:H29)</f>
        <v>-2341615248.6845832</v>
      </c>
      <c r="I30" s="48">
        <f>SUM(I28:I29)</f>
        <v>4022695879.2354159</v>
      </c>
    </row>
    <row r="31" spans="1:9" x14ac:dyDescent="0.25">
      <c r="A31" t="s">
        <v>114</v>
      </c>
      <c r="C31" s="3">
        <v>685508595.80076611</v>
      </c>
      <c r="D31" s="3">
        <v>-248881248.87733853</v>
      </c>
      <c r="E31" s="3">
        <f>SUM(C31:D31)</f>
        <v>436627346.92342758</v>
      </c>
      <c r="G31" s="3">
        <v>700539248.54999995</v>
      </c>
      <c r="H31" s="3">
        <v>-283211333.05000001</v>
      </c>
      <c r="I31" s="3">
        <f>SUM(G31:H31)</f>
        <v>417327915.49999994</v>
      </c>
    </row>
    <row r="32" spans="1:9" ht="15.75" thickBot="1" x14ac:dyDescent="0.3">
      <c r="A32" t="s">
        <v>112</v>
      </c>
      <c r="C32" s="49">
        <f>SUM(C30:C31)</f>
        <v>6935757670.792017</v>
      </c>
      <c r="D32" s="49">
        <f>SUM(D30:D31)</f>
        <v>-2524019327.4255891</v>
      </c>
      <c r="E32" s="49">
        <f>SUM(E30:E31)</f>
        <v>4411738343.3664284</v>
      </c>
      <c r="G32" s="49">
        <f>SUM(G30:G31)</f>
        <v>7064850376.4699993</v>
      </c>
      <c r="H32" s="49">
        <f>SUM(H30:H31)</f>
        <v>-2624826581.7345834</v>
      </c>
      <c r="I32" s="49">
        <f>SUM(I30:I31)</f>
        <v>4440023794.7354155</v>
      </c>
    </row>
    <row r="33" spans="1:9" ht="15.75" thickTop="1" x14ac:dyDescent="0.25"/>
    <row r="34" spans="1:9" x14ac:dyDescent="0.25">
      <c r="A34" t="s">
        <v>115</v>
      </c>
      <c r="C34" s="7">
        <f>C32+C22</f>
        <v>10920976835.387018</v>
      </c>
      <c r="D34" s="7">
        <f>D32+D22</f>
        <v>-4481002938.3077564</v>
      </c>
      <c r="E34" s="3">
        <f>SUM(C34:D34)</f>
        <v>6439973897.0792618</v>
      </c>
      <c r="G34" s="7">
        <f>'Total RB w Prod Sep'!G9</f>
        <v>10884776893.003246</v>
      </c>
      <c r="H34" s="7">
        <f>'Total RB w Prod Sep'!G25</f>
        <v>-4515606279.2732906</v>
      </c>
      <c r="I34" s="3">
        <f>SUM(G34:H34)</f>
        <v>6369170613.7299557</v>
      </c>
    </row>
    <row r="35" spans="1:9" x14ac:dyDescent="0.25">
      <c r="C35" s="7">
        <f>'Total RB w Prod Sep'!C9</f>
        <v>10920976835.387018</v>
      </c>
      <c r="D35" s="3">
        <f>'Total RB w Prod Sep'!C25</f>
        <v>-4481002938.3019228</v>
      </c>
      <c r="E35" s="3">
        <f>SUM(C35:D35)</f>
        <v>6439973897.0850954</v>
      </c>
      <c r="G35" s="7">
        <v>10884776893.090004</v>
      </c>
      <c r="H35" s="3">
        <v>-4515606279.5800009</v>
      </c>
      <c r="I35" s="3">
        <f>SUM(G35:H35)</f>
        <v>6369170613.5100031</v>
      </c>
    </row>
    <row r="36" spans="1:9" x14ac:dyDescent="0.25">
      <c r="C36" s="42">
        <f>C34-C35</f>
        <v>0</v>
      </c>
      <c r="D36" s="42">
        <f>D34-D35</f>
        <v>-5.8336257934570313E-3</v>
      </c>
      <c r="G36" s="42">
        <f>G34-G35</f>
        <v>-8.6757659912109375E-2</v>
      </c>
      <c r="H36" s="42">
        <f>H34-H35</f>
        <v>0.30671024322509766</v>
      </c>
      <c r="I36" s="42">
        <f>I34-I35</f>
        <v>0.21995258331298828</v>
      </c>
    </row>
    <row r="38" spans="1:9" x14ac:dyDescent="0.25">
      <c r="B38" s="120" t="s">
        <v>185</v>
      </c>
      <c r="F38" s="120" t="s">
        <v>186</v>
      </c>
    </row>
    <row r="39" spans="1:9" x14ac:dyDescent="0.25">
      <c r="B39">
        <v>10100501</v>
      </c>
      <c r="C39" s="6">
        <v>10039178768.32</v>
      </c>
      <c r="F39">
        <v>10100501</v>
      </c>
      <c r="G39" s="6">
        <v>10015047860.200001</v>
      </c>
      <c r="H39" s="7"/>
    </row>
    <row r="40" spans="1:9" x14ac:dyDescent="0.25">
      <c r="B40">
        <v>10600501</v>
      </c>
      <c r="C40" s="6">
        <v>157291806.56999999</v>
      </c>
      <c r="F40">
        <v>10600501</v>
      </c>
      <c r="G40" s="6">
        <v>130173970.09</v>
      </c>
      <c r="H40" s="7"/>
    </row>
    <row r="41" spans="1:9" x14ac:dyDescent="0.25">
      <c r="B41">
        <v>10500501</v>
      </c>
      <c r="C41" s="6">
        <v>38997664.700000003</v>
      </c>
      <c r="F41">
        <v>10500501</v>
      </c>
      <c r="G41" s="6">
        <v>39015814.25</v>
      </c>
      <c r="H41" s="3"/>
    </row>
    <row r="42" spans="1:9" x14ac:dyDescent="0.25">
      <c r="B42" t="s">
        <v>187</v>
      </c>
      <c r="C42" s="121">
        <f>C31</f>
        <v>685508595.80076611</v>
      </c>
      <c r="F42" t="s">
        <v>187</v>
      </c>
      <c r="G42" s="121">
        <f>G31</f>
        <v>700539248.54999995</v>
      </c>
    </row>
    <row r="43" spans="1:9" x14ac:dyDescent="0.25">
      <c r="B43" t="s">
        <v>188</v>
      </c>
      <c r="C43" s="3">
        <f>SUM(C39:C42)</f>
        <v>10920976835.390766</v>
      </c>
      <c r="F43" t="s">
        <v>188</v>
      </c>
      <c r="G43" s="3">
        <f>SUM(G39:G42)</f>
        <v>10884776893.09</v>
      </c>
    </row>
    <row r="44" spans="1:9" x14ac:dyDescent="0.25">
      <c r="C44" s="3"/>
      <c r="G44" s="3"/>
    </row>
    <row r="46" spans="1:9" x14ac:dyDescent="0.25">
      <c r="B46">
        <v>10800501</v>
      </c>
      <c r="C46" s="6">
        <v>-4082154291.1075001</v>
      </c>
      <c r="F46">
        <v>10800501</v>
      </c>
      <c r="G46" s="6">
        <v>-4090162822.8499999</v>
      </c>
    </row>
    <row r="47" spans="1:9" x14ac:dyDescent="0.25">
      <c r="B47">
        <v>11100501</v>
      </c>
      <c r="C47" s="6">
        <v>-64590624.579999998</v>
      </c>
      <c r="F47">
        <v>11100501</v>
      </c>
      <c r="G47" s="6">
        <v>-64672866.25</v>
      </c>
    </row>
    <row r="48" spans="1:9" x14ac:dyDescent="0.25">
      <c r="B48">
        <v>10800611</v>
      </c>
      <c r="C48" s="6">
        <v>-95934500</v>
      </c>
      <c r="F48">
        <v>10800611</v>
      </c>
      <c r="G48" s="6">
        <v>-95934500</v>
      </c>
      <c r="H48" t="s">
        <v>18</v>
      </c>
    </row>
    <row r="49" spans="2:8" x14ac:dyDescent="0.25">
      <c r="B49">
        <v>10800641</v>
      </c>
      <c r="C49" s="6">
        <v>4669644.8270833334</v>
      </c>
      <c r="F49">
        <v>10800641</v>
      </c>
      <c r="G49" s="6">
        <v>11259325.99</v>
      </c>
      <c r="H49" t="s">
        <v>20</v>
      </c>
    </row>
    <row r="50" spans="2:8" x14ac:dyDescent="0.25">
      <c r="B50" t="s">
        <v>21</v>
      </c>
      <c r="C50" s="6">
        <v>5888081.4349999996</v>
      </c>
      <c r="F50" t="s">
        <v>21</v>
      </c>
      <c r="G50" s="6">
        <v>7115916.5800000001</v>
      </c>
      <c r="H50" t="s">
        <v>71</v>
      </c>
    </row>
    <row r="51" spans="2:8" x14ac:dyDescent="0.25">
      <c r="B51" t="s">
        <v>187</v>
      </c>
      <c r="C51" s="122">
        <f>D31</f>
        <v>-248881248.87733853</v>
      </c>
      <c r="F51" t="s">
        <v>187</v>
      </c>
      <c r="G51" s="122">
        <f>H31</f>
        <v>-283211333.05000001</v>
      </c>
    </row>
    <row r="52" spans="2:8" x14ac:dyDescent="0.25">
      <c r="B52" t="s">
        <v>188</v>
      </c>
      <c r="C52" s="6">
        <f>SUM(C46:C51)</f>
        <v>-4481002938.3027554</v>
      </c>
      <c r="F52" t="s">
        <v>188</v>
      </c>
      <c r="G52" s="6">
        <f>SUM(G46:G51)</f>
        <v>-4515606279.5799999</v>
      </c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3"/>
  <sheetViews>
    <sheetView zoomScaleNormal="100" zoomScaleSheetLayoutView="70"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P357" sqref="P357"/>
    </sheetView>
  </sheetViews>
  <sheetFormatPr defaultColWidth="9.28515625" defaultRowHeight="15" outlineLevelRow="1" outlineLevelCol="1" x14ac:dyDescent="0.25"/>
  <cols>
    <col min="1" max="1" width="9.28515625" style="85"/>
    <col min="2" max="2" width="15.5703125" style="87" bestFit="1" customWidth="1"/>
    <col min="3" max="3" width="14.42578125" style="85" hidden="1" customWidth="1" outlineLevel="1"/>
    <col min="4" max="4" width="14.42578125" style="85" customWidth="1" collapsed="1"/>
    <col min="5" max="5" width="15.5703125" style="85" bestFit="1" customWidth="1"/>
    <col min="6" max="12" width="14.42578125" style="85" customWidth="1"/>
    <col min="13" max="13" width="17" style="85" bestFit="1" customWidth="1"/>
    <col min="14" max="14" width="14.42578125" style="85" customWidth="1"/>
    <col min="15" max="15" width="15.28515625" style="85" bestFit="1" customWidth="1"/>
    <col min="16" max="16" width="15.5703125" style="85" bestFit="1" customWidth="1"/>
    <col min="17" max="17" width="15.7109375" style="86" bestFit="1" customWidth="1"/>
    <col min="18" max="18" width="15.28515625" style="85" bestFit="1" customWidth="1"/>
    <col min="19" max="16384" width="9.28515625" style="85"/>
  </cols>
  <sheetData>
    <row r="1" spans="1:18" ht="18.75" x14ac:dyDescent="0.3">
      <c r="A1" s="115" t="s">
        <v>0</v>
      </c>
      <c r="Q1" s="117"/>
    </row>
    <row r="2" spans="1:18" ht="18.75" x14ac:dyDescent="0.3">
      <c r="A2" s="115" t="s">
        <v>180</v>
      </c>
      <c r="I2" s="116" t="s">
        <v>179</v>
      </c>
      <c r="Q2" s="114"/>
    </row>
    <row r="3" spans="1:18" ht="18.75" x14ac:dyDescent="0.3">
      <c r="A3" s="115" t="s">
        <v>356</v>
      </c>
      <c r="Q3" s="114"/>
    </row>
    <row r="4" spans="1:18" ht="18.75" x14ac:dyDescent="0.3">
      <c r="A4" s="115"/>
      <c r="Q4" s="114"/>
    </row>
    <row r="5" spans="1:18" x14ac:dyDescent="0.25">
      <c r="B5" s="111" t="s">
        <v>178</v>
      </c>
      <c r="C5" s="110" t="s">
        <v>166</v>
      </c>
      <c r="D5" s="110" t="s">
        <v>177</v>
      </c>
      <c r="E5" s="110" t="s">
        <v>176</v>
      </c>
      <c r="F5" s="110" t="s">
        <v>175</v>
      </c>
      <c r="G5" s="110" t="s">
        <v>174</v>
      </c>
      <c r="H5" s="110" t="s">
        <v>173</v>
      </c>
      <c r="I5" s="110" t="s">
        <v>172</v>
      </c>
      <c r="J5" s="110" t="s">
        <v>171</v>
      </c>
      <c r="K5" s="110" t="s">
        <v>170</v>
      </c>
      <c r="L5" s="110" t="s">
        <v>169</v>
      </c>
      <c r="M5" s="110" t="s">
        <v>168</v>
      </c>
      <c r="N5" s="110" t="s">
        <v>167</v>
      </c>
      <c r="O5" s="110" t="s">
        <v>166</v>
      </c>
      <c r="P5" s="113" t="s">
        <v>165</v>
      </c>
      <c r="Q5" s="112" t="s">
        <v>164</v>
      </c>
      <c r="R5" s="112" t="s">
        <v>183</v>
      </c>
    </row>
    <row r="6" spans="1:18" x14ac:dyDescent="0.25">
      <c r="A6" s="98" t="s">
        <v>163</v>
      </c>
      <c r="B6" s="111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89"/>
      <c r="Q6" s="90"/>
      <c r="R6" s="90"/>
    </row>
    <row r="7" spans="1:18" s="96" customFormat="1" hidden="1" outlineLevel="1" x14ac:dyDescent="0.25">
      <c r="A7" s="96">
        <v>2016</v>
      </c>
      <c r="B7" s="108">
        <v>243237</v>
      </c>
      <c r="C7" s="107">
        <f>B7</f>
        <v>243237</v>
      </c>
      <c r="D7" s="109"/>
      <c r="E7" s="109"/>
      <c r="F7" s="109"/>
      <c r="G7" s="109"/>
      <c r="H7" s="109"/>
      <c r="I7" s="109"/>
      <c r="J7" s="109"/>
      <c r="K7" s="109"/>
      <c r="L7" s="105">
        <f>C7</f>
        <v>243237</v>
      </c>
      <c r="M7" s="105">
        <f>C7</f>
        <v>243237</v>
      </c>
      <c r="N7" s="105">
        <f>C7</f>
        <v>243237</v>
      </c>
      <c r="O7" s="105">
        <f>C7</f>
        <v>243237</v>
      </c>
      <c r="P7" s="104">
        <f>O7</f>
        <v>243237</v>
      </c>
      <c r="Q7" s="90"/>
      <c r="R7" s="90"/>
    </row>
    <row r="8" spans="1:18" s="96" customFormat="1" hidden="1" outlineLevel="1" x14ac:dyDescent="0.25">
      <c r="A8" s="96">
        <v>2017</v>
      </c>
      <c r="B8" s="108">
        <v>250424.54</v>
      </c>
      <c r="C8" s="107">
        <f>B8</f>
        <v>250424.54</v>
      </c>
      <c r="D8" s="106">
        <f t="shared" ref="D8:N11" si="0">(B8-B7)/12*1+B7</f>
        <v>243835.96166666667</v>
      </c>
      <c r="E8" s="106">
        <f t="shared" si="0"/>
        <v>243835.96166666667</v>
      </c>
      <c r="F8" s="106">
        <f t="shared" si="0"/>
        <v>20319.663472222222</v>
      </c>
      <c r="G8" s="106">
        <f t="shared" si="0"/>
        <v>20319.663472222222</v>
      </c>
      <c r="H8" s="106">
        <f t="shared" si="0"/>
        <v>1693.3052893518518</v>
      </c>
      <c r="I8" s="106">
        <f t="shared" si="0"/>
        <v>1693.3052893518518</v>
      </c>
      <c r="J8" s="106">
        <f t="shared" si="0"/>
        <v>141.10877411265432</v>
      </c>
      <c r="K8" s="106">
        <f t="shared" si="0"/>
        <v>141.10877411265432</v>
      </c>
      <c r="L8" s="106">
        <f t="shared" si="0"/>
        <v>11.75906450938786</v>
      </c>
      <c r="M8" s="106">
        <f t="shared" si="0"/>
        <v>11.75906450938786</v>
      </c>
      <c r="N8" s="106">
        <f t="shared" si="0"/>
        <v>222968.22992204246</v>
      </c>
      <c r="O8" s="105">
        <f>+B8</f>
        <v>250424.54</v>
      </c>
      <c r="P8" s="104">
        <f>((C7+O8)+2*(SUM(D8:N8)))/24</f>
        <v>83483.549704647347</v>
      </c>
      <c r="Q8" s="90"/>
      <c r="R8" s="90"/>
    </row>
    <row r="9" spans="1:18" s="96" customFormat="1" hidden="1" outlineLevel="1" x14ac:dyDescent="0.25">
      <c r="A9" s="96">
        <v>2018</v>
      </c>
      <c r="B9" s="108">
        <v>253964.7</v>
      </c>
      <c r="C9" s="107">
        <f>B9</f>
        <v>253964.7</v>
      </c>
      <c r="D9" s="106">
        <f t="shared" si="0"/>
        <v>250719.55333333334</v>
      </c>
      <c r="E9" s="106">
        <f t="shared" si="0"/>
        <v>250719.55333333334</v>
      </c>
      <c r="F9" s="106">
        <f t="shared" si="0"/>
        <v>244409.59430555557</v>
      </c>
      <c r="G9" s="106">
        <f t="shared" si="0"/>
        <v>244409.59430555557</v>
      </c>
      <c r="H9" s="106">
        <f t="shared" si="0"/>
        <v>38993.824374999997</v>
      </c>
      <c r="I9" s="106">
        <f t="shared" si="0"/>
        <v>38993.824374999997</v>
      </c>
      <c r="J9" s="106">
        <f t="shared" si="0"/>
        <v>4801.6818798225304</v>
      </c>
      <c r="K9" s="106">
        <f t="shared" si="0"/>
        <v>4801.6818798225304</v>
      </c>
      <c r="L9" s="106">
        <f t="shared" si="0"/>
        <v>529.48986625514408</v>
      </c>
      <c r="M9" s="106">
        <f t="shared" si="0"/>
        <v>529.48986625514408</v>
      </c>
      <c r="N9" s="106">
        <f t="shared" si="0"/>
        <v>54.903297988200883</v>
      </c>
      <c r="O9" s="105">
        <f>+B9</f>
        <v>253964.7</v>
      </c>
      <c r="P9" s="104">
        <f>((C8+O9)+2*(SUM(D9:N9)))/24</f>
        <v>110929.81756816013</v>
      </c>
      <c r="Q9" s="90"/>
      <c r="R9" s="90"/>
    </row>
    <row r="10" spans="1:18" s="96" customFormat="1" collapsed="1" x14ac:dyDescent="0.25">
      <c r="A10" s="96">
        <v>2019</v>
      </c>
      <c r="B10" s="236">
        <v>257362.52</v>
      </c>
      <c r="C10" s="237">
        <f>B10</f>
        <v>257362.52</v>
      </c>
      <c r="D10" s="238">
        <f t="shared" si="0"/>
        <v>254247.85166666668</v>
      </c>
      <c r="E10" s="238">
        <f t="shared" si="0"/>
        <v>254247.85166666668</v>
      </c>
      <c r="F10" s="238">
        <f t="shared" si="0"/>
        <v>251013.57819444445</v>
      </c>
      <c r="G10" s="238">
        <f t="shared" si="0"/>
        <v>251013.57819444445</v>
      </c>
      <c r="H10" s="238">
        <f t="shared" si="0"/>
        <v>244959.9262962963</v>
      </c>
      <c r="I10" s="238">
        <f t="shared" si="0"/>
        <v>244959.9262962963</v>
      </c>
      <c r="J10" s="238">
        <f t="shared" si="0"/>
        <v>56157.666201774686</v>
      </c>
      <c r="K10" s="238">
        <f t="shared" si="0"/>
        <v>56157.666201774686</v>
      </c>
      <c r="L10" s="238">
        <f t="shared" si="0"/>
        <v>9081.3472399852108</v>
      </c>
      <c r="M10" s="238">
        <f t="shared" si="0"/>
        <v>9081.3472399852108</v>
      </c>
      <c r="N10" s="238">
        <f t="shared" si="0"/>
        <v>1242.1446473993165</v>
      </c>
      <c r="O10" s="239">
        <f>+B10</f>
        <v>257362.52</v>
      </c>
      <c r="P10" s="236">
        <f>((C9+O10)+2*(SUM(D10:N10)))/24</f>
        <v>157318.87448714449</v>
      </c>
      <c r="Q10" s="90"/>
      <c r="R10" s="90"/>
    </row>
    <row r="11" spans="1:18" s="96" customFormat="1" x14ac:dyDescent="0.25">
      <c r="A11" s="96">
        <v>2020</v>
      </c>
      <c r="B11" s="103">
        <v>259811.82</v>
      </c>
      <c r="C11" s="92">
        <f>B11</f>
        <v>259811.82</v>
      </c>
      <c r="D11" s="102">
        <f t="shared" si="0"/>
        <v>257566.62833333333</v>
      </c>
      <c r="E11" s="102">
        <f t="shared" si="0"/>
        <v>257566.62833333333</v>
      </c>
      <c r="F11" s="102">
        <f t="shared" si="0"/>
        <v>254524.4163888889</v>
      </c>
      <c r="G11" s="102">
        <f t="shared" si="0"/>
        <v>254524.4163888889</v>
      </c>
      <c r="H11" s="102">
        <f t="shared" si="0"/>
        <v>251306.14804398149</v>
      </c>
      <c r="I11" s="102">
        <f t="shared" si="0"/>
        <v>251306.14804398149</v>
      </c>
      <c r="J11" s="102">
        <f t="shared" si="0"/>
        <v>245488.77810860341</v>
      </c>
      <c r="K11" s="102">
        <f t="shared" si="0"/>
        <v>245488.77810860341</v>
      </c>
      <c r="L11" s="102">
        <f t="shared" si="0"/>
        <v>71935.258860677073</v>
      </c>
      <c r="M11" s="102">
        <f t="shared" si="0"/>
        <v>71935.258860677073</v>
      </c>
      <c r="N11" s="102">
        <f t="shared" si="0"/>
        <v>14319.1732083762</v>
      </c>
      <c r="O11" s="101">
        <f>+B11</f>
        <v>259811.82</v>
      </c>
      <c r="P11" s="91">
        <f>((C10+O11)+2*(SUM(D11:N11)))/24</f>
        <v>202879.06688994539</v>
      </c>
      <c r="Q11" s="235">
        <f>((I10+I11+(SUM(J10:O10)+SUM(D11:H11))*2)/24)</f>
        <v>159391.99718245701</v>
      </c>
      <c r="R11" s="235">
        <f>I11</f>
        <v>251306.14804398149</v>
      </c>
    </row>
    <row r="12" spans="1:18" x14ac:dyDescent="0.25">
      <c r="B12" s="100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1"/>
      <c r="Q12" s="90"/>
      <c r="R12" s="90"/>
    </row>
    <row r="13" spans="1:18" x14ac:dyDescent="0.25">
      <c r="A13" s="98" t="s">
        <v>162</v>
      </c>
      <c r="B13" s="94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1"/>
      <c r="Q13" s="90"/>
      <c r="R13" s="90"/>
    </row>
    <row r="14" spans="1:18" hidden="1" outlineLevel="1" x14ac:dyDescent="0.25">
      <c r="A14" s="96">
        <v>2008</v>
      </c>
      <c r="B14" s="94">
        <f>105284.96+13277993.74</f>
        <v>13383278.700000001</v>
      </c>
      <c r="C14" s="94">
        <f t="shared" ref="C14:C26" si="1">B14</f>
        <v>13383278.700000001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0"/>
      <c r="R14" s="90"/>
    </row>
    <row r="15" spans="1:18" hidden="1" outlineLevel="1" x14ac:dyDescent="0.25">
      <c r="A15" s="96">
        <v>2009</v>
      </c>
      <c r="B15" s="94">
        <f>103637.14+16428984.94</f>
        <v>16532622.08</v>
      </c>
      <c r="C15" s="94">
        <f t="shared" si="1"/>
        <v>16532622.08</v>
      </c>
      <c r="D15" s="94">
        <f t="shared" ref="D15:D26" si="2">(B15-B14)/12*1+B14</f>
        <v>13645723.981666667</v>
      </c>
      <c r="E15" s="94">
        <f t="shared" ref="E15:E26" si="3">(B15-B14)/12*2+B14</f>
        <v>13908169.263333334</v>
      </c>
      <c r="F15" s="94">
        <f t="shared" ref="F15:F26" si="4">(B15-B14)/12*3+B14</f>
        <v>14170614.545000002</v>
      </c>
      <c r="G15" s="94">
        <f t="shared" ref="G15:G26" si="5">(B15-B14)/12*4+B14</f>
        <v>14433059.826666668</v>
      </c>
      <c r="H15" s="94">
        <f t="shared" ref="H15:H26" si="6">(B15-B14)/12*5+B14</f>
        <v>14695505.108333334</v>
      </c>
      <c r="I15" s="94">
        <f t="shared" ref="I15:I26" si="7">(B15-B14)/12*6+B14</f>
        <v>14957950.390000001</v>
      </c>
      <c r="J15" s="94">
        <f t="shared" ref="J15:J26" si="8">(B15-B14)/12*7+B14</f>
        <v>15220395.671666667</v>
      </c>
      <c r="K15" s="94">
        <f t="shared" ref="K15:K26" si="9">(B15-B14)/12*8+B14</f>
        <v>15482840.953333333</v>
      </c>
      <c r="L15" s="94">
        <f t="shared" ref="L15:L26" si="10">(B15-B14)/12*9+B14</f>
        <v>15745286.234999999</v>
      </c>
      <c r="M15" s="94">
        <f t="shared" ref="M15:M26" si="11">(B15-B14)/12*10+B14</f>
        <v>16007731.516666666</v>
      </c>
      <c r="N15" s="94">
        <f t="shared" ref="N15:N26" si="12">(B15-B14)/12*11+B14</f>
        <v>16270176.798333334</v>
      </c>
      <c r="O15" s="94">
        <f t="shared" ref="O15:O26" si="13">+B15</f>
        <v>16532622.08</v>
      </c>
      <c r="P15" s="94">
        <f t="shared" ref="P15:P26" si="14">((C14+O15)+2*(SUM(D15:N15)))/24</f>
        <v>14957950.390000001</v>
      </c>
      <c r="Q15" s="90"/>
      <c r="R15" s="90"/>
    </row>
    <row r="16" spans="1:18" hidden="1" outlineLevel="1" x14ac:dyDescent="0.25">
      <c r="A16" s="85">
        <v>2010</v>
      </c>
      <c r="B16" s="94">
        <f>102002+18225441</f>
        <v>18327443</v>
      </c>
      <c r="C16" s="94">
        <f t="shared" si="1"/>
        <v>18327443</v>
      </c>
      <c r="D16" s="94">
        <f t="shared" si="2"/>
        <v>16682190.49</v>
      </c>
      <c r="E16" s="94">
        <f t="shared" si="3"/>
        <v>16831758.899999999</v>
      </c>
      <c r="F16" s="94">
        <f t="shared" si="4"/>
        <v>16981327.309999999</v>
      </c>
      <c r="G16" s="94">
        <f t="shared" si="5"/>
        <v>17130895.719999999</v>
      </c>
      <c r="H16" s="94">
        <f t="shared" si="6"/>
        <v>17280464.129999999</v>
      </c>
      <c r="I16" s="94">
        <f t="shared" si="7"/>
        <v>17430032.539999999</v>
      </c>
      <c r="J16" s="94">
        <f t="shared" si="8"/>
        <v>17579600.949999999</v>
      </c>
      <c r="K16" s="94">
        <f t="shared" si="9"/>
        <v>17729169.359999999</v>
      </c>
      <c r="L16" s="94">
        <f t="shared" si="10"/>
        <v>17878737.77</v>
      </c>
      <c r="M16" s="94">
        <f t="shared" si="11"/>
        <v>18028306.18</v>
      </c>
      <c r="N16" s="94">
        <f t="shared" si="12"/>
        <v>18177874.59</v>
      </c>
      <c r="O16" s="94">
        <f t="shared" si="13"/>
        <v>18327443</v>
      </c>
      <c r="P16" s="94">
        <f t="shared" si="14"/>
        <v>17430032.540000003</v>
      </c>
      <c r="Q16" s="90"/>
      <c r="R16" s="90"/>
    </row>
    <row r="17" spans="1:18" hidden="1" outlineLevel="1" x14ac:dyDescent="0.25">
      <c r="A17" s="85">
        <v>2011</v>
      </c>
      <c r="B17" s="94">
        <v>22239143</v>
      </c>
      <c r="C17" s="94">
        <f t="shared" si="1"/>
        <v>22239143</v>
      </c>
      <c r="D17" s="94">
        <f t="shared" si="2"/>
        <v>18653418</v>
      </c>
      <c r="E17" s="94">
        <f t="shared" si="3"/>
        <v>18979393</v>
      </c>
      <c r="F17" s="94">
        <f t="shared" si="4"/>
        <v>19305368</v>
      </c>
      <c r="G17" s="94">
        <f t="shared" si="5"/>
        <v>19631343</v>
      </c>
      <c r="H17" s="94">
        <f t="shared" si="6"/>
        <v>19957318</v>
      </c>
      <c r="I17" s="94">
        <f t="shared" si="7"/>
        <v>20283293</v>
      </c>
      <c r="J17" s="94">
        <f t="shared" si="8"/>
        <v>20609268</v>
      </c>
      <c r="K17" s="94">
        <f t="shared" si="9"/>
        <v>20935243</v>
      </c>
      <c r="L17" s="94">
        <f t="shared" si="10"/>
        <v>21261218</v>
      </c>
      <c r="M17" s="94">
        <f t="shared" si="11"/>
        <v>21587193</v>
      </c>
      <c r="N17" s="94">
        <f t="shared" si="12"/>
        <v>21913168</v>
      </c>
      <c r="O17" s="94">
        <f t="shared" si="13"/>
        <v>22239143</v>
      </c>
      <c r="P17" s="94">
        <f t="shared" si="14"/>
        <v>20283293</v>
      </c>
      <c r="Q17" s="90"/>
      <c r="R17" s="90"/>
    </row>
    <row r="18" spans="1:18" hidden="1" outlineLevel="1" x14ac:dyDescent="0.25">
      <c r="A18" s="85">
        <v>2012</v>
      </c>
      <c r="B18" s="94">
        <v>25523703</v>
      </c>
      <c r="C18" s="94">
        <f t="shared" si="1"/>
        <v>25523703</v>
      </c>
      <c r="D18" s="94">
        <f t="shared" si="2"/>
        <v>22512856.333333332</v>
      </c>
      <c r="E18" s="94">
        <f t="shared" si="3"/>
        <v>22786569.666666668</v>
      </c>
      <c r="F18" s="94">
        <f t="shared" si="4"/>
        <v>23060283</v>
      </c>
      <c r="G18" s="94">
        <f t="shared" si="5"/>
        <v>23333996.333333332</v>
      </c>
      <c r="H18" s="94">
        <f t="shared" si="6"/>
        <v>23607709.666666668</v>
      </c>
      <c r="I18" s="94">
        <f t="shared" si="7"/>
        <v>23881423</v>
      </c>
      <c r="J18" s="94">
        <f t="shared" si="8"/>
        <v>24155136.333333332</v>
      </c>
      <c r="K18" s="94">
        <f t="shared" si="9"/>
        <v>24428849.666666668</v>
      </c>
      <c r="L18" s="94">
        <f t="shared" si="10"/>
        <v>24702563</v>
      </c>
      <c r="M18" s="94">
        <f t="shared" si="11"/>
        <v>24976276.333333332</v>
      </c>
      <c r="N18" s="94">
        <f t="shared" si="12"/>
        <v>25249989.666666668</v>
      </c>
      <c r="O18" s="94">
        <f t="shared" si="13"/>
        <v>25523703</v>
      </c>
      <c r="P18" s="94">
        <f t="shared" si="14"/>
        <v>23881423</v>
      </c>
      <c r="Q18" s="90"/>
      <c r="R18" s="90"/>
    </row>
    <row r="19" spans="1:18" hidden="1" outlineLevel="1" x14ac:dyDescent="0.25">
      <c r="A19" s="85">
        <v>2013</v>
      </c>
      <c r="B19" s="94">
        <v>27598934</v>
      </c>
      <c r="C19" s="94">
        <f t="shared" si="1"/>
        <v>27598934</v>
      </c>
      <c r="D19" s="94">
        <f t="shared" si="2"/>
        <v>25696638.916666668</v>
      </c>
      <c r="E19" s="94">
        <f t="shared" si="3"/>
        <v>25869574.833333332</v>
      </c>
      <c r="F19" s="94">
        <f t="shared" si="4"/>
        <v>26042510.75</v>
      </c>
      <c r="G19" s="94">
        <f t="shared" si="5"/>
        <v>26215446.666666668</v>
      </c>
      <c r="H19" s="94">
        <f t="shared" si="6"/>
        <v>26388382.583333332</v>
      </c>
      <c r="I19" s="94">
        <f t="shared" si="7"/>
        <v>26561318.5</v>
      </c>
      <c r="J19" s="94">
        <f t="shared" si="8"/>
        <v>26734254.416666668</v>
      </c>
      <c r="K19" s="94">
        <f t="shared" si="9"/>
        <v>26907190.333333332</v>
      </c>
      <c r="L19" s="94">
        <f t="shared" si="10"/>
        <v>27080126.25</v>
      </c>
      <c r="M19" s="94">
        <f t="shared" si="11"/>
        <v>27253062.166666668</v>
      </c>
      <c r="N19" s="94">
        <f t="shared" si="12"/>
        <v>27425998.083333332</v>
      </c>
      <c r="O19" s="94">
        <f t="shared" si="13"/>
        <v>27598934</v>
      </c>
      <c r="P19" s="94">
        <f t="shared" si="14"/>
        <v>26561318.5</v>
      </c>
      <c r="Q19" s="90"/>
      <c r="R19" s="90"/>
    </row>
    <row r="20" spans="1:18" hidden="1" outlineLevel="1" x14ac:dyDescent="0.25">
      <c r="A20" s="85">
        <v>2014</v>
      </c>
      <c r="B20" s="94">
        <v>29913212.199999999</v>
      </c>
      <c r="C20" s="94">
        <f t="shared" si="1"/>
        <v>29913212.199999999</v>
      </c>
      <c r="D20" s="94">
        <f t="shared" si="2"/>
        <v>27791790.516666666</v>
      </c>
      <c r="E20" s="94">
        <f t="shared" si="3"/>
        <v>27984647.033333331</v>
      </c>
      <c r="F20" s="94">
        <f t="shared" si="4"/>
        <v>28177503.550000001</v>
      </c>
      <c r="G20" s="94">
        <f t="shared" si="5"/>
        <v>28370360.066666666</v>
      </c>
      <c r="H20" s="94">
        <f t="shared" si="6"/>
        <v>28563216.583333332</v>
      </c>
      <c r="I20" s="94">
        <f t="shared" si="7"/>
        <v>28756073.100000001</v>
      </c>
      <c r="J20" s="94">
        <f t="shared" si="8"/>
        <v>28948929.616666667</v>
      </c>
      <c r="K20" s="94">
        <f t="shared" si="9"/>
        <v>29141786.133333333</v>
      </c>
      <c r="L20" s="94">
        <f t="shared" si="10"/>
        <v>29334642.649999999</v>
      </c>
      <c r="M20" s="94">
        <f t="shared" si="11"/>
        <v>29527499.166666664</v>
      </c>
      <c r="N20" s="94">
        <f t="shared" si="12"/>
        <v>29720355.683333334</v>
      </c>
      <c r="O20" s="94">
        <f t="shared" si="13"/>
        <v>29913212.199999999</v>
      </c>
      <c r="P20" s="94">
        <f t="shared" si="14"/>
        <v>28756073.100000005</v>
      </c>
      <c r="Q20" s="90"/>
      <c r="R20" s="90"/>
    </row>
    <row r="21" spans="1:18" hidden="1" outlineLevel="1" x14ac:dyDescent="0.25">
      <c r="A21" s="85">
        <v>2015</v>
      </c>
      <c r="B21" s="94">
        <v>33016810.43</v>
      </c>
      <c r="C21" s="94">
        <f t="shared" si="1"/>
        <v>33016810.43</v>
      </c>
      <c r="D21" s="94">
        <f t="shared" si="2"/>
        <v>30171845.385833334</v>
      </c>
      <c r="E21" s="94">
        <f t="shared" si="3"/>
        <v>30430478.571666665</v>
      </c>
      <c r="F21" s="94">
        <f t="shared" si="4"/>
        <v>30689111.7575</v>
      </c>
      <c r="G21" s="94">
        <f t="shared" si="5"/>
        <v>30947744.943333331</v>
      </c>
      <c r="H21" s="94">
        <f t="shared" si="6"/>
        <v>31206378.129166666</v>
      </c>
      <c r="I21" s="94">
        <f t="shared" si="7"/>
        <v>31465011.314999998</v>
      </c>
      <c r="J21" s="94">
        <f t="shared" si="8"/>
        <v>31723644.500833333</v>
      </c>
      <c r="K21" s="94">
        <f t="shared" si="9"/>
        <v>31982277.686666667</v>
      </c>
      <c r="L21" s="94">
        <f t="shared" si="10"/>
        <v>32240910.872499999</v>
      </c>
      <c r="M21" s="94">
        <f t="shared" si="11"/>
        <v>32499544.058333334</v>
      </c>
      <c r="N21" s="94">
        <f t="shared" si="12"/>
        <v>32758177.244166665</v>
      </c>
      <c r="O21" s="94">
        <f t="shared" si="13"/>
        <v>33016810.43</v>
      </c>
      <c r="P21" s="94">
        <f t="shared" si="14"/>
        <v>31465011.314999998</v>
      </c>
      <c r="Q21" s="90"/>
      <c r="R21" s="90"/>
    </row>
    <row r="22" spans="1:18" hidden="1" outlineLevel="1" x14ac:dyDescent="0.25">
      <c r="A22" s="85">
        <v>2016</v>
      </c>
      <c r="B22" s="94">
        <v>34802220.329999998</v>
      </c>
      <c r="C22" s="94">
        <f t="shared" si="1"/>
        <v>34802220.329999998</v>
      </c>
      <c r="D22" s="94">
        <f t="shared" si="2"/>
        <v>33165594.588333331</v>
      </c>
      <c r="E22" s="94">
        <f t="shared" si="3"/>
        <v>33314378.746666666</v>
      </c>
      <c r="F22" s="94">
        <f t="shared" si="4"/>
        <v>33463162.905000001</v>
      </c>
      <c r="G22" s="94">
        <f t="shared" si="5"/>
        <v>33611947.063333333</v>
      </c>
      <c r="H22" s="94">
        <f t="shared" si="6"/>
        <v>33760731.221666664</v>
      </c>
      <c r="I22" s="94">
        <f t="shared" si="7"/>
        <v>33909515.379999995</v>
      </c>
      <c r="J22" s="94">
        <f t="shared" si="8"/>
        <v>34058299.538333334</v>
      </c>
      <c r="K22" s="94">
        <f t="shared" si="9"/>
        <v>34207083.696666665</v>
      </c>
      <c r="L22" s="94">
        <f t="shared" si="10"/>
        <v>34355867.854999997</v>
      </c>
      <c r="M22" s="94">
        <f t="shared" si="11"/>
        <v>34504652.013333336</v>
      </c>
      <c r="N22" s="94">
        <f t="shared" si="12"/>
        <v>34653436.171666667</v>
      </c>
      <c r="O22" s="94">
        <f t="shared" si="13"/>
        <v>34802220.329999998</v>
      </c>
      <c r="P22" s="94">
        <f t="shared" si="14"/>
        <v>33909515.380000003</v>
      </c>
      <c r="Q22" s="90"/>
      <c r="R22" s="90"/>
    </row>
    <row r="23" spans="1:18" hidden="1" outlineLevel="1" x14ac:dyDescent="0.25">
      <c r="A23" s="85">
        <v>2017</v>
      </c>
      <c r="B23" s="94">
        <v>37658972.479999997</v>
      </c>
      <c r="C23" s="94">
        <f t="shared" si="1"/>
        <v>37658972.479999997</v>
      </c>
      <c r="D23" s="94">
        <f t="shared" si="2"/>
        <v>35040283.009166665</v>
      </c>
      <c r="E23" s="94">
        <f t="shared" si="3"/>
        <v>35278345.688333333</v>
      </c>
      <c r="F23" s="94">
        <f t="shared" si="4"/>
        <v>35516408.3675</v>
      </c>
      <c r="G23" s="94">
        <f t="shared" si="5"/>
        <v>35754471.046666667</v>
      </c>
      <c r="H23" s="94">
        <f t="shared" si="6"/>
        <v>35992533.725833334</v>
      </c>
      <c r="I23" s="94">
        <f t="shared" si="7"/>
        <v>36230596.405000001</v>
      </c>
      <c r="J23" s="94">
        <f t="shared" si="8"/>
        <v>36468659.084166661</v>
      </c>
      <c r="K23" s="94">
        <f t="shared" si="9"/>
        <v>36706721.763333328</v>
      </c>
      <c r="L23" s="94">
        <f t="shared" si="10"/>
        <v>36944784.442499995</v>
      </c>
      <c r="M23" s="94">
        <f t="shared" si="11"/>
        <v>37182847.121666662</v>
      </c>
      <c r="N23" s="94">
        <f t="shared" si="12"/>
        <v>37420909.80083333</v>
      </c>
      <c r="O23" s="94">
        <f t="shared" si="13"/>
        <v>37658972.479999997</v>
      </c>
      <c r="P23" s="94">
        <f t="shared" si="14"/>
        <v>36230596.405000001</v>
      </c>
      <c r="Q23" s="90"/>
      <c r="R23" s="90"/>
    </row>
    <row r="24" spans="1:18" hidden="1" outlineLevel="1" x14ac:dyDescent="0.25">
      <c r="A24" s="85">
        <v>2018</v>
      </c>
      <c r="B24" s="94">
        <v>37669468.93</v>
      </c>
      <c r="C24" s="94">
        <f t="shared" si="1"/>
        <v>37669468.93</v>
      </c>
      <c r="D24" s="94">
        <f t="shared" si="2"/>
        <v>37659847.184166662</v>
      </c>
      <c r="E24" s="94">
        <f t="shared" si="3"/>
        <v>37660721.888333328</v>
      </c>
      <c r="F24" s="94">
        <f t="shared" si="4"/>
        <v>37661596.592500001</v>
      </c>
      <c r="G24" s="94">
        <f t="shared" si="5"/>
        <v>37662471.296666667</v>
      </c>
      <c r="H24" s="94">
        <f t="shared" si="6"/>
        <v>37663346.000833333</v>
      </c>
      <c r="I24" s="94">
        <f t="shared" si="7"/>
        <v>37664220.704999998</v>
      </c>
      <c r="J24" s="94">
        <f t="shared" si="8"/>
        <v>37665095.409166664</v>
      </c>
      <c r="K24" s="94">
        <f t="shared" si="9"/>
        <v>37665970.11333333</v>
      </c>
      <c r="L24" s="94">
        <f t="shared" si="10"/>
        <v>37666844.817499995</v>
      </c>
      <c r="M24" s="94">
        <f t="shared" si="11"/>
        <v>37667719.521666668</v>
      </c>
      <c r="N24" s="94">
        <f t="shared" si="12"/>
        <v>37668594.225833334</v>
      </c>
      <c r="O24" s="94">
        <f t="shared" si="13"/>
        <v>37669468.93</v>
      </c>
      <c r="P24" s="94">
        <f t="shared" si="14"/>
        <v>37664220.704999991</v>
      </c>
      <c r="Q24" s="90"/>
      <c r="R24" s="90"/>
    </row>
    <row r="25" spans="1:18" collapsed="1" x14ac:dyDescent="0.25">
      <c r="A25" s="85">
        <v>2019</v>
      </c>
      <c r="B25" s="94">
        <v>28088051.850000001</v>
      </c>
      <c r="C25" s="94">
        <f t="shared" si="1"/>
        <v>28088051.850000001</v>
      </c>
      <c r="D25" s="94">
        <f t="shared" si="2"/>
        <v>36871017.506666668</v>
      </c>
      <c r="E25" s="94">
        <f t="shared" si="3"/>
        <v>36072566.083333336</v>
      </c>
      <c r="F25" s="94">
        <f t="shared" si="4"/>
        <v>35274114.659999996</v>
      </c>
      <c r="G25" s="94">
        <f t="shared" si="5"/>
        <v>34475663.236666664</v>
      </c>
      <c r="H25" s="94">
        <f t="shared" si="6"/>
        <v>33677211.813333333</v>
      </c>
      <c r="I25" s="94">
        <f t="shared" si="7"/>
        <v>32878760.390000001</v>
      </c>
      <c r="J25" s="94">
        <f t="shared" si="8"/>
        <v>32080308.966666669</v>
      </c>
      <c r="K25" s="94">
        <f t="shared" si="9"/>
        <v>31281857.543333333</v>
      </c>
      <c r="L25" s="94">
        <f t="shared" si="10"/>
        <v>30483406.120000001</v>
      </c>
      <c r="M25" s="94">
        <f t="shared" si="11"/>
        <v>29684954.696666665</v>
      </c>
      <c r="N25" s="94">
        <f t="shared" si="12"/>
        <v>28886503.273333333</v>
      </c>
      <c r="O25" s="94">
        <f t="shared" si="13"/>
        <v>28088051.850000001</v>
      </c>
      <c r="P25" s="94">
        <f t="shared" si="14"/>
        <v>32878760.389999997</v>
      </c>
      <c r="Q25" s="90"/>
      <c r="R25" s="90"/>
    </row>
    <row r="26" spans="1:18" x14ac:dyDescent="0.25">
      <c r="A26" s="85">
        <v>2020</v>
      </c>
      <c r="B26" s="93">
        <v>10849575.96857143</v>
      </c>
      <c r="C26" s="94">
        <f t="shared" si="1"/>
        <v>10849575.96857143</v>
      </c>
      <c r="D26" s="94">
        <f t="shared" si="2"/>
        <v>26651512.193214286</v>
      </c>
      <c r="E26" s="94">
        <f t="shared" si="3"/>
        <v>25214972.536428574</v>
      </c>
      <c r="F26" s="94">
        <f t="shared" si="4"/>
        <v>23778432.879642859</v>
      </c>
      <c r="G26" s="94">
        <f t="shared" si="5"/>
        <v>22341893.222857144</v>
      </c>
      <c r="H26" s="94">
        <f t="shared" si="6"/>
        <v>20905353.566071428</v>
      </c>
      <c r="I26" s="94">
        <f t="shared" si="7"/>
        <v>19468813.909285717</v>
      </c>
      <c r="J26" s="94">
        <f t="shared" si="8"/>
        <v>18032274.252500001</v>
      </c>
      <c r="K26" s="94">
        <f t="shared" si="9"/>
        <v>16595734.595714288</v>
      </c>
      <c r="L26" s="94">
        <f t="shared" si="10"/>
        <v>15159194.938928574</v>
      </c>
      <c r="M26" s="94">
        <f t="shared" si="11"/>
        <v>13722655.282142859</v>
      </c>
      <c r="N26" s="94">
        <f t="shared" si="12"/>
        <v>12286115.625357145</v>
      </c>
      <c r="O26" s="94">
        <f t="shared" si="13"/>
        <v>10849575.96857143</v>
      </c>
      <c r="P26" s="94">
        <f t="shared" si="14"/>
        <v>19468813.909285717</v>
      </c>
      <c r="Q26" s="90">
        <f>((I25+I26+(SUM(J25:O25)+SUM(D26:H26))*2)/24)</f>
        <v>27130919.499821428</v>
      </c>
      <c r="R26" s="90">
        <f>I26</f>
        <v>19468813.909285717</v>
      </c>
    </row>
    <row r="27" spans="1:18" x14ac:dyDescent="0.25">
      <c r="B27" s="94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4"/>
      <c r="P27" s="92"/>
      <c r="Q27" s="90"/>
      <c r="R27" s="90"/>
    </row>
    <row r="28" spans="1:18" x14ac:dyDescent="0.25">
      <c r="A28" s="98" t="s">
        <v>161</v>
      </c>
      <c r="B28" s="94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1"/>
      <c r="Q28" s="90"/>
      <c r="R28" s="90"/>
    </row>
    <row r="29" spans="1:18" hidden="1" outlineLevel="1" x14ac:dyDescent="0.25">
      <c r="A29" s="96">
        <v>2008</v>
      </c>
      <c r="B29" s="94">
        <f>63527.46+48250116.2+369200.05</f>
        <v>48682843.710000001</v>
      </c>
      <c r="C29" s="94">
        <f t="shared" ref="C29:C41" si="15">B29</f>
        <v>48682843.710000001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0"/>
      <c r="R29" s="90"/>
    </row>
    <row r="30" spans="1:18" hidden="1" outlineLevel="1" x14ac:dyDescent="0.25">
      <c r="A30" s="96">
        <v>2009</v>
      </c>
      <c r="B30" s="94">
        <f>62529.98+49111512.51+184600.03</f>
        <v>49358642.519999996</v>
      </c>
      <c r="C30" s="94">
        <f t="shared" si="15"/>
        <v>49358642.519999996</v>
      </c>
      <c r="D30" s="94">
        <f t="shared" ref="D30:D41" si="16">(B30-B29)/12*1+B29</f>
        <v>48739160.277500004</v>
      </c>
      <c r="E30" s="94">
        <f t="shared" ref="E30:E41" si="17">(B30-B29)/12*2+B29</f>
        <v>48795476.844999999</v>
      </c>
      <c r="F30" s="94">
        <f t="shared" ref="F30:F41" si="18">(B30-B29)/12*3+B29</f>
        <v>48851793.412500001</v>
      </c>
      <c r="G30" s="94">
        <f t="shared" ref="G30:G41" si="19">(B30-B29)/12*4+B29</f>
        <v>48908109.979999997</v>
      </c>
      <c r="H30" s="94">
        <f t="shared" ref="H30:H41" si="20">(B30-B29)/12*5+B29</f>
        <v>48964426.547499999</v>
      </c>
      <c r="I30" s="94">
        <f t="shared" ref="I30:I41" si="21">(B30-B29)/12*6+B29</f>
        <v>49020743.114999995</v>
      </c>
      <c r="J30" s="94">
        <f t="shared" ref="J30:J41" si="22">(B30-B29)/12*7+B29</f>
        <v>49077059.682499997</v>
      </c>
      <c r="K30" s="94">
        <f t="shared" ref="K30:K41" si="23">(B30-B29)/12*8+B29</f>
        <v>49133376.25</v>
      </c>
      <c r="L30" s="94">
        <f t="shared" ref="L30:L41" si="24">(B30-B29)/12*9+B29</f>
        <v>49189692.817499995</v>
      </c>
      <c r="M30" s="94">
        <f t="shared" ref="M30:M41" si="25">(B30-B29)/12*10+B29</f>
        <v>49246009.384999998</v>
      </c>
      <c r="N30" s="94">
        <f t="shared" ref="N30:N41" si="26">(B30-B29)/12*11+B29</f>
        <v>49302325.952499993</v>
      </c>
      <c r="O30" s="94">
        <f t="shared" ref="O30:O41" si="27">+B30</f>
        <v>49358642.519999996</v>
      </c>
      <c r="P30" s="94">
        <f t="shared" ref="P30:P41" si="28">((C29+O30)+2*(SUM(D30:N30)))/24</f>
        <v>49020743.115000002</v>
      </c>
      <c r="Q30" s="90"/>
      <c r="R30" s="90"/>
    </row>
    <row r="31" spans="1:18" hidden="1" outlineLevel="1" x14ac:dyDescent="0.25">
      <c r="A31" s="85">
        <v>2010</v>
      </c>
      <c r="B31" s="94">
        <f>61552+49201525</f>
        <v>49263077</v>
      </c>
      <c r="C31" s="94">
        <f t="shared" si="15"/>
        <v>49263077</v>
      </c>
      <c r="D31" s="94">
        <f t="shared" si="16"/>
        <v>49350678.726666659</v>
      </c>
      <c r="E31" s="94">
        <f t="shared" si="17"/>
        <v>49342714.93333333</v>
      </c>
      <c r="F31" s="94">
        <f t="shared" si="18"/>
        <v>49334751.140000001</v>
      </c>
      <c r="G31" s="94">
        <f t="shared" si="19"/>
        <v>49326787.346666664</v>
      </c>
      <c r="H31" s="94">
        <f t="shared" si="20"/>
        <v>49318823.553333327</v>
      </c>
      <c r="I31" s="94">
        <f t="shared" si="21"/>
        <v>49310859.759999998</v>
      </c>
      <c r="J31" s="94">
        <f t="shared" si="22"/>
        <v>49302895.966666669</v>
      </c>
      <c r="K31" s="94">
        <f t="shared" si="23"/>
        <v>49294932.173333332</v>
      </c>
      <c r="L31" s="94">
        <f t="shared" si="24"/>
        <v>49286968.379999995</v>
      </c>
      <c r="M31" s="94">
        <f t="shared" si="25"/>
        <v>49279004.586666666</v>
      </c>
      <c r="N31" s="94">
        <f t="shared" si="26"/>
        <v>49271040.793333337</v>
      </c>
      <c r="O31" s="94">
        <f t="shared" si="27"/>
        <v>49263077</v>
      </c>
      <c r="P31" s="94">
        <f t="shared" si="28"/>
        <v>49310859.75999999</v>
      </c>
      <c r="Q31" s="90"/>
      <c r="R31" s="90"/>
    </row>
    <row r="32" spans="1:18" hidden="1" outlineLevel="1" x14ac:dyDescent="0.25">
      <c r="A32" s="85">
        <v>2011</v>
      </c>
      <c r="B32" s="94">
        <v>50557888</v>
      </c>
      <c r="C32" s="94">
        <f t="shared" si="15"/>
        <v>50557888</v>
      </c>
      <c r="D32" s="94">
        <f t="shared" si="16"/>
        <v>49370977.916666664</v>
      </c>
      <c r="E32" s="94">
        <f t="shared" si="17"/>
        <v>49478878.833333336</v>
      </c>
      <c r="F32" s="94">
        <f t="shared" si="18"/>
        <v>49586779.75</v>
      </c>
      <c r="G32" s="94">
        <f t="shared" si="19"/>
        <v>49694680.666666664</v>
      </c>
      <c r="H32" s="94">
        <f t="shared" si="20"/>
        <v>49802581.583333336</v>
      </c>
      <c r="I32" s="94">
        <f t="shared" si="21"/>
        <v>49910482.5</v>
      </c>
      <c r="J32" s="94">
        <f t="shared" si="22"/>
        <v>50018383.416666664</v>
      </c>
      <c r="K32" s="94">
        <f t="shared" si="23"/>
        <v>50126284.333333336</v>
      </c>
      <c r="L32" s="94">
        <f t="shared" si="24"/>
        <v>50234185.25</v>
      </c>
      <c r="M32" s="94">
        <f t="shared" si="25"/>
        <v>50342086.166666664</v>
      </c>
      <c r="N32" s="94">
        <f t="shared" si="26"/>
        <v>50449987.083333336</v>
      </c>
      <c r="O32" s="94">
        <f t="shared" si="27"/>
        <v>50557888</v>
      </c>
      <c r="P32" s="94">
        <f t="shared" si="28"/>
        <v>49910482.5</v>
      </c>
      <c r="Q32" s="90"/>
      <c r="R32" s="90"/>
    </row>
    <row r="33" spans="1:18" hidden="1" outlineLevel="1" x14ac:dyDescent="0.25">
      <c r="A33" s="85">
        <v>2012</v>
      </c>
      <c r="B33" s="94">
        <v>50150872</v>
      </c>
      <c r="C33" s="94">
        <f t="shared" si="15"/>
        <v>50150872</v>
      </c>
      <c r="D33" s="94">
        <f t="shared" si="16"/>
        <v>50523970</v>
      </c>
      <c r="E33" s="94">
        <f t="shared" si="17"/>
        <v>50490052</v>
      </c>
      <c r="F33" s="94">
        <f t="shared" si="18"/>
        <v>50456134</v>
      </c>
      <c r="G33" s="94">
        <f t="shared" si="19"/>
        <v>50422216</v>
      </c>
      <c r="H33" s="94">
        <f t="shared" si="20"/>
        <v>50388298</v>
      </c>
      <c r="I33" s="94">
        <f t="shared" si="21"/>
        <v>50354380</v>
      </c>
      <c r="J33" s="94">
        <f t="shared" si="22"/>
        <v>50320462</v>
      </c>
      <c r="K33" s="94">
        <f t="shared" si="23"/>
        <v>50286544</v>
      </c>
      <c r="L33" s="94">
        <f t="shared" si="24"/>
        <v>50252626</v>
      </c>
      <c r="M33" s="94">
        <f t="shared" si="25"/>
        <v>50218708</v>
      </c>
      <c r="N33" s="94">
        <f t="shared" si="26"/>
        <v>50184790</v>
      </c>
      <c r="O33" s="94">
        <f t="shared" si="27"/>
        <v>50150872</v>
      </c>
      <c r="P33" s="94">
        <f t="shared" si="28"/>
        <v>50354380</v>
      </c>
      <c r="Q33" s="90"/>
      <c r="R33" s="90"/>
    </row>
    <row r="34" spans="1:18" hidden="1" outlineLevel="1" x14ac:dyDescent="0.25">
      <c r="A34" s="85">
        <v>2013</v>
      </c>
      <c r="B34" s="94">
        <v>51352634</v>
      </c>
      <c r="C34" s="94">
        <f t="shared" si="15"/>
        <v>51352634</v>
      </c>
      <c r="D34" s="94">
        <f t="shared" si="16"/>
        <v>50251018.833333336</v>
      </c>
      <c r="E34" s="94">
        <f t="shared" si="17"/>
        <v>50351165.666666664</v>
      </c>
      <c r="F34" s="94">
        <f t="shared" si="18"/>
        <v>50451312.5</v>
      </c>
      <c r="G34" s="94">
        <f t="shared" si="19"/>
        <v>50551459.333333336</v>
      </c>
      <c r="H34" s="94">
        <f t="shared" si="20"/>
        <v>50651606.166666664</v>
      </c>
      <c r="I34" s="94">
        <f t="shared" si="21"/>
        <v>50751753</v>
      </c>
      <c r="J34" s="94">
        <f t="shared" si="22"/>
        <v>50851899.833333336</v>
      </c>
      <c r="K34" s="94">
        <f t="shared" si="23"/>
        <v>50952046.666666664</v>
      </c>
      <c r="L34" s="94">
        <f t="shared" si="24"/>
        <v>51052193.5</v>
      </c>
      <c r="M34" s="94">
        <f t="shared" si="25"/>
        <v>51152340.333333336</v>
      </c>
      <c r="N34" s="94">
        <f t="shared" si="26"/>
        <v>51252487.166666664</v>
      </c>
      <c r="O34" s="94">
        <f t="shared" si="27"/>
        <v>51352634</v>
      </c>
      <c r="P34" s="94">
        <f t="shared" si="28"/>
        <v>50751753</v>
      </c>
      <c r="Q34" s="90"/>
      <c r="R34" s="90"/>
    </row>
    <row r="35" spans="1:18" hidden="1" outlineLevel="1" x14ac:dyDescent="0.25">
      <c r="A35" s="85">
        <v>2014</v>
      </c>
      <c r="B35" s="94">
        <v>51785889.030000001</v>
      </c>
      <c r="C35" s="94">
        <f t="shared" si="15"/>
        <v>51785889.030000001</v>
      </c>
      <c r="D35" s="94">
        <f t="shared" si="16"/>
        <v>51388738.585833333</v>
      </c>
      <c r="E35" s="94">
        <f t="shared" si="17"/>
        <v>51424843.171666667</v>
      </c>
      <c r="F35" s="94">
        <f t="shared" si="18"/>
        <v>51460947.7575</v>
      </c>
      <c r="G35" s="94">
        <f t="shared" si="19"/>
        <v>51497052.343333334</v>
      </c>
      <c r="H35" s="94">
        <f t="shared" si="20"/>
        <v>51533156.929166667</v>
      </c>
      <c r="I35" s="94">
        <f t="shared" si="21"/>
        <v>51569261.515000001</v>
      </c>
      <c r="J35" s="94">
        <f t="shared" si="22"/>
        <v>51605366.100833334</v>
      </c>
      <c r="K35" s="94">
        <f t="shared" si="23"/>
        <v>51641470.686666667</v>
      </c>
      <c r="L35" s="94">
        <f t="shared" si="24"/>
        <v>51677575.272500001</v>
      </c>
      <c r="M35" s="94">
        <f t="shared" si="25"/>
        <v>51713679.858333334</v>
      </c>
      <c r="N35" s="94">
        <f t="shared" si="26"/>
        <v>51749784.444166668</v>
      </c>
      <c r="O35" s="94">
        <f t="shared" si="27"/>
        <v>51785889.030000001</v>
      </c>
      <c r="P35" s="94">
        <f t="shared" si="28"/>
        <v>51569261.515000008</v>
      </c>
      <c r="Q35" s="90"/>
      <c r="R35" s="90"/>
    </row>
    <row r="36" spans="1:18" hidden="1" outlineLevel="1" x14ac:dyDescent="0.25">
      <c r="A36" s="85">
        <v>2015</v>
      </c>
      <c r="B36" s="94">
        <v>51323351.329999998</v>
      </c>
      <c r="C36" s="94">
        <f t="shared" si="15"/>
        <v>51323351.329999998</v>
      </c>
      <c r="D36" s="94">
        <f t="shared" si="16"/>
        <v>51747344.221666664</v>
      </c>
      <c r="E36" s="94">
        <f t="shared" si="17"/>
        <v>51708799.413333334</v>
      </c>
      <c r="F36" s="94">
        <f t="shared" si="18"/>
        <v>51670254.605000004</v>
      </c>
      <c r="G36" s="94">
        <f t="shared" si="19"/>
        <v>51631709.796666667</v>
      </c>
      <c r="H36" s="94">
        <f t="shared" si="20"/>
        <v>51593164.98833333</v>
      </c>
      <c r="I36" s="94">
        <f t="shared" si="21"/>
        <v>51554620.18</v>
      </c>
      <c r="J36" s="94">
        <f t="shared" si="22"/>
        <v>51516075.37166667</v>
      </c>
      <c r="K36" s="94">
        <f t="shared" si="23"/>
        <v>51477530.563333333</v>
      </c>
      <c r="L36" s="94">
        <f t="shared" si="24"/>
        <v>51438985.754999995</v>
      </c>
      <c r="M36" s="94">
        <f t="shared" si="25"/>
        <v>51400440.946666665</v>
      </c>
      <c r="N36" s="94">
        <f t="shared" si="26"/>
        <v>51361896.138333336</v>
      </c>
      <c r="O36" s="94">
        <f t="shared" si="27"/>
        <v>51323351.329999998</v>
      </c>
      <c r="P36" s="94">
        <f t="shared" si="28"/>
        <v>51554620.18</v>
      </c>
      <c r="Q36" s="90"/>
      <c r="R36" s="90"/>
    </row>
    <row r="37" spans="1:18" hidden="1" outlineLevel="1" x14ac:dyDescent="0.25">
      <c r="A37" s="85">
        <v>2016</v>
      </c>
      <c r="B37" s="94">
        <v>53003219.700000003</v>
      </c>
      <c r="C37" s="94">
        <f t="shared" si="15"/>
        <v>53003219.700000003</v>
      </c>
      <c r="D37" s="94">
        <f t="shared" si="16"/>
        <v>51463340.360833332</v>
      </c>
      <c r="E37" s="94">
        <f t="shared" si="17"/>
        <v>51603329.391666666</v>
      </c>
      <c r="F37" s="94">
        <f t="shared" si="18"/>
        <v>51743318.422499999</v>
      </c>
      <c r="G37" s="94">
        <f t="shared" si="19"/>
        <v>51883307.453333333</v>
      </c>
      <c r="H37" s="94">
        <f t="shared" si="20"/>
        <v>52023296.484166667</v>
      </c>
      <c r="I37" s="94">
        <f t="shared" si="21"/>
        <v>52163285.515000001</v>
      </c>
      <c r="J37" s="94">
        <f t="shared" si="22"/>
        <v>52303274.545833334</v>
      </c>
      <c r="K37" s="94">
        <f t="shared" si="23"/>
        <v>52443263.576666668</v>
      </c>
      <c r="L37" s="94">
        <f t="shared" si="24"/>
        <v>52583252.607500002</v>
      </c>
      <c r="M37" s="94">
        <f t="shared" si="25"/>
        <v>52723241.638333336</v>
      </c>
      <c r="N37" s="94">
        <f t="shared" si="26"/>
        <v>52863230.669166669</v>
      </c>
      <c r="O37" s="94">
        <f t="shared" si="27"/>
        <v>53003219.700000003</v>
      </c>
      <c r="P37" s="94">
        <f t="shared" si="28"/>
        <v>52163285.514999993</v>
      </c>
      <c r="Q37" s="90"/>
      <c r="R37" s="90"/>
    </row>
    <row r="38" spans="1:18" hidden="1" outlineLevel="1" x14ac:dyDescent="0.25">
      <c r="A38" s="85">
        <v>2017</v>
      </c>
      <c r="B38" s="94">
        <v>52293262.030000001</v>
      </c>
      <c r="C38" s="94">
        <f t="shared" si="15"/>
        <v>52293262.030000001</v>
      </c>
      <c r="D38" s="94">
        <f t="shared" si="16"/>
        <v>52944056.560833335</v>
      </c>
      <c r="E38" s="94">
        <f t="shared" si="17"/>
        <v>52884893.421666667</v>
      </c>
      <c r="F38" s="94">
        <f t="shared" si="18"/>
        <v>52825730.282499999</v>
      </c>
      <c r="G38" s="94">
        <f t="shared" si="19"/>
        <v>52766567.143333338</v>
      </c>
      <c r="H38" s="94">
        <f t="shared" si="20"/>
        <v>52707404.00416667</v>
      </c>
      <c r="I38" s="94">
        <f t="shared" si="21"/>
        <v>52648240.865000002</v>
      </c>
      <c r="J38" s="94">
        <f t="shared" si="22"/>
        <v>52589077.725833334</v>
      </c>
      <c r="K38" s="94">
        <f t="shared" si="23"/>
        <v>52529914.586666666</v>
      </c>
      <c r="L38" s="94">
        <f t="shared" si="24"/>
        <v>52470751.447500005</v>
      </c>
      <c r="M38" s="94">
        <f t="shared" si="25"/>
        <v>52411588.308333337</v>
      </c>
      <c r="N38" s="94">
        <f t="shared" si="26"/>
        <v>52352425.169166669</v>
      </c>
      <c r="O38" s="94">
        <f t="shared" si="27"/>
        <v>52293262.030000001</v>
      </c>
      <c r="P38" s="94">
        <f t="shared" si="28"/>
        <v>52648240.865000002</v>
      </c>
      <c r="Q38" s="90"/>
      <c r="R38" s="90"/>
    </row>
    <row r="39" spans="1:18" hidden="1" outlineLevel="1" x14ac:dyDescent="0.25">
      <c r="A39" s="85">
        <v>2018</v>
      </c>
      <c r="B39" s="94">
        <v>44808328.079999998</v>
      </c>
      <c r="C39" s="94">
        <f t="shared" si="15"/>
        <v>44808328.079999998</v>
      </c>
      <c r="D39" s="94">
        <f t="shared" si="16"/>
        <v>51669517.534166664</v>
      </c>
      <c r="E39" s="94">
        <f t="shared" si="17"/>
        <v>51045773.038333334</v>
      </c>
      <c r="F39" s="94">
        <f t="shared" si="18"/>
        <v>50422028.542500004</v>
      </c>
      <c r="G39" s="94">
        <f t="shared" si="19"/>
        <v>49798284.046666667</v>
      </c>
      <c r="H39" s="94">
        <f t="shared" si="20"/>
        <v>49174539.55083333</v>
      </c>
      <c r="I39" s="94">
        <f t="shared" si="21"/>
        <v>48550795.055</v>
      </c>
      <c r="J39" s="94">
        <f t="shared" si="22"/>
        <v>47927050.55916667</v>
      </c>
      <c r="K39" s="94">
        <f t="shared" si="23"/>
        <v>47303306.063333333</v>
      </c>
      <c r="L39" s="94">
        <f t="shared" si="24"/>
        <v>46679561.567499995</v>
      </c>
      <c r="M39" s="94">
        <f t="shared" si="25"/>
        <v>46055817.071666665</v>
      </c>
      <c r="N39" s="94">
        <f t="shared" si="26"/>
        <v>45432072.575833336</v>
      </c>
      <c r="O39" s="94">
        <f t="shared" si="27"/>
        <v>44808328.079999998</v>
      </c>
      <c r="P39" s="94">
        <f t="shared" si="28"/>
        <v>48550795.055</v>
      </c>
      <c r="Q39" s="90"/>
      <c r="R39" s="90"/>
    </row>
    <row r="40" spans="1:18" collapsed="1" x14ac:dyDescent="0.25">
      <c r="A40" s="85">
        <v>2019</v>
      </c>
      <c r="B40" s="94">
        <v>45029281.130000003</v>
      </c>
      <c r="C40" s="94">
        <f t="shared" si="15"/>
        <v>45029281.130000003</v>
      </c>
      <c r="D40" s="94">
        <f t="shared" si="16"/>
        <v>44826740.834166668</v>
      </c>
      <c r="E40" s="94">
        <f t="shared" si="17"/>
        <v>44845153.588333331</v>
      </c>
      <c r="F40" s="94">
        <f t="shared" si="18"/>
        <v>44863566.342500001</v>
      </c>
      <c r="G40" s="94">
        <f t="shared" si="19"/>
        <v>44881979.096666664</v>
      </c>
      <c r="H40" s="94">
        <f t="shared" si="20"/>
        <v>44900391.850833334</v>
      </c>
      <c r="I40" s="94">
        <f t="shared" si="21"/>
        <v>44918804.605000004</v>
      </c>
      <c r="J40" s="94">
        <f t="shared" si="22"/>
        <v>44937217.359166667</v>
      </c>
      <c r="K40" s="94">
        <f t="shared" si="23"/>
        <v>44955630.113333337</v>
      </c>
      <c r="L40" s="94">
        <f t="shared" si="24"/>
        <v>44974042.8675</v>
      </c>
      <c r="M40" s="94">
        <f t="shared" si="25"/>
        <v>44992455.62166667</v>
      </c>
      <c r="N40" s="94">
        <f t="shared" si="26"/>
        <v>45010868.375833333</v>
      </c>
      <c r="O40" s="94">
        <f t="shared" si="27"/>
        <v>45029281.130000003</v>
      </c>
      <c r="P40" s="94">
        <f t="shared" si="28"/>
        <v>44918804.604999997</v>
      </c>
      <c r="Q40" s="90"/>
      <c r="R40" s="90"/>
    </row>
    <row r="41" spans="1:18" x14ac:dyDescent="0.25">
      <c r="A41" s="85">
        <v>2020</v>
      </c>
      <c r="B41" s="93">
        <v>35510107.666515276</v>
      </c>
      <c r="C41" s="94">
        <f t="shared" si="15"/>
        <v>35510107.666515276</v>
      </c>
      <c r="D41" s="94">
        <f t="shared" si="16"/>
        <v>44236016.674709611</v>
      </c>
      <c r="E41" s="94">
        <f t="shared" si="17"/>
        <v>43442752.219419211</v>
      </c>
      <c r="F41" s="94">
        <f t="shared" si="18"/>
        <v>42649487.764128819</v>
      </c>
      <c r="G41" s="94">
        <f t="shared" si="19"/>
        <v>41856223.308838427</v>
      </c>
      <c r="H41" s="94">
        <f t="shared" si="20"/>
        <v>41062958.853548035</v>
      </c>
      <c r="I41" s="94">
        <f t="shared" si="21"/>
        <v>40269694.398257643</v>
      </c>
      <c r="J41" s="94">
        <f t="shared" si="22"/>
        <v>39476429.942967243</v>
      </c>
      <c r="K41" s="94">
        <f t="shared" si="23"/>
        <v>38683165.487676851</v>
      </c>
      <c r="L41" s="94">
        <f t="shared" si="24"/>
        <v>37889901.032386459</v>
      </c>
      <c r="M41" s="94">
        <f t="shared" si="25"/>
        <v>37096636.57709606</v>
      </c>
      <c r="N41" s="94">
        <f t="shared" si="26"/>
        <v>36303372.121805668</v>
      </c>
      <c r="O41" s="94">
        <f t="shared" si="27"/>
        <v>35510107.666515276</v>
      </c>
      <c r="P41" s="94">
        <f t="shared" si="28"/>
        <v>40269694.398257643</v>
      </c>
      <c r="Q41" s="90">
        <f>((I40+I41+(SUM(J40:O40)+SUM(D41:H41))*2)/24)</f>
        <v>43811765.315814413</v>
      </c>
      <c r="R41" s="90">
        <f>I41</f>
        <v>40269694.398257643</v>
      </c>
    </row>
    <row r="42" spans="1:18" x14ac:dyDescent="0.25">
      <c r="B42" s="94"/>
      <c r="C42" s="94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4"/>
      <c r="P42" s="92"/>
      <c r="Q42" s="90"/>
      <c r="R42" s="90"/>
    </row>
    <row r="43" spans="1:18" x14ac:dyDescent="0.25">
      <c r="A43" s="98" t="s">
        <v>160</v>
      </c>
      <c r="B43" s="94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1"/>
      <c r="Q43" s="90"/>
      <c r="R43" s="90"/>
    </row>
    <row r="44" spans="1:18" hidden="1" outlineLevel="1" x14ac:dyDescent="0.25">
      <c r="A44" s="96">
        <v>2008</v>
      </c>
      <c r="B44" s="94">
        <f>30778.79+9228412.46</f>
        <v>9259191.25</v>
      </c>
      <c r="C44" s="94">
        <f t="shared" ref="C44:C56" si="29">B44</f>
        <v>9259191.25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0"/>
      <c r="R44" s="90"/>
    </row>
    <row r="45" spans="1:18" hidden="1" outlineLevel="1" x14ac:dyDescent="0.25">
      <c r="A45" s="96">
        <v>2009</v>
      </c>
      <c r="B45" s="94">
        <f>30142.31+8812425.28</f>
        <v>8842567.5899999999</v>
      </c>
      <c r="C45" s="94">
        <f t="shared" si="29"/>
        <v>8842567.5899999999</v>
      </c>
      <c r="D45" s="94">
        <f t="shared" ref="D45:D56" si="30">(B45-B44)/12*1+B44</f>
        <v>9224472.6116666663</v>
      </c>
      <c r="E45" s="94">
        <f t="shared" ref="E45:E56" si="31">(B45-B44)/12*2+B44</f>
        <v>9189753.9733333327</v>
      </c>
      <c r="F45" s="94">
        <f t="shared" ref="F45:F56" si="32">(B45-B44)/12*3+B44</f>
        <v>9155035.3350000009</v>
      </c>
      <c r="G45" s="94">
        <f t="shared" ref="G45:G56" si="33">(B45-B44)/12*4+B44</f>
        <v>9120316.6966666672</v>
      </c>
      <c r="H45" s="94">
        <f t="shared" ref="H45:H56" si="34">(B45-B44)/12*5+B44</f>
        <v>9085598.0583333336</v>
      </c>
      <c r="I45" s="94">
        <f t="shared" ref="I45:I56" si="35">(B45-B44)/12*6+B44</f>
        <v>9050879.4199999999</v>
      </c>
      <c r="J45" s="94">
        <f t="shared" ref="J45:J56" si="36">(B45-B44)/12*7+B44</f>
        <v>9016160.7816666663</v>
      </c>
      <c r="K45" s="94">
        <f t="shared" ref="K45:K56" si="37">(B45-B44)/12*8+B44</f>
        <v>8981442.1433333326</v>
      </c>
      <c r="L45" s="94">
        <f t="shared" ref="L45:L56" si="38">(B45-B44)/12*9+B44</f>
        <v>8946723.504999999</v>
      </c>
      <c r="M45" s="94">
        <f t="shared" ref="M45:M56" si="39">(B45-B44)/12*10+B44</f>
        <v>8912004.8666666672</v>
      </c>
      <c r="N45" s="94">
        <f t="shared" ref="N45:N56" si="40">(B45-B44)/12*11+B44</f>
        <v>8877286.2283333335</v>
      </c>
      <c r="O45" s="94">
        <f t="shared" ref="O45:O56" si="41">+B45</f>
        <v>8842567.5899999999</v>
      </c>
      <c r="P45" s="94">
        <f t="shared" ref="P45:P56" si="42">((C44+O45)+2*(SUM(D45:N45)))/24</f>
        <v>9050879.4199999999</v>
      </c>
      <c r="Q45" s="90"/>
      <c r="R45" s="90"/>
    </row>
    <row r="46" spans="1:18" hidden="1" outlineLevel="1" x14ac:dyDescent="0.25">
      <c r="A46" s="85">
        <v>2010</v>
      </c>
      <c r="B46" s="94">
        <f>29501+8398579</f>
        <v>8428080</v>
      </c>
      <c r="C46" s="94">
        <f t="shared" si="29"/>
        <v>8428080</v>
      </c>
      <c r="D46" s="94">
        <f t="shared" si="30"/>
        <v>8808026.9574999996</v>
      </c>
      <c r="E46" s="94">
        <f t="shared" si="31"/>
        <v>8773486.3249999993</v>
      </c>
      <c r="F46" s="94">
        <f t="shared" si="32"/>
        <v>8738945.692499999</v>
      </c>
      <c r="G46" s="94">
        <f t="shared" si="33"/>
        <v>8704405.0600000005</v>
      </c>
      <c r="H46" s="94">
        <f t="shared" si="34"/>
        <v>8669864.4275000002</v>
      </c>
      <c r="I46" s="94">
        <f t="shared" si="35"/>
        <v>8635323.7949999999</v>
      </c>
      <c r="J46" s="94">
        <f t="shared" si="36"/>
        <v>8600783.1624999996</v>
      </c>
      <c r="K46" s="94">
        <f t="shared" si="37"/>
        <v>8566242.5299999993</v>
      </c>
      <c r="L46" s="94">
        <f t="shared" si="38"/>
        <v>8531701.8975000009</v>
      </c>
      <c r="M46" s="94">
        <f t="shared" si="39"/>
        <v>8497161.2650000006</v>
      </c>
      <c r="N46" s="94">
        <f t="shared" si="40"/>
        <v>8462620.6325000003</v>
      </c>
      <c r="O46" s="94">
        <f t="shared" si="41"/>
        <v>8428080</v>
      </c>
      <c r="P46" s="94">
        <f t="shared" si="42"/>
        <v>8635323.7949999999</v>
      </c>
      <c r="Q46" s="90"/>
      <c r="R46" s="90"/>
    </row>
    <row r="47" spans="1:18" hidden="1" outlineLevel="1" x14ac:dyDescent="0.25">
      <c r="A47" s="85">
        <v>2011</v>
      </c>
      <c r="B47" s="94">
        <v>7919903</v>
      </c>
      <c r="C47" s="94">
        <f t="shared" si="29"/>
        <v>7919903</v>
      </c>
      <c r="D47" s="94">
        <f t="shared" si="30"/>
        <v>8385731.916666667</v>
      </c>
      <c r="E47" s="94">
        <f t="shared" si="31"/>
        <v>8343383.833333333</v>
      </c>
      <c r="F47" s="94">
        <f t="shared" si="32"/>
        <v>8301035.75</v>
      </c>
      <c r="G47" s="94">
        <f t="shared" si="33"/>
        <v>8258687.666666667</v>
      </c>
      <c r="H47" s="94">
        <f t="shared" si="34"/>
        <v>8216339.583333333</v>
      </c>
      <c r="I47" s="94">
        <f t="shared" si="35"/>
        <v>8173991.5</v>
      </c>
      <c r="J47" s="94">
        <f t="shared" si="36"/>
        <v>8131643.416666667</v>
      </c>
      <c r="K47" s="94">
        <f t="shared" si="37"/>
        <v>8089295.333333333</v>
      </c>
      <c r="L47" s="94">
        <f t="shared" si="38"/>
        <v>8046947.25</v>
      </c>
      <c r="M47" s="94">
        <f t="shared" si="39"/>
        <v>8004599.166666667</v>
      </c>
      <c r="N47" s="94">
        <f t="shared" si="40"/>
        <v>7962251.083333333</v>
      </c>
      <c r="O47" s="94">
        <f t="shared" si="41"/>
        <v>7919903</v>
      </c>
      <c r="P47" s="94">
        <f t="shared" si="42"/>
        <v>8173991.5</v>
      </c>
      <c r="Q47" s="90"/>
      <c r="R47" s="90"/>
    </row>
    <row r="48" spans="1:18" hidden="1" outlineLevel="1" x14ac:dyDescent="0.25">
      <c r="A48" s="85">
        <v>2012</v>
      </c>
      <c r="B48" s="94">
        <v>7419632</v>
      </c>
      <c r="C48" s="94">
        <f t="shared" si="29"/>
        <v>7419632</v>
      </c>
      <c r="D48" s="94">
        <f t="shared" si="30"/>
        <v>7878213.75</v>
      </c>
      <c r="E48" s="94">
        <f t="shared" si="31"/>
        <v>7836524.5</v>
      </c>
      <c r="F48" s="94">
        <f t="shared" si="32"/>
        <v>7794835.25</v>
      </c>
      <c r="G48" s="94">
        <f t="shared" si="33"/>
        <v>7753146</v>
      </c>
      <c r="H48" s="94">
        <f t="shared" si="34"/>
        <v>7711456.75</v>
      </c>
      <c r="I48" s="94">
        <f t="shared" si="35"/>
        <v>7669767.5</v>
      </c>
      <c r="J48" s="94">
        <f t="shared" si="36"/>
        <v>7628078.25</v>
      </c>
      <c r="K48" s="94">
        <f t="shared" si="37"/>
        <v>7586389</v>
      </c>
      <c r="L48" s="94">
        <f t="shared" si="38"/>
        <v>7544699.75</v>
      </c>
      <c r="M48" s="94">
        <f t="shared" si="39"/>
        <v>7503010.5</v>
      </c>
      <c r="N48" s="94">
        <f t="shared" si="40"/>
        <v>7461321.25</v>
      </c>
      <c r="O48" s="94">
        <f t="shared" si="41"/>
        <v>7419632</v>
      </c>
      <c r="P48" s="94">
        <f t="shared" si="42"/>
        <v>7669767.5</v>
      </c>
      <c r="Q48" s="90"/>
      <c r="R48" s="90"/>
    </row>
    <row r="49" spans="1:18" hidden="1" outlineLevel="1" x14ac:dyDescent="0.25">
      <c r="A49" s="85">
        <v>2013</v>
      </c>
      <c r="B49" s="94">
        <v>6904682</v>
      </c>
      <c r="C49" s="94">
        <f t="shared" si="29"/>
        <v>6904682</v>
      </c>
      <c r="D49" s="94">
        <f t="shared" si="30"/>
        <v>7376719.5</v>
      </c>
      <c r="E49" s="94">
        <f t="shared" si="31"/>
        <v>7333807</v>
      </c>
      <c r="F49" s="94">
        <f t="shared" si="32"/>
        <v>7290894.5</v>
      </c>
      <c r="G49" s="94">
        <f t="shared" si="33"/>
        <v>7247982</v>
      </c>
      <c r="H49" s="94">
        <f t="shared" si="34"/>
        <v>7205069.5</v>
      </c>
      <c r="I49" s="94">
        <f t="shared" si="35"/>
        <v>7162157</v>
      </c>
      <c r="J49" s="94">
        <f t="shared" si="36"/>
        <v>7119244.5</v>
      </c>
      <c r="K49" s="94">
        <f t="shared" si="37"/>
        <v>7076332</v>
      </c>
      <c r="L49" s="94">
        <f t="shared" si="38"/>
        <v>7033419.5</v>
      </c>
      <c r="M49" s="94">
        <f t="shared" si="39"/>
        <v>6990507</v>
      </c>
      <c r="N49" s="94">
        <f t="shared" si="40"/>
        <v>6947594.5</v>
      </c>
      <c r="O49" s="94">
        <f t="shared" si="41"/>
        <v>6904682</v>
      </c>
      <c r="P49" s="94">
        <f t="shared" si="42"/>
        <v>7162157</v>
      </c>
      <c r="Q49" s="90"/>
      <c r="R49" s="90"/>
    </row>
    <row r="50" spans="1:18" hidden="1" outlineLevel="1" x14ac:dyDescent="0.25">
      <c r="A50" s="85">
        <v>2014</v>
      </c>
      <c r="B50" s="94">
        <v>6388142</v>
      </c>
      <c r="C50" s="94">
        <f t="shared" si="29"/>
        <v>6388142</v>
      </c>
      <c r="D50" s="94">
        <f t="shared" si="30"/>
        <v>6861637</v>
      </c>
      <c r="E50" s="94">
        <f t="shared" si="31"/>
        <v>6818592</v>
      </c>
      <c r="F50" s="94">
        <f t="shared" si="32"/>
        <v>6775547</v>
      </c>
      <c r="G50" s="94">
        <f t="shared" si="33"/>
        <v>6732502</v>
      </c>
      <c r="H50" s="94">
        <f t="shared" si="34"/>
        <v>6689457</v>
      </c>
      <c r="I50" s="94">
        <f t="shared" si="35"/>
        <v>6646412</v>
      </c>
      <c r="J50" s="94">
        <f t="shared" si="36"/>
        <v>6603367</v>
      </c>
      <c r="K50" s="94">
        <f t="shared" si="37"/>
        <v>6560322</v>
      </c>
      <c r="L50" s="94">
        <f t="shared" si="38"/>
        <v>6517277</v>
      </c>
      <c r="M50" s="94">
        <f t="shared" si="39"/>
        <v>6474232</v>
      </c>
      <c r="N50" s="94">
        <f t="shared" si="40"/>
        <v>6431187</v>
      </c>
      <c r="O50" s="94">
        <f t="shared" si="41"/>
        <v>6388142</v>
      </c>
      <c r="P50" s="94">
        <f t="shared" si="42"/>
        <v>6646412</v>
      </c>
      <c r="Q50" s="90"/>
      <c r="R50" s="90"/>
    </row>
    <row r="51" spans="1:18" hidden="1" outlineLevel="1" x14ac:dyDescent="0.25">
      <c r="A51" s="85">
        <v>2015</v>
      </c>
      <c r="B51" s="94">
        <v>5869361.1399999997</v>
      </c>
      <c r="C51" s="94">
        <f t="shared" si="29"/>
        <v>5869361.1399999997</v>
      </c>
      <c r="D51" s="94">
        <f t="shared" si="30"/>
        <v>6344910.2616666667</v>
      </c>
      <c r="E51" s="94">
        <f t="shared" si="31"/>
        <v>6301678.5233333334</v>
      </c>
      <c r="F51" s="94">
        <f t="shared" si="32"/>
        <v>6258446.7850000001</v>
      </c>
      <c r="G51" s="94">
        <f t="shared" si="33"/>
        <v>6215215.0466666669</v>
      </c>
      <c r="H51" s="94">
        <f t="shared" si="34"/>
        <v>6171983.3083333336</v>
      </c>
      <c r="I51" s="94">
        <f t="shared" si="35"/>
        <v>6128751.5700000003</v>
      </c>
      <c r="J51" s="94">
        <f t="shared" si="36"/>
        <v>6085519.8316666661</v>
      </c>
      <c r="K51" s="94">
        <f t="shared" si="37"/>
        <v>6042288.0933333328</v>
      </c>
      <c r="L51" s="94">
        <f t="shared" si="38"/>
        <v>5999056.3549999995</v>
      </c>
      <c r="M51" s="94">
        <f t="shared" si="39"/>
        <v>5955824.6166666662</v>
      </c>
      <c r="N51" s="94">
        <f t="shared" si="40"/>
        <v>5912592.8783333329</v>
      </c>
      <c r="O51" s="94">
        <f t="shared" si="41"/>
        <v>5869361.1399999997</v>
      </c>
      <c r="P51" s="94">
        <f t="shared" si="42"/>
        <v>6128751.5700000003</v>
      </c>
      <c r="Q51" s="90"/>
      <c r="R51" s="90"/>
    </row>
    <row r="52" spans="1:18" hidden="1" outlineLevel="1" x14ac:dyDescent="0.25">
      <c r="A52" s="85">
        <v>2016</v>
      </c>
      <c r="B52" s="94">
        <v>5343152.72</v>
      </c>
      <c r="C52" s="94">
        <f t="shared" si="29"/>
        <v>5343152.72</v>
      </c>
      <c r="D52" s="94">
        <f t="shared" si="30"/>
        <v>5825510.4383333325</v>
      </c>
      <c r="E52" s="94">
        <f t="shared" si="31"/>
        <v>5781659.7366666663</v>
      </c>
      <c r="F52" s="94">
        <f t="shared" si="32"/>
        <v>5737809.0350000001</v>
      </c>
      <c r="G52" s="94">
        <f t="shared" si="33"/>
        <v>5693958.333333333</v>
      </c>
      <c r="H52" s="94">
        <f t="shared" si="34"/>
        <v>5650107.6316666659</v>
      </c>
      <c r="I52" s="94">
        <f t="shared" si="35"/>
        <v>5606256.9299999997</v>
      </c>
      <c r="J52" s="94">
        <f t="shared" si="36"/>
        <v>5562406.2283333335</v>
      </c>
      <c r="K52" s="94">
        <f t="shared" si="37"/>
        <v>5518555.5266666664</v>
      </c>
      <c r="L52" s="94">
        <f t="shared" si="38"/>
        <v>5474704.8249999993</v>
      </c>
      <c r="M52" s="94">
        <f t="shared" si="39"/>
        <v>5430854.1233333331</v>
      </c>
      <c r="N52" s="94">
        <f t="shared" si="40"/>
        <v>5387003.4216666669</v>
      </c>
      <c r="O52" s="94">
        <f t="shared" si="41"/>
        <v>5343152.72</v>
      </c>
      <c r="P52" s="94">
        <f t="shared" si="42"/>
        <v>5606256.9299999997</v>
      </c>
      <c r="Q52" s="90"/>
      <c r="R52" s="90"/>
    </row>
    <row r="53" spans="1:18" hidden="1" outlineLevel="1" x14ac:dyDescent="0.25">
      <c r="A53" s="85">
        <v>2017</v>
      </c>
      <c r="B53" s="94">
        <v>4807710.54</v>
      </c>
      <c r="C53" s="94">
        <f t="shared" si="29"/>
        <v>4807710.54</v>
      </c>
      <c r="D53" s="94">
        <f t="shared" si="30"/>
        <v>5298532.5383333331</v>
      </c>
      <c r="E53" s="94">
        <f t="shared" si="31"/>
        <v>5253912.3566666665</v>
      </c>
      <c r="F53" s="94">
        <f t="shared" si="32"/>
        <v>5209292.1749999998</v>
      </c>
      <c r="G53" s="94">
        <f t="shared" si="33"/>
        <v>5164671.9933333332</v>
      </c>
      <c r="H53" s="94">
        <f t="shared" si="34"/>
        <v>5120051.8116666665</v>
      </c>
      <c r="I53" s="94">
        <f t="shared" si="35"/>
        <v>5075431.63</v>
      </c>
      <c r="J53" s="94">
        <f t="shared" si="36"/>
        <v>5030811.4483333332</v>
      </c>
      <c r="K53" s="94">
        <f t="shared" si="37"/>
        <v>4986191.2666666666</v>
      </c>
      <c r="L53" s="94">
        <f t="shared" si="38"/>
        <v>4941571.085</v>
      </c>
      <c r="M53" s="94">
        <f t="shared" si="39"/>
        <v>4896950.9033333333</v>
      </c>
      <c r="N53" s="94">
        <f t="shared" si="40"/>
        <v>4852330.7216666667</v>
      </c>
      <c r="O53" s="94">
        <f t="shared" si="41"/>
        <v>4807710.54</v>
      </c>
      <c r="P53" s="94">
        <f t="shared" si="42"/>
        <v>5075431.63</v>
      </c>
      <c r="Q53" s="90"/>
      <c r="R53" s="90"/>
    </row>
    <row r="54" spans="1:18" hidden="1" outlineLevel="1" x14ac:dyDescent="0.25">
      <c r="A54" s="85">
        <v>2018</v>
      </c>
      <c r="B54" s="94">
        <v>4391221.1900000004</v>
      </c>
      <c r="C54" s="94">
        <f t="shared" si="29"/>
        <v>4391221.1900000004</v>
      </c>
      <c r="D54" s="94">
        <f t="shared" si="30"/>
        <v>4773003.0941666663</v>
      </c>
      <c r="E54" s="94">
        <f t="shared" si="31"/>
        <v>4738295.6483333334</v>
      </c>
      <c r="F54" s="94">
        <f t="shared" si="32"/>
        <v>4703588.2025000006</v>
      </c>
      <c r="G54" s="94">
        <f t="shared" si="33"/>
        <v>4668880.7566666668</v>
      </c>
      <c r="H54" s="94">
        <f t="shared" si="34"/>
        <v>4634173.3108333331</v>
      </c>
      <c r="I54" s="94">
        <f t="shared" si="35"/>
        <v>4599465.8650000002</v>
      </c>
      <c r="J54" s="94">
        <f t="shared" si="36"/>
        <v>4564758.4191666674</v>
      </c>
      <c r="K54" s="94">
        <f t="shared" si="37"/>
        <v>4530050.9733333336</v>
      </c>
      <c r="L54" s="94">
        <f t="shared" si="38"/>
        <v>4495343.5274999999</v>
      </c>
      <c r="M54" s="94">
        <f t="shared" si="39"/>
        <v>4460636.081666667</v>
      </c>
      <c r="N54" s="94">
        <f t="shared" si="40"/>
        <v>4425928.6358333342</v>
      </c>
      <c r="O54" s="94">
        <f t="shared" si="41"/>
        <v>4391221.1900000004</v>
      </c>
      <c r="P54" s="94">
        <f t="shared" si="42"/>
        <v>4599465.8650000012</v>
      </c>
      <c r="Q54" s="90"/>
      <c r="R54" s="90"/>
    </row>
    <row r="55" spans="1:18" collapsed="1" x14ac:dyDescent="0.25">
      <c r="A55" s="85">
        <v>2019</v>
      </c>
      <c r="B55" s="94">
        <v>3968608.91</v>
      </c>
      <c r="C55" s="94">
        <f t="shared" si="29"/>
        <v>3968608.91</v>
      </c>
      <c r="D55" s="94">
        <f t="shared" si="30"/>
        <v>4356003.5</v>
      </c>
      <c r="E55" s="94">
        <f t="shared" si="31"/>
        <v>4320785.8100000005</v>
      </c>
      <c r="F55" s="94">
        <f t="shared" si="32"/>
        <v>4285568.12</v>
      </c>
      <c r="G55" s="94">
        <f t="shared" si="33"/>
        <v>4250350.4300000006</v>
      </c>
      <c r="H55" s="94">
        <f t="shared" si="34"/>
        <v>4215132.74</v>
      </c>
      <c r="I55" s="94">
        <f t="shared" si="35"/>
        <v>4179915.0500000003</v>
      </c>
      <c r="J55" s="94">
        <f t="shared" si="36"/>
        <v>4144697.3600000003</v>
      </c>
      <c r="K55" s="94">
        <f t="shared" si="37"/>
        <v>4109479.6700000004</v>
      </c>
      <c r="L55" s="94">
        <f t="shared" si="38"/>
        <v>4074261.9800000004</v>
      </c>
      <c r="M55" s="94">
        <f t="shared" si="39"/>
        <v>4039044.29</v>
      </c>
      <c r="N55" s="94">
        <f t="shared" si="40"/>
        <v>4003826.6</v>
      </c>
      <c r="O55" s="94">
        <f t="shared" si="41"/>
        <v>3968608.91</v>
      </c>
      <c r="P55" s="94">
        <f t="shared" si="42"/>
        <v>4179915.0499999993</v>
      </c>
      <c r="Q55" s="90"/>
      <c r="R55" s="90"/>
    </row>
    <row r="56" spans="1:18" x14ac:dyDescent="0.25">
      <c r="A56" s="85">
        <v>2020</v>
      </c>
      <c r="B56" s="93">
        <v>1332250.7</v>
      </c>
      <c r="C56" s="94">
        <f t="shared" si="29"/>
        <v>1332250.7</v>
      </c>
      <c r="D56" s="94">
        <f t="shared" si="30"/>
        <v>3748912.3925000001</v>
      </c>
      <c r="E56" s="94">
        <f t="shared" si="31"/>
        <v>3529215.875</v>
      </c>
      <c r="F56" s="94">
        <f t="shared" si="32"/>
        <v>3309519.3574999999</v>
      </c>
      <c r="G56" s="94">
        <f t="shared" si="33"/>
        <v>3089822.8400000003</v>
      </c>
      <c r="H56" s="94">
        <f t="shared" si="34"/>
        <v>2870126.3225000002</v>
      </c>
      <c r="I56" s="94">
        <f t="shared" si="35"/>
        <v>2650429.8050000002</v>
      </c>
      <c r="J56" s="94">
        <f t="shared" si="36"/>
        <v>2430733.2875000006</v>
      </c>
      <c r="K56" s="94">
        <f t="shared" si="37"/>
        <v>2211036.7700000005</v>
      </c>
      <c r="L56" s="94">
        <f t="shared" si="38"/>
        <v>1991340.2525000002</v>
      </c>
      <c r="M56" s="94">
        <f t="shared" si="39"/>
        <v>1771643.7350000003</v>
      </c>
      <c r="N56" s="94">
        <f t="shared" si="40"/>
        <v>1551947.2175000003</v>
      </c>
      <c r="O56" s="94">
        <f t="shared" si="41"/>
        <v>1332250.7</v>
      </c>
      <c r="P56" s="94">
        <f t="shared" si="42"/>
        <v>2650429.8050000002</v>
      </c>
      <c r="Q56" s="90">
        <f>((I55+I56+(SUM(J55:O55)+SUM(D56:H56))*2)/24)</f>
        <v>3691890.6687500007</v>
      </c>
      <c r="R56" s="90">
        <f>I56</f>
        <v>2650429.8050000002</v>
      </c>
    </row>
    <row r="57" spans="1:18" x14ac:dyDescent="0.25">
      <c r="B57" s="94"/>
      <c r="C57" s="94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4"/>
      <c r="P57" s="92"/>
      <c r="Q57" s="90"/>
      <c r="R57" s="90"/>
    </row>
    <row r="58" spans="1:18" x14ac:dyDescent="0.25">
      <c r="A58" s="98" t="s">
        <v>159</v>
      </c>
      <c r="B58" s="94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1"/>
      <c r="Q58" s="90"/>
      <c r="R58" s="90"/>
    </row>
    <row r="59" spans="1:18" hidden="1" outlineLevel="1" x14ac:dyDescent="0.25">
      <c r="A59" s="96">
        <v>2008</v>
      </c>
      <c r="B59" s="94">
        <v>71962.53</v>
      </c>
      <c r="C59" s="94">
        <f t="shared" ref="C59:C71" si="43">B59</f>
        <v>71962.53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0"/>
      <c r="R59" s="90"/>
    </row>
    <row r="60" spans="1:18" hidden="1" outlineLevel="1" x14ac:dyDescent="0.25">
      <c r="A60" s="96">
        <v>2009</v>
      </c>
      <c r="B60" s="94">
        <f>52148.84+105862.07</f>
        <v>158010.91</v>
      </c>
      <c r="C60" s="94">
        <f t="shared" si="43"/>
        <v>158010.91</v>
      </c>
      <c r="D60" s="94">
        <f t="shared" ref="D60:D71" si="44">(B60-B59)/12*1+B59</f>
        <v>79133.228333333333</v>
      </c>
      <c r="E60" s="94">
        <f t="shared" ref="E60:E71" si="45">(B60-B59)/12*2+B59</f>
        <v>86303.926666666666</v>
      </c>
      <c r="F60" s="94">
        <f t="shared" ref="F60:F71" si="46">(B60-B59)/12*3+B59</f>
        <v>93474.625</v>
      </c>
      <c r="G60" s="94">
        <f t="shared" ref="G60:G71" si="47">(B60-B59)/12*4+B59</f>
        <v>100645.32333333333</v>
      </c>
      <c r="H60" s="94">
        <f t="shared" ref="H60:H71" si="48">(B60-B59)/12*5+B59</f>
        <v>107816.02166666667</v>
      </c>
      <c r="I60" s="94">
        <f t="shared" ref="I60:I71" si="49">(B60-B59)/12*6+B59</f>
        <v>114986.72</v>
      </c>
      <c r="J60" s="94">
        <f t="shared" ref="J60:J71" si="50">(B60-B59)/12*7+B59</f>
        <v>122157.41833333333</v>
      </c>
      <c r="K60" s="94">
        <f t="shared" ref="K60:K71" si="51">(B60-B59)/12*8+B59</f>
        <v>129328.11666666667</v>
      </c>
      <c r="L60" s="94">
        <f t="shared" ref="L60:L71" si="52">(B60-B59)/12*9+B59</f>
        <v>136498.815</v>
      </c>
      <c r="M60" s="94">
        <f t="shared" ref="M60:M71" si="53">(B60-B59)/12*10+B59</f>
        <v>143669.51333333334</v>
      </c>
      <c r="N60" s="94">
        <f t="shared" ref="N60:N71" si="54">(B60-B59)/12*11+B59</f>
        <v>150840.21166666667</v>
      </c>
      <c r="O60" s="94">
        <f t="shared" ref="O60:O76" si="55">+B60</f>
        <v>158010.91</v>
      </c>
      <c r="P60" s="94">
        <f t="shared" ref="P60:P71" si="56">((C59+O60)+2*(SUM(D60:N60)))/24</f>
        <v>114986.72000000002</v>
      </c>
      <c r="Q60" s="90"/>
      <c r="R60" s="90"/>
    </row>
    <row r="61" spans="1:18" hidden="1" outlineLevel="1" x14ac:dyDescent="0.25">
      <c r="A61" s="85">
        <v>2010</v>
      </c>
      <c r="B61" s="94">
        <f>49068+128197</f>
        <v>177265</v>
      </c>
      <c r="C61" s="94">
        <f t="shared" si="43"/>
        <v>177265</v>
      </c>
      <c r="D61" s="94">
        <f t="shared" si="44"/>
        <v>159615.41750000001</v>
      </c>
      <c r="E61" s="94">
        <f t="shared" si="45"/>
        <v>161219.92499999999</v>
      </c>
      <c r="F61" s="94">
        <f t="shared" si="46"/>
        <v>162824.4325</v>
      </c>
      <c r="G61" s="94">
        <f t="shared" si="47"/>
        <v>164428.94</v>
      </c>
      <c r="H61" s="94">
        <f t="shared" si="48"/>
        <v>166033.44750000001</v>
      </c>
      <c r="I61" s="94">
        <f t="shared" si="49"/>
        <v>167637.95500000002</v>
      </c>
      <c r="J61" s="94">
        <f t="shared" si="50"/>
        <v>169242.46249999999</v>
      </c>
      <c r="K61" s="94">
        <f t="shared" si="51"/>
        <v>170846.97</v>
      </c>
      <c r="L61" s="94">
        <f t="shared" si="52"/>
        <v>172451.47750000001</v>
      </c>
      <c r="M61" s="94">
        <f t="shared" si="53"/>
        <v>174055.98499999999</v>
      </c>
      <c r="N61" s="94">
        <f t="shared" si="54"/>
        <v>175660.49249999999</v>
      </c>
      <c r="O61" s="94">
        <f t="shared" si="55"/>
        <v>177265</v>
      </c>
      <c r="P61" s="94">
        <f t="shared" si="56"/>
        <v>167637.95500000002</v>
      </c>
      <c r="Q61" s="90"/>
      <c r="R61" s="90"/>
    </row>
    <row r="62" spans="1:18" hidden="1" outlineLevel="1" x14ac:dyDescent="0.25">
      <c r="A62" s="85">
        <v>2011</v>
      </c>
      <c r="B62" s="94">
        <v>186653</v>
      </c>
      <c r="C62" s="94">
        <f t="shared" si="43"/>
        <v>186653</v>
      </c>
      <c r="D62" s="94">
        <f t="shared" si="44"/>
        <v>178047.33333333334</v>
      </c>
      <c r="E62" s="94">
        <f t="shared" si="45"/>
        <v>178829.66666666666</v>
      </c>
      <c r="F62" s="94">
        <f t="shared" si="46"/>
        <v>179612</v>
      </c>
      <c r="G62" s="94">
        <f t="shared" si="47"/>
        <v>180394.33333333334</v>
      </c>
      <c r="H62" s="94">
        <f t="shared" si="48"/>
        <v>181176.66666666666</v>
      </c>
      <c r="I62" s="94">
        <f t="shared" si="49"/>
        <v>181959</v>
      </c>
      <c r="J62" s="94">
        <f t="shared" si="50"/>
        <v>182741.33333333334</v>
      </c>
      <c r="K62" s="94">
        <f t="shared" si="51"/>
        <v>183523.66666666666</v>
      </c>
      <c r="L62" s="94">
        <f t="shared" si="52"/>
        <v>184306</v>
      </c>
      <c r="M62" s="94">
        <f t="shared" si="53"/>
        <v>185088.33333333334</v>
      </c>
      <c r="N62" s="94">
        <f t="shared" si="54"/>
        <v>185870.66666666666</v>
      </c>
      <c r="O62" s="94">
        <f t="shared" si="55"/>
        <v>186653</v>
      </c>
      <c r="P62" s="94">
        <f t="shared" si="56"/>
        <v>181959</v>
      </c>
      <c r="Q62" s="90"/>
      <c r="R62" s="90"/>
    </row>
    <row r="63" spans="1:18" hidden="1" outlineLevel="1" x14ac:dyDescent="0.25">
      <c r="A63" s="85">
        <v>2012</v>
      </c>
      <c r="B63" s="94">
        <v>191624</v>
      </c>
      <c r="C63" s="94">
        <f t="shared" si="43"/>
        <v>191624</v>
      </c>
      <c r="D63" s="94">
        <f t="shared" si="44"/>
        <v>187067.25</v>
      </c>
      <c r="E63" s="94">
        <f t="shared" si="45"/>
        <v>187481.5</v>
      </c>
      <c r="F63" s="94">
        <f t="shared" si="46"/>
        <v>187895.75</v>
      </c>
      <c r="G63" s="94">
        <f t="shared" si="47"/>
        <v>188310</v>
      </c>
      <c r="H63" s="94">
        <f t="shared" si="48"/>
        <v>188724.25</v>
      </c>
      <c r="I63" s="94">
        <f t="shared" si="49"/>
        <v>189138.5</v>
      </c>
      <c r="J63" s="94">
        <f t="shared" si="50"/>
        <v>189552.75</v>
      </c>
      <c r="K63" s="94">
        <f t="shared" si="51"/>
        <v>189967</v>
      </c>
      <c r="L63" s="94">
        <f t="shared" si="52"/>
        <v>190381.25</v>
      </c>
      <c r="M63" s="94">
        <f t="shared" si="53"/>
        <v>190795.5</v>
      </c>
      <c r="N63" s="94">
        <f t="shared" si="54"/>
        <v>191209.75</v>
      </c>
      <c r="O63" s="94">
        <f t="shared" si="55"/>
        <v>191624</v>
      </c>
      <c r="P63" s="94">
        <f t="shared" si="56"/>
        <v>189138.5</v>
      </c>
      <c r="Q63" s="90"/>
      <c r="R63" s="90"/>
    </row>
    <row r="64" spans="1:18" hidden="1" outlineLevel="1" x14ac:dyDescent="0.25">
      <c r="A64" s="85">
        <v>2013</v>
      </c>
      <c r="B64" s="94">
        <v>192826</v>
      </c>
      <c r="C64" s="94">
        <f t="shared" si="43"/>
        <v>192826</v>
      </c>
      <c r="D64" s="94">
        <f t="shared" si="44"/>
        <v>191724.16666666666</v>
      </c>
      <c r="E64" s="94">
        <f t="shared" si="45"/>
        <v>191824.33333333334</v>
      </c>
      <c r="F64" s="94">
        <f t="shared" si="46"/>
        <v>191924.5</v>
      </c>
      <c r="G64" s="94">
        <f t="shared" si="47"/>
        <v>192024.66666666666</v>
      </c>
      <c r="H64" s="94">
        <f t="shared" si="48"/>
        <v>192124.83333333334</v>
      </c>
      <c r="I64" s="94">
        <f t="shared" si="49"/>
        <v>192225</v>
      </c>
      <c r="J64" s="94">
        <f t="shared" si="50"/>
        <v>192325.16666666666</v>
      </c>
      <c r="K64" s="94">
        <f t="shared" si="51"/>
        <v>192425.33333333334</v>
      </c>
      <c r="L64" s="94">
        <f t="shared" si="52"/>
        <v>192525.5</v>
      </c>
      <c r="M64" s="94">
        <f t="shared" si="53"/>
        <v>192625.66666666666</v>
      </c>
      <c r="N64" s="94">
        <f t="shared" si="54"/>
        <v>192725.83333333334</v>
      </c>
      <c r="O64" s="94">
        <f t="shared" si="55"/>
        <v>192826</v>
      </c>
      <c r="P64" s="94">
        <f t="shared" si="56"/>
        <v>192225</v>
      </c>
      <c r="Q64" s="90"/>
      <c r="R64" s="90"/>
    </row>
    <row r="65" spans="1:18" hidden="1" outlineLevel="1" x14ac:dyDescent="0.25">
      <c r="A65" s="85">
        <v>2014</v>
      </c>
      <c r="B65" s="94">
        <v>192733.39</v>
      </c>
      <c r="C65" s="94">
        <f t="shared" si="43"/>
        <v>192733.39</v>
      </c>
      <c r="D65" s="94">
        <f t="shared" si="44"/>
        <v>192818.2825</v>
      </c>
      <c r="E65" s="94">
        <f t="shared" si="45"/>
        <v>192810.565</v>
      </c>
      <c r="F65" s="94">
        <f t="shared" si="46"/>
        <v>192802.8475</v>
      </c>
      <c r="G65" s="94">
        <f t="shared" si="47"/>
        <v>192795.13</v>
      </c>
      <c r="H65" s="94">
        <f t="shared" si="48"/>
        <v>192787.41250000001</v>
      </c>
      <c r="I65" s="94">
        <f t="shared" si="49"/>
        <v>192779.69500000001</v>
      </c>
      <c r="J65" s="94">
        <f t="shared" si="50"/>
        <v>192771.97750000001</v>
      </c>
      <c r="K65" s="94">
        <f t="shared" si="51"/>
        <v>192764.26</v>
      </c>
      <c r="L65" s="94">
        <f t="shared" si="52"/>
        <v>192756.54250000001</v>
      </c>
      <c r="M65" s="94">
        <f t="shared" si="53"/>
        <v>192748.82500000001</v>
      </c>
      <c r="N65" s="94">
        <f t="shared" si="54"/>
        <v>192741.10750000001</v>
      </c>
      <c r="O65" s="94">
        <f t="shared" si="55"/>
        <v>192733.39</v>
      </c>
      <c r="P65" s="94">
        <f t="shared" si="56"/>
        <v>192779.69499999998</v>
      </c>
      <c r="Q65" s="90"/>
      <c r="R65" s="90"/>
    </row>
    <row r="66" spans="1:18" hidden="1" outlineLevel="1" x14ac:dyDescent="0.25">
      <c r="A66" s="85">
        <v>2015</v>
      </c>
      <c r="B66" s="94">
        <v>192318.68</v>
      </c>
      <c r="C66" s="94">
        <f t="shared" si="43"/>
        <v>192318.68</v>
      </c>
      <c r="D66" s="94">
        <f t="shared" si="44"/>
        <v>192698.83083333334</v>
      </c>
      <c r="E66" s="94">
        <f t="shared" si="45"/>
        <v>192664.27166666667</v>
      </c>
      <c r="F66" s="94">
        <f t="shared" si="46"/>
        <v>192629.71250000002</v>
      </c>
      <c r="G66" s="94">
        <f t="shared" si="47"/>
        <v>192595.15333333335</v>
      </c>
      <c r="H66" s="94">
        <f t="shared" si="48"/>
        <v>192560.59416666668</v>
      </c>
      <c r="I66" s="94">
        <f t="shared" si="49"/>
        <v>192526.035</v>
      </c>
      <c r="J66" s="94">
        <f t="shared" si="50"/>
        <v>192491.47583333333</v>
      </c>
      <c r="K66" s="94">
        <f t="shared" si="51"/>
        <v>192456.91666666666</v>
      </c>
      <c r="L66" s="94">
        <f t="shared" si="52"/>
        <v>192422.35749999998</v>
      </c>
      <c r="M66" s="94">
        <f t="shared" si="53"/>
        <v>192387.79833333334</v>
      </c>
      <c r="N66" s="94">
        <f t="shared" si="54"/>
        <v>192353.23916666667</v>
      </c>
      <c r="O66" s="94">
        <f t="shared" si="55"/>
        <v>192318.68</v>
      </c>
      <c r="P66" s="94">
        <f t="shared" si="56"/>
        <v>192526.035</v>
      </c>
      <c r="Q66" s="90"/>
      <c r="R66" s="90"/>
    </row>
    <row r="67" spans="1:18" hidden="1" outlineLevel="1" x14ac:dyDescent="0.25">
      <c r="A67" s="85">
        <v>2016</v>
      </c>
      <c r="B67" s="94">
        <v>161932.6</v>
      </c>
      <c r="C67" s="94">
        <f t="shared" si="43"/>
        <v>161932.6</v>
      </c>
      <c r="D67" s="94">
        <f t="shared" si="44"/>
        <v>189786.50666666665</v>
      </c>
      <c r="E67" s="94">
        <f t="shared" si="45"/>
        <v>187254.33333333331</v>
      </c>
      <c r="F67" s="94">
        <f t="shared" si="46"/>
        <v>184722.16</v>
      </c>
      <c r="G67" s="94">
        <f t="shared" si="47"/>
        <v>182189.98666666666</v>
      </c>
      <c r="H67" s="94">
        <f t="shared" si="48"/>
        <v>179657.81333333332</v>
      </c>
      <c r="I67" s="94">
        <f t="shared" si="49"/>
        <v>177125.64</v>
      </c>
      <c r="J67" s="94">
        <f t="shared" si="50"/>
        <v>174593.46666666667</v>
      </c>
      <c r="K67" s="94">
        <f t="shared" si="51"/>
        <v>172061.29333333333</v>
      </c>
      <c r="L67" s="94">
        <f t="shared" si="52"/>
        <v>169529.12</v>
      </c>
      <c r="M67" s="94">
        <f t="shared" si="53"/>
        <v>166996.94666666666</v>
      </c>
      <c r="N67" s="94">
        <f t="shared" si="54"/>
        <v>164464.77333333335</v>
      </c>
      <c r="O67" s="94">
        <f t="shared" si="55"/>
        <v>161932.6</v>
      </c>
      <c r="P67" s="94">
        <f t="shared" si="56"/>
        <v>177125.64000000004</v>
      </c>
      <c r="Q67" s="90"/>
      <c r="R67" s="90"/>
    </row>
    <row r="68" spans="1:18" hidden="1" outlineLevel="1" x14ac:dyDescent="0.25">
      <c r="A68" s="85">
        <v>2017</v>
      </c>
      <c r="B68" s="94">
        <v>160373.99</v>
      </c>
      <c r="C68" s="94">
        <f t="shared" si="43"/>
        <v>160373.99</v>
      </c>
      <c r="D68" s="94">
        <f t="shared" si="44"/>
        <v>161802.71583333335</v>
      </c>
      <c r="E68" s="94">
        <f t="shared" si="45"/>
        <v>161672.83166666667</v>
      </c>
      <c r="F68" s="94">
        <f t="shared" si="46"/>
        <v>161542.94750000001</v>
      </c>
      <c r="G68" s="94">
        <f t="shared" si="47"/>
        <v>161413.06333333332</v>
      </c>
      <c r="H68" s="94">
        <f t="shared" si="48"/>
        <v>161283.17916666667</v>
      </c>
      <c r="I68" s="94">
        <f t="shared" si="49"/>
        <v>161153.29499999998</v>
      </c>
      <c r="J68" s="94">
        <f t="shared" si="50"/>
        <v>161023.41083333333</v>
      </c>
      <c r="K68" s="94">
        <f t="shared" si="51"/>
        <v>160893.52666666667</v>
      </c>
      <c r="L68" s="94">
        <f t="shared" si="52"/>
        <v>160763.64249999999</v>
      </c>
      <c r="M68" s="94">
        <f t="shared" si="53"/>
        <v>160633.75833333333</v>
      </c>
      <c r="N68" s="94">
        <f t="shared" si="54"/>
        <v>160503.87416666665</v>
      </c>
      <c r="O68" s="94">
        <f t="shared" si="55"/>
        <v>160373.99</v>
      </c>
      <c r="P68" s="94">
        <f t="shared" si="56"/>
        <v>161153.29500000001</v>
      </c>
      <c r="Q68" s="90"/>
      <c r="R68" s="90"/>
    </row>
    <row r="69" spans="1:18" hidden="1" outlineLevel="1" x14ac:dyDescent="0.25">
      <c r="A69" s="85">
        <v>2018</v>
      </c>
      <c r="B69" s="94">
        <v>164680.12</v>
      </c>
      <c r="C69" s="94">
        <f t="shared" si="43"/>
        <v>164680.12</v>
      </c>
      <c r="D69" s="94">
        <f t="shared" si="44"/>
        <v>160732.83416666667</v>
      </c>
      <c r="E69" s="94">
        <f t="shared" si="45"/>
        <v>161091.67833333332</v>
      </c>
      <c r="F69" s="94">
        <f t="shared" si="46"/>
        <v>161450.52249999999</v>
      </c>
      <c r="G69" s="94">
        <f t="shared" si="47"/>
        <v>161809.36666666667</v>
      </c>
      <c r="H69" s="94">
        <f t="shared" si="48"/>
        <v>162168.21083333332</v>
      </c>
      <c r="I69" s="94">
        <f t="shared" si="49"/>
        <v>162527.05499999999</v>
      </c>
      <c r="J69" s="94">
        <f t="shared" si="50"/>
        <v>162885.89916666667</v>
      </c>
      <c r="K69" s="94">
        <f t="shared" si="51"/>
        <v>163244.74333333332</v>
      </c>
      <c r="L69" s="94">
        <f t="shared" si="52"/>
        <v>163603.58749999999</v>
      </c>
      <c r="M69" s="94">
        <f t="shared" si="53"/>
        <v>163962.43166666667</v>
      </c>
      <c r="N69" s="94">
        <f t="shared" si="54"/>
        <v>164321.27583333332</v>
      </c>
      <c r="O69" s="94">
        <f t="shared" si="55"/>
        <v>164680.12</v>
      </c>
      <c r="P69" s="94">
        <f t="shared" si="56"/>
        <v>162527.05499999999</v>
      </c>
      <c r="Q69" s="90"/>
      <c r="R69" s="90"/>
    </row>
    <row r="70" spans="1:18" collapsed="1" x14ac:dyDescent="0.25">
      <c r="A70" s="85">
        <v>2019</v>
      </c>
      <c r="B70" s="94">
        <v>168908.06</v>
      </c>
      <c r="C70" s="94">
        <f t="shared" si="43"/>
        <v>168908.06</v>
      </c>
      <c r="D70" s="94">
        <f t="shared" si="44"/>
        <v>165032.44833333333</v>
      </c>
      <c r="E70" s="94">
        <f t="shared" si="45"/>
        <v>165384.77666666667</v>
      </c>
      <c r="F70" s="94">
        <f t="shared" si="46"/>
        <v>165737.10499999998</v>
      </c>
      <c r="G70" s="94">
        <f t="shared" si="47"/>
        <v>166089.43333333332</v>
      </c>
      <c r="H70" s="94">
        <f t="shared" si="48"/>
        <v>166441.76166666666</v>
      </c>
      <c r="I70" s="94">
        <f t="shared" si="49"/>
        <v>166794.09</v>
      </c>
      <c r="J70" s="94">
        <f t="shared" si="50"/>
        <v>167146.41833333333</v>
      </c>
      <c r="K70" s="94">
        <f t="shared" si="51"/>
        <v>167498.74666666667</v>
      </c>
      <c r="L70" s="94">
        <f t="shared" si="52"/>
        <v>167851.07500000001</v>
      </c>
      <c r="M70" s="94">
        <f t="shared" si="53"/>
        <v>168203.40333333332</v>
      </c>
      <c r="N70" s="94">
        <f t="shared" si="54"/>
        <v>168555.73166666666</v>
      </c>
      <c r="O70" s="94">
        <f t="shared" si="55"/>
        <v>168908.06</v>
      </c>
      <c r="P70" s="94">
        <f t="shared" si="56"/>
        <v>166794.09</v>
      </c>
      <c r="Q70" s="90"/>
      <c r="R70" s="90"/>
    </row>
    <row r="71" spans="1:18" x14ac:dyDescent="0.25">
      <c r="A71" s="85">
        <v>2020</v>
      </c>
      <c r="B71" s="93">
        <v>168591.14</v>
      </c>
      <c r="C71" s="94">
        <f t="shared" si="43"/>
        <v>168591.14</v>
      </c>
      <c r="D71" s="94">
        <f t="shared" si="44"/>
        <v>168881.65</v>
      </c>
      <c r="E71" s="94">
        <f t="shared" si="45"/>
        <v>168855.24</v>
      </c>
      <c r="F71" s="94">
        <f t="shared" si="46"/>
        <v>168828.83000000002</v>
      </c>
      <c r="G71" s="94">
        <f t="shared" si="47"/>
        <v>168802.42</v>
      </c>
      <c r="H71" s="94">
        <f t="shared" si="48"/>
        <v>168776.01</v>
      </c>
      <c r="I71" s="94">
        <f t="shared" si="49"/>
        <v>168749.6</v>
      </c>
      <c r="J71" s="94">
        <f t="shared" si="50"/>
        <v>168723.19</v>
      </c>
      <c r="K71" s="94">
        <f t="shared" si="51"/>
        <v>168696.78</v>
      </c>
      <c r="L71" s="94">
        <f t="shared" si="52"/>
        <v>168670.37</v>
      </c>
      <c r="M71" s="94">
        <f t="shared" si="53"/>
        <v>168643.96000000002</v>
      </c>
      <c r="N71" s="94">
        <f t="shared" si="54"/>
        <v>168617.55000000002</v>
      </c>
      <c r="O71" s="94">
        <f t="shared" si="55"/>
        <v>168591.14</v>
      </c>
      <c r="P71" s="94">
        <f t="shared" si="56"/>
        <v>168749.6</v>
      </c>
      <c r="Q71" s="90">
        <f>((I70+I71+(SUM(J70:O70)+SUM(D71:H71))*2)/24)</f>
        <v>168339.95249999998</v>
      </c>
      <c r="R71" s="90">
        <f>I71</f>
        <v>168749.6</v>
      </c>
    </row>
    <row r="72" spans="1:18" x14ac:dyDescent="0.25">
      <c r="B72" s="94"/>
      <c r="C72" s="94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4">
        <f t="shared" si="55"/>
        <v>0</v>
      </c>
      <c r="P72" s="92"/>
      <c r="Q72" s="90"/>
      <c r="R72" s="90"/>
    </row>
    <row r="73" spans="1:18" x14ac:dyDescent="0.25">
      <c r="A73" s="119" t="s">
        <v>126</v>
      </c>
      <c r="B73" s="85"/>
      <c r="C73" s="94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4"/>
      <c r="P73" s="92"/>
      <c r="Q73" s="90"/>
      <c r="R73" s="90"/>
    </row>
    <row r="74" spans="1:18" hidden="1" outlineLevel="1" x14ac:dyDescent="0.25">
      <c r="A74" s="85">
        <v>2018</v>
      </c>
      <c r="B74" s="94">
        <v>1243216.22315045</v>
      </c>
      <c r="C74" s="94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4"/>
      <c r="P74" s="92"/>
      <c r="Q74" s="90"/>
      <c r="R74" s="90"/>
    </row>
    <row r="75" spans="1:18" collapsed="1" x14ac:dyDescent="0.25">
      <c r="A75" s="85">
        <v>2019</v>
      </c>
      <c r="B75" s="94">
        <v>868740.65181087703</v>
      </c>
      <c r="C75" s="94"/>
      <c r="D75" s="94">
        <f>(B75-B74)/12*1+B74</f>
        <v>1212009.9255388191</v>
      </c>
      <c r="E75" s="94">
        <f>(B75-B74)/12*2+B74</f>
        <v>1180803.6279271878</v>
      </c>
      <c r="F75" s="94">
        <f>(B75-B74)/12*3+B74</f>
        <v>1149597.3303155568</v>
      </c>
      <c r="G75" s="94">
        <f>(B75-B74)/12*4+B74</f>
        <v>1118391.0327039256</v>
      </c>
      <c r="H75" s="94">
        <f>(B75-B74)/12*5+B74</f>
        <v>1087184.7350922946</v>
      </c>
      <c r="I75" s="94">
        <f>(B75-B74)/12*6+B74</f>
        <v>1055978.4374806634</v>
      </c>
      <c r="J75" s="94">
        <f>(B75-B74)/12*7+B74</f>
        <v>1024772.1398690324</v>
      </c>
      <c r="K75" s="94">
        <f>(B75-B74)/12*8+B74</f>
        <v>993565.84225740132</v>
      </c>
      <c r="L75" s="94">
        <f>(B75-B74)/12*9+B74</f>
        <v>962359.54464577022</v>
      </c>
      <c r="M75" s="94">
        <f>(B75-B74)/12*10+B74</f>
        <v>931153.24703413923</v>
      </c>
      <c r="N75" s="94">
        <f>(B75-B74)/12*11+B74</f>
        <v>899946.94942250801</v>
      </c>
      <c r="O75" s="94">
        <f t="shared" si="55"/>
        <v>868740.65181087703</v>
      </c>
      <c r="P75" s="94">
        <f>((C74+O75)+2*(SUM(D75:N75)))/24</f>
        <v>1004177.7615160615</v>
      </c>
      <c r="Q75" s="90"/>
      <c r="R75" s="90"/>
    </row>
    <row r="76" spans="1:18" x14ac:dyDescent="0.25">
      <c r="A76" s="85">
        <v>2020</v>
      </c>
      <c r="B76" s="94">
        <v>825288.42662987998</v>
      </c>
      <c r="C76" s="94"/>
      <c r="D76" s="94">
        <f>(B76-B75)/12*1+B75</f>
        <v>865119.63304579398</v>
      </c>
      <c r="E76" s="94">
        <f>(B76-B75)/12*2+B75</f>
        <v>861498.61428071081</v>
      </c>
      <c r="F76" s="94">
        <f>(B76-B75)/12*3+B75</f>
        <v>857877.59551562776</v>
      </c>
      <c r="G76" s="94">
        <f>(B76-B75)/12*4+B75</f>
        <v>854256.57675054471</v>
      </c>
      <c r="H76" s="94">
        <f>(B76-B75)/12*5+B75</f>
        <v>850635.55798546155</v>
      </c>
      <c r="I76" s="94">
        <f>(B76-B75)/12*6+B75</f>
        <v>847014.5392203785</v>
      </c>
      <c r="J76" s="94">
        <f>(B76-B75)/12*7+B75</f>
        <v>843393.52045529545</v>
      </c>
      <c r="K76" s="94">
        <f>(B76-B75)/12*8+B75</f>
        <v>839772.50169021229</v>
      </c>
      <c r="L76" s="94">
        <f>(B76-B75)/12*9+B75</f>
        <v>836151.48292512924</v>
      </c>
      <c r="M76" s="94">
        <f>(B76-B75)/12*10+B75</f>
        <v>832530.46416004619</v>
      </c>
      <c r="N76" s="94">
        <f>(B76-B75)/12*11+B75</f>
        <v>828909.44539496303</v>
      </c>
      <c r="O76" s="94">
        <f t="shared" si="55"/>
        <v>825288.42662987998</v>
      </c>
      <c r="P76" s="94">
        <f>((C75+O76)+2*(SUM(D76:N76)))/24</f>
        <v>810817.01206159184</v>
      </c>
      <c r="Q76" s="90">
        <f>((I75+I76+(SUM(J75:O75)+SUM(D76:H76))*2)/24)</f>
        <v>910118.57008069905</v>
      </c>
      <c r="R76" s="90">
        <f>I76</f>
        <v>847014.5392203785</v>
      </c>
    </row>
    <row r="77" spans="1:18" x14ac:dyDescent="0.25">
      <c r="B77" s="94"/>
      <c r="C77" s="94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4"/>
      <c r="P77" s="92"/>
      <c r="Q77" s="90"/>
      <c r="R77" s="90"/>
    </row>
    <row r="78" spans="1:18" x14ac:dyDescent="0.25">
      <c r="A78" s="98" t="s">
        <v>158</v>
      </c>
      <c r="B78" s="94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1"/>
      <c r="Q78" s="90"/>
      <c r="R78" s="90"/>
    </row>
    <row r="79" spans="1:18" hidden="1" outlineLevel="1" x14ac:dyDescent="0.25">
      <c r="A79" s="96">
        <v>2008</v>
      </c>
      <c r="B79" s="94">
        <f>19496.74+6980357.56</f>
        <v>6999854.2999999998</v>
      </c>
      <c r="C79" s="94">
        <f t="shared" ref="C79:C91" si="57">B79</f>
        <v>6999854.2999999998</v>
      </c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0"/>
      <c r="R79" s="90"/>
    </row>
    <row r="80" spans="1:18" hidden="1" outlineLevel="1" x14ac:dyDescent="0.25">
      <c r="A80" s="96">
        <v>2009</v>
      </c>
      <c r="B80" s="94">
        <f>529517.38+6388126.72</f>
        <v>6917644.0999999996</v>
      </c>
      <c r="C80" s="94">
        <f t="shared" si="57"/>
        <v>6917644.0999999996</v>
      </c>
      <c r="D80" s="94">
        <f t="shared" ref="D80:D91" si="58">(B80-B79)/12*1+B79</f>
        <v>6993003.4500000002</v>
      </c>
      <c r="E80" s="94">
        <f t="shared" ref="E80:E91" si="59">(B80-B79)/12*2+B79</f>
        <v>6986152.5999999996</v>
      </c>
      <c r="F80" s="94">
        <f t="shared" ref="F80:F91" si="60">(B80-B79)/12*3+B79</f>
        <v>6979301.75</v>
      </c>
      <c r="G80" s="94">
        <f t="shared" ref="G80:G91" si="61">(B80-B79)/12*4+B79</f>
        <v>6972450.8999999994</v>
      </c>
      <c r="H80" s="94">
        <f t="shared" ref="H80:H91" si="62">(B80-B79)/12*5+B79</f>
        <v>6965600.0499999998</v>
      </c>
      <c r="I80" s="94">
        <f t="shared" ref="I80:I91" si="63">(B80-B79)/12*6+B79</f>
        <v>6958749.1999999993</v>
      </c>
      <c r="J80" s="94">
        <f t="shared" ref="J80:J91" si="64">(B80-B79)/12*7+B79</f>
        <v>6951898.3499999996</v>
      </c>
      <c r="K80" s="94">
        <f t="shared" ref="K80:K91" si="65">(B80-B79)/12*8+B79</f>
        <v>6945047.5</v>
      </c>
      <c r="L80" s="94">
        <f t="shared" ref="L80:L91" si="66">(B80-B79)/12*9+B79</f>
        <v>6938196.6499999994</v>
      </c>
      <c r="M80" s="94">
        <f t="shared" ref="M80:M91" si="67">(B80-B79)/12*10+B79</f>
        <v>6931345.7999999998</v>
      </c>
      <c r="N80" s="94">
        <f t="shared" ref="N80:N91" si="68">(B80-B79)/12*11+B79</f>
        <v>6924494.9499999993</v>
      </c>
      <c r="O80" s="94">
        <f t="shared" ref="O80:O91" si="69">+B80</f>
        <v>6917644.0999999996</v>
      </c>
      <c r="P80" s="94">
        <f t="shared" ref="P80:P91" si="70">((C79+O80)+2*(SUM(D80:N80)))/24</f>
        <v>6958749.2000000002</v>
      </c>
      <c r="Q80" s="90"/>
      <c r="R80" s="90"/>
    </row>
    <row r="81" spans="1:18" hidden="1" outlineLevel="1" x14ac:dyDescent="0.25">
      <c r="A81" s="85">
        <v>2010</v>
      </c>
      <c r="B81" s="94">
        <f>492246+5015538</f>
        <v>5507784</v>
      </c>
      <c r="C81" s="94">
        <f t="shared" si="57"/>
        <v>5507784</v>
      </c>
      <c r="D81" s="94">
        <f t="shared" si="58"/>
        <v>6800155.7583333328</v>
      </c>
      <c r="E81" s="94">
        <f t="shared" si="59"/>
        <v>6682667.416666666</v>
      </c>
      <c r="F81" s="94">
        <f t="shared" si="60"/>
        <v>6565179.0749999993</v>
      </c>
      <c r="G81" s="94">
        <f t="shared" si="61"/>
        <v>6447690.7333333334</v>
      </c>
      <c r="H81" s="94">
        <f t="shared" si="62"/>
        <v>6330202.3916666666</v>
      </c>
      <c r="I81" s="94">
        <f t="shared" si="63"/>
        <v>6212714.0499999998</v>
      </c>
      <c r="J81" s="94">
        <f t="shared" si="64"/>
        <v>6095225.708333333</v>
      </c>
      <c r="K81" s="94">
        <f t="shared" si="65"/>
        <v>5977737.3666666662</v>
      </c>
      <c r="L81" s="94">
        <f t="shared" si="66"/>
        <v>5860249.0250000004</v>
      </c>
      <c r="M81" s="94">
        <f t="shared" si="67"/>
        <v>5742760.6833333336</v>
      </c>
      <c r="N81" s="94">
        <f t="shared" si="68"/>
        <v>5625272.3416666668</v>
      </c>
      <c r="O81" s="94">
        <f t="shared" si="69"/>
        <v>5507784</v>
      </c>
      <c r="P81" s="94">
        <f t="shared" si="70"/>
        <v>6212714.0499999998</v>
      </c>
      <c r="Q81" s="90"/>
      <c r="R81" s="90"/>
    </row>
    <row r="82" spans="1:18" hidden="1" outlineLevel="1" x14ac:dyDescent="0.25">
      <c r="A82" s="85">
        <v>2011</v>
      </c>
      <c r="B82" s="94">
        <v>5398894</v>
      </c>
      <c r="C82" s="94">
        <f t="shared" si="57"/>
        <v>5398894</v>
      </c>
      <c r="D82" s="94">
        <f t="shared" si="58"/>
        <v>5498709.833333333</v>
      </c>
      <c r="E82" s="94">
        <f t="shared" si="59"/>
        <v>5489635.666666667</v>
      </c>
      <c r="F82" s="94">
        <f t="shared" si="60"/>
        <v>5480561.5</v>
      </c>
      <c r="G82" s="94">
        <f t="shared" si="61"/>
        <v>5471487.333333333</v>
      </c>
      <c r="H82" s="94">
        <f t="shared" si="62"/>
        <v>5462413.166666667</v>
      </c>
      <c r="I82" s="94">
        <f t="shared" si="63"/>
        <v>5453339</v>
      </c>
      <c r="J82" s="94">
        <f t="shared" si="64"/>
        <v>5444264.833333333</v>
      </c>
      <c r="K82" s="94">
        <f t="shared" si="65"/>
        <v>5435190.666666667</v>
      </c>
      <c r="L82" s="94">
        <f t="shared" si="66"/>
        <v>5426116.5</v>
      </c>
      <c r="M82" s="94">
        <f t="shared" si="67"/>
        <v>5417042.333333333</v>
      </c>
      <c r="N82" s="94">
        <f t="shared" si="68"/>
        <v>5407968.166666667</v>
      </c>
      <c r="O82" s="94">
        <f t="shared" si="69"/>
        <v>5398894</v>
      </c>
      <c r="P82" s="94">
        <f t="shared" si="70"/>
        <v>5453339</v>
      </c>
      <c r="Q82" s="90"/>
      <c r="R82" s="90"/>
    </row>
    <row r="83" spans="1:18" hidden="1" outlineLevel="1" x14ac:dyDescent="0.25">
      <c r="A83" s="85">
        <v>2012</v>
      </c>
      <c r="B83" s="94">
        <v>4417640</v>
      </c>
      <c r="C83" s="94">
        <f t="shared" si="57"/>
        <v>4417640</v>
      </c>
      <c r="D83" s="94">
        <f t="shared" si="58"/>
        <v>5317122.833333333</v>
      </c>
      <c r="E83" s="94">
        <f t="shared" si="59"/>
        <v>5235351.666666667</v>
      </c>
      <c r="F83" s="94">
        <f t="shared" si="60"/>
        <v>5153580.5</v>
      </c>
      <c r="G83" s="94">
        <f t="shared" si="61"/>
        <v>5071809.333333333</v>
      </c>
      <c r="H83" s="94">
        <f t="shared" si="62"/>
        <v>4990038.166666667</v>
      </c>
      <c r="I83" s="94">
        <f t="shared" si="63"/>
        <v>4908267</v>
      </c>
      <c r="J83" s="94">
        <f t="shared" si="64"/>
        <v>4826495.833333333</v>
      </c>
      <c r="K83" s="94">
        <f t="shared" si="65"/>
        <v>4744724.666666667</v>
      </c>
      <c r="L83" s="94">
        <f t="shared" si="66"/>
        <v>4662953.5</v>
      </c>
      <c r="M83" s="94">
        <f t="shared" si="67"/>
        <v>4581182.333333333</v>
      </c>
      <c r="N83" s="94">
        <f t="shared" si="68"/>
        <v>4499411.166666667</v>
      </c>
      <c r="O83" s="94">
        <f t="shared" si="69"/>
        <v>4417640</v>
      </c>
      <c r="P83" s="94">
        <f t="shared" si="70"/>
        <v>4908267</v>
      </c>
      <c r="Q83" s="90"/>
      <c r="R83" s="90"/>
    </row>
    <row r="84" spans="1:18" hidden="1" outlineLevel="1" x14ac:dyDescent="0.25">
      <c r="A84" s="85">
        <v>2013</v>
      </c>
      <c r="B84" s="94">
        <v>3475808</v>
      </c>
      <c r="C84" s="94">
        <f t="shared" si="57"/>
        <v>3475808</v>
      </c>
      <c r="D84" s="94">
        <f t="shared" si="58"/>
        <v>4339154</v>
      </c>
      <c r="E84" s="94">
        <f t="shared" si="59"/>
        <v>4260668</v>
      </c>
      <c r="F84" s="94">
        <f t="shared" si="60"/>
        <v>4182182</v>
      </c>
      <c r="G84" s="94">
        <f t="shared" si="61"/>
        <v>4103696</v>
      </c>
      <c r="H84" s="94">
        <f t="shared" si="62"/>
        <v>4025210</v>
      </c>
      <c r="I84" s="94">
        <f t="shared" si="63"/>
        <v>3946724</v>
      </c>
      <c r="J84" s="94">
        <f t="shared" si="64"/>
        <v>3868238</v>
      </c>
      <c r="K84" s="94">
        <f t="shared" si="65"/>
        <v>3789752</v>
      </c>
      <c r="L84" s="94">
        <f t="shared" si="66"/>
        <v>3711266</v>
      </c>
      <c r="M84" s="94">
        <f t="shared" si="67"/>
        <v>3632780</v>
      </c>
      <c r="N84" s="94">
        <f t="shared" si="68"/>
        <v>3554294</v>
      </c>
      <c r="O84" s="94">
        <f t="shared" si="69"/>
        <v>3475808</v>
      </c>
      <c r="P84" s="94">
        <f t="shared" si="70"/>
        <v>3946724</v>
      </c>
      <c r="Q84" s="90"/>
      <c r="R84" s="90"/>
    </row>
    <row r="85" spans="1:18" hidden="1" outlineLevel="1" x14ac:dyDescent="0.25">
      <c r="A85" s="85">
        <v>2014</v>
      </c>
      <c r="B85" s="94">
        <v>0</v>
      </c>
      <c r="C85" s="94">
        <f t="shared" si="57"/>
        <v>0</v>
      </c>
      <c r="D85" s="94">
        <f t="shared" si="58"/>
        <v>3186157.3333333335</v>
      </c>
      <c r="E85" s="94">
        <f t="shared" si="59"/>
        <v>2896506.6666666665</v>
      </c>
      <c r="F85" s="94">
        <f t="shared" si="60"/>
        <v>2606856</v>
      </c>
      <c r="G85" s="94">
        <f t="shared" si="61"/>
        <v>2317205.333333333</v>
      </c>
      <c r="H85" s="94">
        <f t="shared" si="62"/>
        <v>2027554.6666666665</v>
      </c>
      <c r="I85" s="94">
        <f t="shared" si="63"/>
        <v>1737904</v>
      </c>
      <c r="J85" s="94">
        <f t="shared" si="64"/>
        <v>1448253.3333333333</v>
      </c>
      <c r="K85" s="94">
        <f t="shared" si="65"/>
        <v>1158602.6666666665</v>
      </c>
      <c r="L85" s="94">
        <f t="shared" si="66"/>
        <v>868952</v>
      </c>
      <c r="M85" s="94">
        <f t="shared" si="67"/>
        <v>579301.33333333302</v>
      </c>
      <c r="N85" s="94">
        <f t="shared" si="68"/>
        <v>289650.66666666651</v>
      </c>
      <c r="O85" s="94">
        <f t="shared" si="69"/>
        <v>0</v>
      </c>
      <c r="P85" s="94">
        <f t="shared" si="70"/>
        <v>1737904</v>
      </c>
      <c r="Q85" s="90"/>
      <c r="R85" s="90"/>
    </row>
    <row r="86" spans="1:18" hidden="1" outlineLevel="1" x14ac:dyDescent="0.25">
      <c r="A86" s="85">
        <v>2015</v>
      </c>
      <c r="B86" s="94">
        <v>0</v>
      </c>
      <c r="C86" s="94">
        <f t="shared" si="57"/>
        <v>0</v>
      </c>
      <c r="D86" s="94">
        <f t="shared" si="58"/>
        <v>0</v>
      </c>
      <c r="E86" s="94">
        <f t="shared" si="59"/>
        <v>0</v>
      </c>
      <c r="F86" s="94">
        <f t="shared" si="60"/>
        <v>0</v>
      </c>
      <c r="G86" s="94">
        <f t="shared" si="61"/>
        <v>0</v>
      </c>
      <c r="H86" s="94">
        <f t="shared" si="62"/>
        <v>0</v>
      </c>
      <c r="I86" s="94">
        <f t="shared" si="63"/>
        <v>0</v>
      </c>
      <c r="J86" s="94">
        <f t="shared" si="64"/>
        <v>0</v>
      </c>
      <c r="K86" s="94">
        <f t="shared" si="65"/>
        <v>0</v>
      </c>
      <c r="L86" s="94">
        <f t="shared" si="66"/>
        <v>0</v>
      </c>
      <c r="M86" s="94">
        <f t="shared" si="67"/>
        <v>0</v>
      </c>
      <c r="N86" s="94">
        <f t="shared" si="68"/>
        <v>0</v>
      </c>
      <c r="O86" s="94">
        <f t="shared" si="69"/>
        <v>0</v>
      </c>
      <c r="P86" s="94">
        <f t="shared" si="70"/>
        <v>0</v>
      </c>
      <c r="Q86" s="90"/>
      <c r="R86" s="90"/>
    </row>
    <row r="87" spans="1:18" hidden="1" outlineLevel="1" x14ac:dyDescent="0.25">
      <c r="A87" s="85">
        <v>2016</v>
      </c>
      <c r="B87" s="94">
        <v>0</v>
      </c>
      <c r="C87" s="94">
        <f t="shared" si="57"/>
        <v>0</v>
      </c>
      <c r="D87" s="94">
        <f t="shared" si="58"/>
        <v>0</v>
      </c>
      <c r="E87" s="94">
        <f t="shared" si="59"/>
        <v>0</v>
      </c>
      <c r="F87" s="94">
        <f t="shared" si="60"/>
        <v>0</v>
      </c>
      <c r="G87" s="94">
        <f t="shared" si="61"/>
        <v>0</v>
      </c>
      <c r="H87" s="94">
        <f t="shared" si="62"/>
        <v>0</v>
      </c>
      <c r="I87" s="94">
        <f t="shared" si="63"/>
        <v>0</v>
      </c>
      <c r="J87" s="94">
        <f t="shared" si="64"/>
        <v>0</v>
      </c>
      <c r="K87" s="94">
        <f t="shared" si="65"/>
        <v>0</v>
      </c>
      <c r="L87" s="94">
        <f t="shared" si="66"/>
        <v>0</v>
      </c>
      <c r="M87" s="94">
        <f t="shared" si="67"/>
        <v>0</v>
      </c>
      <c r="N87" s="94">
        <f t="shared" si="68"/>
        <v>0</v>
      </c>
      <c r="O87" s="94">
        <f t="shared" si="69"/>
        <v>0</v>
      </c>
      <c r="P87" s="94">
        <f t="shared" si="70"/>
        <v>0</v>
      </c>
      <c r="Q87" s="90"/>
      <c r="R87" s="90"/>
    </row>
    <row r="88" spans="1:18" hidden="1" outlineLevel="1" x14ac:dyDescent="0.25">
      <c r="A88" s="85">
        <v>2017</v>
      </c>
      <c r="B88" s="94">
        <v>0.02</v>
      </c>
      <c r="C88" s="94">
        <f t="shared" si="57"/>
        <v>0.02</v>
      </c>
      <c r="D88" s="94">
        <f t="shared" si="58"/>
        <v>1.6666666666666668E-3</v>
      </c>
      <c r="E88" s="94">
        <f t="shared" si="59"/>
        <v>3.3333333333333335E-3</v>
      </c>
      <c r="F88" s="94">
        <f t="shared" si="60"/>
        <v>5.0000000000000001E-3</v>
      </c>
      <c r="G88" s="94">
        <f t="shared" si="61"/>
        <v>6.6666666666666671E-3</v>
      </c>
      <c r="H88" s="94">
        <f t="shared" si="62"/>
        <v>8.3333333333333332E-3</v>
      </c>
      <c r="I88" s="94">
        <f t="shared" si="63"/>
        <v>0.01</v>
      </c>
      <c r="J88" s="94">
        <f t="shared" si="64"/>
        <v>1.1666666666666667E-2</v>
      </c>
      <c r="K88" s="94">
        <f t="shared" si="65"/>
        <v>1.3333333333333334E-2</v>
      </c>
      <c r="L88" s="94">
        <f t="shared" si="66"/>
        <v>1.5000000000000001E-2</v>
      </c>
      <c r="M88" s="94">
        <f t="shared" si="67"/>
        <v>1.6666666666666666E-2</v>
      </c>
      <c r="N88" s="94">
        <f t="shared" si="68"/>
        <v>1.8333333333333333E-2</v>
      </c>
      <c r="O88" s="94">
        <f t="shared" si="69"/>
        <v>0.02</v>
      </c>
      <c r="P88" s="94">
        <f t="shared" si="70"/>
        <v>0.01</v>
      </c>
      <c r="Q88" s="90"/>
      <c r="R88" s="90"/>
    </row>
    <row r="89" spans="1:18" hidden="1" outlineLevel="1" x14ac:dyDescent="0.25">
      <c r="A89" s="85">
        <v>2018</v>
      </c>
      <c r="B89" s="94">
        <v>0</v>
      </c>
      <c r="C89" s="94">
        <f t="shared" si="57"/>
        <v>0</v>
      </c>
      <c r="D89" s="94">
        <f t="shared" si="58"/>
        <v>1.8333333333333333E-2</v>
      </c>
      <c r="E89" s="94">
        <f t="shared" si="59"/>
        <v>1.6666666666666666E-2</v>
      </c>
      <c r="F89" s="94">
        <f t="shared" si="60"/>
        <v>1.4999999999999999E-2</v>
      </c>
      <c r="G89" s="94">
        <f t="shared" si="61"/>
        <v>1.3333333333333332E-2</v>
      </c>
      <c r="H89" s="94">
        <f t="shared" si="62"/>
        <v>1.1666666666666667E-2</v>
      </c>
      <c r="I89" s="94">
        <f t="shared" si="63"/>
        <v>0.01</v>
      </c>
      <c r="J89" s="94">
        <f t="shared" si="64"/>
        <v>8.3333333333333332E-3</v>
      </c>
      <c r="K89" s="94">
        <f t="shared" si="65"/>
        <v>6.6666666666666662E-3</v>
      </c>
      <c r="L89" s="94">
        <f t="shared" si="66"/>
        <v>4.9999999999999992E-3</v>
      </c>
      <c r="M89" s="94">
        <f t="shared" si="67"/>
        <v>3.333333333333334E-3</v>
      </c>
      <c r="N89" s="94">
        <f t="shared" si="68"/>
        <v>1.666666666666667E-3</v>
      </c>
      <c r="O89" s="94">
        <f t="shared" si="69"/>
        <v>0</v>
      </c>
      <c r="P89" s="94">
        <f t="shared" si="70"/>
        <v>0.01</v>
      </c>
      <c r="Q89" s="90"/>
      <c r="R89" s="90"/>
    </row>
    <row r="90" spans="1:18" collapsed="1" x14ac:dyDescent="0.25">
      <c r="A90" s="85">
        <v>2019</v>
      </c>
      <c r="B90" s="94">
        <v>0</v>
      </c>
      <c r="C90" s="94">
        <f t="shared" si="57"/>
        <v>0</v>
      </c>
      <c r="D90" s="94">
        <f t="shared" si="58"/>
        <v>0</v>
      </c>
      <c r="E90" s="94">
        <f t="shared" si="59"/>
        <v>0</v>
      </c>
      <c r="F90" s="94">
        <f t="shared" si="60"/>
        <v>0</v>
      </c>
      <c r="G90" s="94">
        <f t="shared" si="61"/>
        <v>0</v>
      </c>
      <c r="H90" s="94">
        <f t="shared" si="62"/>
        <v>0</v>
      </c>
      <c r="I90" s="94">
        <f t="shared" si="63"/>
        <v>0</v>
      </c>
      <c r="J90" s="94">
        <f t="shared" si="64"/>
        <v>0</v>
      </c>
      <c r="K90" s="94">
        <f t="shared" si="65"/>
        <v>0</v>
      </c>
      <c r="L90" s="94">
        <f t="shared" si="66"/>
        <v>0</v>
      </c>
      <c r="M90" s="94">
        <f t="shared" si="67"/>
        <v>0</v>
      </c>
      <c r="N90" s="94">
        <f t="shared" si="68"/>
        <v>0</v>
      </c>
      <c r="O90" s="94">
        <f t="shared" si="69"/>
        <v>0</v>
      </c>
      <c r="P90" s="94">
        <f t="shared" si="70"/>
        <v>0</v>
      </c>
      <c r="Q90" s="90"/>
      <c r="R90" s="90"/>
    </row>
    <row r="91" spans="1:18" x14ac:dyDescent="0.25">
      <c r="A91" s="85">
        <v>2020</v>
      </c>
      <c r="B91" s="93">
        <v>0</v>
      </c>
      <c r="C91" s="94">
        <f t="shared" si="57"/>
        <v>0</v>
      </c>
      <c r="D91" s="94">
        <f t="shared" si="58"/>
        <v>0</v>
      </c>
      <c r="E91" s="94">
        <f t="shared" si="59"/>
        <v>0</v>
      </c>
      <c r="F91" s="94">
        <f t="shared" si="60"/>
        <v>0</v>
      </c>
      <c r="G91" s="94">
        <f t="shared" si="61"/>
        <v>0</v>
      </c>
      <c r="H91" s="94">
        <f t="shared" si="62"/>
        <v>0</v>
      </c>
      <c r="I91" s="94">
        <f t="shared" si="63"/>
        <v>0</v>
      </c>
      <c r="J91" s="94">
        <f t="shared" si="64"/>
        <v>0</v>
      </c>
      <c r="K91" s="94">
        <f t="shared" si="65"/>
        <v>0</v>
      </c>
      <c r="L91" s="94">
        <f t="shared" si="66"/>
        <v>0</v>
      </c>
      <c r="M91" s="94">
        <f t="shared" si="67"/>
        <v>0</v>
      </c>
      <c r="N91" s="94">
        <f t="shared" si="68"/>
        <v>0</v>
      </c>
      <c r="O91" s="94">
        <f t="shared" si="69"/>
        <v>0</v>
      </c>
      <c r="P91" s="94">
        <f t="shared" si="70"/>
        <v>0</v>
      </c>
      <c r="Q91" s="90">
        <f>((I90+I91+(SUM(J90:O90)+SUM(D91:H91))*2)/24)</f>
        <v>0</v>
      </c>
      <c r="R91" s="90">
        <f>I91</f>
        <v>0</v>
      </c>
    </row>
    <row r="92" spans="1:18" x14ac:dyDescent="0.25">
      <c r="B92" s="94"/>
      <c r="C92" s="94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4"/>
      <c r="P92" s="92"/>
      <c r="Q92" s="90"/>
      <c r="R92" s="90"/>
    </row>
    <row r="93" spans="1:18" x14ac:dyDescent="0.25">
      <c r="A93" s="98" t="s">
        <v>157</v>
      </c>
      <c r="B93" s="94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1"/>
      <c r="Q93" s="90"/>
      <c r="R93" s="90"/>
    </row>
    <row r="94" spans="1:18" hidden="1" outlineLevel="1" x14ac:dyDescent="0.25">
      <c r="A94" s="96">
        <v>2008</v>
      </c>
      <c r="B94" s="94">
        <f>10822.6+6756305.92</f>
        <v>6767128.5199999996</v>
      </c>
      <c r="C94" s="94">
        <f t="shared" ref="C94:C106" si="71">B94</f>
        <v>6767128.5199999996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0"/>
      <c r="R94" s="90"/>
    </row>
    <row r="95" spans="1:18" hidden="1" outlineLevel="1" x14ac:dyDescent="0.25">
      <c r="A95" s="96">
        <v>2009</v>
      </c>
      <c r="B95" s="94">
        <f>19270.67+8093712.49</f>
        <v>8112983.1600000001</v>
      </c>
      <c r="C95" s="94">
        <f t="shared" si="71"/>
        <v>8112983.1600000001</v>
      </c>
      <c r="D95" s="94">
        <f t="shared" ref="D95:D106" si="72">(B95-B94)/12*1+B94</f>
        <v>6879283.0733333332</v>
      </c>
      <c r="E95" s="94">
        <f t="shared" ref="E95:E106" si="73">(B95-B94)/12*2+B94</f>
        <v>6991437.626666666</v>
      </c>
      <c r="F95" s="94">
        <f t="shared" ref="F95:F106" si="74">(B95-B94)/12*3+B94</f>
        <v>7103592.1799999997</v>
      </c>
      <c r="G95" s="94">
        <f t="shared" ref="G95:G106" si="75">(B95-B94)/12*4+B94</f>
        <v>7215746.7333333334</v>
      </c>
      <c r="H95" s="94">
        <f t="shared" ref="H95:H106" si="76">(B95-B94)/12*5+B94</f>
        <v>7327901.2866666662</v>
      </c>
      <c r="I95" s="94">
        <f t="shared" ref="I95:I106" si="77">(B95-B94)/12*6+B94</f>
        <v>7440055.8399999999</v>
      </c>
      <c r="J95" s="94">
        <f t="shared" ref="J95:J106" si="78">(B95-B94)/12*7+B94</f>
        <v>7552210.3933333335</v>
      </c>
      <c r="K95" s="94">
        <f t="shared" ref="K95:K106" si="79">(B95-B94)/12*8+B94</f>
        <v>7664364.9466666663</v>
      </c>
      <c r="L95" s="94">
        <f t="shared" ref="L95:L106" si="80">(B95-B94)/12*9+B94</f>
        <v>7776519.5</v>
      </c>
      <c r="M95" s="94">
        <f t="shared" ref="M95:M106" si="81">(B95-B94)/12*10+B94</f>
        <v>7888674.0533333337</v>
      </c>
      <c r="N95" s="94">
        <f t="shared" ref="N95:N106" si="82">(B95-B94)/12*11+B94</f>
        <v>8000828.6066666674</v>
      </c>
      <c r="O95" s="94">
        <f t="shared" ref="O95:O106" si="83">+B95</f>
        <v>8112983.1600000001</v>
      </c>
      <c r="P95" s="94">
        <f t="shared" ref="P95:P106" si="84">((C94+O95)+2*(SUM(D95:N95)))/24</f>
        <v>7440055.8399999999</v>
      </c>
      <c r="Q95" s="90"/>
      <c r="R95" s="90"/>
    </row>
    <row r="96" spans="1:18" hidden="1" outlineLevel="1" x14ac:dyDescent="0.25">
      <c r="A96" s="85">
        <v>2010</v>
      </c>
      <c r="B96" s="94">
        <f>18733+9634744</f>
        <v>9653477</v>
      </c>
      <c r="C96" s="94">
        <f t="shared" si="71"/>
        <v>9653477</v>
      </c>
      <c r="D96" s="94">
        <f t="shared" si="72"/>
        <v>8241357.6466666665</v>
      </c>
      <c r="E96" s="94">
        <f t="shared" si="73"/>
        <v>8369732.1333333338</v>
      </c>
      <c r="F96" s="94">
        <f t="shared" si="74"/>
        <v>8498106.620000001</v>
      </c>
      <c r="G96" s="94">
        <f t="shared" si="75"/>
        <v>8626481.1066666674</v>
      </c>
      <c r="H96" s="94">
        <f t="shared" si="76"/>
        <v>8754855.5933333337</v>
      </c>
      <c r="I96" s="94">
        <f t="shared" si="77"/>
        <v>8883230.0800000001</v>
      </c>
      <c r="J96" s="94">
        <f t="shared" si="78"/>
        <v>9011604.5666666664</v>
      </c>
      <c r="K96" s="94">
        <f t="shared" si="79"/>
        <v>9139979.0533333328</v>
      </c>
      <c r="L96" s="94">
        <f t="shared" si="80"/>
        <v>9268353.5399999991</v>
      </c>
      <c r="M96" s="94">
        <f t="shared" si="81"/>
        <v>9396728.0266666673</v>
      </c>
      <c r="N96" s="94">
        <f t="shared" si="82"/>
        <v>9525102.5133333337</v>
      </c>
      <c r="O96" s="94">
        <f t="shared" si="83"/>
        <v>9653477</v>
      </c>
      <c r="P96" s="94">
        <f t="shared" si="84"/>
        <v>8883230.0800000001</v>
      </c>
      <c r="Q96" s="90"/>
      <c r="R96" s="90"/>
    </row>
    <row r="97" spans="1:18" hidden="1" outlineLevel="1" x14ac:dyDescent="0.25">
      <c r="A97" s="85">
        <v>2011</v>
      </c>
      <c r="B97" s="94">
        <v>10169094</v>
      </c>
      <c r="C97" s="94">
        <f t="shared" si="71"/>
        <v>10169094</v>
      </c>
      <c r="D97" s="94">
        <f t="shared" si="72"/>
        <v>9696445.083333334</v>
      </c>
      <c r="E97" s="94">
        <f t="shared" si="73"/>
        <v>9739413.166666666</v>
      </c>
      <c r="F97" s="94">
        <f t="shared" si="74"/>
        <v>9782381.25</v>
      </c>
      <c r="G97" s="94">
        <f t="shared" si="75"/>
        <v>9825349.333333334</v>
      </c>
      <c r="H97" s="94">
        <f t="shared" si="76"/>
        <v>9868317.416666666</v>
      </c>
      <c r="I97" s="94">
        <f t="shared" si="77"/>
        <v>9911285.5</v>
      </c>
      <c r="J97" s="94">
        <f t="shared" si="78"/>
        <v>9954253.583333334</v>
      </c>
      <c r="K97" s="94">
        <f t="shared" si="79"/>
        <v>9997221.666666666</v>
      </c>
      <c r="L97" s="94">
        <f t="shared" si="80"/>
        <v>10040189.75</v>
      </c>
      <c r="M97" s="94">
        <f t="shared" si="81"/>
        <v>10083157.833333334</v>
      </c>
      <c r="N97" s="94">
        <f t="shared" si="82"/>
        <v>10126125.916666666</v>
      </c>
      <c r="O97" s="94">
        <f t="shared" si="83"/>
        <v>10169094</v>
      </c>
      <c r="P97" s="94">
        <f t="shared" si="84"/>
        <v>9911285.5</v>
      </c>
      <c r="Q97" s="90"/>
      <c r="R97" s="90"/>
    </row>
    <row r="98" spans="1:18" hidden="1" outlineLevel="1" x14ac:dyDescent="0.25">
      <c r="A98" s="85">
        <v>2012</v>
      </c>
      <c r="B98" s="94">
        <v>10903462</v>
      </c>
      <c r="C98" s="94">
        <f t="shared" si="71"/>
        <v>10903462</v>
      </c>
      <c r="D98" s="94">
        <f t="shared" si="72"/>
        <v>10230291.333333334</v>
      </c>
      <c r="E98" s="94">
        <f t="shared" si="73"/>
        <v>10291488.666666666</v>
      </c>
      <c r="F98" s="94">
        <f t="shared" si="74"/>
        <v>10352686</v>
      </c>
      <c r="G98" s="94">
        <f t="shared" si="75"/>
        <v>10413883.333333334</v>
      </c>
      <c r="H98" s="94">
        <f t="shared" si="76"/>
        <v>10475080.666666666</v>
      </c>
      <c r="I98" s="94">
        <f t="shared" si="77"/>
        <v>10536278</v>
      </c>
      <c r="J98" s="94">
        <f t="shared" si="78"/>
        <v>10597475.333333334</v>
      </c>
      <c r="K98" s="94">
        <f t="shared" si="79"/>
        <v>10658672.666666666</v>
      </c>
      <c r="L98" s="94">
        <f t="shared" si="80"/>
        <v>10719870</v>
      </c>
      <c r="M98" s="94">
        <f t="shared" si="81"/>
        <v>10781067.333333334</v>
      </c>
      <c r="N98" s="94">
        <f t="shared" si="82"/>
        <v>10842264.666666666</v>
      </c>
      <c r="O98" s="94">
        <f t="shared" si="83"/>
        <v>10903462</v>
      </c>
      <c r="P98" s="94">
        <f t="shared" si="84"/>
        <v>10536278</v>
      </c>
      <c r="Q98" s="90"/>
      <c r="R98" s="90"/>
    </row>
    <row r="99" spans="1:18" hidden="1" outlineLevel="1" x14ac:dyDescent="0.25">
      <c r="A99" s="85">
        <v>2013</v>
      </c>
      <c r="B99" s="94">
        <v>11455267</v>
      </c>
      <c r="C99" s="94">
        <f t="shared" si="71"/>
        <v>11455267</v>
      </c>
      <c r="D99" s="94">
        <f t="shared" si="72"/>
        <v>10949445.75</v>
      </c>
      <c r="E99" s="94">
        <f t="shared" si="73"/>
        <v>10995429.5</v>
      </c>
      <c r="F99" s="94">
        <f t="shared" si="74"/>
        <v>11041413.25</v>
      </c>
      <c r="G99" s="94">
        <f t="shared" si="75"/>
        <v>11087397</v>
      </c>
      <c r="H99" s="94">
        <f t="shared" si="76"/>
        <v>11133380.75</v>
      </c>
      <c r="I99" s="94">
        <f t="shared" si="77"/>
        <v>11179364.5</v>
      </c>
      <c r="J99" s="94">
        <f t="shared" si="78"/>
        <v>11225348.25</v>
      </c>
      <c r="K99" s="94">
        <f t="shared" si="79"/>
        <v>11271332</v>
      </c>
      <c r="L99" s="94">
        <f t="shared" si="80"/>
        <v>11317315.75</v>
      </c>
      <c r="M99" s="94">
        <f t="shared" si="81"/>
        <v>11363299.5</v>
      </c>
      <c r="N99" s="94">
        <f t="shared" si="82"/>
        <v>11409283.25</v>
      </c>
      <c r="O99" s="94">
        <f t="shared" si="83"/>
        <v>11455267</v>
      </c>
      <c r="P99" s="94">
        <f t="shared" si="84"/>
        <v>11179364.5</v>
      </c>
      <c r="Q99" s="90"/>
      <c r="R99" s="90"/>
    </row>
    <row r="100" spans="1:18" hidden="1" outlineLevel="1" x14ac:dyDescent="0.25">
      <c r="A100" s="85">
        <v>2014</v>
      </c>
      <c r="B100" s="94">
        <v>11968094</v>
      </c>
      <c r="C100" s="94">
        <f t="shared" si="71"/>
        <v>11968094</v>
      </c>
      <c r="D100" s="94">
        <f t="shared" si="72"/>
        <v>11498002.583333334</v>
      </c>
      <c r="E100" s="94">
        <f t="shared" si="73"/>
        <v>11540738.166666666</v>
      </c>
      <c r="F100" s="94">
        <f t="shared" si="74"/>
        <v>11583473.75</v>
      </c>
      <c r="G100" s="94">
        <f t="shared" si="75"/>
        <v>11626209.333333334</v>
      </c>
      <c r="H100" s="94">
        <f t="shared" si="76"/>
        <v>11668944.916666666</v>
      </c>
      <c r="I100" s="94">
        <f t="shared" si="77"/>
        <v>11711680.5</v>
      </c>
      <c r="J100" s="94">
        <f t="shared" si="78"/>
        <v>11754416.083333334</v>
      </c>
      <c r="K100" s="94">
        <f t="shared" si="79"/>
        <v>11797151.666666666</v>
      </c>
      <c r="L100" s="94">
        <f t="shared" si="80"/>
        <v>11839887.25</v>
      </c>
      <c r="M100" s="94">
        <f t="shared" si="81"/>
        <v>11882622.833333334</v>
      </c>
      <c r="N100" s="94">
        <f t="shared" si="82"/>
        <v>11925358.416666666</v>
      </c>
      <c r="O100" s="94">
        <f t="shared" si="83"/>
        <v>11968094</v>
      </c>
      <c r="P100" s="94">
        <f t="shared" si="84"/>
        <v>11711680.5</v>
      </c>
      <c r="Q100" s="90"/>
      <c r="R100" s="90"/>
    </row>
    <row r="101" spans="1:18" hidden="1" outlineLevel="1" x14ac:dyDescent="0.25">
      <c r="A101" s="85">
        <v>2015</v>
      </c>
      <c r="B101" s="94">
        <v>12500069.98</v>
      </c>
      <c r="C101" s="94">
        <f t="shared" si="71"/>
        <v>12500069.98</v>
      </c>
      <c r="D101" s="94">
        <f t="shared" si="72"/>
        <v>12012425.331666667</v>
      </c>
      <c r="E101" s="94">
        <f t="shared" si="73"/>
        <v>12056756.663333334</v>
      </c>
      <c r="F101" s="94">
        <f t="shared" si="74"/>
        <v>12101087.995000001</v>
      </c>
      <c r="G101" s="94">
        <f t="shared" si="75"/>
        <v>12145419.326666666</v>
      </c>
      <c r="H101" s="94">
        <f t="shared" si="76"/>
        <v>12189750.658333333</v>
      </c>
      <c r="I101" s="94">
        <f t="shared" si="77"/>
        <v>12234081.99</v>
      </c>
      <c r="J101" s="94">
        <f t="shared" si="78"/>
        <v>12278413.321666667</v>
      </c>
      <c r="K101" s="94">
        <f t="shared" si="79"/>
        <v>12322744.653333334</v>
      </c>
      <c r="L101" s="94">
        <f t="shared" si="80"/>
        <v>12367075.984999999</v>
      </c>
      <c r="M101" s="94">
        <f t="shared" si="81"/>
        <v>12411407.316666666</v>
      </c>
      <c r="N101" s="94">
        <f t="shared" si="82"/>
        <v>12455738.648333333</v>
      </c>
      <c r="O101" s="94">
        <f t="shared" si="83"/>
        <v>12500069.98</v>
      </c>
      <c r="P101" s="94">
        <f t="shared" si="84"/>
        <v>12234081.990000002</v>
      </c>
      <c r="Q101" s="90"/>
      <c r="R101" s="90"/>
    </row>
    <row r="102" spans="1:18" hidden="1" outlineLevel="1" x14ac:dyDescent="0.25">
      <c r="A102" s="85">
        <v>2016</v>
      </c>
      <c r="B102" s="94">
        <v>13063819.76</v>
      </c>
      <c r="C102" s="94">
        <f t="shared" si="71"/>
        <v>13063819.76</v>
      </c>
      <c r="D102" s="94">
        <f t="shared" si="72"/>
        <v>12547049.128333334</v>
      </c>
      <c r="E102" s="94">
        <f t="shared" si="73"/>
        <v>12594028.276666667</v>
      </c>
      <c r="F102" s="94">
        <f t="shared" si="74"/>
        <v>12641007.425000001</v>
      </c>
      <c r="G102" s="94">
        <f t="shared" si="75"/>
        <v>12687986.573333334</v>
      </c>
      <c r="H102" s="94">
        <f t="shared" si="76"/>
        <v>12734965.721666668</v>
      </c>
      <c r="I102" s="94">
        <f t="shared" si="77"/>
        <v>12781944.870000001</v>
      </c>
      <c r="J102" s="94">
        <f t="shared" si="78"/>
        <v>12828924.018333333</v>
      </c>
      <c r="K102" s="94">
        <f t="shared" si="79"/>
        <v>12875903.166666666</v>
      </c>
      <c r="L102" s="94">
        <f t="shared" si="80"/>
        <v>12922882.314999999</v>
      </c>
      <c r="M102" s="94">
        <f t="shared" si="81"/>
        <v>12969861.463333333</v>
      </c>
      <c r="N102" s="94">
        <f t="shared" si="82"/>
        <v>13016840.611666666</v>
      </c>
      <c r="O102" s="94">
        <f t="shared" si="83"/>
        <v>13063819.76</v>
      </c>
      <c r="P102" s="94">
        <f t="shared" si="84"/>
        <v>12781944.870000003</v>
      </c>
      <c r="Q102" s="90"/>
      <c r="R102" s="90"/>
    </row>
    <row r="103" spans="1:18" hidden="1" outlineLevel="1" x14ac:dyDescent="0.25">
      <c r="A103" s="85">
        <v>2017</v>
      </c>
      <c r="B103" s="94">
        <v>13337077.32</v>
      </c>
      <c r="C103" s="94">
        <f t="shared" si="71"/>
        <v>13337077.32</v>
      </c>
      <c r="D103" s="94">
        <f t="shared" si="72"/>
        <v>13086591.223333333</v>
      </c>
      <c r="E103" s="94">
        <f t="shared" si="73"/>
        <v>13109362.686666667</v>
      </c>
      <c r="F103" s="94">
        <f t="shared" si="74"/>
        <v>13132134.15</v>
      </c>
      <c r="G103" s="94">
        <f t="shared" si="75"/>
        <v>13154905.613333333</v>
      </c>
      <c r="H103" s="94">
        <f t="shared" si="76"/>
        <v>13177677.076666666</v>
      </c>
      <c r="I103" s="94">
        <f t="shared" si="77"/>
        <v>13200448.539999999</v>
      </c>
      <c r="J103" s="94">
        <f t="shared" si="78"/>
        <v>13223220.003333334</v>
      </c>
      <c r="K103" s="94">
        <f t="shared" si="79"/>
        <v>13245991.466666667</v>
      </c>
      <c r="L103" s="94">
        <f t="shared" si="80"/>
        <v>13268762.93</v>
      </c>
      <c r="M103" s="94">
        <f t="shared" si="81"/>
        <v>13291534.393333334</v>
      </c>
      <c r="N103" s="94">
        <f t="shared" si="82"/>
        <v>13314305.856666667</v>
      </c>
      <c r="O103" s="94">
        <f t="shared" si="83"/>
        <v>13337077.32</v>
      </c>
      <c r="P103" s="94">
        <f t="shared" si="84"/>
        <v>13200448.539999999</v>
      </c>
      <c r="Q103" s="90"/>
      <c r="R103" s="90"/>
    </row>
    <row r="104" spans="1:18" hidden="1" outlineLevel="1" x14ac:dyDescent="0.25">
      <c r="A104" s="85">
        <v>2018</v>
      </c>
      <c r="B104" s="94">
        <v>12670794.310000001</v>
      </c>
      <c r="C104" s="94">
        <f t="shared" si="71"/>
        <v>12670794.310000001</v>
      </c>
      <c r="D104" s="94">
        <f t="shared" si="72"/>
        <v>13281553.735833334</v>
      </c>
      <c r="E104" s="94">
        <f t="shared" si="73"/>
        <v>13226030.151666667</v>
      </c>
      <c r="F104" s="94">
        <f t="shared" si="74"/>
        <v>13170506.567500001</v>
      </c>
      <c r="G104" s="94">
        <f t="shared" si="75"/>
        <v>13114982.983333334</v>
      </c>
      <c r="H104" s="94">
        <f t="shared" si="76"/>
        <v>13059459.399166668</v>
      </c>
      <c r="I104" s="94">
        <f t="shared" si="77"/>
        <v>13003935.815000001</v>
      </c>
      <c r="J104" s="94">
        <f t="shared" si="78"/>
        <v>12948412.230833333</v>
      </c>
      <c r="K104" s="94">
        <f t="shared" si="79"/>
        <v>12892888.646666666</v>
      </c>
      <c r="L104" s="94">
        <f t="shared" si="80"/>
        <v>12837365.0625</v>
      </c>
      <c r="M104" s="94">
        <f t="shared" si="81"/>
        <v>12781841.478333334</v>
      </c>
      <c r="N104" s="94">
        <f t="shared" si="82"/>
        <v>12726317.894166667</v>
      </c>
      <c r="O104" s="94">
        <f t="shared" si="83"/>
        <v>12670794.310000001</v>
      </c>
      <c r="P104" s="94">
        <f t="shared" si="84"/>
        <v>13003935.814999999</v>
      </c>
      <c r="Q104" s="90"/>
      <c r="R104" s="90"/>
    </row>
    <row r="105" spans="1:18" collapsed="1" x14ac:dyDescent="0.25">
      <c r="A105" s="85">
        <v>2019</v>
      </c>
      <c r="B105" s="94">
        <v>11707154.210000001</v>
      </c>
      <c r="C105" s="94">
        <f t="shared" si="71"/>
        <v>11707154.210000001</v>
      </c>
      <c r="D105" s="94">
        <f t="shared" si="72"/>
        <v>12590490.968333334</v>
      </c>
      <c r="E105" s="94">
        <f t="shared" si="73"/>
        <v>12510187.626666667</v>
      </c>
      <c r="F105" s="94">
        <f t="shared" si="74"/>
        <v>12429884.285</v>
      </c>
      <c r="G105" s="94">
        <f t="shared" si="75"/>
        <v>12349580.943333333</v>
      </c>
      <c r="H105" s="94">
        <f t="shared" si="76"/>
        <v>12269277.601666667</v>
      </c>
      <c r="I105" s="94">
        <f t="shared" si="77"/>
        <v>12188974.260000002</v>
      </c>
      <c r="J105" s="94">
        <f t="shared" si="78"/>
        <v>12108670.918333335</v>
      </c>
      <c r="K105" s="94">
        <f t="shared" si="79"/>
        <v>12028367.576666668</v>
      </c>
      <c r="L105" s="94">
        <f t="shared" si="80"/>
        <v>11948064.235000001</v>
      </c>
      <c r="M105" s="94">
        <f t="shared" si="81"/>
        <v>11867760.893333334</v>
      </c>
      <c r="N105" s="94">
        <f t="shared" si="82"/>
        <v>11787457.551666668</v>
      </c>
      <c r="O105" s="94">
        <f t="shared" si="83"/>
        <v>11707154.210000001</v>
      </c>
      <c r="P105" s="94">
        <f t="shared" si="84"/>
        <v>12188974.26</v>
      </c>
      <c r="Q105" s="90"/>
      <c r="R105" s="90"/>
    </row>
    <row r="106" spans="1:18" x14ac:dyDescent="0.25">
      <c r="A106" s="85">
        <v>2020</v>
      </c>
      <c r="B106" s="93">
        <v>10778452.27</v>
      </c>
      <c r="C106" s="94">
        <f t="shared" si="71"/>
        <v>10778452.27</v>
      </c>
      <c r="D106" s="94">
        <f t="shared" si="72"/>
        <v>11629762.381666668</v>
      </c>
      <c r="E106" s="94">
        <f t="shared" si="73"/>
        <v>11552370.553333335</v>
      </c>
      <c r="F106" s="94">
        <f t="shared" si="74"/>
        <v>11474978.725000001</v>
      </c>
      <c r="G106" s="94">
        <f t="shared" si="75"/>
        <v>11397586.896666666</v>
      </c>
      <c r="H106" s="94">
        <f t="shared" si="76"/>
        <v>11320195.068333333</v>
      </c>
      <c r="I106" s="94">
        <f t="shared" si="77"/>
        <v>11242803.24</v>
      </c>
      <c r="J106" s="94">
        <f t="shared" si="78"/>
        <v>11165411.411666667</v>
      </c>
      <c r="K106" s="94">
        <f t="shared" si="79"/>
        <v>11088019.583333334</v>
      </c>
      <c r="L106" s="94">
        <f t="shared" si="80"/>
        <v>11010627.754999999</v>
      </c>
      <c r="M106" s="94">
        <f t="shared" si="81"/>
        <v>10933235.926666666</v>
      </c>
      <c r="N106" s="94">
        <f t="shared" si="82"/>
        <v>10855844.098333333</v>
      </c>
      <c r="O106" s="94">
        <f t="shared" si="83"/>
        <v>10778452.27</v>
      </c>
      <c r="P106" s="94">
        <f t="shared" si="84"/>
        <v>11242803.24</v>
      </c>
      <c r="Q106" s="90">
        <f>((I105+I106+(SUM(J105:O105)+SUM(D106:H106))*2)/24)</f>
        <v>11711521.480000002</v>
      </c>
      <c r="R106" s="90">
        <f>I106</f>
        <v>11242803.24</v>
      </c>
    </row>
    <row r="107" spans="1:18" x14ac:dyDescent="0.2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0"/>
      <c r="R107" s="90"/>
    </row>
    <row r="108" spans="1:18" x14ac:dyDescent="0.25">
      <c r="A108" s="98" t="s">
        <v>156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0"/>
      <c r="R108" s="90"/>
    </row>
    <row r="109" spans="1:18" hidden="1" outlineLevel="1" x14ac:dyDescent="0.25">
      <c r="A109" s="96">
        <v>2008</v>
      </c>
      <c r="B109" s="94"/>
      <c r="C109" s="94">
        <f>B109</f>
        <v>0</v>
      </c>
      <c r="D109" s="94">
        <f>(B109-B108)/12*1+B108</f>
        <v>0</v>
      </c>
      <c r="E109" s="94">
        <f>(B109-B108)/12*2+B108</f>
        <v>0</v>
      </c>
      <c r="F109" s="94">
        <f>(B109-B108)/12*3+B108</f>
        <v>0</v>
      </c>
      <c r="G109" s="94">
        <f>(B109-B108)/12*4+B108</f>
        <v>0</v>
      </c>
      <c r="H109" s="94">
        <f>(B109-B108)/12*5+B108</f>
        <v>0</v>
      </c>
      <c r="I109" s="94">
        <f>(B109-B108)/12*6+B108</f>
        <v>0</v>
      </c>
      <c r="J109" s="94">
        <f>(B109-B108)/12*7+B108</f>
        <v>0</v>
      </c>
      <c r="K109" s="94">
        <f>(B109-B108)/12*8+B108</f>
        <v>0</v>
      </c>
      <c r="L109" s="94">
        <f>(B109-B108)/12*9+B108</f>
        <v>0</v>
      </c>
      <c r="M109" s="94">
        <f>(B109-B108)/12*10+B108</f>
        <v>0</v>
      </c>
      <c r="N109" s="94">
        <f>(B109-B108)/12*11+B108</f>
        <v>0</v>
      </c>
      <c r="O109" s="94">
        <f>+B109</f>
        <v>0</v>
      </c>
      <c r="P109" s="94">
        <f>((C108+O109)+2*(SUM(D109:N109)))/24</f>
        <v>0</v>
      </c>
      <c r="Q109" s="90"/>
      <c r="R109" s="90"/>
    </row>
    <row r="110" spans="1:18" hidden="1" outlineLevel="1" x14ac:dyDescent="0.25">
      <c r="A110" s="96">
        <v>2009</v>
      </c>
      <c r="B110" s="94"/>
      <c r="C110" s="94">
        <f>B110</f>
        <v>0</v>
      </c>
      <c r="D110" s="94">
        <f>(B110-B109)/12*1+B109</f>
        <v>0</v>
      </c>
      <c r="E110" s="94">
        <f>(B110-B109)/12*2+B109</f>
        <v>0</v>
      </c>
      <c r="F110" s="94">
        <f>(B110-B109)/12*3+B109</f>
        <v>0</v>
      </c>
      <c r="G110" s="94">
        <f>(B110-B109)/12*4+B109</f>
        <v>0</v>
      </c>
      <c r="H110" s="94">
        <f>(B110-B109)/12*5+B109</f>
        <v>0</v>
      </c>
      <c r="I110" s="94">
        <f>(B110-B109)/12*6+B109</f>
        <v>0</v>
      </c>
      <c r="J110" s="94">
        <f>(B110-B109)/12*7+B109</f>
        <v>0</v>
      </c>
      <c r="K110" s="94">
        <f>(B110-B109)/12*8+B109</f>
        <v>0</v>
      </c>
      <c r="L110" s="94">
        <f>(B110-B109)/12*9+B109</f>
        <v>0</v>
      </c>
      <c r="M110" s="94">
        <f>(B110-B109)/12*10+B109</f>
        <v>0</v>
      </c>
      <c r="N110" s="94">
        <f>(B110-B109)/12*11+B109</f>
        <v>0</v>
      </c>
      <c r="O110" s="94">
        <f>+B110</f>
        <v>0</v>
      </c>
      <c r="P110" s="94">
        <f>((C109+O110)+2*(SUM(D110:N110)))/24</f>
        <v>0</v>
      </c>
      <c r="Q110" s="90"/>
      <c r="R110" s="90"/>
    </row>
    <row r="111" spans="1:18" hidden="1" outlineLevel="1" x14ac:dyDescent="0.25">
      <c r="A111" s="85">
        <v>2010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0"/>
      <c r="R111" s="90"/>
    </row>
    <row r="112" spans="1:18" hidden="1" outlineLevel="1" x14ac:dyDescent="0.25">
      <c r="A112" s="85">
        <v>2011</v>
      </c>
      <c r="B112" s="94">
        <v>0</v>
      </c>
      <c r="C112" s="94">
        <f t="shared" ref="C112:C121" si="85">B112</f>
        <v>0</v>
      </c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0"/>
      <c r="R112" s="90"/>
    </row>
    <row r="113" spans="1:18" hidden="1" outlineLevel="1" x14ac:dyDescent="0.25">
      <c r="A113" s="85">
        <v>2012</v>
      </c>
      <c r="B113" s="94">
        <v>0</v>
      </c>
      <c r="C113" s="94">
        <f t="shared" si="85"/>
        <v>0</v>
      </c>
      <c r="D113" s="94">
        <f t="shared" ref="D113:D121" si="86">(B113-B112)/12*1+B112</f>
        <v>0</v>
      </c>
      <c r="E113" s="94">
        <f t="shared" ref="E113:E121" si="87">(B113-B112)/12*2+B112</f>
        <v>0</v>
      </c>
      <c r="F113" s="94">
        <f t="shared" ref="F113:F121" si="88">(B113-B112)/12*3+B112</f>
        <v>0</v>
      </c>
      <c r="G113" s="94">
        <f t="shared" ref="G113:G121" si="89">(B113-B112)/12*4+B112</f>
        <v>0</v>
      </c>
      <c r="H113" s="94">
        <f t="shared" ref="H113:H121" si="90">(B113-B112)/12*5+B112</f>
        <v>0</v>
      </c>
      <c r="I113" s="94">
        <f t="shared" ref="I113:I121" si="91">(B113-B112)/12*6+B112</f>
        <v>0</v>
      </c>
      <c r="J113" s="94">
        <f t="shared" ref="J113:J121" si="92">(B113-B112)/12*7+B112</f>
        <v>0</v>
      </c>
      <c r="K113" s="94">
        <f t="shared" ref="K113:K121" si="93">(B113-B112)/12*8+B112</f>
        <v>0</v>
      </c>
      <c r="L113" s="94">
        <f t="shared" ref="L113:L121" si="94">(B113-B112)/12*9+B112</f>
        <v>0</v>
      </c>
      <c r="M113" s="94">
        <f t="shared" ref="M113:M121" si="95">(B113-B112)/12*10+B112</f>
        <v>0</v>
      </c>
      <c r="N113" s="94">
        <f t="shared" ref="N113:N121" si="96">(B113-B112)/12*11+B112</f>
        <v>0</v>
      </c>
      <c r="O113" s="94">
        <f t="shared" ref="O113:O121" si="97">+B113</f>
        <v>0</v>
      </c>
      <c r="P113" s="94">
        <f t="shared" ref="P113:P121" si="98">((C112+O113)+2*(SUM(D113:N113)))/24</f>
        <v>0</v>
      </c>
      <c r="Q113" s="90"/>
      <c r="R113" s="90"/>
    </row>
    <row r="114" spans="1:18" hidden="1" outlineLevel="1" x14ac:dyDescent="0.25">
      <c r="A114" s="85">
        <v>2013</v>
      </c>
      <c r="B114" s="94">
        <v>3553931</v>
      </c>
      <c r="C114" s="94">
        <f t="shared" si="85"/>
        <v>3553931</v>
      </c>
      <c r="D114" s="94">
        <f t="shared" si="86"/>
        <v>296160.91666666669</v>
      </c>
      <c r="E114" s="94">
        <f t="shared" si="87"/>
        <v>592321.83333333337</v>
      </c>
      <c r="F114" s="94">
        <f t="shared" si="88"/>
        <v>888482.75</v>
      </c>
      <c r="G114" s="94">
        <f t="shared" si="89"/>
        <v>1184643.6666666667</v>
      </c>
      <c r="H114" s="94">
        <f t="shared" si="90"/>
        <v>1480804.5833333335</v>
      </c>
      <c r="I114" s="94">
        <f t="shared" si="91"/>
        <v>1776965.5</v>
      </c>
      <c r="J114" s="94">
        <f t="shared" si="92"/>
        <v>2073126.4166666667</v>
      </c>
      <c r="K114" s="94">
        <f t="shared" si="93"/>
        <v>2369287.3333333335</v>
      </c>
      <c r="L114" s="94">
        <f t="shared" si="94"/>
        <v>2665448.25</v>
      </c>
      <c r="M114" s="94">
        <f t="shared" si="95"/>
        <v>2961609.166666667</v>
      </c>
      <c r="N114" s="94">
        <f t="shared" si="96"/>
        <v>3257770.0833333335</v>
      </c>
      <c r="O114" s="94">
        <f t="shared" si="97"/>
        <v>3553931</v>
      </c>
      <c r="P114" s="94">
        <f t="shared" si="98"/>
        <v>1776965.5</v>
      </c>
      <c r="Q114" s="90"/>
      <c r="R114" s="90"/>
    </row>
    <row r="115" spans="1:18" hidden="1" outlineLevel="1" x14ac:dyDescent="0.25">
      <c r="A115" s="85">
        <v>2014</v>
      </c>
      <c r="B115" s="94">
        <v>4274933.33</v>
      </c>
      <c r="C115" s="94">
        <f t="shared" si="85"/>
        <v>4274933.33</v>
      </c>
      <c r="D115" s="94">
        <f t="shared" si="86"/>
        <v>3614014.5274999999</v>
      </c>
      <c r="E115" s="94">
        <f t="shared" si="87"/>
        <v>3674098.0550000002</v>
      </c>
      <c r="F115" s="94">
        <f t="shared" si="88"/>
        <v>3734181.5825</v>
      </c>
      <c r="G115" s="94">
        <f t="shared" si="89"/>
        <v>3794265.11</v>
      </c>
      <c r="H115" s="94">
        <f t="shared" si="90"/>
        <v>3854348.6375000002</v>
      </c>
      <c r="I115" s="94">
        <f t="shared" si="91"/>
        <v>3914432.165</v>
      </c>
      <c r="J115" s="94">
        <f t="shared" si="92"/>
        <v>3974515.6924999999</v>
      </c>
      <c r="K115" s="94">
        <f t="shared" si="93"/>
        <v>4034599.22</v>
      </c>
      <c r="L115" s="94">
        <f t="shared" si="94"/>
        <v>4094682.7475000001</v>
      </c>
      <c r="M115" s="94">
        <f t="shared" si="95"/>
        <v>4154766.2749999999</v>
      </c>
      <c r="N115" s="94">
        <f t="shared" si="96"/>
        <v>4214849.8025000002</v>
      </c>
      <c r="O115" s="94">
        <f t="shared" si="97"/>
        <v>4274933.33</v>
      </c>
      <c r="P115" s="94">
        <f t="shared" si="98"/>
        <v>3914432.1649999996</v>
      </c>
      <c r="Q115" s="90"/>
      <c r="R115" s="90"/>
    </row>
    <row r="116" spans="1:18" hidden="1" outlineLevel="1" x14ac:dyDescent="0.25">
      <c r="A116" s="85">
        <v>2015</v>
      </c>
      <c r="B116" s="94">
        <v>5603938.54</v>
      </c>
      <c r="C116" s="94">
        <f t="shared" si="85"/>
        <v>5603938.54</v>
      </c>
      <c r="D116" s="94">
        <f t="shared" si="86"/>
        <v>4385683.7641666671</v>
      </c>
      <c r="E116" s="94">
        <f t="shared" si="87"/>
        <v>4496434.1983333332</v>
      </c>
      <c r="F116" s="94">
        <f t="shared" si="88"/>
        <v>4607184.6325000003</v>
      </c>
      <c r="G116" s="94">
        <f t="shared" si="89"/>
        <v>4717935.0666666664</v>
      </c>
      <c r="H116" s="94">
        <f t="shared" si="90"/>
        <v>4828685.5008333335</v>
      </c>
      <c r="I116" s="94">
        <f t="shared" si="91"/>
        <v>4939435.9350000005</v>
      </c>
      <c r="J116" s="94">
        <f t="shared" si="92"/>
        <v>5050186.3691666666</v>
      </c>
      <c r="K116" s="94">
        <f t="shared" si="93"/>
        <v>5160936.8033333337</v>
      </c>
      <c r="L116" s="94">
        <f t="shared" si="94"/>
        <v>5271687.2374999998</v>
      </c>
      <c r="M116" s="94">
        <f t="shared" si="95"/>
        <v>5382437.6716666669</v>
      </c>
      <c r="N116" s="94">
        <f t="shared" si="96"/>
        <v>5493188.105833333</v>
      </c>
      <c r="O116" s="94">
        <f t="shared" si="97"/>
        <v>5603938.54</v>
      </c>
      <c r="P116" s="94">
        <f t="shared" si="98"/>
        <v>4939435.9349999996</v>
      </c>
      <c r="Q116" s="90"/>
      <c r="R116" s="90"/>
    </row>
    <row r="117" spans="1:18" hidden="1" outlineLevel="1" x14ac:dyDescent="0.25">
      <c r="A117" s="85">
        <v>2016</v>
      </c>
      <c r="B117" s="94">
        <v>6036581.5700000003</v>
      </c>
      <c r="C117" s="94">
        <f t="shared" si="85"/>
        <v>6036581.5700000003</v>
      </c>
      <c r="D117" s="94">
        <f t="shared" si="86"/>
        <v>5639992.1258333335</v>
      </c>
      <c r="E117" s="94">
        <f t="shared" si="87"/>
        <v>5676045.7116666669</v>
      </c>
      <c r="F117" s="94">
        <f t="shared" si="88"/>
        <v>5712099.2975000003</v>
      </c>
      <c r="G117" s="94">
        <f t="shared" si="89"/>
        <v>5748152.8833333338</v>
      </c>
      <c r="H117" s="94">
        <f t="shared" si="90"/>
        <v>5784206.4691666672</v>
      </c>
      <c r="I117" s="94">
        <f t="shared" si="91"/>
        <v>5820260.0549999997</v>
      </c>
      <c r="J117" s="94">
        <f t="shared" si="92"/>
        <v>5856313.6408333331</v>
      </c>
      <c r="K117" s="94">
        <f t="shared" si="93"/>
        <v>5892367.2266666666</v>
      </c>
      <c r="L117" s="94">
        <f t="shared" si="94"/>
        <v>5928420.8125</v>
      </c>
      <c r="M117" s="94">
        <f t="shared" si="95"/>
        <v>5964474.3983333334</v>
      </c>
      <c r="N117" s="94">
        <f t="shared" si="96"/>
        <v>6000527.9841666669</v>
      </c>
      <c r="O117" s="94">
        <f t="shared" si="97"/>
        <v>6036581.5700000003</v>
      </c>
      <c r="P117" s="94">
        <f t="shared" si="98"/>
        <v>5820260.0549999997</v>
      </c>
      <c r="Q117" s="90"/>
      <c r="R117" s="90"/>
    </row>
    <row r="118" spans="1:18" hidden="1" outlineLevel="1" x14ac:dyDescent="0.25">
      <c r="A118" s="85">
        <v>2017</v>
      </c>
      <c r="B118" s="94">
        <v>9356134.3499999996</v>
      </c>
      <c r="C118" s="94">
        <f t="shared" si="85"/>
        <v>9356134.3499999996</v>
      </c>
      <c r="D118" s="94">
        <f t="shared" si="86"/>
        <v>6313210.9683333337</v>
      </c>
      <c r="E118" s="94">
        <f t="shared" si="87"/>
        <v>6589840.3666666672</v>
      </c>
      <c r="F118" s="94">
        <f t="shared" si="88"/>
        <v>6866469.7650000006</v>
      </c>
      <c r="G118" s="94">
        <f t="shared" si="89"/>
        <v>7143099.1633333331</v>
      </c>
      <c r="H118" s="94">
        <f t="shared" si="90"/>
        <v>7419728.5616666665</v>
      </c>
      <c r="I118" s="94">
        <f t="shared" si="91"/>
        <v>7696357.96</v>
      </c>
      <c r="J118" s="94">
        <f t="shared" si="92"/>
        <v>7972987.3583333334</v>
      </c>
      <c r="K118" s="94">
        <f t="shared" si="93"/>
        <v>8249616.7566666659</v>
      </c>
      <c r="L118" s="94">
        <f t="shared" si="94"/>
        <v>8526246.1549999993</v>
      </c>
      <c r="M118" s="94">
        <f t="shared" si="95"/>
        <v>8802875.5533333328</v>
      </c>
      <c r="N118" s="94">
        <f t="shared" si="96"/>
        <v>9079504.9516666662</v>
      </c>
      <c r="O118" s="94">
        <f t="shared" si="97"/>
        <v>9356134.3499999996</v>
      </c>
      <c r="P118" s="94">
        <f t="shared" si="98"/>
        <v>7696357.96</v>
      </c>
      <c r="Q118" s="90"/>
      <c r="R118" s="90"/>
    </row>
    <row r="119" spans="1:18" hidden="1" outlineLevel="1" x14ac:dyDescent="0.25">
      <c r="A119" s="85">
        <v>2018</v>
      </c>
      <c r="B119" s="94">
        <v>9790763.9100000001</v>
      </c>
      <c r="C119" s="94">
        <f t="shared" si="85"/>
        <v>9790763.9100000001</v>
      </c>
      <c r="D119" s="94">
        <f t="shared" si="86"/>
        <v>9392353.4800000004</v>
      </c>
      <c r="E119" s="94">
        <f t="shared" si="87"/>
        <v>9428572.6099999994</v>
      </c>
      <c r="F119" s="94">
        <f t="shared" si="88"/>
        <v>9464791.7400000002</v>
      </c>
      <c r="G119" s="94">
        <f t="shared" si="89"/>
        <v>9501010.8699999992</v>
      </c>
      <c r="H119" s="94">
        <f t="shared" si="90"/>
        <v>9537230</v>
      </c>
      <c r="I119" s="94">
        <f t="shared" si="91"/>
        <v>9573449.129999999</v>
      </c>
      <c r="J119" s="94">
        <f t="shared" si="92"/>
        <v>9609668.2599999998</v>
      </c>
      <c r="K119" s="94">
        <f t="shared" si="93"/>
        <v>9645887.3900000006</v>
      </c>
      <c r="L119" s="94">
        <f t="shared" si="94"/>
        <v>9682106.5199999996</v>
      </c>
      <c r="M119" s="94">
        <f t="shared" si="95"/>
        <v>9718325.6500000004</v>
      </c>
      <c r="N119" s="94">
        <f t="shared" si="96"/>
        <v>9754544.7799999993</v>
      </c>
      <c r="O119" s="94">
        <f t="shared" si="97"/>
        <v>9790763.9100000001</v>
      </c>
      <c r="P119" s="94">
        <f t="shared" si="98"/>
        <v>9573449.129999999</v>
      </c>
      <c r="Q119" s="90"/>
      <c r="R119" s="90"/>
    </row>
    <row r="120" spans="1:18" collapsed="1" x14ac:dyDescent="0.25">
      <c r="A120" s="85">
        <v>2019</v>
      </c>
      <c r="B120" s="94">
        <v>10213413.52</v>
      </c>
      <c r="C120" s="94">
        <f t="shared" si="85"/>
        <v>10213413.52</v>
      </c>
      <c r="D120" s="94">
        <f t="shared" si="86"/>
        <v>9825984.7108333334</v>
      </c>
      <c r="E120" s="94">
        <f t="shared" si="87"/>
        <v>9861205.5116666667</v>
      </c>
      <c r="F120" s="94">
        <f t="shared" si="88"/>
        <v>9896426.3125</v>
      </c>
      <c r="G120" s="94">
        <f t="shared" si="89"/>
        <v>9931647.1133333333</v>
      </c>
      <c r="H120" s="94">
        <f t="shared" si="90"/>
        <v>9966867.9141666666</v>
      </c>
      <c r="I120" s="94">
        <f t="shared" si="91"/>
        <v>10002088.715</v>
      </c>
      <c r="J120" s="94">
        <f t="shared" si="92"/>
        <v>10037309.515833333</v>
      </c>
      <c r="K120" s="94">
        <f t="shared" si="93"/>
        <v>10072530.316666666</v>
      </c>
      <c r="L120" s="94">
        <f t="shared" si="94"/>
        <v>10107751.1175</v>
      </c>
      <c r="M120" s="94">
        <f t="shared" si="95"/>
        <v>10142971.918333333</v>
      </c>
      <c r="N120" s="94">
        <f t="shared" si="96"/>
        <v>10178192.719166666</v>
      </c>
      <c r="O120" s="94">
        <f t="shared" si="97"/>
        <v>10213413.52</v>
      </c>
      <c r="P120" s="94">
        <f t="shared" si="98"/>
        <v>10002088.715</v>
      </c>
      <c r="Q120" s="90"/>
      <c r="R120" s="90"/>
    </row>
    <row r="121" spans="1:18" x14ac:dyDescent="0.25">
      <c r="A121" s="85">
        <v>2020</v>
      </c>
      <c r="B121" s="93">
        <v>138760.79999999999</v>
      </c>
      <c r="C121" s="94">
        <f t="shared" si="85"/>
        <v>138760.79999999999</v>
      </c>
      <c r="D121" s="94">
        <f t="shared" si="86"/>
        <v>9373859.1266666669</v>
      </c>
      <c r="E121" s="94">
        <f t="shared" si="87"/>
        <v>8534304.7333333325</v>
      </c>
      <c r="F121" s="94">
        <f t="shared" si="88"/>
        <v>7694750.3399999999</v>
      </c>
      <c r="G121" s="94">
        <f t="shared" si="89"/>
        <v>6855195.9466666672</v>
      </c>
      <c r="H121" s="94">
        <f t="shared" si="90"/>
        <v>6015641.5533333337</v>
      </c>
      <c r="I121" s="94">
        <f t="shared" si="91"/>
        <v>5176087.16</v>
      </c>
      <c r="J121" s="94">
        <f t="shared" si="92"/>
        <v>4336532.7666666675</v>
      </c>
      <c r="K121" s="94">
        <f t="shared" si="93"/>
        <v>3496978.373333334</v>
      </c>
      <c r="L121" s="94">
        <f t="shared" si="94"/>
        <v>2657423.9800000004</v>
      </c>
      <c r="M121" s="94">
        <f t="shared" si="95"/>
        <v>1817869.5866666678</v>
      </c>
      <c r="N121" s="94">
        <f t="shared" si="96"/>
        <v>978315.19333333522</v>
      </c>
      <c r="O121" s="94">
        <f t="shared" si="97"/>
        <v>138760.79999999999</v>
      </c>
      <c r="P121" s="94">
        <f t="shared" si="98"/>
        <v>5176087.16</v>
      </c>
      <c r="Q121" s="90">
        <f>((I120+I121+(SUM(J120:O120)+SUM(D121:H121))*2)/24)</f>
        <v>8901250.7287499998</v>
      </c>
      <c r="R121" s="90">
        <f>I121</f>
        <v>5176087.16</v>
      </c>
    </row>
    <row r="122" spans="1:18" x14ac:dyDescent="0.25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0"/>
      <c r="R122" s="90"/>
    </row>
    <row r="123" spans="1:18" x14ac:dyDescent="0.25">
      <c r="A123" s="98" t="s">
        <v>155</v>
      </c>
      <c r="B123" s="94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1"/>
      <c r="Q123" s="90"/>
      <c r="R123" s="90"/>
    </row>
    <row r="124" spans="1:18" hidden="1" outlineLevel="1" x14ac:dyDescent="0.25">
      <c r="A124" s="96">
        <v>2008</v>
      </c>
      <c r="B124" s="94">
        <f>639.8+6172190.86</f>
        <v>6172830.6600000001</v>
      </c>
      <c r="C124" s="94">
        <f t="shared" ref="C124:C136" si="99">B124</f>
        <v>6172830.6600000001</v>
      </c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0"/>
      <c r="R124" s="90"/>
    </row>
    <row r="125" spans="1:18" hidden="1" outlineLevel="1" x14ac:dyDescent="0.25">
      <c r="A125" s="96">
        <v>2009</v>
      </c>
      <c r="B125" s="94">
        <f>571.42+9130167.17</f>
        <v>9130738.5899999999</v>
      </c>
      <c r="C125" s="94">
        <f t="shared" si="99"/>
        <v>9130738.5899999999</v>
      </c>
      <c r="D125" s="94">
        <f t="shared" ref="D125:D136" si="100">(B125-B124)/12*1+B124</f>
        <v>6419322.9874999998</v>
      </c>
      <c r="E125" s="94">
        <f t="shared" ref="E125:E136" si="101">(B125-B124)/12*2+B124</f>
        <v>6665815.3150000004</v>
      </c>
      <c r="F125" s="94">
        <f t="shared" ref="F125:F136" si="102">(B125-B124)/12*3+B124</f>
        <v>6912307.6425000001</v>
      </c>
      <c r="G125" s="94">
        <f t="shared" ref="G125:G136" si="103">(B125-B124)/12*4+B124</f>
        <v>7158799.9699999997</v>
      </c>
      <c r="H125" s="94">
        <f t="shared" ref="H125:H136" si="104">(B125-B124)/12*5+B124</f>
        <v>7405292.2975000003</v>
      </c>
      <c r="I125" s="94">
        <f t="shared" ref="I125:I136" si="105">(B125-B124)/12*6+B124</f>
        <v>7651784.625</v>
      </c>
      <c r="J125" s="94">
        <f t="shared" ref="J125:J136" si="106">(B125-B124)/12*7+B124</f>
        <v>7898276.9525000006</v>
      </c>
      <c r="K125" s="94">
        <f t="shared" ref="K125:K136" si="107">(B125-B124)/12*8+B124</f>
        <v>8144769.2800000003</v>
      </c>
      <c r="L125" s="94">
        <f t="shared" ref="L125:L136" si="108">(B125-B124)/12*9+B124</f>
        <v>8391261.6074999999</v>
      </c>
      <c r="M125" s="94">
        <f t="shared" ref="M125:M136" si="109">(B125-B124)/12*10+B124</f>
        <v>8637753.9350000005</v>
      </c>
      <c r="N125" s="94">
        <f t="shared" ref="N125:N136" si="110">(B125-B124)/12*11+B124</f>
        <v>8884246.2624999993</v>
      </c>
      <c r="O125" s="94">
        <f t="shared" ref="O125:O137" si="111">+B125</f>
        <v>9130738.5899999999</v>
      </c>
      <c r="P125" s="94">
        <f t="shared" ref="P125:P136" si="112">((C124+O125)+2*(SUM(D125:N125)))/24</f>
        <v>7651784.625</v>
      </c>
      <c r="Q125" s="90"/>
      <c r="R125" s="90"/>
    </row>
    <row r="126" spans="1:18" hidden="1" outlineLevel="1" x14ac:dyDescent="0.25">
      <c r="A126" s="85">
        <v>2010</v>
      </c>
      <c r="B126" s="94">
        <f>429+3623252</f>
        <v>3623681</v>
      </c>
      <c r="C126" s="94">
        <f t="shared" si="99"/>
        <v>3623681</v>
      </c>
      <c r="D126" s="94">
        <f t="shared" si="100"/>
        <v>8671817.1241666675</v>
      </c>
      <c r="E126" s="94">
        <f t="shared" si="101"/>
        <v>8212895.6583333332</v>
      </c>
      <c r="F126" s="94">
        <f t="shared" si="102"/>
        <v>7753974.1924999999</v>
      </c>
      <c r="G126" s="94">
        <f t="shared" si="103"/>
        <v>7295052.7266666666</v>
      </c>
      <c r="H126" s="94">
        <f t="shared" si="104"/>
        <v>6836131.2608333332</v>
      </c>
      <c r="I126" s="94">
        <f t="shared" si="105"/>
        <v>6377209.7949999999</v>
      </c>
      <c r="J126" s="94">
        <f t="shared" si="106"/>
        <v>5918288.3291666666</v>
      </c>
      <c r="K126" s="94">
        <f t="shared" si="107"/>
        <v>5459366.8633333333</v>
      </c>
      <c r="L126" s="94">
        <f t="shared" si="108"/>
        <v>5000445.3975</v>
      </c>
      <c r="M126" s="94">
        <f t="shared" si="109"/>
        <v>4541523.9316666666</v>
      </c>
      <c r="N126" s="94">
        <f t="shared" si="110"/>
        <v>4082602.4658333333</v>
      </c>
      <c r="O126" s="94">
        <f t="shared" si="111"/>
        <v>3623681</v>
      </c>
      <c r="P126" s="94">
        <f t="shared" si="112"/>
        <v>6377209.7950000009</v>
      </c>
      <c r="Q126" s="90"/>
      <c r="R126" s="90"/>
    </row>
    <row r="127" spans="1:18" hidden="1" outlineLevel="1" x14ac:dyDescent="0.25">
      <c r="A127" s="85">
        <v>2011</v>
      </c>
      <c r="B127" s="94">
        <v>4392436</v>
      </c>
      <c r="C127" s="94">
        <f t="shared" si="99"/>
        <v>4392436</v>
      </c>
      <c r="D127" s="94">
        <f t="shared" si="100"/>
        <v>3687743.9166666665</v>
      </c>
      <c r="E127" s="94">
        <f t="shared" si="101"/>
        <v>3751806.8333333335</v>
      </c>
      <c r="F127" s="94">
        <f t="shared" si="102"/>
        <v>3815869.75</v>
      </c>
      <c r="G127" s="94">
        <f t="shared" si="103"/>
        <v>3879932.6666666665</v>
      </c>
      <c r="H127" s="94">
        <f t="shared" si="104"/>
        <v>3943995.5833333335</v>
      </c>
      <c r="I127" s="94">
        <f t="shared" si="105"/>
        <v>4008058.5</v>
      </c>
      <c r="J127" s="94">
        <f t="shared" si="106"/>
        <v>4072121.4166666665</v>
      </c>
      <c r="K127" s="94">
        <f t="shared" si="107"/>
        <v>4136184.3333333335</v>
      </c>
      <c r="L127" s="94">
        <f t="shared" si="108"/>
        <v>4200247.25</v>
      </c>
      <c r="M127" s="94">
        <f t="shared" si="109"/>
        <v>4264310.166666667</v>
      </c>
      <c r="N127" s="94">
        <f t="shared" si="110"/>
        <v>4328373.083333333</v>
      </c>
      <c r="O127" s="94">
        <f t="shared" si="111"/>
        <v>4392436</v>
      </c>
      <c r="P127" s="94">
        <f t="shared" si="112"/>
        <v>4008058.5</v>
      </c>
      <c r="Q127" s="90"/>
      <c r="R127" s="90"/>
    </row>
    <row r="128" spans="1:18" hidden="1" outlineLevel="1" x14ac:dyDescent="0.25">
      <c r="A128" s="85">
        <v>2012</v>
      </c>
      <c r="B128" s="94">
        <v>5875841</v>
      </c>
      <c r="C128" s="94">
        <f t="shared" si="99"/>
        <v>5875841</v>
      </c>
      <c r="D128" s="94">
        <f t="shared" si="100"/>
        <v>4516053.083333333</v>
      </c>
      <c r="E128" s="94">
        <f t="shared" si="101"/>
        <v>4639670.166666667</v>
      </c>
      <c r="F128" s="94">
        <f t="shared" si="102"/>
        <v>4763287.25</v>
      </c>
      <c r="G128" s="94">
        <f t="shared" si="103"/>
        <v>4886904.333333333</v>
      </c>
      <c r="H128" s="94">
        <f t="shared" si="104"/>
        <v>5010521.416666667</v>
      </c>
      <c r="I128" s="94">
        <f t="shared" si="105"/>
        <v>5134138.5</v>
      </c>
      <c r="J128" s="94">
        <f t="shared" si="106"/>
        <v>5257755.583333333</v>
      </c>
      <c r="K128" s="94">
        <f t="shared" si="107"/>
        <v>5381372.666666667</v>
      </c>
      <c r="L128" s="94">
        <f t="shared" si="108"/>
        <v>5504989.75</v>
      </c>
      <c r="M128" s="94">
        <f t="shared" si="109"/>
        <v>5628606.833333333</v>
      </c>
      <c r="N128" s="94">
        <f t="shared" si="110"/>
        <v>5752223.916666666</v>
      </c>
      <c r="O128" s="94">
        <f t="shared" si="111"/>
        <v>5875841</v>
      </c>
      <c r="P128" s="94">
        <f t="shared" si="112"/>
        <v>5134138.5</v>
      </c>
      <c r="Q128" s="90"/>
      <c r="R128" s="90"/>
    </row>
    <row r="129" spans="1:18" hidden="1" outlineLevel="1" x14ac:dyDescent="0.25">
      <c r="A129" s="85">
        <v>2013</v>
      </c>
      <c r="B129" s="94">
        <v>6947281</v>
      </c>
      <c r="C129" s="94">
        <f t="shared" si="99"/>
        <v>6947281</v>
      </c>
      <c r="D129" s="94">
        <f t="shared" si="100"/>
        <v>5965127.666666667</v>
      </c>
      <c r="E129" s="94">
        <f t="shared" si="101"/>
        <v>6054414.333333333</v>
      </c>
      <c r="F129" s="94">
        <f t="shared" si="102"/>
        <v>6143701</v>
      </c>
      <c r="G129" s="94">
        <f t="shared" si="103"/>
        <v>6232987.666666667</v>
      </c>
      <c r="H129" s="94">
        <f t="shared" si="104"/>
        <v>6322274.333333333</v>
      </c>
      <c r="I129" s="94">
        <f t="shared" si="105"/>
        <v>6411561</v>
      </c>
      <c r="J129" s="94">
        <f t="shared" si="106"/>
        <v>6500847.666666667</v>
      </c>
      <c r="K129" s="94">
        <f t="shared" si="107"/>
        <v>6590134.333333333</v>
      </c>
      <c r="L129" s="94">
        <f t="shared" si="108"/>
        <v>6679421</v>
      </c>
      <c r="M129" s="94">
        <f t="shared" si="109"/>
        <v>6768707.666666667</v>
      </c>
      <c r="N129" s="94">
        <f t="shared" si="110"/>
        <v>6857994.333333333</v>
      </c>
      <c r="O129" s="94">
        <f t="shared" si="111"/>
        <v>6947281</v>
      </c>
      <c r="P129" s="94">
        <f t="shared" si="112"/>
        <v>6411561</v>
      </c>
      <c r="Q129" s="90"/>
      <c r="R129" s="90"/>
    </row>
    <row r="130" spans="1:18" hidden="1" outlineLevel="1" x14ac:dyDescent="0.25">
      <c r="A130" s="85">
        <v>2014</v>
      </c>
      <c r="B130" s="94">
        <v>7566658.4299999997</v>
      </c>
      <c r="C130" s="94">
        <f t="shared" si="99"/>
        <v>7566658.4299999997</v>
      </c>
      <c r="D130" s="94">
        <f t="shared" si="100"/>
        <v>6998895.7858333336</v>
      </c>
      <c r="E130" s="94">
        <f t="shared" si="101"/>
        <v>7050510.5716666663</v>
      </c>
      <c r="F130" s="94">
        <f t="shared" si="102"/>
        <v>7102125.3574999999</v>
      </c>
      <c r="G130" s="94">
        <f t="shared" si="103"/>
        <v>7153740.1433333335</v>
      </c>
      <c r="H130" s="94">
        <f t="shared" si="104"/>
        <v>7205354.9291666662</v>
      </c>
      <c r="I130" s="94">
        <f t="shared" si="105"/>
        <v>7256969.7149999999</v>
      </c>
      <c r="J130" s="94">
        <f t="shared" si="106"/>
        <v>7308584.5008333335</v>
      </c>
      <c r="K130" s="94">
        <f t="shared" si="107"/>
        <v>7360199.2866666662</v>
      </c>
      <c r="L130" s="94">
        <f t="shared" si="108"/>
        <v>7411814.0724999998</v>
      </c>
      <c r="M130" s="94">
        <f t="shared" si="109"/>
        <v>7463428.8583333334</v>
      </c>
      <c r="N130" s="94">
        <f t="shared" si="110"/>
        <v>7515043.6441666661</v>
      </c>
      <c r="O130" s="94">
        <f t="shared" si="111"/>
        <v>7566658.4299999997</v>
      </c>
      <c r="P130" s="94">
        <f t="shared" si="112"/>
        <v>7256969.7149999999</v>
      </c>
      <c r="Q130" s="90"/>
      <c r="R130" s="90"/>
    </row>
    <row r="131" spans="1:18" hidden="1" outlineLevel="1" x14ac:dyDescent="0.25">
      <c r="A131" s="85">
        <v>2015</v>
      </c>
      <c r="B131" s="94">
        <v>8154448.7300000004</v>
      </c>
      <c r="C131" s="94">
        <f t="shared" si="99"/>
        <v>8154448.7300000004</v>
      </c>
      <c r="D131" s="94">
        <f t="shared" si="100"/>
        <v>7615640.9550000001</v>
      </c>
      <c r="E131" s="94">
        <f t="shared" si="101"/>
        <v>7664623.4799999995</v>
      </c>
      <c r="F131" s="94">
        <f t="shared" si="102"/>
        <v>7713606.0049999999</v>
      </c>
      <c r="G131" s="94">
        <f t="shared" si="103"/>
        <v>7762588.5300000003</v>
      </c>
      <c r="H131" s="94">
        <f t="shared" si="104"/>
        <v>7811571.0549999997</v>
      </c>
      <c r="I131" s="94">
        <f t="shared" si="105"/>
        <v>7860553.5800000001</v>
      </c>
      <c r="J131" s="94">
        <f t="shared" si="106"/>
        <v>7909536.1050000004</v>
      </c>
      <c r="K131" s="94">
        <f t="shared" si="107"/>
        <v>7958518.6299999999</v>
      </c>
      <c r="L131" s="94">
        <f t="shared" si="108"/>
        <v>8007501.1550000003</v>
      </c>
      <c r="M131" s="94">
        <f t="shared" si="109"/>
        <v>8056483.6800000006</v>
      </c>
      <c r="N131" s="94">
        <f t="shared" si="110"/>
        <v>8105466.2050000001</v>
      </c>
      <c r="O131" s="94">
        <f t="shared" si="111"/>
        <v>8154448.7300000004</v>
      </c>
      <c r="P131" s="94">
        <f t="shared" si="112"/>
        <v>7860553.5799999991</v>
      </c>
      <c r="Q131" s="90"/>
      <c r="R131" s="90"/>
    </row>
    <row r="132" spans="1:18" hidden="1" outlineLevel="1" x14ac:dyDescent="0.25">
      <c r="A132" s="85">
        <v>2016</v>
      </c>
      <c r="B132" s="94">
        <v>8052488.96</v>
      </c>
      <c r="C132" s="94">
        <f t="shared" si="99"/>
        <v>8052488.96</v>
      </c>
      <c r="D132" s="94">
        <f t="shared" si="100"/>
        <v>8145952.0825000005</v>
      </c>
      <c r="E132" s="94">
        <f t="shared" si="101"/>
        <v>8137455.4350000005</v>
      </c>
      <c r="F132" s="94">
        <f t="shared" si="102"/>
        <v>8128958.7875000006</v>
      </c>
      <c r="G132" s="94">
        <f t="shared" si="103"/>
        <v>8120462.1400000006</v>
      </c>
      <c r="H132" s="94">
        <f t="shared" si="104"/>
        <v>8111965.4925000006</v>
      </c>
      <c r="I132" s="94">
        <f t="shared" si="105"/>
        <v>8103468.8450000007</v>
      </c>
      <c r="J132" s="94">
        <f t="shared" si="106"/>
        <v>8094972.1974999998</v>
      </c>
      <c r="K132" s="94">
        <f t="shared" si="107"/>
        <v>8086475.5499999998</v>
      </c>
      <c r="L132" s="94">
        <f t="shared" si="108"/>
        <v>8077978.9024999999</v>
      </c>
      <c r="M132" s="94">
        <f t="shared" si="109"/>
        <v>8069482.2549999999</v>
      </c>
      <c r="N132" s="94">
        <f t="shared" si="110"/>
        <v>8060985.6074999999</v>
      </c>
      <c r="O132" s="94">
        <f t="shared" si="111"/>
        <v>8052488.96</v>
      </c>
      <c r="P132" s="94">
        <f t="shared" si="112"/>
        <v>8103468.8449999997</v>
      </c>
      <c r="Q132" s="90"/>
      <c r="R132" s="90"/>
    </row>
    <row r="133" spans="1:18" hidden="1" outlineLevel="1" x14ac:dyDescent="0.25">
      <c r="A133" s="85">
        <v>2017</v>
      </c>
      <c r="B133" s="94">
        <v>7376104.5899999999</v>
      </c>
      <c r="C133" s="94">
        <f t="shared" si="99"/>
        <v>7376104.5899999999</v>
      </c>
      <c r="D133" s="94">
        <f t="shared" si="100"/>
        <v>7996123.5958333332</v>
      </c>
      <c r="E133" s="94">
        <f t="shared" si="101"/>
        <v>7939758.2316666665</v>
      </c>
      <c r="F133" s="94">
        <f t="shared" si="102"/>
        <v>7883392.8674999997</v>
      </c>
      <c r="G133" s="94">
        <f t="shared" si="103"/>
        <v>7827027.5033333329</v>
      </c>
      <c r="H133" s="94">
        <f t="shared" si="104"/>
        <v>7770662.1391666662</v>
      </c>
      <c r="I133" s="94">
        <f t="shared" si="105"/>
        <v>7714296.7750000004</v>
      </c>
      <c r="J133" s="94">
        <f t="shared" si="106"/>
        <v>7657931.4108333336</v>
      </c>
      <c r="K133" s="94">
        <f t="shared" si="107"/>
        <v>7601566.0466666669</v>
      </c>
      <c r="L133" s="94">
        <f t="shared" si="108"/>
        <v>7545200.6825000001</v>
      </c>
      <c r="M133" s="94">
        <f t="shared" si="109"/>
        <v>7488835.3183333334</v>
      </c>
      <c r="N133" s="94">
        <f t="shared" si="110"/>
        <v>7432469.9541666666</v>
      </c>
      <c r="O133" s="94">
        <f t="shared" si="111"/>
        <v>7376104.5899999999</v>
      </c>
      <c r="P133" s="94">
        <f t="shared" si="112"/>
        <v>7714296.7749999994</v>
      </c>
      <c r="Q133" s="90"/>
      <c r="R133" s="90"/>
    </row>
    <row r="134" spans="1:18" hidden="1" outlineLevel="1" x14ac:dyDescent="0.25">
      <c r="A134" s="85">
        <v>2018</v>
      </c>
      <c r="B134" s="94">
        <v>6347047.6200000001</v>
      </c>
      <c r="C134" s="94">
        <f t="shared" si="99"/>
        <v>6347047.6200000001</v>
      </c>
      <c r="D134" s="94">
        <f t="shared" si="100"/>
        <v>7290349.8425000003</v>
      </c>
      <c r="E134" s="94">
        <f t="shared" si="101"/>
        <v>7204595.0949999997</v>
      </c>
      <c r="F134" s="94">
        <f t="shared" si="102"/>
        <v>7118840.3475000001</v>
      </c>
      <c r="G134" s="94">
        <f t="shared" si="103"/>
        <v>7033085.5999999996</v>
      </c>
      <c r="H134" s="94">
        <f t="shared" si="104"/>
        <v>6947330.8525</v>
      </c>
      <c r="I134" s="94">
        <f t="shared" si="105"/>
        <v>6861576.1050000004</v>
      </c>
      <c r="J134" s="94">
        <f t="shared" si="106"/>
        <v>6775821.3574999999</v>
      </c>
      <c r="K134" s="94">
        <f t="shared" si="107"/>
        <v>6690066.6100000003</v>
      </c>
      <c r="L134" s="94">
        <f t="shared" si="108"/>
        <v>6604311.8624999998</v>
      </c>
      <c r="M134" s="94">
        <f t="shared" si="109"/>
        <v>6518557.1150000002</v>
      </c>
      <c r="N134" s="94">
        <f t="shared" si="110"/>
        <v>6432802.3674999997</v>
      </c>
      <c r="O134" s="94">
        <f t="shared" si="111"/>
        <v>6347047.6200000001</v>
      </c>
      <c r="P134" s="94">
        <f t="shared" si="112"/>
        <v>6861576.1050000004</v>
      </c>
      <c r="Q134" s="90"/>
      <c r="R134" s="90"/>
    </row>
    <row r="135" spans="1:18" collapsed="1" x14ac:dyDescent="0.25">
      <c r="A135" s="85">
        <v>2019</v>
      </c>
      <c r="B135" s="94">
        <v>4969259.6100000003</v>
      </c>
      <c r="C135" s="94">
        <f t="shared" si="99"/>
        <v>4969259.6100000003</v>
      </c>
      <c r="D135" s="94">
        <f t="shared" si="100"/>
        <v>6232231.9525000006</v>
      </c>
      <c r="E135" s="94">
        <f t="shared" si="101"/>
        <v>6117416.2850000001</v>
      </c>
      <c r="F135" s="94">
        <f t="shared" si="102"/>
        <v>6002600.6174999997</v>
      </c>
      <c r="G135" s="94">
        <f t="shared" si="103"/>
        <v>5887784.9500000002</v>
      </c>
      <c r="H135" s="94">
        <f t="shared" si="104"/>
        <v>5772969.2825000007</v>
      </c>
      <c r="I135" s="94">
        <f t="shared" si="105"/>
        <v>5658153.6150000002</v>
      </c>
      <c r="J135" s="94">
        <f t="shared" si="106"/>
        <v>5543337.9474999998</v>
      </c>
      <c r="K135" s="94">
        <f t="shared" si="107"/>
        <v>5428522.2800000003</v>
      </c>
      <c r="L135" s="94">
        <f t="shared" si="108"/>
        <v>5313706.6125000007</v>
      </c>
      <c r="M135" s="94">
        <f t="shared" si="109"/>
        <v>5198890.9450000003</v>
      </c>
      <c r="N135" s="94">
        <f t="shared" si="110"/>
        <v>5084075.2774999999</v>
      </c>
      <c r="O135" s="94">
        <f t="shared" si="111"/>
        <v>4969259.6100000003</v>
      </c>
      <c r="P135" s="94">
        <f t="shared" si="112"/>
        <v>5658153.6149999993</v>
      </c>
      <c r="Q135" s="90"/>
      <c r="R135" s="90"/>
    </row>
    <row r="136" spans="1:18" x14ac:dyDescent="0.25">
      <c r="A136" s="85">
        <v>2020</v>
      </c>
      <c r="B136" s="93">
        <v>3883509.18</v>
      </c>
      <c r="C136" s="94">
        <f t="shared" si="99"/>
        <v>3883509.18</v>
      </c>
      <c r="D136" s="94">
        <f t="shared" si="100"/>
        <v>4878780.4075000007</v>
      </c>
      <c r="E136" s="94">
        <f t="shared" si="101"/>
        <v>4788301.2050000001</v>
      </c>
      <c r="F136" s="94">
        <f t="shared" si="102"/>
        <v>4697822.0025000004</v>
      </c>
      <c r="G136" s="94">
        <f t="shared" si="103"/>
        <v>4607342.8000000007</v>
      </c>
      <c r="H136" s="94">
        <f t="shared" si="104"/>
        <v>4516863.5975000001</v>
      </c>
      <c r="I136" s="94">
        <f t="shared" si="105"/>
        <v>4426384.3950000005</v>
      </c>
      <c r="J136" s="94">
        <f t="shared" si="106"/>
        <v>4335905.1924999999</v>
      </c>
      <c r="K136" s="94">
        <f t="shared" si="107"/>
        <v>4245425.99</v>
      </c>
      <c r="L136" s="94">
        <f t="shared" si="108"/>
        <v>4154946.7875000001</v>
      </c>
      <c r="M136" s="94">
        <f t="shared" si="109"/>
        <v>4064467.585</v>
      </c>
      <c r="N136" s="94">
        <f t="shared" si="110"/>
        <v>3973988.3825000003</v>
      </c>
      <c r="O136" s="94">
        <f t="shared" si="111"/>
        <v>3883509.18</v>
      </c>
      <c r="P136" s="94">
        <f t="shared" si="112"/>
        <v>4426384.3950000005</v>
      </c>
      <c r="Q136" s="90">
        <f>((I135+I136+(SUM(J135:O135)+SUM(D136:H136))*2)/24)</f>
        <v>5005764.3075000001</v>
      </c>
      <c r="R136" s="90">
        <f>I136</f>
        <v>4426384.3950000005</v>
      </c>
    </row>
    <row r="137" spans="1:18" x14ac:dyDescent="0.25">
      <c r="B137" s="94"/>
      <c r="C137" s="94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4">
        <f t="shared" si="111"/>
        <v>0</v>
      </c>
      <c r="P137" s="92"/>
      <c r="Q137" s="90"/>
      <c r="R137" s="90"/>
    </row>
    <row r="138" spans="1:18" x14ac:dyDescent="0.25">
      <c r="A138" s="98" t="s">
        <v>154</v>
      </c>
      <c r="B138" s="94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1"/>
      <c r="Q138" s="90"/>
      <c r="R138" s="90"/>
    </row>
    <row r="139" spans="1:18" hidden="1" outlineLevel="1" x14ac:dyDescent="0.25">
      <c r="A139" s="96">
        <v>2008</v>
      </c>
      <c r="B139" s="94">
        <f>4091.28+1876414.72</f>
        <v>1880506</v>
      </c>
      <c r="C139" s="94">
        <f t="shared" ref="C139:C151" si="113">B139</f>
        <v>1880506</v>
      </c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0"/>
      <c r="R139" s="90"/>
    </row>
    <row r="140" spans="1:18" hidden="1" outlineLevel="1" x14ac:dyDescent="0.25">
      <c r="A140" s="96">
        <v>2009</v>
      </c>
      <c r="B140" s="94">
        <f>187470.25+1813338.64</f>
        <v>2000808.89</v>
      </c>
      <c r="C140" s="94">
        <f t="shared" si="113"/>
        <v>2000808.89</v>
      </c>
      <c r="D140" s="94">
        <f t="shared" ref="D140:D151" si="114">(B140-B139)/12*1+B139</f>
        <v>1890531.2408333332</v>
      </c>
      <c r="E140" s="94">
        <f t="shared" ref="E140:E151" si="115">(B140-B139)/12*2+B139</f>
        <v>1900556.4816666667</v>
      </c>
      <c r="F140" s="94">
        <f t="shared" ref="F140:F151" si="116">(B140-B139)/12*3+B139</f>
        <v>1910581.7224999999</v>
      </c>
      <c r="G140" s="94">
        <f t="shared" ref="G140:G151" si="117">(B140-B139)/12*4+B139</f>
        <v>1920606.9633333334</v>
      </c>
      <c r="H140" s="94">
        <f t="shared" ref="H140:H151" si="118">(B140-B139)/12*5+B139</f>
        <v>1930632.2041666666</v>
      </c>
      <c r="I140" s="94">
        <f t="shared" ref="I140:I151" si="119">(B140-B139)/12*6+B139</f>
        <v>1940657.4449999998</v>
      </c>
      <c r="J140" s="94">
        <f t="shared" ref="J140:J151" si="120">(B140-B139)/12*7+B139</f>
        <v>1950682.6858333333</v>
      </c>
      <c r="K140" s="94">
        <f t="shared" ref="K140:K151" si="121">(B140-B139)/12*8+B139</f>
        <v>1960707.9266666665</v>
      </c>
      <c r="L140" s="94">
        <f t="shared" ref="L140:L151" si="122">(B140-B139)/12*9+B139</f>
        <v>1970733.1675</v>
      </c>
      <c r="M140" s="94">
        <f t="shared" ref="M140:M151" si="123">(B140-B139)/12*10+B139</f>
        <v>1980758.4083333332</v>
      </c>
      <c r="N140" s="94">
        <f t="shared" ref="N140:N151" si="124">(B140-B139)/12*11+B139</f>
        <v>1990783.6491666667</v>
      </c>
      <c r="O140" s="94">
        <f t="shared" ref="O140:O151" si="125">+B140</f>
        <v>2000808.89</v>
      </c>
      <c r="P140" s="94">
        <f t="shared" ref="P140:P151" si="126">((C139+O140)+2*(SUM(D140:N140)))/24</f>
        <v>1940657.4449999996</v>
      </c>
      <c r="Q140" s="90"/>
      <c r="R140" s="90"/>
    </row>
    <row r="141" spans="1:18" hidden="1" outlineLevel="1" x14ac:dyDescent="0.25">
      <c r="A141" s="85">
        <v>2010</v>
      </c>
      <c r="B141" s="94">
        <f>182311+2060253</f>
        <v>2242564</v>
      </c>
      <c r="C141" s="94">
        <f t="shared" si="113"/>
        <v>2242564</v>
      </c>
      <c r="D141" s="94">
        <f t="shared" si="114"/>
        <v>2020955.1491666667</v>
      </c>
      <c r="E141" s="94">
        <f t="shared" si="115"/>
        <v>2041101.4083333332</v>
      </c>
      <c r="F141" s="94">
        <f t="shared" si="116"/>
        <v>2061247.6675</v>
      </c>
      <c r="G141" s="94">
        <f t="shared" si="117"/>
        <v>2081393.9266666665</v>
      </c>
      <c r="H141" s="94">
        <f t="shared" si="118"/>
        <v>2101540.1858333331</v>
      </c>
      <c r="I141" s="94">
        <f t="shared" si="119"/>
        <v>2121686.4449999998</v>
      </c>
      <c r="J141" s="94">
        <f t="shared" si="120"/>
        <v>2141832.7041666666</v>
      </c>
      <c r="K141" s="94">
        <f t="shared" si="121"/>
        <v>2161978.9633333334</v>
      </c>
      <c r="L141" s="94">
        <f t="shared" si="122"/>
        <v>2182125.2225000001</v>
      </c>
      <c r="M141" s="94">
        <f t="shared" si="123"/>
        <v>2202271.4816666665</v>
      </c>
      <c r="N141" s="94">
        <f t="shared" si="124"/>
        <v>2222417.7408333332</v>
      </c>
      <c r="O141" s="94">
        <f t="shared" si="125"/>
        <v>2242564</v>
      </c>
      <c r="P141" s="94">
        <f t="shared" si="126"/>
        <v>2121686.4449999998</v>
      </c>
      <c r="Q141" s="90"/>
      <c r="R141" s="90"/>
    </row>
    <row r="142" spans="1:18" hidden="1" outlineLevel="1" x14ac:dyDescent="0.25">
      <c r="A142" s="85">
        <v>2011</v>
      </c>
      <c r="B142" s="94">
        <v>2593396</v>
      </c>
      <c r="C142" s="94">
        <f t="shared" si="113"/>
        <v>2593396</v>
      </c>
      <c r="D142" s="94">
        <f t="shared" si="114"/>
        <v>2271800</v>
      </c>
      <c r="E142" s="94">
        <f t="shared" si="115"/>
        <v>2301036</v>
      </c>
      <c r="F142" s="94">
        <f t="shared" si="116"/>
        <v>2330272</v>
      </c>
      <c r="G142" s="94">
        <f t="shared" si="117"/>
        <v>2359508</v>
      </c>
      <c r="H142" s="94">
        <f t="shared" si="118"/>
        <v>2388744</v>
      </c>
      <c r="I142" s="94">
        <f t="shared" si="119"/>
        <v>2417980</v>
      </c>
      <c r="J142" s="94">
        <f t="shared" si="120"/>
        <v>2447216</v>
      </c>
      <c r="K142" s="94">
        <f t="shared" si="121"/>
        <v>2476452</v>
      </c>
      <c r="L142" s="94">
        <f t="shared" si="122"/>
        <v>2505688</v>
      </c>
      <c r="M142" s="94">
        <f t="shared" si="123"/>
        <v>2534924</v>
      </c>
      <c r="N142" s="94">
        <f t="shared" si="124"/>
        <v>2564160</v>
      </c>
      <c r="O142" s="94">
        <f t="shared" si="125"/>
        <v>2593396</v>
      </c>
      <c r="P142" s="94">
        <f t="shared" si="126"/>
        <v>2417980</v>
      </c>
      <c r="Q142" s="90"/>
      <c r="R142" s="90"/>
    </row>
    <row r="143" spans="1:18" hidden="1" outlineLevel="1" x14ac:dyDescent="0.25">
      <c r="A143" s="85">
        <v>2012</v>
      </c>
      <c r="B143" s="94">
        <v>2462129</v>
      </c>
      <c r="C143" s="94">
        <f t="shared" si="113"/>
        <v>2462129</v>
      </c>
      <c r="D143" s="94">
        <f t="shared" si="114"/>
        <v>2582457.0833333335</v>
      </c>
      <c r="E143" s="94">
        <f t="shared" si="115"/>
        <v>2571518.1666666665</v>
      </c>
      <c r="F143" s="94">
        <f t="shared" si="116"/>
        <v>2560579.25</v>
      </c>
      <c r="G143" s="94">
        <f t="shared" si="117"/>
        <v>2549640.3333333335</v>
      </c>
      <c r="H143" s="94">
        <f t="shared" si="118"/>
        <v>2538701.4166666665</v>
      </c>
      <c r="I143" s="94">
        <f t="shared" si="119"/>
        <v>2527762.5</v>
      </c>
      <c r="J143" s="94">
        <f t="shared" si="120"/>
        <v>2516823.5833333335</v>
      </c>
      <c r="K143" s="94">
        <f t="shared" si="121"/>
        <v>2505884.6666666665</v>
      </c>
      <c r="L143" s="94">
        <f t="shared" si="122"/>
        <v>2494945.75</v>
      </c>
      <c r="M143" s="94">
        <f t="shared" si="123"/>
        <v>2484006.8333333335</v>
      </c>
      <c r="N143" s="94">
        <f t="shared" si="124"/>
        <v>2473067.9166666665</v>
      </c>
      <c r="O143" s="94">
        <f t="shared" si="125"/>
        <v>2462129</v>
      </c>
      <c r="P143" s="94">
        <f t="shared" si="126"/>
        <v>2527762.5</v>
      </c>
      <c r="Q143" s="90"/>
      <c r="R143" s="90"/>
    </row>
    <row r="144" spans="1:18" hidden="1" outlineLevel="1" x14ac:dyDescent="0.25">
      <c r="A144" s="85">
        <v>2013</v>
      </c>
      <c r="B144" s="94">
        <v>2369262</v>
      </c>
      <c r="C144" s="94">
        <f t="shared" si="113"/>
        <v>2369262</v>
      </c>
      <c r="D144" s="94">
        <f t="shared" si="114"/>
        <v>2454390.0833333335</v>
      </c>
      <c r="E144" s="94">
        <f t="shared" si="115"/>
        <v>2446651.1666666665</v>
      </c>
      <c r="F144" s="94">
        <f t="shared" si="116"/>
        <v>2438912.25</v>
      </c>
      <c r="G144" s="94">
        <f t="shared" si="117"/>
        <v>2431173.3333333335</v>
      </c>
      <c r="H144" s="94">
        <f t="shared" si="118"/>
        <v>2423434.4166666665</v>
      </c>
      <c r="I144" s="94">
        <f t="shared" si="119"/>
        <v>2415695.5</v>
      </c>
      <c r="J144" s="94">
        <f t="shared" si="120"/>
        <v>2407956.5833333335</v>
      </c>
      <c r="K144" s="94">
        <f t="shared" si="121"/>
        <v>2400217.6666666665</v>
      </c>
      <c r="L144" s="94">
        <f t="shared" si="122"/>
        <v>2392478.75</v>
      </c>
      <c r="M144" s="94">
        <f t="shared" si="123"/>
        <v>2384739.8333333335</v>
      </c>
      <c r="N144" s="94">
        <f t="shared" si="124"/>
        <v>2377000.9166666665</v>
      </c>
      <c r="O144" s="94">
        <f t="shared" si="125"/>
        <v>2369262</v>
      </c>
      <c r="P144" s="94">
        <f t="shared" si="126"/>
        <v>2415695.5</v>
      </c>
      <c r="Q144" s="90"/>
      <c r="R144" s="90"/>
    </row>
    <row r="145" spans="1:18" hidden="1" outlineLevel="1" x14ac:dyDescent="0.25">
      <c r="A145" s="85">
        <v>2014</v>
      </c>
      <c r="B145" s="94">
        <v>2090721.92</v>
      </c>
      <c r="C145" s="94">
        <f t="shared" si="113"/>
        <v>2090721.92</v>
      </c>
      <c r="D145" s="94">
        <f t="shared" si="114"/>
        <v>2346050.3266666667</v>
      </c>
      <c r="E145" s="94">
        <f t="shared" si="115"/>
        <v>2322838.6533333333</v>
      </c>
      <c r="F145" s="94">
        <f t="shared" si="116"/>
        <v>2299626.98</v>
      </c>
      <c r="G145" s="94">
        <f t="shared" si="117"/>
        <v>2276415.3066666666</v>
      </c>
      <c r="H145" s="94">
        <f t="shared" si="118"/>
        <v>2253203.6333333333</v>
      </c>
      <c r="I145" s="94">
        <f t="shared" si="119"/>
        <v>2229991.96</v>
      </c>
      <c r="J145" s="94">
        <f t="shared" si="120"/>
        <v>2206780.2866666666</v>
      </c>
      <c r="K145" s="94">
        <f t="shared" si="121"/>
        <v>2183568.6133333333</v>
      </c>
      <c r="L145" s="94">
        <f t="shared" si="122"/>
        <v>2160356.94</v>
      </c>
      <c r="M145" s="94">
        <f t="shared" si="123"/>
        <v>2137145.2666666666</v>
      </c>
      <c r="N145" s="94">
        <f t="shared" si="124"/>
        <v>2113933.5933333333</v>
      </c>
      <c r="O145" s="94">
        <f t="shared" si="125"/>
        <v>2090721.92</v>
      </c>
      <c r="P145" s="94">
        <f t="shared" si="126"/>
        <v>2229991.96</v>
      </c>
      <c r="Q145" s="90"/>
      <c r="R145" s="90"/>
    </row>
    <row r="146" spans="1:18" hidden="1" outlineLevel="1" x14ac:dyDescent="0.25">
      <c r="A146" s="85">
        <v>2015</v>
      </c>
      <c r="B146" s="94">
        <v>1923751.31</v>
      </c>
      <c r="C146" s="94">
        <f t="shared" si="113"/>
        <v>1923751.31</v>
      </c>
      <c r="D146" s="94">
        <f t="shared" si="114"/>
        <v>2076807.7024999999</v>
      </c>
      <c r="E146" s="94">
        <f t="shared" si="115"/>
        <v>2062893.4849999999</v>
      </c>
      <c r="F146" s="94">
        <f t="shared" si="116"/>
        <v>2048979.2675000001</v>
      </c>
      <c r="G146" s="94">
        <f t="shared" si="117"/>
        <v>2035065.05</v>
      </c>
      <c r="H146" s="94">
        <f t="shared" si="118"/>
        <v>2021150.8325</v>
      </c>
      <c r="I146" s="94">
        <f t="shared" si="119"/>
        <v>2007236.615</v>
      </c>
      <c r="J146" s="94">
        <f t="shared" si="120"/>
        <v>1993322.3975</v>
      </c>
      <c r="K146" s="94">
        <f t="shared" si="121"/>
        <v>1979408.18</v>
      </c>
      <c r="L146" s="94">
        <f t="shared" si="122"/>
        <v>1965493.9624999999</v>
      </c>
      <c r="M146" s="94">
        <f t="shared" si="123"/>
        <v>1951579.7450000001</v>
      </c>
      <c r="N146" s="94">
        <f t="shared" si="124"/>
        <v>1937665.5275000001</v>
      </c>
      <c r="O146" s="94">
        <f t="shared" si="125"/>
        <v>1923751.31</v>
      </c>
      <c r="P146" s="94">
        <f t="shared" si="126"/>
        <v>2007236.615</v>
      </c>
      <c r="Q146" s="90"/>
      <c r="R146" s="90"/>
    </row>
    <row r="147" spans="1:18" hidden="1" outlineLevel="1" x14ac:dyDescent="0.25">
      <c r="A147" s="85">
        <v>2016</v>
      </c>
      <c r="B147" s="94">
        <v>1824372.13</v>
      </c>
      <c r="C147" s="94">
        <f t="shared" si="113"/>
        <v>1824372.13</v>
      </c>
      <c r="D147" s="94">
        <f t="shared" si="114"/>
        <v>1915469.7116666667</v>
      </c>
      <c r="E147" s="94">
        <f t="shared" si="115"/>
        <v>1907188.1133333333</v>
      </c>
      <c r="F147" s="94">
        <f t="shared" si="116"/>
        <v>1898906.5150000001</v>
      </c>
      <c r="G147" s="94">
        <f t="shared" si="117"/>
        <v>1890624.9166666667</v>
      </c>
      <c r="H147" s="94">
        <f t="shared" si="118"/>
        <v>1882343.3183333334</v>
      </c>
      <c r="I147" s="94">
        <f t="shared" si="119"/>
        <v>1874061.72</v>
      </c>
      <c r="J147" s="94">
        <f t="shared" si="120"/>
        <v>1865780.1216666666</v>
      </c>
      <c r="K147" s="94">
        <f t="shared" si="121"/>
        <v>1857498.5233333332</v>
      </c>
      <c r="L147" s="94">
        <f t="shared" si="122"/>
        <v>1849216.9249999998</v>
      </c>
      <c r="M147" s="94">
        <f t="shared" si="123"/>
        <v>1840935.3266666667</v>
      </c>
      <c r="N147" s="94">
        <f t="shared" si="124"/>
        <v>1832653.7283333333</v>
      </c>
      <c r="O147" s="94">
        <f t="shared" si="125"/>
        <v>1824372.13</v>
      </c>
      <c r="P147" s="94">
        <f t="shared" si="126"/>
        <v>1874061.7199999997</v>
      </c>
      <c r="Q147" s="90"/>
      <c r="R147" s="90"/>
    </row>
    <row r="148" spans="1:18" hidden="1" outlineLevel="1" x14ac:dyDescent="0.25">
      <c r="A148" s="85">
        <v>2017</v>
      </c>
      <c r="B148" s="94">
        <v>1622858.14</v>
      </c>
      <c r="C148" s="94">
        <f t="shared" si="113"/>
        <v>1622858.14</v>
      </c>
      <c r="D148" s="94">
        <f t="shared" si="114"/>
        <v>1807579.2974999999</v>
      </c>
      <c r="E148" s="94">
        <f t="shared" si="115"/>
        <v>1790786.4649999999</v>
      </c>
      <c r="F148" s="94">
        <f t="shared" si="116"/>
        <v>1773993.6324999998</v>
      </c>
      <c r="G148" s="94">
        <f t="shared" si="117"/>
        <v>1757200.7999999998</v>
      </c>
      <c r="H148" s="94">
        <f t="shared" si="118"/>
        <v>1740407.9674999998</v>
      </c>
      <c r="I148" s="94">
        <f t="shared" si="119"/>
        <v>1723615.1349999998</v>
      </c>
      <c r="J148" s="94">
        <f t="shared" si="120"/>
        <v>1706822.3025</v>
      </c>
      <c r="K148" s="94">
        <f t="shared" si="121"/>
        <v>1690029.47</v>
      </c>
      <c r="L148" s="94">
        <f t="shared" si="122"/>
        <v>1673236.6375</v>
      </c>
      <c r="M148" s="94">
        <f t="shared" si="123"/>
        <v>1656443.8049999999</v>
      </c>
      <c r="N148" s="94">
        <f t="shared" si="124"/>
        <v>1639650.9724999999</v>
      </c>
      <c r="O148" s="94">
        <f t="shared" si="125"/>
        <v>1622858.14</v>
      </c>
      <c r="P148" s="94">
        <f t="shared" si="126"/>
        <v>1723615.1349999998</v>
      </c>
      <c r="Q148" s="90"/>
      <c r="R148" s="90"/>
    </row>
    <row r="149" spans="1:18" hidden="1" outlineLevel="1" x14ac:dyDescent="0.25">
      <c r="A149" s="85">
        <v>2018</v>
      </c>
      <c r="B149" s="94">
        <v>1488572.14</v>
      </c>
      <c r="C149" s="94">
        <f t="shared" si="113"/>
        <v>1488572.14</v>
      </c>
      <c r="D149" s="94">
        <f t="shared" si="114"/>
        <v>1611667.64</v>
      </c>
      <c r="E149" s="94">
        <f t="shared" si="115"/>
        <v>1600477.14</v>
      </c>
      <c r="F149" s="94">
        <f t="shared" si="116"/>
        <v>1589286.64</v>
      </c>
      <c r="G149" s="94">
        <f t="shared" si="117"/>
        <v>1578096.14</v>
      </c>
      <c r="H149" s="94">
        <f t="shared" si="118"/>
        <v>1566905.64</v>
      </c>
      <c r="I149" s="94">
        <f t="shared" si="119"/>
        <v>1555715.14</v>
      </c>
      <c r="J149" s="94">
        <f t="shared" si="120"/>
        <v>1544524.64</v>
      </c>
      <c r="K149" s="94">
        <f t="shared" si="121"/>
        <v>1533334.14</v>
      </c>
      <c r="L149" s="94">
        <f t="shared" si="122"/>
        <v>1522143.64</v>
      </c>
      <c r="M149" s="94">
        <f t="shared" si="123"/>
        <v>1510953.14</v>
      </c>
      <c r="N149" s="94">
        <f t="shared" si="124"/>
        <v>1499762.64</v>
      </c>
      <c r="O149" s="94">
        <f t="shared" si="125"/>
        <v>1488572.14</v>
      </c>
      <c r="P149" s="94">
        <f t="shared" si="126"/>
        <v>1555715.1400000004</v>
      </c>
      <c r="Q149" s="90"/>
      <c r="R149" s="90"/>
    </row>
    <row r="150" spans="1:18" collapsed="1" x14ac:dyDescent="0.25">
      <c r="A150" s="85">
        <v>2019</v>
      </c>
      <c r="B150" s="94">
        <v>1411991.03</v>
      </c>
      <c r="C150" s="94">
        <f t="shared" si="113"/>
        <v>1411991.03</v>
      </c>
      <c r="D150" s="94">
        <f t="shared" si="114"/>
        <v>1482190.3808333334</v>
      </c>
      <c r="E150" s="94">
        <f t="shared" si="115"/>
        <v>1475808.6216666666</v>
      </c>
      <c r="F150" s="94">
        <f t="shared" si="116"/>
        <v>1469426.8624999998</v>
      </c>
      <c r="G150" s="94">
        <f t="shared" si="117"/>
        <v>1463045.1033333333</v>
      </c>
      <c r="H150" s="94">
        <f t="shared" si="118"/>
        <v>1456663.3441666667</v>
      </c>
      <c r="I150" s="94">
        <f t="shared" si="119"/>
        <v>1450281.585</v>
      </c>
      <c r="J150" s="94">
        <f t="shared" si="120"/>
        <v>1443899.8258333332</v>
      </c>
      <c r="K150" s="94">
        <f t="shared" si="121"/>
        <v>1437518.0666666667</v>
      </c>
      <c r="L150" s="94">
        <f t="shared" si="122"/>
        <v>1431136.3075000001</v>
      </c>
      <c r="M150" s="94">
        <f t="shared" si="123"/>
        <v>1424754.5483333333</v>
      </c>
      <c r="N150" s="94">
        <f t="shared" si="124"/>
        <v>1418372.7891666666</v>
      </c>
      <c r="O150" s="94">
        <f t="shared" si="125"/>
        <v>1411991.03</v>
      </c>
      <c r="P150" s="94">
        <f t="shared" si="126"/>
        <v>1450281.585</v>
      </c>
      <c r="Q150" s="90"/>
      <c r="R150" s="90"/>
    </row>
    <row r="151" spans="1:18" x14ac:dyDescent="0.25">
      <c r="A151" s="85">
        <v>2020</v>
      </c>
      <c r="B151" s="93">
        <v>1270447.8999999999</v>
      </c>
      <c r="C151" s="94">
        <f t="shared" si="113"/>
        <v>1270447.8999999999</v>
      </c>
      <c r="D151" s="94">
        <f t="shared" si="114"/>
        <v>1400195.7691666668</v>
      </c>
      <c r="E151" s="94">
        <f t="shared" si="115"/>
        <v>1388400.5083333333</v>
      </c>
      <c r="F151" s="94">
        <f t="shared" si="116"/>
        <v>1376605.2475000001</v>
      </c>
      <c r="G151" s="94">
        <f t="shared" si="117"/>
        <v>1364809.9866666666</v>
      </c>
      <c r="H151" s="94">
        <f t="shared" si="118"/>
        <v>1353014.7258333333</v>
      </c>
      <c r="I151" s="94">
        <f t="shared" si="119"/>
        <v>1341219.4649999999</v>
      </c>
      <c r="J151" s="94">
        <f t="shared" si="120"/>
        <v>1329424.2041666666</v>
      </c>
      <c r="K151" s="94">
        <f t="shared" si="121"/>
        <v>1317628.9433333334</v>
      </c>
      <c r="L151" s="94">
        <f t="shared" si="122"/>
        <v>1305833.6824999999</v>
      </c>
      <c r="M151" s="94">
        <f t="shared" si="123"/>
        <v>1294038.4216666666</v>
      </c>
      <c r="N151" s="94">
        <f t="shared" si="124"/>
        <v>1282243.1608333332</v>
      </c>
      <c r="O151" s="94">
        <f t="shared" si="125"/>
        <v>1270447.8999999999</v>
      </c>
      <c r="P151" s="94">
        <f t="shared" si="126"/>
        <v>1341219.4649999999</v>
      </c>
      <c r="Q151" s="90">
        <f>((I150+I151+(SUM(J150:O150)+SUM(D151:H151))*2)/24)</f>
        <v>1403870.7774999999</v>
      </c>
      <c r="R151" s="90">
        <f>I151</f>
        <v>1341219.4649999999</v>
      </c>
    </row>
    <row r="152" spans="1:18" x14ac:dyDescent="0.25">
      <c r="B152" s="94"/>
      <c r="C152" s="94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4"/>
      <c r="P152" s="92"/>
      <c r="Q152" s="90"/>
      <c r="R152" s="90"/>
    </row>
    <row r="153" spans="1:18" x14ac:dyDescent="0.25">
      <c r="A153" s="98" t="s">
        <v>153</v>
      </c>
      <c r="B153" s="94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1"/>
      <c r="Q153" s="90"/>
      <c r="R153" s="90"/>
    </row>
    <row r="154" spans="1:18" hidden="1" outlineLevel="1" x14ac:dyDescent="0.25">
      <c r="A154" s="96">
        <v>2008</v>
      </c>
      <c r="B154" s="94">
        <f>380.74+3598271.75</f>
        <v>3598652.49</v>
      </c>
      <c r="C154" s="94">
        <f t="shared" ref="C154:C166" si="127">B154</f>
        <v>3598652.49</v>
      </c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0"/>
      <c r="R154" s="90"/>
    </row>
    <row r="155" spans="1:18" hidden="1" outlineLevel="1" x14ac:dyDescent="0.25">
      <c r="A155" s="96">
        <v>2009</v>
      </c>
      <c r="B155" s="94">
        <f>644755.97+6810645.5</f>
        <v>7455401.4699999997</v>
      </c>
      <c r="C155" s="94">
        <f t="shared" si="127"/>
        <v>7455401.4699999997</v>
      </c>
      <c r="D155" s="94">
        <f t="shared" ref="D155:D166" si="128">(B155-B154)/12*1+B154</f>
        <v>3920048.2383333333</v>
      </c>
      <c r="E155" s="94">
        <f t="shared" ref="E155:E166" si="129">(B155-B154)/12*2+B154</f>
        <v>4241443.9866666663</v>
      </c>
      <c r="F155" s="94">
        <f t="shared" ref="F155:F166" si="130">(B155-B154)/12*3+B154</f>
        <v>4562839.7350000003</v>
      </c>
      <c r="G155" s="94">
        <f t="shared" ref="G155:G166" si="131">(B155-B154)/12*4+B154</f>
        <v>4884235.4833333334</v>
      </c>
      <c r="H155" s="94">
        <f t="shared" ref="H155:H166" si="132">(B155-B154)/12*5+B154</f>
        <v>5205631.2316666665</v>
      </c>
      <c r="I155" s="94">
        <f t="shared" ref="I155:I166" si="133">(B155-B154)/12*6+B154</f>
        <v>5527026.9800000004</v>
      </c>
      <c r="J155" s="94">
        <f t="shared" ref="J155:J166" si="134">(B155-B154)/12*7+B154</f>
        <v>5848422.7283333335</v>
      </c>
      <c r="K155" s="94">
        <f t="shared" ref="K155:K166" si="135">(B155-B154)/12*8+B154</f>
        <v>6169818.4766666666</v>
      </c>
      <c r="L155" s="94">
        <f t="shared" ref="L155:L166" si="136">(B155-B154)/12*9+B154</f>
        <v>6491214.2249999996</v>
      </c>
      <c r="M155" s="94">
        <f t="shared" ref="M155:M166" si="137">(B155-B154)/12*10+B154</f>
        <v>6812609.9733333327</v>
      </c>
      <c r="N155" s="94">
        <f t="shared" ref="N155:N166" si="138">(B155-B154)/12*11+B154</f>
        <v>7134005.7216666667</v>
      </c>
      <c r="O155" s="94">
        <f t="shared" ref="O155:O166" si="139">+B155</f>
        <v>7455401.4699999997</v>
      </c>
      <c r="P155" s="94">
        <f t="shared" ref="P155:P166" si="140">((C154+O155)+2*(SUM(D155:N155)))/24</f>
        <v>5527026.9800000004</v>
      </c>
      <c r="Q155" s="90"/>
      <c r="R155" s="90"/>
    </row>
    <row r="156" spans="1:18" hidden="1" outlineLevel="1" x14ac:dyDescent="0.25">
      <c r="A156" s="85">
        <v>2010</v>
      </c>
      <c r="B156" s="94">
        <f>626034+7268032</f>
        <v>7894066</v>
      </c>
      <c r="C156" s="94">
        <f t="shared" si="127"/>
        <v>7894066</v>
      </c>
      <c r="D156" s="94">
        <f t="shared" si="128"/>
        <v>7491956.8475000001</v>
      </c>
      <c r="E156" s="94">
        <f t="shared" si="129"/>
        <v>7528512.2249999996</v>
      </c>
      <c r="F156" s="94">
        <f t="shared" si="130"/>
        <v>7565067.6025</v>
      </c>
      <c r="G156" s="94">
        <f t="shared" si="131"/>
        <v>7601622.9799999995</v>
      </c>
      <c r="H156" s="94">
        <f t="shared" si="132"/>
        <v>7638178.3574999999</v>
      </c>
      <c r="I156" s="94">
        <f t="shared" si="133"/>
        <v>7674733.7349999994</v>
      </c>
      <c r="J156" s="94">
        <f t="shared" si="134"/>
        <v>7711289.1124999998</v>
      </c>
      <c r="K156" s="94">
        <f t="shared" si="135"/>
        <v>7747844.4900000002</v>
      </c>
      <c r="L156" s="94">
        <f t="shared" si="136"/>
        <v>7784399.8674999997</v>
      </c>
      <c r="M156" s="94">
        <f t="shared" si="137"/>
        <v>7820955.2450000001</v>
      </c>
      <c r="N156" s="94">
        <f t="shared" si="138"/>
        <v>7857510.6224999996</v>
      </c>
      <c r="O156" s="94">
        <f t="shared" si="139"/>
        <v>7894066</v>
      </c>
      <c r="P156" s="94">
        <f t="shared" si="140"/>
        <v>7674733.7350000003</v>
      </c>
      <c r="Q156" s="90"/>
      <c r="R156" s="90"/>
    </row>
    <row r="157" spans="1:18" hidden="1" outlineLevel="1" x14ac:dyDescent="0.25">
      <c r="A157" s="85">
        <v>2011</v>
      </c>
      <c r="B157" s="94">
        <v>8265945</v>
      </c>
      <c r="C157" s="94">
        <f t="shared" si="127"/>
        <v>8265945</v>
      </c>
      <c r="D157" s="94">
        <f t="shared" si="128"/>
        <v>7925055.916666667</v>
      </c>
      <c r="E157" s="94">
        <f t="shared" si="129"/>
        <v>7956045.833333333</v>
      </c>
      <c r="F157" s="94">
        <f t="shared" si="130"/>
        <v>7987035.75</v>
      </c>
      <c r="G157" s="94">
        <f t="shared" si="131"/>
        <v>8018025.666666667</v>
      </c>
      <c r="H157" s="94">
        <f t="shared" si="132"/>
        <v>8049015.583333333</v>
      </c>
      <c r="I157" s="94">
        <f t="shared" si="133"/>
        <v>8080005.5</v>
      </c>
      <c r="J157" s="94">
        <f t="shared" si="134"/>
        <v>8110995.416666667</v>
      </c>
      <c r="K157" s="94">
        <f t="shared" si="135"/>
        <v>8141985.333333333</v>
      </c>
      <c r="L157" s="94">
        <f t="shared" si="136"/>
        <v>8172975.25</v>
      </c>
      <c r="M157" s="94">
        <f t="shared" si="137"/>
        <v>8203965.166666667</v>
      </c>
      <c r="N157" s="94">
        <f t="shared" si="138"/>
        <v>8234955.083333333</v>
      </c>
      <c r="O157" s="94">
        <f t="shared" si="139"/>
        <v>8265945</v>
      </c>
      <c r="P157" s="94">
        <f t="shared" si="140"/>
        <v>8080005.5</v>
      </c>
      <c r="Q157" s="90"/>
      <c r="R157" s="90"/>
    </row>
    <row r="158" spans="1:18" hidden="1" outlineLevel="1" x14ac:dyDescent="0.25">
      <c r="A158" s="85">
        <v>2012</v>
      </c>
      <c r="B158" s="94">
        <v>8505546</v>
      </c>
      <c r="C158" s="94">
        <f t="shared" si="127"/>
        <v>8505546</v>
      </c>
      <c r="D158" s="94">
        <f t="shared" si="128"/>
        <v>8285911.75</v>
      </c>
      <c r="E158" s="94">
        <f t="shared" si="129"/>
        <v>8305878.5</v>
      </c>
      <c r="F158" s="94">
        <f t="shared" si="130"/>
        <v>8325845.25</v>
      </c>
      <c r="G158" s="94">
        <f t="shared" si="131"/>
        <v>8345812</v>
      </c>
      <c r="H158" s="94">
        <f t="shared" si="132"/>
        <v>8365778.75</v>
      </c>
      <c r="I158" s="94">
        <f t="shared" si="133"/>
        <v>8385745.5</v>
      </c>
      <c r="J158" s="94">
        <f t="shared" si="134"/>
        <v>8405712.25</v>
      </c>
      <c r="K158" s="94">
        <f t="shared" si="135"/>
        <v>8425679</v>
      </c>
      <c r="L158" s="94">
        <f t="shared" si="136"/>
        <v>8445645.75</v>
      </c>
      <c r="M158" s="94">
        <f t="shared" si="137"/>
        <v>8465612.5</v>
      </c>
      <c r="N158" s="94">
        <f t="shared" si="138"/>
        <v>8485579.25</v>
      </c>
      <c r="O158" s="94">
        <f t="shared" si="139"/>
        <v>8505546</v>
      </c>
      <c r="P158" s="94">
        <f t="shared" si="140"/>
        <v>8385745.5</v>
      </c>
      <c r="Q158" s="90"/>
      <c r="R158" s="90"/>
    </row>
    <row r="159" spans="1:18" hidden="1" outlineLevel="1" x14ac:dyDescent="0.25">
      <c r="A159" s="85">
        <v>2013</v>
      </c>
      <c r="B159" s="94">
        <v>8773306</v>
      </c>
      <c r="C159" s="94">
        <f t="shared" si="127"/>
        <v>8773306</v>
      </c>
      <c r="D159" s="94">
        <f t="shared" si="128"/>
        <v>8527859.333333334</v>
      </c>
      <c r="E159" s="94">
        <f t="shared" si="129"/>
        <v>8550172.666666666</v>
      </c>
      <c r="F159" s="94">
        <f t="shared" si="130"/>
        <v>8572486</v>
      </c>
      <c r="G159" s="94">
        <f t="shared" si="131"/>
        <v>8594799.333333334</v>
      </c>
      <c r="H159" s="94">
        <f t="shared" si="132"/>
        <v>8617112.666666666</v>
      </c>
      <c r="I159" s="94">
        <f t="shared" si="133"/>
        <v>8639426</v>
      </c>
      <c r="J159" s="94">
        <f t="shared" si="134"/>
        <v>8661739.333333334</v>
      </c>
      <c r="K159" s="94">
        <f t="shared" si="135"/>
        <v>8684052.666666666</v>
      </c>
      <c r="L159" s="94">
        <f t="shared" si="136"/>
        <v>8706366</v>
      </c>
      <c r="M159" s="94">
        <f t="shared" si="137"/>
        <v>8728679.333333334</v>
      </c>
      <c r="N159" s="94">
        <f t="shared" si="138"/>
        <v>8750992.666666666</v>
      </c>
      <c r="O159" s="94">
        <f t="shared" si="139"/>
        <v>8773306</v>
      </c>
      <c r="P159" s="94">
        <f t="shared" si="140"/>
        <v>8639426</v>
      </c>
      <c r="Q159" s="90"/>
      <c r="R159" s="90"/>
    </row>
    <row r="160" spans="1:18" hidden="1" outlineLevel="1" x14ac:dyDescent="0.25">
      <c r="A160" s="85">
        <v>2014</v>
      </c>
      <c r="B160" s="94">
        <v>9051106.9000000004</v>
      </c>
      <c r="C160" s="94">
        <f t="shared" si="127"/>
        <v>9051106.9000000004</v>
      </c>
      <c r="D160" s="94">
        <f t="shared" si="128"/>
        <v>8796456.0749999993</v>
      </c>
      <c r="E160" s="94">
        <f t="shared" si="129"/>
        <v>8819606.1500000004</v>
      </c>
      <c r="F160" s="94">
        <f t="shared" si="130"/>
        <v>8842756.2249999996</v>
      </c>
      <c r="G160" s="94">
        <f t="shared" si="131"/>
        <v>8865906.3000000007</v>
      </c>
      <c r="H160" s="94">
        <f t="shared" si="132"/>
        <v>8889056.375</v>
      </c>
      <c r="I160" s="94">
        <f t="shared" si="133"/>
        <v>8912206.4499999993</v>
      </c>
      <c r="J160" s="94">
        <f t="shared" si="134"/>
        <v>8935356.5250000004</v>
      </c>
      <c r="K160" s="94">
        <f t="shared" si="135"/>
        <v>8958506.5999999996</v>
      </c>
      <c r="L160" s="94">
        <f t="shared" si="136"/>
        <v>8981656.6750000007</v>
      </c>
      <c r="M160" s="94">
        <f t="shared" si="137"/>
        <v>9004806.75</v>
      </c>
      <c r="N160" s="94">
        <f t="shared" si="138"/>
        <v>9027956.8250000011</v>
      </c>
      <c r="O160" s="94">
        <f t="shared" si="139"/>
        <v>9051106.9000000004</v>
      </c>
      <c r="P160" s="94">
        <f t="shared" si="140"/>
        <v>8912206.4500000011</v>
      </c>
      <c r="Q160" s="90"/>
      <c r="R160" s="90"/>
    </row>
    <row r="161" spans="1:18" hidden="1" outlineLevel="1" x14ac:dyDescent="0.25">
      <c r="A161" s="85">
        <v>2015</v>
      </c>
      <c r="B161" s="94">
        <v>9342097.8399999999</v>
      </c>
      <c r="C161" s="94">
        <f t="shared" si="127"/>
        <v>9342097.8399999999</v>
      </c>
      <c r="D161" s="94">
        <f t="shared" si="128"/>
        <v>9075356.1449999996</v>
      </c>
      <c r="E161" s="94">
        <f t="shared" si="129"/>
        <v>9099605.3900000006</v>
      </c>
      <c r="F161" s="94">
        <f t="shared" si="130"/>
        <v>9123854.6349999998</v>
      </c>
      <c r="G161" s="94">
        <f t="shared" si="131"/>
        <v>9148103.8800000008</v>
      </c>
      <c r="H161" s="94">
        <f t="shared" si="132"/>
        <v>9172353.125</v>
      </c>
      <c r="I161" s="94">
        <f t="shared" si="133"/>
        <v>9196602.370000001</v>
      </c>
      <c r="J161" s="94">
        <f t="shared" si="134"/>
        <v>9220851.6150000002</v>
      </c>
      <c r="K161" s="94">
        <f t="shared" si="135"/>
        <v>9245100.8599999994</v>
      </c>
      <c r="L161" s="94">
        <f t="shared" si="136"/>
        <v>9269350.1050000004</v>
      </c>
      <c r="M161" s="94">
        <f t="shared" si="137"/>
        <v>9293599.3499999996</v>
      </c>
      <c r="N161" s="94">
        <f t="shared" si="138"/>
        <v>9317848.5950000007</v>
      </c>
      <c r="O161" s="94">
        <f t="shared" si="139"/>
        <v>9342097.8399999999</v>
      </c>
      <c r="P161" s="94">
        <f t="shared" si="140"/>
        <v>9196602.370000001</v>
      </c>
      <c r="Q161" s="90"/>
      <c r="R161" s="90"/>
    </row>
    <row r="162" spans="1:18" hidden="1" outlineLevel="1" x14ac:dyDescent="0.25">
      <c r="A162" s="85">
        <v>2016</v>
      </c>
      <c r="B162" s="94">
        <v>9641125.7300000004</v>
      </c>
      <c r="C162" s="94">
        <f t="shared" si="127"/>
        <v>9641125.7300000004</v>
      </c>
      <c r="D162" s="94">
        <f t="shared" si="128"/>
        <v>9367016.8308333326</v>
      </c>
      <c r="E162" s="94">
        <f t="shared" si="129"/>
        <v>9391935.8216666672</v>
      </c>
      <c r="F162" s="94">
        <f t="shared" si="130"/>
        <v>9416854.8125</v>
      </c>
      <c r="G162" s="94">
        <f t="shared" si="131"/>
        <v>9441773.8033333328</v>
      </c>
      <c r="H162" s="94">
        <f t="shared" si="132"/>
        <v>9466692.7941666674</v>
      </c>
      <c r="I162" s="94">
        <f t="shared" si="133"/>
        <v>9491611.7850000001</v>
      </c>
      <c r="J162" s="94">
        <f t="shared" si="134"/>
        <v>9516530.7758333329</v>
      </c>
      <c r="K162" s="94">
        <f t="shared" si="135"/>
        <v>9541449.7666666675</v>
      </c>
      <c r="L162" s="94">
        <f t="shared" si="136"/>
        <v>9566368.7575000003</v>
      </c>
      <c r="M162" s="94">
        <f t="shared" si="137"/>
        <v>9591287.7483333331</v>
      </c>
      <c r="N162" s="94">
        <f t="shared" si="138"/>
        <v>9616206.7391666677</v>
      </c>
      <c r="O162" s="94">
        <f t="shared" si="139"/>
        <v>9641125.7300000004</v>
      </c>
      <c r="P162" s="94">
        <f t="shared" si="140"/>
        <v>9491611.7850000001</v>
      </c>
      <c r="Q162" s="90"/>
      <c r="R162" s="90"/>
    </row>
    <row r="163" spans="1:18" hidden="1" outlineLevel="1" x14ac:dyDescent="0.25">
      <c r="A163" s="85">
        <v>2017</v>
      </c>
      <c r="B163" s="94">
        <v>12234067.039999999</v>
      </c>
      <c r="C163" s="94">
        <f t="shared" si="127"/>
        <v>12234067.039999999</v>
      </c>
      <c r="D163" s="94">
        <f t="shared" si="128"/>
        <v>9857204.1724999994</v>
      </c>
      <c r="E163" s="94">
        <f t="shared" si="129"/>
        <v>10073282.615</v>
      </c>
      <c r="F163" s="94">
        <f t="shared" si="130"/>
        <v>10289361.057500001</v>
      </c>
      <c r="G163" s="94">
        <f t="shared" si="131"/>
        <v>10505439.5</v>
      </c>
      <c r="H163" s="94">
        <f t="shared" si="132"/>
        <v>10721517.942499999</v>
      </c>
      <c r="I163" s="94">
        <f t="shared" si="133"/>
        <v>10937596.385</v>
      </c>
      <c r="J163" s="94">
        <f t="shared" si="134"/>
        <v>11153674.827500001</v>
      </c>
      <c r="K163" s="94">
        <f t="shared" si="135"/>
        <v>11369753.27</v>
      </c>
      <c r="L163" s="94">
        <f t="shared" si="136"/>
        <v>11585831.712499999</v>
      </c>
      <c r="M163" s="94">
        <f t="shared" si="137"/>
        <v>11801910.154999999</v>
      </c>
      <c r="N163" s="94">
        <f t="shared" si="138"/>
        <v>12017988.5975</v>
      </c>
      <c r="O163" s="94">
        <f t="shared" si="139"/>
        <v>12234067.039999999</v>
      </c>
      <c r="P163" s="94">
        <f t="shared" si="140"/>
        <v>10937596.385</v>
      </c>
      <c r="Q163" s="90"/>
      <c r="R163" s="90"/>
    </row>
    <row r="164" spans="1:18" hidden="1" outlineLevel="1" x14ac:dyDescent="0.25">
      <c r="A164" s="85">
        <v>2018</v>
      </c>
      <c r="B164" s="94">
        <v>11897791.710000001</v>
      </c>
      <c r="C164" s="94">
        <f t="shared" si="127"/>
        <v>11897791.710000001</v>
      </c>
      <c r="D164" s="94">
        <f t="shared" si="128"/>
        <v>12206044.095833333</v>
      </c>
      <c r="E164" s="94">
        <f t="shared" si="129"/>
        <v>12178021.151666665</v>
      </c>
      <c r="F164" s="94">
        <f t="shared" si="130"/>
        <v>12149998.2075</v>
      </c>
      <c r="G164" s="94">
        <f t="shared" si="131"/>
        <v>12121975.263333334</v>
      </c>
      <c r="H164" s="94">
        <f t="shared" si="132"/>
        <v>12093952.319166666</v>
      </c>
      <c r="I164" s="94">
        <f t="shared" si="133"/>
        <v>12065929.375</v>
      </c>
      <c r="J164" s="94">
        <f t="shared" si="134"/>
        <v>12037906.430833334</v>
      </c>
      <c r="K164" s="94">
        <f t="shared" si="135"/>
        <v>12009883.486666666</v>
      </c>
      <c r="L164" s="94">
        <f t="shared" si="136"/>
        <v>11981860.5425</v>
      </c>
      <c r="M164" s="94">
        <f t="shared" si="137"/>
        <v>11953837.598333335</v>
      </c>
      <c r="N164" s="94">
        <f t="shared" si="138"/>
        <v>11925814.654166667</v>
      </c>
      <c r="O164" s="94">
        <f t="shared" si="139"/>
        <v>11897791.710000001</v>
      </c>
      <c r="P164" s="94">
        <f t="shared" si="140"/>
        <v>12065929.375</v>
      </c>
      <c r="Q164" s="90"/>
      <c r="R164" s="90"/>
    </row>
    <row r="165" spans="1:18" collapsed="1" x14ac:dyDescent="0.25">
      <c r="A165" s="85">
        <v>2019</v>
      </c>
      <c r="B165" s="94">
        <v>11540350.74</v>
      </c>
      <c r="C165" s="94">
        <f t="shared" si="127"/>
        <v>11540350.74</v>
      </c>
      <c r="D165" s="94">
        <f t="shared" si="128"/>
        <v>11868004.9625</v>
      </c>
      <c r="E165" s="94">
        <f t="shared" si="129"/>
        <v>11838218.215</v>
      </c>
      <c r="F165" s="94">
        <f t="shared" si="130"/>
        <v>11808431.467500001</v>
      </c>
      <c r="G165" s="94">
        <f t="shared" si="131"/>
        <v>11778644.720000001</v>
      </c>
      <c r="H165" s="94">
        <f t="shared" si="132"/>
        <v>11748857.9725</v>
      </c>
      <c r="I165" s="94">
        <f t="shared" si="133"/>
        <v>11719071.225000001</v>
      </c>
      <c r="J165" s="94">
        <f t="shared" si="134"/>
        <v>11689284.477500001</v>
      </c>
      <c r="K165" s="94">
        <f t="shared" si="135"/>
        <v>11659497.73</v>
      </c>
      <c r="L165" s="94">
        <f t="shared" si="136"/>
        <v>11629710.9825</v>
      </c>
      <c r="M165" s="94">
        <f t="shared" si="137"/>
        <v>11599924.234999999</v>
      </c>
      <c r="N165" s="94">
        <f t="shared" si="138"/>
        <v>11570137.487500001</v>
      </c>
      <c r="O165" s="94">
        <f t="shared" si="139"/>
        <v>11540350.74</v>
      </c>
      <c r="P165" s="94">
        <f t="shared" si="140"/>
        <v>11719071.225000001</v>
      </c>
      <c r="Q165" s="90"/>
      <c r="R165" s="90"/>
    </row>
    <row r="166" spans="1:18" x14ac:dyDescent="0.25">
      <c r="A166" s="85">
        <v>2020</v>
      </c>
      <c r="B166" s="93">
        <v>11194224.810000001</v>
      </c>
      <c r="C166" s="94">
        <f t="shared" si="127"/>
        <v>11194224.810000001</v>
      </c>
      <c r="D166" s="94">
        <f t="shared" si="128"/>
        <v>11511506.9125</v>
      </c>
      <c r="E166" s="94">
        <f t="shared" si="129"/>
        <v>11482663.085000001</v>
      </c>
      <c r="F166" s="94">
        <f t="shared" si="130"/>
        <v>11453819.2575</v>
      </c>
      <c r="G166" s="94">
        <f t="shared" si="131"/>
        <v>11424975.43</v>
      </c>
      <c r="H166" s="94">
        <f t="shared" si="132"/>
        <v>11396131.602500001</v>
      </c>
      <c r="I166" s="94">
        <f t="shared" si="133"/>
        <v>11367287.775</v>
      </c>
      <c r="J166" s="94">
        <f t="shared" si="134"/>
        <v>11338443.9475</v>
      </c>
      <c r="K166" s="94">
        <f t="shared" si="135"/>
        <v>11309600.120000001</v>
      </c>
      <c r="L166" s="94">
        <f t="shared" si="136"/>
        <v>11280756.2925</v>
      </c>
      <c r="M166" s="94">
        <f t="shared" si="137"/>
        <v>11251912.465</v>
      </c>
      <c r="N166" s="94">
        <f t="shared" si="138"/>
        <v>11223068.637500001</v>
      </c>
      <c r="O166" s="94">
        <f t="shared" si="139"/>
        <v>11194224.810000001</v>
      </c>
      <c r="P166" s="94">
        <f t="shared" si="140"/>
        <v>11367287.775</v>
      </c>
      <c r="Q166" s="90">
        <f>((I165+I166+(SUM(J165:O165)+SUM(D166:H166))*2)/24)</f>
        <v>11541765.119999999</v>
      </c>
      <c r="R166" s="90">
        <f>I166</f>
        <v>11367287.775</v>
      </c>
    </row>
    <row r="167" spans="1:18" x14ac:dyDescent="0.25">
      <c r="B167" s="94"/>
      <c r="C167" s="94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4"/>
      <c r="P167" s="92"/>
      <c r="Q167" s="90"/>
      <c r="R167" s="90"/>
    </row>
    <row r="168" spans="1:18" x14ac:dyDescent="0.25">
      <c r="A168" s="98" t="s">
        <v>152</v>
      </c>
      <c r="B168" s="94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1"/>
      <c r="Q168" s="90"/>
      <c r="R168" s="90"/>
    </row>
    <row r="169" spans="1:18" hidden="1" outlineLevel="1" x14ac:dyDescent="0.25">
      <c r="A169" s="96">
        <v>2008</v>
      </c>
      <c r="B169" s="94">
        <v>1054801.06</v>
      </c>
      <c r="C169" s="94">
        <f t="shared" ref="C169:C181" si="141">B169</f>
        <v>1054801.06</v>
      </c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0"/>
      <c r="R169" s="90"/>
    </row>
    <row r="170" spans="1:18" hidden="1" outlineLevel="1" x14ac:dyDescent="0.25">
      <c r="A170" s="96">
        <v>2009</v>
      </c>
      <c r="B170" s="94">
        <f>706515.36+702478.98</f>
        <v>1408994.3399999999</v>
      </c>
      <c r="C170" s="94">
        <f t="shared" si="141"/>
        <v>1408994.3399999999</v>
      </c>
      <c r="D170" s="94">
        <f t="shared" ref="D170:D181" si="142">(B170-B169)/12*1+B169</f>
        <v>1084317.1666666667</v>
      </c>
      <c r="E170" s="94">
        <f t="shared" ref="E170:E181" si="143">(B170-B169)/12*2+B169</f>
        <v>1113833.2733333334</v>
      </c>
      <c r="F170" s="94">
        <f t="shared" ref="F170:F181" si="144">(B170-B169)/12*3+B169</f>
        <v>1143349.3799999999</v>
      </c>
      <c r="G170" s="94">
        <f t="shared" ref="G170:G181" si="145">(B170-B169)/12*4+B169</f>
        <v>1172865.4866666666</v>
      </c>
      <c r="H170" s="94">
        <f t="shared" ref="H170:H181" si="146">(B170-B169)/12*5+B169</f>
        <v>1202381.5933333333</v>
      </c>
      <c r="I170" s="94">
        <f t="shared" ref="I170:I181" si="147">(B170-B169)/12*6+B169</f>
        <v>1231897.7</v>
      </c>
      <c r="J170" s="94">
        <f t="shared" ref="J170:J181" si="148">(B170-B169)/12*7+B169</f>
        <v>1261413.8066666666</v>
      </c>
      <c r="K170" s="94">
        <f t="shared" ref="K170:K181" si="149">(B170-B169)/12*8+B169</f>
        <v>1290929.9133333333</v>
      </c>
      <c r="L170" s="94">
        <f t="shared" ref="L170:L181" si="150">(B170-B169)/12*9+B169</f>
        <v>1320446.02</v>
      </c>
      <c r="M170" s="94">
        <f t="shared" ref="M170:M181" si="151">(B170-B169)/12*10+B169</f>
        <v>1349962.1266666665</v>
      </c>
      <c r="N170" s="94">
        <f t="shared" ref="N170:N181" si="152">(B170-B169)/12*11+B169</f>
        <v>1379478.2333333332</v>
      </c>
      <c r="O170" s="94">
        <f t="shared" ref="O170:O181" si="153">+B170</f>
        <v>1408994.3399999999</v>
      </c>
      <c r="P170" s="94">
        <f t="shared" ref="P170:P181" si="154">((C169+O170)+2*(SUM(D170:N170)))/24</f>
        <v>1231897.7</v>
      </c>
      <c r="Q170" s="90"/>
      <c r="R170" s="90"/>
    </row>
    <row r="171" spans="1:18" hidden="1" outlineLevel="1" x14ac:dyDescent="0.25">
      <c r="A171" s="85">
        <v>2010</v>
      </c>
      <c r="B171" s="94">
        <f>683391+1821066</f>
        <v>2504457</v>
      </c>
      <c r="C171" s="94">
        <f t="shared" si="141"/>
        <v>2504457</v>
      </c>
      <c r="D171" s="94">
        <f t="shared" si="142"/>
        <v>1500282.8949999998</v>
      </c>
      <c r="E171" s="94">
        <f t="shared" si="143"/>
        <v>1591571.45</v>
      </c>
      <c r="F171" s="94">
        <f t="shared" si="144"/>
        <v>1682860.0049999999</v>
      </c>
      <c r="G171" s="94">
        <f t="shared" si="145"/>
        <v>1774148.5599999998</v>
      </c>
      <c r="H171" s="94">
        <f t="shared" si="146"/>
        <v>1865437.1149999998</v>
      </c>
      <c r="I171" s="94">
        <f t="shared" si="147"/>
        <v>1956725.67</v>
      </c>
      <c r="J171" s="94">
        <f t="shared" si="148"/>
        <v>2048014.2249999999</v>
      </c>
      <c r="K171" s="94">
        <f t="shared" si="149"/>
        <v>2139302.7799999998</v>
      </c>
      <c r="L171" s="94">
        <f t="shared" si="150"/>
        <v>2230591.335</v>
      </c>
      <c r="M171" s="94">
        <f t="shared" si="151"/>
        <v>2321879.8899999997</v>
      </c>
      <c r="N171" s="94">
        <f t="shared" si="152"/>
        <v>2413168.4449999998</v>
      </c>
      <c r="O171" s="94">
        <f t="shared" si="153"/>
        <v>2504457</v>
      </c>
      <c r="P171" s="94">
        <f t="shared" si="154"/>
        <v>1956725.67</v>
      </c>
      <c r="Q171" s="90"/>
      <c r="R171" s="90"/>
    </row>
    <row r="172" spans="1:18" hidden="1" outlineLevel="1" x14ac:dyDescent="0.25">
      <c r="A172" s="85">
        <v>2011</v>
      </c>
      <c r="B172" s="94">
        <v>10197344</v>
      </c>
      <c r="C172" s="94">
        <f t="shared" si="141"/>
        <v>10197344</v>
      </c>
      <c r="D172" s="94">
        <f t="shared" si="142"/>
        <v>3145530.9166666665</v>
      </c>
      <c r="E172" s="94">
        <f t="shared" si="143"/>
        <v>3786604.833333333</v>
      </c>
      <c r="F172" s="94">
        <f t="shared" si="144"/>
        <v>4427678.75</v>
      </c>
      <c r="G172" s="94">
        <f t="shared" si="145"/>
        <v>5068752.666666666</v>
      </c>
      <c r="H172" s="94">
        <f t="shared" si="146"/>
        <v>5709826.583333333</v>
      </c>
      <c r="I172" s="94">
        <f t="shared" si="147"/>
        <v>6350900.5</v>
      </c>
      <c r="J172" s="94">
        <f t="shared" si="148"/>
        <v>6991974.416666666</v>
      </c>
      <c r="K172" s="94">
        <f t="shared" si="149"/>
        <v>7633048.333333333</v>
      </c>
      <c r="L172" s="94">
        <f t="shared" si="150"/>
        <v>8274122.25</v>
      </c>
      <c r="M172" s="94">
        <f t="shared" si="151"/>
        <v>8915196.166666666</v>
      </c>
      <c r="N172" s="94">
        <f t="shared" si="152"/>
        <v>9556270.0833333321</v>
      </c>
      <c r="O172" s="94">
        <f t="shared" si="153"/>
        <v>10197344</v>
      </c>
      <c r="P172" s="94">
        <f t="shared" si="154"/>
        <v>6350900.5</v>
      </c>
      <c r="Q172" s="90"/>
      <c r="R172" s="90"/>
    </row>
    <row r="173" spans="1:18" hidden="1" outlineLevel="1" x14ac:dyDescent="0.25">
      <c r="A173" s="85">
        <v>2012</v>
      </c>
      <c r="B173" s="94">
        <v>9296748</v>
      </c>
      <c r="C173" s="94">
        <f t="shared" si="141"/>
        <v>9296748</v>
      </c>
      <c r="D173" s="94">
        <f t="shared" si="142"/>
        <v>10122294.333333334</v>
      </c>
      <c r="E173" s="94">
        <f t="shared" si="143"/>
        <v>10047244.666666666</v>
      </c>
      <c r="F173" s="94">
        <f t="shared" si="144"/>
        <v>9972195</v>
      </c>
      <c r="G173" s="94">
        <f t="shared" si="145"/>
        <v>9897145.333333334</v>
      </c>
      <c r="H173" s="94">
        <f t="shared" si="146"/>
        <v>9822095.666666666</v>
      </c>
      <c r="I173" s="94">
        <f t="shared" si="147"/>
        <v>9747046</v>
      </c>
      <c r="J173" s="94">
        <f t="shared" si="148"/>
        <v>9671996.333333334</v>
      </c>
      <c r="K173" s="94">
        <f t="shared" si="149"/>
        <v>9596946.666666666</v>
      </c>
      <c r="L173" s="94">
        <f t="shared" si="150"/>
        <v>9521897</v>
      </c>
      <c r="M173" s="94">
        <f t="shared" si="151"/>
        <v>9446847.333333334</v>
      </c>
      <c r="N173" s="94">
        <f t="shared" si="152"/>
        <v>9371797.666666666</v>
      </c>
      <c r="O173" s="94">
        <f t="shared" si="153"/>
        <v>9296748</v>
      </c>
      <c r="P173" s="94">
        <f t="shared" si="154"/>
        <v>9747046</v>
      </c>
      <c r="Q173" s="90"/>
      <c r="R173" s="90"/>
    </row>
    <row r="174" spans="1:18" hidden="1" outlineLevel="1" x14ac:dyDescent="0.25">
      <c r="A174" s="85">
        <v>2013</v>
      </c>
      <c r="B174" s="94">
        <v>8984611</v>
      </c>
      <c r="C174" s="94">
        <f t="shared" si="141"/>
        <v>8984611</v>
      </c>
      <c r="D174" s="94">
        <f t="shared" si="142"/>
        <v>9270736.583333334</v>
      </c>
      <c r="E174" s="94">
        <f t="shared" si="143"/>
        <v>9244725.166666666</v>
      </c>
      <c r="F174" s="94">
        <f t="shared" si="144"/>
        <v>9218713.75</v>
      </c>
      <c r="G174" s="94">
        <f t="shared" si="145"/>
        <v>9192702.333333334</v>
      </c>
      <c r="H174" s="94">
        <f t="shared" si="146"/>
        <v>9166690.916666666</v>
      </c>
      <c r="I174" s="94">
        <f t="shared" si="147"/>
        <v>9140679.5</v>
      </c>
      <c r="J174" s="94">
        <f t="shared" si="148"/>
        <v>9114668.083333334</v>
      </c>
      <c r="K174" s="94">
        <f t="shared" si="149"/>
        <v>9088656.666666666</v>
      </c>
      <c r="L174" s="94">
        <f t="shared" si="150"/>
        <v>9062645.25</v>
      </c>
      <c r="M174" s="94">
        <f t="shared" si="151"/>
        <v>9036633.833333334</v>
      </c>
      <c r="N174" s="94">
        <f t="shared" si="152"/>
        <v>9010622.416666666</v>
      </c>
      <c r="O174" s="94">
        <f t="shared" si="153"/>
        <v>8984611</v>
      </c>
      <c r="P174" s="94">
        <f t="shared" si="154"/>
        <v>9140679.5</v>
      </c>
      <c r="Q174" s="90"/>
      <c r="R174" s="90"/>
    </row>
    <row r="175" spans="1:18" hidden="1" outlineLevel="1" x14ac:dyDescent="0.25">
      <c r="A175" s="85">
        <v>2014</v>
      </c>
      <c r="B175" s="94">
        <v>9305292.4700000007</v>
      </c>
      <c r="C175" s="94">
        <f t="shared" si="141"/>
        <v>9305292.4700000007</v>
      </c>
      <c r="D175" s="94">
        <f t="shared" si="142"/>
        <v>9011334.4558333326</v>
      </c>
      <c r="E175" s="94">
        <f t="shared" si="143"/>
        <v>9038057.9116666671</v>
      </c>
      <c r="F175" s="94">
        <f t="shared" si="144"/>
        <v>9064781.3674999997</v>
      </c>
      <c r="G175" s="94">
        <f t="shared" si="145"/>
        <v>9091504.8233333342</v>
      </c>
      <c r="H175" s="94">
        <f t="shared" si="146"/>
        <v>9118228.2791666668</v>
      </c>
      <c r="I175" s="94">
        <f t="shared" si="147"/>
        <v>9144951.7349999994</v>
      </c>
      <c r="J175" s="94">
        <f t="shared" si="148"/>
        <v>9171675.1908333339</v>
      </c>
      <c r="K175" s="94">
        <f t="shared" si="149"/>
        <v>9198398.6466666665</v>
      </c>
      <c r="L175" s="94">
        <f t="shared" si="150"/>
        <v>9225122.102500001</v>
      </c>
      <c r="M175" s="94">
        <f t="shared" si="151"/>
        <v>9251845.5583333336</v>
      </c>
      <c r="N175" s="94">
        <f t="shared" si="152"/>
        <v>9278569.0141666681</v>
      </c>
      <c r="O175" s="94">
        <f t="shared" si="153"/>
        <v>9305292.4700000007</v>
      </c>
      <c r="P175" s="94">
        <f t="shared" si="154"/>
        <v>9144951.7350000013</v>
      </c>
      <c r="Q175" s="90"/>
      <c r="R175" s="90"/>
    </row>
    <row r="176" spans="1:18" hidden="1" outlineLevel="1" x14ac:dyDescent="0.25">
      <c r="A176" s="85">
        <v>2015</v>
      </c>
      <c r="B176" s="94">
        <v>9529895.3200000003</v>
      </c>
      <c r="C176" s="94">
        <f t="shared" si="141"/>
        <v>9529895.3200000003</v>
      </c>
      <c r="D176" s="94">
        <f t="shared" si="142"/>
        <v>9324009.3741666675</v>
      </c>
      <c r="E176" s="94">
        <f t="shared" si="143"/>
        <v>9342726.2783333343</v>
      </c>
      <c r="F176" s="94">
        <f t="shared" si="144"/>
        <v>9361443.182500001</v>
      </c>
      <c r="G176" s="94">
        <f t="shared" si="145"/>
        <v>9380160.0866666678</v>
      </c>
      <c r="H176" s="94">
        <f t="shared" si="146"/>
        <v>9398876.9908333346</v>
      </c>
      <c r="I176" s="94">
        <f t="shared" si="147"/>
        <v>9417593.8949999996</v>
      </c>
      <c r="J176" s="94">
        <f t="shared" si="148"/>
        <v>9436310.7991666663</v>
      </c>
      <c r="K176" s="94">
        <f t="shared" si="149"/>
        <v>9455027.7033333331</v>
      </c>
      <c r="L176" s="94">
        <f t="shared" si="150"/>
        <v>9473744.6074999999</v>
      </c>
      <c r="M176" s="94">
        <f t="shared" si="151"/>
        <v>9492461.5116666667</v>
      </c>
      <c r="N176" s="94">
        <f t="shared" si="152"/>
        <v>9511178.4158333335</v>
      </c>
      <c r="O176" s="94">
        <f t="shared" si="153"/>
        <v>9529895.3200000003</v>
      </c>
      <c r="P176" s="94">
        <f t="shared" si="154"/>
        <v>9417593.8950000014</v>
      </c>
      <c r="Q176" s="90"/>
      <c r="R176" s="90"/>
    </row>
    <row r="177" spans="1:18" hidden="1" outlineLevel="1" x14ac:dyDescent="0.25">
      <c r="A177" s="85">
        <v>2016</v>
      </c>
      <c r="B177" s="94">
        <v>17100126.420000002</v>
      </c>
      <c r="C177" s="94">
        <f t="shared" si="141"/>
        <v>17100126.420000002</v>
      </c>
      <c r="D177" s="94">
        <f t="shared" si="142"/>
        <v>10160747.911666667</v>
      </c>
      <c r="E177" s="94">
        <f t="shared" si="143"/>
        <v>10791600.503333334</v>
      </c>
      <c r="F177" s="94">
        <f t="shared" si="144"/>
        <v>11422453.095000001</v>
      </c>
      <c r="G177" s="94">
        <f t="shared" si="145"/>
        <v>12053305.686666667</v>
      </c>
      <c r="H177" s="94">
        <f t="shared" si="146"/>
        <v>12684158.278333334</v>
      </c>
      <c r="I177" s="94">
        <f t="shared" si="147"/>
        <v>13315010.870000001</v>
      </c>
      <c r="J177" s="94">
        <f t="shared" si="148"/>
        <v>13945863.461666668</v>
      </c>
      <c r="K177" s="94">
        <f t="shared" si="149"/>
        <v>14576716.053333335</v>
      </c>
      <c r="L177" s="94">
        <f t="shared" si="150"/>
        <v>15207568.645000001</v>
      </c>
      <c r="M177" s="94">
        <f t="shared" si="151"/>
        <v>15838421.236666668</v>
      </c>
      <c r="N177" s="94">
        <f t="shared" si="152"/>
        <v>16469273.828333335</v>
      </c>
      <c r="O177" s="94">
        <f t="shared" si="153"/>
        <v>17100126.420000002</v>
      </c>
      <c r="P177" s="94">
        <f t="shared" si="154"/>
        <v>13315010.870000003</v>
      </c>
      <c r="Q177" s="90"/>
      <c r="R177" s="90"/>
    </row>
    <row r="178" spans="1:18" hidden="1" outlineLevel="1" x14ac:dyDescent="0.25">
      <c r="A178" s="85">
        <v>2017</v>
      </c>
      <c r="B178" s="94">
        <v>17677359.579999998</v>
      </c>
      <c r="C178" s="94">
        <f t="shared" si="141"/>
        <v>17677359.579999998</v>
      </c>
      <c r="D178" s="94">
        <f t="shared" si="142"/>
        <v>17148229.183333334</v>
      </c>
      <c r="E178" s="94">
        <f t="shared" si="143"/>
        <v>17196331.946666669</v>
      </c>
      <c r="F178" s="94">
        <f t="shared" si="144"/>
        <v>17244434.710000001</v>
      </c>
      <c r="G178" s="94">
        <f t="shared" si="145"/>
        <v>17292537.473333333</v>
      </c>
      <c r="H178" s="94">
        <f t="shared" si="146"/>
        <v>17340640.236666668</v>
      </c>
      <c r="I178" s="94">
        <f t="shared" si="147"/>
        <v>17388743</v>
      </c>
      <c r="J178" s="94">
        <f t="shared" si="148"/>
        <v>17436845.763333332</v>
      </c>
      <c r="K178" s="94">
        <f t="shared" si="149"/>
        <v>17484948.526666667</v>
      </c>
      <c r="L178" s="94">
        <f t="shared" si="150"/>
        <v>17533051.289999999</v>
      </c>
      <c r="M178" s="94">
        <f t="shared" si="151"/>
        <v>17581154.053333331</v>
      </c>
      <c r="N178" s="94">
        <f t="shared" si="152"/>
        <v>17629256.816666666</v>
      </c>
      <c r="O178" s="94">
        <f t="shared" si="153"/>
        <v>17677359.579999998</v>
      </c>
      <c r="P178" s="94">
        <f t="shared" si="154"/>
        <v>17388743</v>
      </c>
      <c r="Q178" s="90"/>
      <c r="R178" s="90"/>
    </row>
    <row r="179" spans="1:18" hidden="1" outlineLevel="1" x14ac:dyDescent="0.25">
      <c r="A179" s="85">
        <v>2018</v>
      </c>
      <c r="B179" s="94">
        <v>16527636.51</v>
      </c>
      <c r="C179" s="94">
        <f t="shared" si="141"/>
        <v>16527636.51</v>
      </c>
      <c r="D179" s="94">
        <f t="shared" si="142"/>
        <v>17581549.324166667</v>
      </c>
      <c r="E179" s="94">
        <f t="shared" si="143"/>
        <v>17485739.068333331</v>
      </c>
      <c r="F179" s="94">
        <f t="shared" si="144"/>
        <v>17389928.8125</v>
      </c>
      <c r="G179" s="94">
        <f t="shared" si="145"/>
        <v>17294118.556666665</v>
      </c>
      <c r="H179" s="94">
        <f t="shared" si="146"/>
        <v>17198308.300833333</v>
      </c>
      <c r="I179" s="94">
        <f t="shared" si="147"/>
        <v>17102498.044999998</v>
      </c>
      <c r="J179" s="94">
        <f t="shared" si="148"/>
        <v>17006687.789166667</v>
      </c>
      <c r="K179" s="94">
        <f t="shared" si="149"/>
        <v>16910877.533333331</v>
      </c>
      <c r="L179" s="94">
        <f t="shared" si="150"/>
        <v>16815067.2775</v>
      </c>
      <c r="M179" s="94">
        <f t="shared" si="151"/>
        <v>16719257.021666666</v>
      </c>
      <c r="N179" s="94">
        <f t="shared" si="152"/>
        <v>16623446.765833333</v>
      </c>
      <c r="O179" s="94">
        <f t="shared" si="153"/>
        <v>16527636.51</v>
      </c>
      <c r="P179" s="94">
        <f t="shared" si="154"/>
        <v>17102498.044999998</v>
      </c>
      <c r="Q179" s="90"/>
      <c r="R179" s="90"/>
    </row>
    <row r="180" spans="1:18" collapsed="1" x14ac:dyDescent="0.25">
      <c r="A180" s="85">
        <v>2019</v>
      </c>
      <c r="B180" s="94">
        <v>15281665.49</v>
      </c>
      <c r="C180" s="94">
        <f t="shared" si="141"/>
        <v>15281665.49</v>
      </c>
      <c r="D180" s="94">
        <f t="shared" si="142"/>
        <v>16423805.591666667</v>
      </c>
      <c r="E180" s="94">
        <f t="shared" si="143"/>
        <v>16319974.673333334</v>
      </c>
      <c r="F180" s="94">
        <f t="shared" si="144"/>
        <v>16216143.754999999</v>
      </c>
      <c r="G180" s="94">
        <f t="shared" si="145"/>
        <v>16112312.836666666</v>
      </c>
      <c r="H180" s="94">
        <f t="shared" si="146"/>
        <v>16008481.918333333</v>
      </c>
      <c r="I180" s="94">
        <f t="shared" si="147"/>
        <v>15904651</v>
      </c>
      <c r="J180" s="94">
        <f t="shared" si="148"/>
        <v>15800820.081666667</v>
      </c>
      <c r="K180" s="94">
        <f t="shared" si="149"/>
        <v>15696989.163333334</v>
      </c>
      <c r="L180" s="94">
        <f t="shared" si="150"/>
        <v>15593158.245000001</v>
      </c>
      <c r="M180" s="94">
        <f t="shared" si="151"/>
        <v>15489327.326666666</v>
      </c>
      <c r="N180" s="94">
        <f t="shared" si="152"/>
        <v>15385496.408333333</v>
      </c>
      <c r="O180" s="94">
        <f t="shared" si="153"/>
        <v>15281665.49</v>
      </c>
      <c r="P180" s="94">
        <f t="shared" si="154"/>
        <v>15904650.999999998</v>
      </c>
      <c r="Q180" s="90"/>
      <c r="R180" s="90"/>
    </row>
    <row r="181" spans="1:18" x14ac:dyDescent="0.25">
      <c r="A181" s="85">
        <v>2020</v>
      </c>
      <c r="B181" s="93">
        <v>14095550.189999999</v>
      </c>
      <c r="C181" s="94">
        <f t="shared" si="141"/>
        <v>14095550.189999999</v>
      </c>
      <c r="D181" s="94">
        <f t="shared" si="142"/>
        <v>15182822.548333334</v>
      </c>
      <c r="E181" s="94">
        <f t="shared" si="143"/>
        <v>15083979.606666667</v>
      </c>
      <c r="F181" s="94">
        <f t="shared" si="144"/>
        <v>14985136.664999999</v>
      </c>
      <c r="G181" s="94">
        <f t="shared" si="145"/>
        <v>14886293.723333333</v>
      </c>
      <c r="H181" s="94">
        <f t="shared" si="146"/>
        <v>14787450.781666666</v>
      </c>
      <c r="I181" s="94">
        <f t="shared" si="147"/>
        <v>14688607.84</v>
      </c>
      <c r="J181" s="94">
        <f t="shared" si="148"/>
        <v>14589764.898333333</v>
      </c>
      <c r="K181" s="94">
        <f t="shared" si="149"/>
        <v>14490921.956666667</v>
      </c>
      <c r="L181" s="94">
        <f t="shared" si="150"/>
        <v>14392079.015000001</v>
      </c>
      <c r="M181" s="94">
        <f t="shared" si="151"/>
        <v>14293236.073333332</v>
      </c>
      <c r="N181" s="94">
        <f t="shared" si="152"/>
        <v>14194393.131666666</v>
      </c>
      <c r="O181" s="94">
        <f t="shared" si="153"/>
        <v>14095550.189999999</v>
      </c>
      <c r="P181" s="94">
        <f t="shared" si="154"/>
        <v>14688607.839999998</v>
      </c>
      <c r="Q181" s="90">
        <f>((I180+I181+(SUM(J180:O180)+SUM(D181:H181))*2)/24)</f>
        <v>15289147.455</v>
      </c>
      <c r="R181" s="90">
        <f>I181</f>
        <v>14688607.84</v>
      </c>
    </row>
    <row r="182" spans="1:18" x14ac:dyDescent="0.25">
      <c r="B182" s="94"/>
      <c r="C182" s="94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4" t="s">
        <v>1</v>
      </c>
      <c r="P182" s="92"/>
      <c r="Q182" s="90"/>
      <c r="R182" s="90"/>
    </row>
    <row r="183" spans="1:18" x14ac:dyDescent="0.25">
      <c r="A183" s="98" t="s">
        <v>184</v>
      </c>
      <c r="B183" s="94"/>
      <c r="C183" s="94"/>
      <c r="D183" s="92" t="s">
        <v>353</v>
      </c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4"/>
      <c r="P183" s="92"/>
      <c r="Q183" s="90"/>
      <c r="R183" s="90"/>
    </row>
    <row r="184" spans="1:18" hidden="1" outlineLevel="1" x14ac:dyDescent="0.25">
      <c r="A184" s="85">
        <v>2018</v>
      </c>
      <c r="B184" s="94">
        <v>0</v>
      </c>
      <c r="C184" s="94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4"/>
      <c r="P184" s="92"/>
      <c r="Q184" s="90"/>
      <c r="R184" s="90"/>
    </row>
    <row r="185" spans="1:18" collapsed="1" x14ac:dyDescent="0.25">
      <c r="A185" s="85">
        <v>2019</v>
      </c>
      <c r="B185" s="94">
        <v>0</v>
      </c>
      <c r="C185" s="94"/>
      <c r="D185" s="94">
        <f>(B185-B184)/12*1+B184</f>
        <v>0</v>
      </c>
      <c r="E185" s="94">
        <f>(B185-B184)/12*2+B184</f>
        <v>0</v>
      </c>
      <c r="F185" s="94">
        <f>(B185-B184)/12*3+B184</f>
        <v>0</v>
      </c>
      <c r="G185" s="94">
        <f>(B185-B184)/12*4+B184</f>
        <v>0</v>
      </c>
      <c r="H185" s="94">
        <f>(B185-B184)/12*5+B184</f>
        <v>0</v>
      </c>
      <c r="I185" s="94">
        <f>(B185-B184)/12*6+B184</f>
        <v>0</v>
      </c>
      <c r="J185" s="94">
        <f>(B185-B184)/12*7+B184</f>
        <v>0</v>
      </c>
      <c r="K185" s="94">
        <f>(B185-B184)/12*8+B184</f>
        <v>0</v>
      </c>
      <c r="L185" s="94">
        <f>(B185-B184)/12*9+B184</f>
        <v>0</v>
      </c>
      <c r="M185" s="94">
        <f>(B185-B184)/12*10+B184</f>
        <v>0</v>
      </c>
      <c r="N185" s="94">
        <f>(B185-B184)/12*11+B184</f>
        <v>0</v>
      </c>
      <c r="O185" s="94">
        <f>+B185</f>
        <v>0</v>
      </c>
      <c r="P185" s="94">
        <f>((C184+O185)+2*(SUM(D185:N185)))/24</f>
        <v>0</v>
      </c>
      <c r="Q185" s="90"/>
      <c r="R185" s="90"/>
    </row>
    <row r="186" spans="1:18" x14ac:dyDescent="0.25">
      <c r="A186" s="85">
        <v>2020</v>
      </c>
      <c r="B186" s="93">
        <v>0</v>
      </c>
      <c r="C186" s="94"/>
      <c r="D186" s="94">
        <f>(B186-B185)/12*1+B185</f>
        <v>0</v>
      </c>
      <c r="E186" s="94">
        <f>(B186-B185)/12*2+B185</f>
        <v>0</v>
      </c>
      <c r="F186" s="94">
        <f>(B186-B185)/12*3+B185</f>
        <v>0</v>
      </c>
      <c r="G186" s="94">
        <f>(B186-B185)/12*4+B185</f>
        <v>0</v>
      </c>
      <c r="H186" s="94">
        <f>(B186-B185)/12*5+B185</f>
        <v>0</v>
      </c>
      <c r="I186" s="94">
        <f>(B186-B185)/12*6+B185</f>
        <v>0</v>
      </c>
      <c r="J186" s="94">
        <f>(B186-B185)/12*7+B185</f>
        <v>0</v>
      </c>
      <c r="K186" s="94">
        <f>(B186-B185)/12*8+B185</f>
        <v>0</v>
      </c>
      <c r="L186" s="94">
        <f>(B186-B185)/12*9+B185</f>
        <v>0</v>
      </c>
      <c r="M186" s="94">
        <f>(B186-B185)/12*10+B185</f>
        <v>0</v>
      </c>
      <c r="N186" s="94">
        <f>(B186-B185)/12*11+B185</f>
        <v>0</v>
      </c>
      <c r="O186" s="94">
        <f>+B186</f>
        <v>0</v>
      </c>
      <c r="P186" s="94">
        <f>((C185+O186)+2*(SUM(D186:N186)))/24</f>
        <v>0</v>
      </c>
      <c r="Q186" s="90">
        <f>((I185+I186+(SUM(J185:O185)+SUM(D186:H186))*2)/24)</f>
        <v>0</v>
      </c>
      <c r="R186" s="90">
        <f>I186</f>
        <v>0</v>
      </c>
    </row>
    <row r="187" spans="1:18" x14ac:dyDescent="0.25">
      <c r="B187" s="94"/>
      <c r="C187" s="94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4"/>
      <c r="P187" s="92"/>
      <c r="Q187" s="90"/>
      <c r="R187" s="90"/>
    </row>
    <row r="188" spans="1:18" x14ac:dyDescent="0.25">
      <c r="A188" s="98" t="s">
        <v>151</v>
      </c>
      <c r="B188" s="94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1"/>
      <c r="Q188" s="90"/>
      <c r="R188" s="90"/>
    </row>
    <row r="189" spans="1:18" hidden="1" outlineLevel="1" x14ac:dyDescent="0.25">
      <c r="A189" s="96">
        <v>2008</v>
      </c>
      <c r="B189" s="94">
        <f>57430.59+35180617.33</f>
        <v>35238047.920000002</v>
      </c>
      <c r="C189" s="94">
        <f t="shared" ref="C189:C201" si="155">B189</f>
        <v>35238047.920000002</v>
      </c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0"/>
      <c r="R189" s="90"/>
    </row>
    <row r="190" spans="1:18" hidden="1" outlineLevel="1" x14ac:dyDescent="0.25">
      <c r="A190" s="96">
        <v>2009</v>
      </c>
      <c r="B190" s="94">
        <f>126709.23+40384189.52</f>
        <v>40510898.75</v>
      </c>
      <c r="C190" s="94">
        <f t="shared" si="155"/>
        <v>40510898.75</v>
      </c>
      <c r="D190" s="94">
        <f t="shared" ref="D190:D201" si="156">(B190-B189)/12*1+B189</f>
        <v>35677452.155833334</v>
      </c>
      <c r="E190" s="94">
        <f t="shared" ref="E190:E201" si="157">(B190-B189)/12*2+B189</f>
        <v>36116856.391666666</v>
      </c>
      <c r="F190" s="94">
        <f t="shared" ref="F190:F201" si="158">(B190-B189)/12*3+B189</f>
        <v>36556260.627499998</v>
      </c>
      <c r="G190" s="94">
        <f t="shared" ref="G190:G201" si="159">(B190-B189)/12*4+B189</f>
        <v>36995664.863333337</v>
      </c>
      <c r="H190" s="94">
        <f t="shared" ref="H190:H201" si="160">(B190-B189)/12*5+B189</f>
        <v>37435069.099166669</v>
      </c>
      <c r="I190" s="94">
        <f t="shared" ref="I190:I201" si="161">(B190-B189)/12*6+B189</f>
        <v>37874473.335000001</v>
      </c>
      <c r="J190" s="94">
        <f t="shared" ref="J190:J201" si="162">(B190-B189)/12*7+B189</f>
        <v>38313877.570833333</v>
      </c>
      <c r="K190" s="94">
        <f t="shared" ref="K190:K201" si="163">(B190-B189)/12*8+B189</f>
        <v>38753281.806666665</v>
      </c>
      <c r="L190" s="94">
        <f t="shared" ref="L190:L201" si="164">(B190-B189)/12*9+B189</f>
        <v>39192686.042500004</v>
      </c>
      <c r="M190" s="94">
        <f t="shared" ref="M190:M201" si="165">(B190-B189)/12*10+B189</f>
        <v>39632090.278333336</v>
      </c>
      <c r="N190" s="94">
        <f t="shared" ref="N190:N201" si="166">(B190-B189)/12*11+B189</f>
        <v>40071494.514166668</v>
      </c>
      <c r="O190" s="94">
        <f t="shared" ref="O190:O201" si="167">+B190</f>
        <v>40510898.75</v>
      </c>
      <c r="P190" s="94">
        <f t="shared" ref="P190:P201" si="168">((C189+O190)+2*(SUM(D190:N190)))/24</f>
        <v>37874473.335000001</v>
      </c>
      <c r="Q190" s="90"/>
      <c r="R190" s="90"/>
    </row>
    <row r="191" spans="1:18" hidden="1" outlineLevel="1" x14ac:dyDescent="0.25">
      <c r="A191" s="85">
        <v>2010</v>
      </c>
      <c r="B191" s="94">
        <f>121236+43010725</f>
        <v>43131961</v>
      </c>
      <c r="C191" s="94">
        <f t="shared" si="155"/>
        <v>43131961</v>
      </c>
      <c r="D191" s="94">
        <f t="shared" si="156"/>
        <v>40729320.604166664</v>
      </c>
      <c r="E191" s="94">
        <f t="shared" si="157"/>
        <v>40947742.458333336</v>
      </c>
      <c r="F191" s="94">
        <f t="shared" si="158"/>
        <v>41166164.3125</v>
      </c>
      <c r="G191" s="94">
        <f t="shared" si="159"/>
        <v>41384586.166666664</v>
      </c>
      <c r="H191" s="94">
        <f t="shared" si="160"/>
        <v>41603008.020833336</v>
      </c>
      <c r="I191" s="94">
        <f t="shared" si="161"/>
        <v>41821429.875</v>
      </c>
      <c r="J191" s="94">
        <f t="shared" si="162"/>
        <v>42039851.729166664</v>
      </c>
      <c r="K191" s="94">
        <f t="shared" si="163"/>
        <v>42258273.583333336</v>
      </c>
      <c r="L191" s="94">
        <f t="shared" si="164"/>
        <v>42476695.4375</v>
      </c>
      <c r="M191" s="94">
        <f t="shared" si="165"/>
        <v>42695117.291666664</v>
      </c>
      <c r="N191" s="94">
        <f t="shared" si="166"/>
        <v>42913539.145833336</v>
      </c>
      <c r="O191" s="94">
        <f t="shared" si="167"/>
        <v>43131961</v>
      </c>
      <c r="P191" s="94">
        <f t="shared" si="168"/>
        <v>41821429.875</v>
      </c>
      <c r="Q191" s="90"/>
      <c r="R191" s="90"/>
    </row>
    <row r="192" spans="1:18" hidden="1" outlineLevel="1" x14ac:dyDescent="0.25">
      <c r="A192" s="85">
        <v>2011</v>
      </c>
      <c r="B192" s="94">
        <v>41034024</v>
      </c>
      <c r="C192" s="94">
        <f t="shared" si="155"/>
        <v>41034024</v>
      </c>
      <c r="D192" s="94">
        <f t="shared" si="156"/>
        <v>42957132.916666664</v>
      </c>
      <c r="E192" s="94">
        <f t="shared" si="157"/>
        <v>42782304.833333336</v>
      </c>
      <c r="F192" s="94">
        <f t="shared" si="158"/>
        <v>42607476.75</v>
      </c>
      <c r="G192" s="94">
        <f t="shared" si="159"/>
        <v>42432648.666666664</v>
      </c>
      <c r="H192" s="94">
        <f t="shared" si="160"/>
        <v>42257820.583333336</v>
      </c>
      <c r="I192" s="94">
        <f t="shared" si="161"/>
        <v>42082992.5</v>
      </c>
      <c r="J192" s="94">
        <f t="shared" si="162"/>
        <v>41908164.416666664</v>
      </c>
      <c r="K192" s="94">
        <f t="shared" si="163"/>
        <v>41733336.333333336</v>
      </c>
      <c r="L192" s="94">
        <f t="shared" si="164"/>
        <v>41558508.25</v>
      </c>
      <c r="M192" s="94">
        <f t="shared" si="165"/>
        <v>41383680.166666664</v>
      </c>
      <c r="N192" s="94">
        <f t="shared" si="166"/>
        <v>41208852.083333336</v>
      </c>
      <c r="O192" s="94">
        <f t="shared" si="167"/>
        <v>41034024</v>
      </c>
      <c r="P192" s="94">
        <f t="shared" si="168"/>
        <v>42082992.5</v>
      </c>
      <c r="Q192" s="90"/>
      <c r="R192" s="90"/>
    </row>
    <row r="193" spans="1:18" hidden="1" outlineLevel="1" x14ac:dyDescent="0.25">
      <c r="A193" s="85">
        <v>2012</v>
      </c>
      <c r="B193" s="94">
        <v>38912289</v>
      </c>
      <c r="C193" s="94">
        <f t="shared" si="155"/>
        <v>38912289</v>
      </c>
      <c r="D193" s="94">
        <f t="shared" si="156"/>
        <v>40857212.75</v>
      </c>
      <c r="E193" s="94">
        <f t="shared" si="157"/>
        <v>40680401.5</v>
      </c>
      <c r="F193" s="94">
        <f t="shared" si="158"/>
        <v>40503590.25</v>
      </c>
      <c r="G193" s="94">
        <f t="shared" si="159"/>
        <v>40326779</v>
      </c>
      <c r="H193" s="94">
        <f t="shared" si="160"/>
        <v>40149967.75</v>
      </c>
      <c r="I193" s="94">
        <f t="shared" si="161"/>
        <v>39973156.5</v>
      </c>
      <c r="J193" s="94">
        <f t="shared" si="162"/>
        <v>39796345.25</v>
      </c>
      <c r="K193" s="94">
        <f t="shared" si="163"/>
        <v>39619534</v>
      </c>
      <c r="L193" s="94">
        <f t="shared" si="164"/>
        <v>39442722.75</v>
      </c>
      <c r="M193" s="94">
        <f t="shared" si="165"/>
        <v>39265911.5</v>
      </c>
      <c r="N193" s="94">
        <f t="shared" si="166"/>
        <v>39089100.25</v>
      </c>
      <c r="O193" s="94">
        <f t="shared" si="167"/>
        <v>38912289</v>
      </c>
      <c r="P193" s="94">
        <f t="shared" si="168"/>
        <v>39973156.5</v>
      </c>
      <c r="Q193" s="90"/>
      <c r="R193" s="90"/>
    </row>
    <row r="194" spans="1:18" hidden="1" outlineLevel="1" x14ac:dyDescent="0.25">
      <c r="A194" s="85">
        <v>2013</v>
      </c>
      <c r="B194" s="94">
        <v>37669587</v>
      </c>
      <c r="C194" s="94">
        <f t="shared" si="155"/>
        <v>37669587</v>
      </c>
      <c r="D194" s="94">
        <f t="shared" si="156"/>
        <v>38808730.5</v>
      </c>
      <c r="E194" s="94">
        <f t="shared" si="157"/>
        <v>38705172</v>
      </c>
      <c r="F194" s="94">
        <f t="shared" si="158"/>
        <v>38601613.5</v>
      </c>
      <c r="G194" s="94">
        <f t="shared" si="159"/>
        <v>38498055</v>
      </c>
      <c r="H194" s="94">
        <f t="shared" si="160"/>
        <v>38394496.5</v>
      </c>
      <c r="I194" s="94">
        <f t="shared" si="161"/>
        <v>38290938</v>
      </c>
      <c r="J194" s="94">
        <f t="shared" si="162"/>
        <v>38187379.5</v>
      </c>
      <c r="K194" s="94">
        <f t="shared" si="163"/>
        <v>38083821</v>
      </c>
      <c r="L194" s="94">
        <f t="shared" si="164"/>
        <v>37980262.5</v>
      </c>
      <c r="M194" s="94">
        <f t="shared" si="165"/>
        <v>37876704</v>
      </c>
      <c r="N194" s="94">
        <f t="shared" si="166"/>
        <v>37773145.5</v>
      </c>
      <c r="O194" s="94">
        <f t="shared" si="167"/>
        <v>37669587</v>
      </c>
      <c r="P194" s="94">
        <f t="shared" si="168"/>
        <v>38290938</v>
      </c>
      <c r="Q194" s="90"/>
      <c r="R194" s="90"/>
    </row>
    <row r="195" spans="1:18" hidden="1" outlineLevel="1" x14ac:dyDescent="0.25">
      <c r="A195" s="85">
        <v>2014</v>
      </c>
      <c r="B195" s="94">
        <v>35561671.909999996</v>
      </c>
      <c r="C195" s="94">
        <f t="shared" si="155"/>
        <v>35561671.909999996</v>
      </c>
      <c r="D195" s="94">
        <f t="shared" si="156"/>
        <v>37493927.409166664</v>
      </c>
      <c r="E195" s="94">
        <f t="shared" si="157"/>
        <v>37318267.818333335</v>
      </c>
      <c r="F195" s="94">
        <f t="shared" si="158"/>
        <v>37142608.227499999</v>
      </c>
      <c r="G195" s="94">
        <f t="shared" si="159"/>
        <v>36966948.636666663</v>
      </c>
      <c r="H195" s="94">
        <f t="shared" si="160"/>
        <v>36791289.045833334</v>
      </c>
      <c r="I195" s="94">
        <f t="shared" si="161"/>
        <v>36615629.454999998</v>
      </c>
      <c r="J195" s="94">
        <f t="shared" si="162"/>
        <v>36439969.864166662</v>
      </c>
      <c r="K195" s="94">
        <f t="shared" si="163"/>
        <v>36264310.273333333</v>
      </c>
      <c r="L195" s="94">
        <f t="shared" si="164"/>
        <v>36088650.682499997</v>
      </c>
      <c r="M195" s="94">
        <f t="shared" si="165"/>
        <v>35912991.091666661</v>
      </c>
      <c r="N195" s="94">
        <f t="shared" si="166"/>
        <v>35737331.500833333</v>
      </c>
      <c r="O195" s="94">
        <f t="shared" si="167"/>
        <v>35561671.909999996</v>
      </c>
      <c r="P195" s="94">
        <f t="shared" si="168"/>
        <v>36615629.454999991</v>
      </c>
      <c r="Q195" s="90"/>
      <c r="R195" s="90"/>
    </row>
    <row r="196" spans="1:18" hidden="1" outlineLevel="1" x14ac:dyDescent="0.25">
      <c r="A196" s="85">
        <v>2015</v>
      </c>
      <c r="B196" s="94">
        <v>33829213.810000002</v>
      </c>
      <c r="C196" s="94">
        <f t="shared" si="155"/>
        <v>33829213.810000002</v>
      </c>
      <c r="D196" s="94">
        <f t="shared" si="156"/>
        <v>35417300.401666664</v>
      </c>
      <c r="E196" s="94">
        <f t="shared" si="157"/>
        <v>35272928.893333331</v>
      </c>
      <c r="F196" s="94">
        <f t="shared" si="158"/>
        <v>35128557.384999998</v>
      </c>
      <c r="G196" s="94">
        <f t="shared" si="159"/>
        <v>34984185.876666665</v>
      </c>
      <c r="H196" s="94">
        <f t="shared" si="160"/>
        <v>34839814.368333332</v>
      </c>
      <c r="I196" s="94">
        <f t="shared" si="161"/>
        <v>34695442.859999999</v>
      </c>
      <c r="J196" s="94">
        <f t="shared" si="162"/>
        <v>34551071.351666667</v>
      </c>
      <c r="K196" s="94">
        <f t="shared" si="163"/>
        <v>34406699.843333334</v>
      </c>
      <c r="L196" s="94">
        <f t="shared" si="164"/>
        <v>34262328.335000001</v>
      </c>
      <c r="M196" s="94">
        <f t="shared" si="165"/>
        <v>34117956.826666668</v>
      </c>
      <c r="N196" s="94">
        <f t="shared" si="166"/>
        <v>33973585.318333335</v>
      </c>
      <c r="O196" s="94">
        <f t="shared" si="167"/>
        <v>33829213.810000002</v>
      </c>
      <c r="P196" s="94">
        <f t="shared" si="168"/>
        <v>34695442.859999992</v>
      </c>
      <c r="Q196" s="90"/>
      <c r="R196" s="90"/>
    </row>
    <row r="197" spans="1:18" hidden="1" outlineLevel="1" x14ac:dyDescent="0.25">
      <c r="A197" s="85">
        <v>2016</v>
      </c>
      <c r="B197" s="94">
        <v>32629553.800000001</v>
      </c>
      <c r="C197" s="94">
        <f t="shared" si="155"/>
        <v>32629553.800000001</v>
      </c>
      <c r="D197" s="94">
        <f t="shared" si="156"/>
        <v>33729242.142500006</v>
      </c>
      <c r="E197" s="94">
        <f t="shared" si="157"/>
        <v>33629270.475000001</v>
      </c>
      <c r="F197" s="94">
        <f t="shared" si="158"/>
        <v>33529298.807500001</v>
      </c>
      <c r="G197" s="94">
        <f t="shared" si="159"/>
        <v>33429327.140000001</v>
      </c>
      <c r="H197" s="94">
        <f t="shared" si="160"/>
        <v>33329355.4725</v>
      </c>
      <c r="I197" s="94">
        <f t="shared" si="161"/>
        <v>33229383.805</v>
      </c>
      <c r="J197" s="94">
        <f t="shared" si="162"/>
        <v>33129412.137500003</v>
      </c>
      <c r="K197" s="94">
        <f t="shared" si="163"/>
        <v>33029440.470000003</v>
      </c>
      <c r="L197" s="94">
        <f t="shared" si="164"/>
        <v>32929468.802500002</v>
      </c>
      <c r="M197" s="94">
        <f t="shared" si="165"/>
        <v>32829497.135000002</v>
      </c>
      <c r="N197" s="94">
        <f t="shared" si="166"/>
        <v>32729525.467500001</v>
      </c>
      <c r="O197" s="94">
        <f t="shared" si="167"/>
        <v>32629553.800000001</v>
      </c>
      <c r="P197" s="94">
        <f t="shared" si="168"/>
        <v>33229383.805000003</v>
      </c>
      <c r="Q197" s="90"/>
      <c r="R197" s="90"/>
    </row>
    <row r="198" spans="1:18" hidden="1" outlineLevel="1" x14ac:dyDescent="0.25">
      <c r="A198" s="85">
        <v>2017</v>
      </c>
      <c r="B198" s="94">
        <v>31340349.719999999</v>
      </c>
      <c r="C198" s="94">
        <f t="shared" si="155"/>
        <v>31340349.719999999</v>
      </c>
      <c r="D198" s="94">
        <f t="shared" si="156"/>
        <v>32522120.126666669</v>
      </c>
      <c r="E198" s="94">
        <f t="shared" si="157"/>
        <v>32414686.453333333</v>
      </c>
      <c r="F198" s="94">
        <f t="shared" si="158"/>
        <v>32307252.780000001</v>
      </c>
      <c r="G198" s="94">
        <f t="shared" si="159"/>
        <v>32199819.106666666</v>
      </c>
      <c r="H198" s="94">
        <f t="shared" si="160"/>
        <v>32092385.433333334</v>
      </c>
      <c r="I198" s="94">
        <f t="shared" si="161"/>
        <v>31984951.759999998</v>
      </c>
      <c r="J198" s="94">
        <f t="shared" si="162"/>
        <v>31877518.086666666</v>
      </c>
      <c r="K198" s="94">
        <f t="shared" si="163"/>
        <v>31770084.413333334</v>
      </c>
      <c r="L198" s="94">
        <f t="shared" si="164"/>
        <v>31662650.739999998</v>
      </c>
      <c r="M198" s="94">
        <f t="shared" si="165"/>
        <v>31555217.066666666</v>
      </c>
      <c r="N198" s="94">
        <f t="shared" si="166"/>
        <v>31447783.393333331</v>
      </c>
      <c r="O198" s="94">
        <f t="shared" si="167"/>
        <v>31340349.719999999</v>
      </c>
      <c r="P198" s="94">
        <f t="shared" si="168"/>
        <v>31984951.759999994</v>
      </c>
      <c r="Q198" s="90"/>
      <c r="R198" s="90"/>
    </row>
    <row r="199" spans="1:18" hidden="1" outlineLevel="1" x14ac:dyDescent="0.25">
      <c r="A199" s="85">
        <v>2018</v>
      </c>
      <c r="B199" s="94">
        <v>29346805.27</v>
      </c>
      <c r="C199" s="94">
        <f t="shared" si="155"/>
        <v>29346805.27</v>
      </c>
      <c r="D199" s="94">
        <f t="shared" si="156"/>
        <v>31174221.015833333</v>
      </c>
      <c r="E199" s="94">
        <f t="shared" si="157"/>
        <v>31008092.311666667</v>
      </c>
      <c r="F199" s="94">
        <f t="shared" si="158"/>
        <v>30841963.607499998</v>
      </c>
      <c r="G199" s="94">
        <f t="shared" si="159"/>
        <v>30675834.903333332</v>
      </c>
      <c r="H199" s="94">
        <f t="shared" si="160"/>
        <v>30509706.199166667</v>
      </c>
      <c r="I199" s="94">
        <f t="shared" si="161"/>
        <v>30343577.494999997</v>
      </c>
      <c r="J199" s="94">
        <f t="shared" si="162"/>
        <v>30177448.790833332</v>
      </c>
      <c r="K199" s="94">
        <f t="shared" si="163"/>
        <v>30011320.086666666</v>
      </c>
      <c r="L199" s="94">
        <f t="shared" si="164"/>
        <v>29845191.3825</v>
      </c>
      <c r="M199" s="94">
        <f t="shared" si="165"/>
        <v>29679062.678333335</v>
      </c>
      <c r="N199" s="94">
        <f t="shared" si="166"/>
        <v>29512933.974166665</v>
      </c>
      <c r="O199" s="94">
        <f t="shared" si="167"/>
        <v>29346805.27</v>
      </c>
      <c r="P199" s="94">
        <f t="shared" si="168"/>
        <v>30343577.495000005</v>
      </c>
      <c r="Q199" s="90"/>
      <c r="R199" s="90"/>
    </row>
    <row r="200" spans="1:18" collapsed="1" x14ac:dyDescent="0.25">
      <c r="A200" s="85">
        <v>2019</v>
      </c>
      <c r="B200" s="94">
        <v>27600128.050000001</v>
      </c>
      <c r="C200" s="94">
        <f t="shared" si="155"/>
        <v>27600128.050000001</v>
      </c>
      <c r="D200" s="94">
        <f t="shared" si="156"/>
        <v>29201248.835000001</v>
      </c>
      <c r="E200" s="94">
        <f t="shared" si="157"/>
        <v>29055692.399999999</v>
      </c>
      <c r="F200" s="94">
        <f t="shared" si="158"/>
        <v>28910135.965</v>
      </c>
      <c r="G200" s="94">
        <f t="shared" si="159"/>
        <v>28764579.530000001</v>
      </c>
      <c r="H200" s="94">
        <f t="shared" si="160"/>
        <v>28619023.094999999</v>
      </c>
      <c r="I200" s="94">
        <f t="shared" si="161"/>
        <v>28473466.66</v>
      </c>
      <c r="J200" s="94">
        <f t="shared" si="162"/>
        <v>28327910.225000001</v>
      </c>
      <c r="K200" s="94">
        <f t="shared" si="163"/>
        <v>28182353.789999999</v>
      </c>
      <c r="L200" s="94">
        <f t="shared" si="164"/>
        <v>28036797.355</v>
      </c>
      <c r="M200" s="94">
        <f t="shared" si="165"/>
        <v>27891240.920000002</v>
      </c>
      <c r="N200" s="94">
        <f t="shared" si="166"/>
        <v>27745684.484999999</v>
      </c>
      <c r="O200" s="94">
        <f t="shared" si="167"/>
        <v>27600128.050000001</v>
      </c>
      <c r="P200" s="94">
        <f t="shared" si="168"/>
        <v>28473466.66</v>
      </c>
      <c r="Q200" s="90"/>
      <c r="R200" s="90"/>
    </row>
    <row r="201" spans="1:18" x14ac:dyDescent="0.25">
      <c r="A201" s="85">
        <v>2020</v>
      </c>
      <c r="B201" s="93">
        <v>25610802.640000001</v>
      </c>
      <c r="C201" s="94">
        <f t="shared" si="155"/>
        <v>25610802.640000001</v>
      </c>
      <c r="D201" s="94">
        <f t="shared" si="156"/>
        <v>27434350.932500001</v>
      </c>
      <c r="E201" s="94">
        <f t="shared" si="157"/>
        <v>27268573.815000001</v>
      </c>
      <c r="F201" s="94">
        <f t="shared" si="158"/>
        <v>27102796.697500002</v>
      </c>
      <c r="G201" s="94">
        <f t="shared" si="159"/>
        <v>26937019.580000002</v>
      </c>
      <c r="H201" s="94">
        <f t="shared" si="160"/>
        <v>26771242.462500002</v>
      </c>
      <c r="I201" s="94">
        <f t="shared" si="161"/>
        <v>26605465.344999999</v>
      </c>
      <c r="J201" s="94">
        <f t="shared" si="162"/>
        <v>26439688.227499999</v>
      </c>
      <c r="K201" s="94">
        <f t="shared" si="163"/>
        <v>26273911.109999999</v>
      </c>
      <c r="L201" s="94">
        <f t="shared" si="164"/>
        <v>26108133.9925</v>
      </c>
      <c r="M201" s="94">
        <f t="shared" si="165"/>
        <v>25942356.875</v>
      </c>
      <c r="N201" s="94">
        <f t="shared" si="166"/>
        <v>25776579.7575</v>
      </c>
      <c r="O201" s="94">
        <f t="shared" si="167"/>
        <v>25610802.640000001</v>
      </c>
      <c r="P201" s="94">
        <f t="shared" si="168"/>
        <v>26605465.344999999</v>
      </c>
      <c r="Q201" s="90">
        <f>((I200+I201+(SUM(J200:O200)+SUM(D201:H201))*2)/24)</f>
        <v>27569797.026250001</v>
      </c>
      <c r="R201" s="90">
        <f>I201</f>
        <v>26605465.344999999</v>
      </c>
    </row>
    <row r="202" spans="1:18" x14ac:dyDescent="0.25">
      <c r="B202" s="94"/>
      <c r="C202" s="94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4"/>
      <c r="P202" s="92"/>
      <c r="Q202" s="90"/>
      <c r="R202" s="90"/>
    </row>
    <row r="203" spans="1:18" x14ac:dyDescent="0.25">
      <c r="A203" s="98" t="s">
        <v>150</v>
      </c>
      <c r="B203" s="94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1"/>
      <c r="Q203" s="90"/>
      <c r="R203" s="90"/>
    </row>
    <row r="204" spans="1:18" hidden="1" outlineLevel="1" x14ac:dyDescent="0.25">
      <c r="A204" s="96">
        <v>2008</v>
      </c>
      <c r="B204" s="94">
        <f>7445.17-2388068.74</f>
        <v>-2380623.5700000003</v>
      </c>
      <c r="C204" s="94">
        <f t="shared" ref="C204:C216" si="169">B204</f>
        <v>-2380623.5700000003</v>
      </c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0"/>
      <c r="R204" s="90"/>
    </row>
    <row r="205" spans="1:18" hidden="1" outlineLevel="1" x14ac:dyDescent="0.25">
      <c r="A205" s="96">
        <v>2009</v>
      </c>
      <c r="B205" s="94">
        <f>30259.53-2105355.82</f>
        <v>-2075096.2899999998</v>
      </c>
      <c r="C205" s="94">
        <f t="shared" si="169"/>
        <v>-2075096.2899999998</v>
      </c>
      <c r="D205" s="94">
        <f t="shared" ref="D205:D216" si="170">(B205-B204)/12*1+B204</f>
        <v>-2355162.9633333334</v>
      </c>
      <c r="E205" s="94">
        <f t="shared" ref="E205:E216" si="171">(B205-B204)/12*2+B204</f>
        <v>-2329702.3566666669</v>
      </c>
      <c r="F205" s="94">
        <f t="shared" ref="F205:F216" si="172">(B205-B204)/12*3+B204</f>
        <v>-2304241.75</v>
      </c>
      <c r="G205" s="94">
        <f t="shared" ref="G205:G216" si="173">(B205-B204)/12*4+B204</f>
        <v>-2278781.1433333335</v>
      </c>
      <c r="H205" s="94">
        <f t="shared" ref="H205:H216" si="174">(B205-B204)/12*5+B204</f>
        <v>-2253320.5366666666</v>
      </c>
      <c r="I205" s="94">
        <f t="shared" ref="I205:I216" si="175">(B205-B204)/12*6+B204</f>
        <v>-2227859.9300000002</v>
      </c>
      <c r="J205" s="94">
        <f t="shared" ref="J205:J216" si="176">(B205-B204)/12*7+B204</f>
        <v>-2202399.3233333332</v>
      </c>
      <c r="K205" s="94">
        <f t="shared" ref="K205:K216" si="177">(B205-B204)/12*8+B204</f>
        <v>-2176938.7166666668</v>
      </c>
      <c r="L205" s="94">
        <f t="shared" ref="L205:L216" si="178">(B205-B204)/12*9+B204</f>
        <v>-2151478.11</v>
      </c>
      <c r="M205" s="94">
        <f t="shared" ref="M205:M216" si="179">(B205-B204)/12*10+B204</f>
        <v>-2126017.5033333334</v>
      </c>
      <c r="N205" s="94">
        <f t="shared" ref="N205:N216" si="180">(B205-B204)/12*11+B204</f>
        <v>-2100556.8966666665</v>
      </c>
      <c r="O205" s="94">
        <f t="shared" ref="O205:O216" si="181">+B205</f>
        <v>-2075096.2899999998</v>
      </c>
      <c r="P205" s="94">
        <f t="shared" ref="P205:P216" si="182">((C204+O205)+2*(SUM(D205:N205)))/24</f>
        <v>-2227859.9299999997</v>
      </c>
      <c r="Q205" s="90"/>
      <c r="R205" s="90"/>
    </row>
    <row r="206" spans="1:18" hidden="1" outlineLevel="1" x14ac:dyDescent="0.25">
      <c r="A206" s="85">
        <v>2010</v>
      </c>
      <c r="B206" s="94">
        <f>29860+3077873</f>
        <v>3107733</v>
      </c>
      <c r="C206" s="94">
        <f t="shared" si="169"/>
        <v>3107733</v>
      </c>
      <c r="D206" s="94">
        <f t="shared" si="170"/>
        <v>-1643193.8491666664</v>
      </c>
      <c r="E206" s="94">
        <f t="shared" si="171"/>
        <v>-1211291.4083333332</v>
      </c>
      <c r="F206" s="94">
        <f t="shared" si="172"/>
        <v>-779388.9674999998</v>
      </c>
      <c r="G206" s="94">
        <f t="shared" si="173"/>
        <v>-347486.52666666638</v>
      </c>
      <c r="H206" s="94">
        <f t="shared" si="174"/>
        <v>84415.9141666668</v>
      </c>
      <c r="I206" s="94">
        <f t="shared" si="175"/>
        <v>516318.35500000021</v>
      </c>
      <c r="J206" s="94">
        <f t="shared" si="176"/>
        <v>948220.79583333363</v>
      </c>
      <c r="K206" s="94">
        <f t="shared" si="177"/>
        <v>1380123.236666667</v>
      </c>
      <c r="L206" s="94">
        <f t="shared" si="178"/>
        <v>1812025.6775000005</v>
      </c>
      <c r="M206" s="94">
        <f t="shared" si="179"/>
        <v>2243928.1183333332</v>
      </c>
      <c r="N206" s="94">
        <f t="shared" si="180"/>
        <v>2675830.5591666671</v>
      </c>
      <c r="O206" s="94">
        <f t="shared" si="181"/>
        <v>3107733</v>
      </c>
      <c r="P206" s="94">
        <f t="shared" si="182"/>
        <v>516318.35500000027</v>
      </c>
      <c r="Q206" s="90"/>
      <c r="R206" s="90"/>
    </row>
    <row r="207" spans="1:18" hidden="1" outlineLevel="1" x14ac:dyDescent="0.25">
      <c r="A207" s="85">
        <v>2011</v>
      </c>
      <c r="B207" s="94">
        <v>3942464</v>
      </c>
      <c r="C207" s="94">
        <f t="shared" si="169"/>
        <v>3942464</v>
      </c>
      <c r="D207" s="94">
        <f t="shared" si="170"/>
        <v>3177293.9166666665</v>
      </c>
      <c r="E207" s="94">
        <f t="shared" si="171"/>
        <v>3246854.8333333335</v>
      </c>
      <c r="F207" s="94">
        <f t="shared" si="172"/>
        <v>3316415.75</v>
      </c>
      <c r="G207" s="94">
        <f t="shared" si="173"/>
        <v>3385976.6666666665</v>
      </c>
      <c r="H207" s="94">
        <f t="shared" si="174"/>
        <v>3455537.5833333335</v>
      </c>
      <c r="I207" s="94">
        <f t="shared" si="175"/>
        <v>3525098.5</v>
      </c>
      <c r="J207" s="94">
        <f t="shared" si="176"/>
        <v>3594659.4166666665</v>
      </c>
      <c r="K207" s="94">
        <f t="shared" si="177"/>
        <v>3664220.3333333335</v>
      </c>
      <c r="L207" s="94">
        <f t="shared" si="178"/>
        <v>3733781.25</v>
      </c>
      <c r="M207" s="94">
        <f t="shared" si="179"/>
        <v>3803342.166666667</v>
      </c>
      <c r="N207" s="94">
        <f t="shared" si="180"/>
        <v>3872903.0833333335</v>
      </c>
      <c r="O207" s="94">
        <f t="shared" si="181"/>
        <v>3942464</v>
      </c>
      <c r="P207" s="94">
        <f t="shared" si="182"/>
        <v>3525098.5</v>
      </c>
      <c r="Q207" s="90"/>
      <c r="R207" s="90"/>
    </row>
    <row r="208" spans="1:18" hidden="1" outlineLevel="1" x14ac:dyDescent="0.25">
      <c r="A208" s="85">
        <v>2012</v>
      </c>
      <c r="B208" s="94">
        <v>4505025</v>
      </c>
      <c r="C208" s="94">
        <f t="shared" si="169"/>
        <v>4505025</v>
      </c>
      <c r="D208" s="94">
        <f t="shared" si="170"/>
        <v>3989344.0833333335</v>
      </c>
      <c r="E208" s="94">
        <f t="shared" si="171"/>
        <v>4036224.1666666665</v>
      </c>
      <c r="F208" s="94">
        <f t="shared" si="172"/>
        <v>4083104.25</v>
      </c>
      <c r="G208" s="94">
        <f t="shared" si="173"/>
        <v>4129984.3333333335</v>
      </c>
      <c r="H208" s="94">
        <f t="shared" si="174"/>
        <v>4176864.4166666665</v>
      </c>
      <c r="I208" s="94">
        <f t="shared" si="175"/>
        <v>4223744.5</v>
      </c>
      <c r="J208" s="94">
        <f t="shared" si="176"/>
        <v>4270624.583333333</v>
      </c>
      <c r="K208" s="94">
        <f t="shared" si="177"/>
        <v>4317504.666666667</v>
      </c>
      <c r="L208" s="94">
        <f t="shared" si="178"/>
        <v>4364384.75</v>
      </c>
      <c r="M208" s="94">
        <f t="shared" si="179"/>
        <v>4411264.833333333</v>
      </c>
      <c r="N208" s="94">
        <f t="shared" si="180"/>
        <v>4458144.916666667</v>
      </c>
      <c r="O208" s="94">
        <f t="shared" si="181"/>
        <v>4505025</v>
      </c>
      <c r="P208" s="94">
        <f t="shared" si="182"/>
        <v>4223744.5</v>
      </c>
      <c r="Q208" s="90"/>
      <c r="R208" s="90"/>
    </row>
    <row r="209" spans="1:18" hidden="1" outlineLevel="1" x14ac:dyDescent="0.25">
      <c r="A209" s="85">
        <v>2013</v>
      </c>
      <c r="B209" s="94">
        <v>29647134</v>
      </c>
      <c r="C209" s="94">
        <f t="shared" si="169"/>
        <v>29647134</v>
      </c>
      <c r="D209" s="94">
        <f t="shared" si="170"/>
        <v>6600200.75</v>
      </c>
      <c r="E209" s="94">
        <f t="shared" si="171"/>
        <v>8695376.5</v>
      </c>
      <c r="F209" s="94">
        <f t="shared" si="172"/>
        <v>10790552.25</v>
      </c>
      <c r="G209" s="94">
        <f t="shared" si="173"/>
        <v>12885728</v>
      </c>
      <c r="H209" s="94">
        <f t="shared" si="174"/>
        <v>14980903.75</v>
      </c>
      <c r="I209" s="94">
        <f t="shared" si="175"/>
        <v>17076079.5</v>
      </c>
      <c r="J209" s="94">
        <f t="shared" si="176"/>
        <v>19171255.25</v>
      </c>
      <c r="K209" s="94">
        <f t="shared" si="177"/>
        <v>21266431</v>
      </c>
      <c r="L209" s="94">
        <f t="shared" si="178"/>
        <v>23361606.75</v>
      </c>
      <c r="M209" s="94">
        <f t="shared" si="179"/>
        <v>25456782.5</v>
      </c>
      <c r="N209" s="94">
        <f t="shared" si="180"/>
        <v>27551958.25</v>
      </c>
      <c r="O209" s="94">
        <f t="shared" si="181"/>
        <v>29647134</v>
      </c>
      <c r="P209" s="94">
        <f t="shared" si="182"/>
        <v>17076079.5</v>
      </c>
      <c r="Q209" s="90"/>
      <c r="R209" s="90"/>
    </row>
    <row r="210" spans="1:18" hidden="1" outlineLevel="1" x14ac:dyDescent="0.25">
      <c r="A210" s="85">
        <v>2014</v>
      </c>
      <c r="B210" s="94">
        <f>16125935.3+15105169.53</f>
        <v>31231104.829999998</v>
      </c>
      <c r="C210" s="94">
        <f t="shared" si="169"/>
        <v>31231104.829999998</v>
      </c>
      <c r="D210" s="94">
        <f t="shared" si="170"/>
        <v>29779131.569166668</v>
      </c>
      <c r="E210" s="94">
        <f t="shared" si="171"/>
        <v>29911129.138333332</v>
      </c>
      <c r="F210" s="94">
        <f t="shared" si="172"/>
        <v>30043126.7075</v>
      </c>
      <c r="G210" s="94">
        <f t="shared" si="173"/>
        <v>30175124.276666667</v>
      </c>
      <c r="H210" s="94">
        <f t="shared" si="174"/>
        <v>30307121.845833331</v>
      </c>
      <c r="I210" s="94">
        <f t="shared" si="175"/>
        <v>30439119.414999999</v>
      </c>
      <c r="J210" s="94">
        <f t="shared" si="176"/>
        <v>30571116.984166667</v>
      </c>
      <c r="K210" s="94">
        <f t="shared" si="177"/>
        <v>30703114.553333331</v>
      </c>
      <c r="L210" s="94">
        <f t="shared" si="178"/>
        <v>30835112.122499999</v>
      </c>
      <c r="M210" s="94">
        <f t="shared" si="179"/>
        <v>30967109.691666666</v>
      </c>
      <c r="N210" s="94">
        <f t="shared" si="180"/>
        <v>31099107.26083333</v>
      </c>
      <c r="O210" s="94">
        <f t="shared" si="181"/>
        <v>31231104.829999998</v>
      </c>
      <c r="P210" s="94">
        <f t="shared" si="182"/>
        <v>30439119.415000003</v>
      </c>
      <c r="Q210" s="90"/>
      <c r="R210" s="90"/>
    </row>
    <row r="211" spans="1:18" hidden="1" outlineLevel="1" x14ac:dyDescent="0.25">
      <c r="A211" s="85">
        <v>2015</v>
      </c>
      <c r="B211" s="94">
        <f>16790823.03+15555113.16</f>
        <v>32345936.190000001</v>
      </c>
      <c r="C211" s="94">
        <f t="shared" si="169"/>
        <v>32345936.190000001</v>
      </c>
      <c r="D211" s="94">
        <f t="shared" si="170"/>
        <v>31324007.443333331</v>
      </c>
      <c r="E211" s="94">
        <f t="shared" si="171"/>
        <v>31416910.056666665</v>
      </c>
      <c r="F211" s="94">
        <f t="shared" si="172"/>
        <v>31509812.669999998</v>
      </c>
      <c r="G211" s="94">
        <f t="shared" si="173"/>
        <v>31602715.283333331</v>
      </c>
      <c r="H211" s="94">
        <f t="shared" si="174"/>
        <v>31695617.896666665</v>
      </c>
      <c r="I211" s="94">
        <f t="shared" si="175"/>
        <v>31788520.509999998</v>
      </c>
      <c r="J211" s="94">
        <f t="shared" si="176"/>
        <v>31881423.123333335</v>
      </c>
      <c r="K211" s="94">
        <f t="shared" si="177"/>
        <v>31974325.736666668</v>
      </c>
      <c r="L211" s="94">
        <f t="shared" si="178"/>
        <v>32067228.350000001</v>
      </c>
      <c r="M211" s="94">
        <f t="shared" si="179"/>
        <v>32160130.963333335</v>
      </c>
      <c r="N211" s="94">
        <f t="shared" si="180"/>
        <v>32253033.576666668</v>
      </c>
      <c r="O211" s="94">
        <f t="shared" si="181"/>
        <v>32345936.190000001</v>
      </c>
      <c r="P211" s="94">
        <f t="shared" si="182"/>
        <v>31788520.509999994</v>
      </c>
      <c r="Q211" s="90"/>
      <c r="R211" s="90"/>
    </row>
    <row r="212" spans="1:18" hidden="1" outlineLevel="1" x14ac:dyDescent="0.25">
      <c r="A212" s="85">
        <v>2016</v>
      </c>
      <c r="B212" s="94">
        <v>33295134.59</v>
      </c>
      <c r="C212" s="94">
        <f t="shared" si="169"/>
        <v>33295134.59</v>
      </c>
      <c r="D212" s="94">
        <f t="shared" si="170"/>
        <v>32425036.056666669</v>
      </c>
      <c r="E212" s="94">
        <f t="shared" si="171"/>
        <v>32504135.923333336</v>
      </c>
      <c r="F212" s="94">
        <f t="shared" si="172"/>
        <v>32583235.789999999</v>
      </c>
      <c r="G212" s="94">
        <f t="shared" si="173"/>
        <v>32662335.656666666</v>
      </c>
      <c r="H212" s="94">
        <f t="shared" si="174"/>
        <v>32741435.523333333</v>
      </c>
      <c r="I212" s="94">
        <f t="shared" si="175"/>
        <v>32820535.390000001</v>
      </c>
      <c r="J212" s="94">
        <f t="shared" si="176"/>
        <v>32899635.256666668</v>
      </c>
      <c r="K212" s="94">
        <f t="shared" si="177"/>
        <v>32978735.123333335</v>
      </c>
      <c r="L212" s="94">
        <f t="shared" si="178"/>
        <v>33057834.990000002</v>
      </c>
      <c r="M212" s="94">
        <f t="shared" si="179"/>
        <v>33136934.856666666</v>
      </c>
      <c r="N212" s="94">
        <f t="shared" si="180"/>
        <v>33216034.723333333</v>
      </c>
      <c r="O212" s="94">
        <f t="shared" si="181"/>
        <v>33295134.59</v>
      </c>
      <c r="P212" s="94">
        <f t="shared" si="182"/>
        <v>32820535.390000004</v>
      </c>
      <c r="Q212" s="90"/>
      <c r="R212" s="90"/>
    </row>
    <row r="213" spans="1:18" hidden="1" outlineLevel="1" x14ac:dyDescent="0.25">
      <c r="A213" s="85">
        <v>2017</v>
      </c>
      <c r="B213" s="94">
        <v>34863832.340000004</v>
      </c>
      <c r="C213" s="94">
        <f t="shared" si="169"/>
        <v>34863832.340000004</v>
      </c>
      <c r="D213" s="94">
        <f t="shared" si="170"/>
        <v>33425859.4025</v>
      </c>
      <c r="E213" s="94">
        <f t="shared" si="171"/>
        <v>33556584.215000004</v>
      </c>
      <c r="F213" s="94">
        <f t="shared" si="172"/>
        <v>33687309.027500004</v>
      </c>
      <c r="G213" s="94">
        <f t="shared" si="173"/>
        <v>33818033.840000004</v>
      </c>
      <c r="H213" s="94">
        <f t="shared" si="174"/>
        <v>33948758.652500004</v>
      </c>
      <c r="I213" s="94">
        <f t="shared" si="175"/>
        <v>34079483.465000004</v>
      </c>
      <c r="J213" s="94">
        <f t="shared" si="176"/>
        <v>34210208.277500004</v>
      </c>
      <c r="K213" s="94">
        <f t="shared" si="177"/>
        <v>34340933.090000004</v>
      </c>
      <c r="L213" s="94">
        <f t="shared" si="178"/>
        <v>34471657.902500004</v>
      </c>
      <c r="M213" s="94">
        <f t="shared" si="179"/>
        <v>34602382.715000004</v>
      </c>
      <c r="N213" s="94">
        <f t="shared" si="180"/>
        <v>34733107.527500004</v>
      </c>
      <c r="O213" s="94">
        <f t="shared" si="181"/>
        <v>34863832.340000004</v>
      </c>
      <c r="P213" s="94">
        <f t="shared" si="182"/>
        <v>34079483.465000011</v>
      </c>
      <c r="Q213" s="90"/>
      <c r="R213" s="90"/>
    </row>
    <row r="214" spans="1:18" hidden="1" outlineLevel="1" x14ac:dyDescent="0.25">
      <c r="A214" s="85">
        <v>2018</v>
      </c>
      <c r="B214" s="94">
        <f>18829152.24+16324348.87</f>
        <v>35153501.109999999</v>
      </c>
      <c r="C214" s="94">
        <f t="shared" si="169"/>
        <v>35153501.109999999</v>
      </c>
      <c r="D214" s="94">
        <f t="shared" si="170"/>
        <v>34887971.404166669</v>
      </c>
      <c r="E214" s="94">
        <f t="shared" si="171"/>
        <v>34912110.468333334</v>
      </c>
      <c r="F214" s="94">
        <f t="shared" si="172"/>
        <v>34936249.532499999</v>
      </c>
      <c r="G214" s="94">
        <f t="shared" si="173"/>
        <v>34960388.596666671</v>
      </c>
      <c r="H214" s="94">
        <f t="shared" si="174"/>
        <v>34984527.660833336</v>
      </c>
      <c r="I214" s="94">
        <f t="shared" si="175"/>
        <v>35008666.725000001</v>
      </c>
      <c r="J214" s="94">
        <f t="shared" si="176"/>
        <v>35032805.789166667</v>
      </c>
      <c r="K214" s="94">
        <f t="shared" si="177"/>
        <v>35056944.853333332</v>
      </c>
      <c r="L214" s="94">
        <f t="shared" si="178"/>
        <v>35081083.917500004</v>
      </c>
      <c r="M214" s="94">
        <f t="shared" si="179"/>
        <v>35105222.981666669</v>
      </c>
      <c r="N214" s="94">
        <f t="shared" si="180"/>
        <v>35129362.045833334</v>
      </c>
      <c r="O214" s="94">
        <f t="shared" si="181"/>
        <v>35153501.109999999</v>
      </c>
      <c r="P214" s="94">
        <f t="shared" si="182"/>
        <v>35008666.725000001</v>
      </c>
      <c r="Q214" s="90"/>
      <c r="R214" s="90"/>
    </row>
    <row r="215" spans="1:18" collapsed="1" x14ac:dyDescent="0.25">
      <c r="A215" s="85">
        <v>2019</v>
      </c>
      <c r="B215" s="94">
        <f>18928605.53+16348083.35</f>
        <v>35276688.880000003</v>
      </c>
      <c r="C215" s="94">
        <f t="shared" si="169"/>
        <v>35276688.880000003</v>
      </c>
      <c r="D215" s="94">
        <f t="shared" si="170"/>
        <v>35163766.7575</v>
      </c>
      <c r="E215" s="94">
        <f t="shared" si="171"/>
        <v>35174032.405000001</v>
      </c>
      <c r="F215" s="94">
        <f t="shared" si="172"/>
        <v>35184298.052500002</v>
      </c>
      <c r="G215" s="94">
        <f t="shared" si="173"/>
        <v>35194563.700000003</v>
      </c>
      <c r="H215" s="94">
        <f t="shared" si="174"/>
        <v>35204829.347500004</v>
      </c>
      <c r="I215" s="94">
        <f t="shared" si="175"/>
        <v>35215094.995000005</v>
      </c>
      <c r="J215" s="94">
        <f t="shared" si="176"/>
        <v>35225360.642499998</v>
      </c>
      <c r="K215" s="94">
        <f t="shared" si="177"/>
        <v>35235626.289999999</v>
      </c>
      <c r="L215" s="94">
        <f t="shared" si="178"/>
        <v>35245891.9375</v>
      </c>
      <c r="M215" s="94">
        <f t="shared" si="179"/>
        <v>35256157.585000001</v>
      </c>
      <c r="N215" s="94">
        <f t="shared" si="180"/>
        <v>35266423.232500002</v>
      </c>
      <c r="O215" s="94">
        <f t="shared" si="181"/>
        <v>35276688.880000003</v>
      </c>
      <c r="P215" s="94">
        <f t="shared" si="182"/>
        <v>35215094.995000005</v>
      </c>
      <c r="Q215" s="90"/>
      <c r="R215" s="90"/>
    </row>
    <row r="216" spans="1:18" x14ac:dyDescent="0.25">
      <c r="A216" s="85">
        <v>2020</v>
      </c>
      <c r="B216" s="93">
        <f>19002866.45+16340425.53</f>
        <v>35343291.979999997</v>
      </c>
      <c r="C216" s="94">
        <f t="shared" si="169"/>
        <v>35343291.979999997</v>
      </c>
      <c r="D216" s="94">
        <f t="shared" si="170"/>
        <v>35282239.138333336</v>
      </c>
      <c r="E216" s="94">
        <f t="shared" si="171"/>
        <v>35287789.396666668</v>
      </c>
      <c r="F216" s="94">
        <f t="shared" si="172"/>
        <v>35293339.655000001</v>
      </c>
      <c r="G216" s="94">
        <f t="shared" si="173"/>
        <v>35298889.913333334</v>
      </c>
      <c r="H216" s="94">
        <f t="shared" si="174"/>
        <v>35304440.171666667</v>
      </c>
      <c r="I216" s="94">
        <f t="shared" si="175"/>
        <v>35309990.43</v>
      </c>
      <c r="J216" s="94">
        <f t="shared" si="176"/>
        <v>35315540.688333333</v>
      </c>
      <c r="K216" s="94">
        <f t="shared" si="177"/>
        <v>35321090.946666665</v>
      </c>
      <c r="L216" s="94">
        <f t="shared" si="178"/>
        <v>35326641.204999998</v>
      </c>
      <c r="M216" s="94">
        <f t="shared" si="179"/>
        <v>35332191.463333331</v>
      </c>
      <c r="N216" s="94">
        <f t="shared" si="180"/>
        <v>35337741.721666664</v>
      </c>
      <c r="O216" s="94">
        <f t="shared" si="181"/>
        <v>35343291.979999997</v>
      </c>
      <c r="P216" s="94">
        <f t="shared" si="182"/>
        <v>35309990.429999992</v>
      </c>
      <c r="Q216" s="90">
        <f>((I215+I216+(SUM(J215:O215)+SUM(D216:H216))*2)/24)</f>
        <v>35269615.796249993</v>
      </c>
      <c r="R216" s="90">
        <f>I216</f>
        <v>35309990.43</v>
      </c>
    </row>
    <row r="217" spans="1:18" x14ac:dyDescent="0.25">
      <c r="B217" s="94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0"/>
      <c r="R217" s="90"/>
    </row>
    <row r="218" spans="1:18" x14ac:dyDescent="0.25">
      <c r="A218" s="98" t="s">
        <v>149</v>
      </c>
      <c r="B218" s="94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1"/>
      <c r="Q218" s="90"/>
      <c r="R218" s="90"/>
    </row>
    <row r="219" spans="1:18" hidden="1" outlineLevel="1" x14ac:dyDescent="0.25">
      <c r="A219" s="96">
        <v>2008</v>
      </c>
      <c r="B219" s="94"/>
      <c r="C219" s="94">
        <f t="shared" ref="C219:C231" si="183">B219</f>
        <v>0</v>
      </c>
      <c r="D219" s="94">
        <f>(B219-B218)/12*1+B218</f>
        <v>0</v>
      </c>
      <c r="E219" s="94">
        <f>(B219-B218)/12*2+B218</f>
        <v>0</v>
      </c>
      <c r="F219" s="94">
        <f>(B219-B218)/12*3+B218</f>
        <v>0</v>
      </c>
      <c r="G219" s="94">
        <f>(B219-B218)/12*4+B218</f>
        <v>0</v>
      </c>
      <c r="H219" s="94">
        <f>(B219-B218)/12*5+B218</f>
        <v>0</v>
      </c>
      <c r="I219" s="94">
        <f>(B219-B218)/12*6+B218</f>
        <v>0</v>
      </c>
      <c r="J219" s="94">
        <f>(B219-B218)/12*7+B218</f>
        <v>0</v>
      </c>
      <c r="K219" s="94">
        <f>(B219-B218)/12*8+B218</f>
        <v>0</v>
      </c>
      <c r="L219" s="94">
        <f>(B219-B218)/12*9+B218</f>
        <v>0</v>
      </c>
      <c r="M219" s="94">
        <f>(B219-B218)/12*10+B218</f>
        <v>0</v>
      </c>
      <c r="N219" s="94">
        <f>(B219-B218)/12*11+B218</f>
        <v>0</v>
      </c>
      <c r="O219" s="94">
        <f>+B219</f>
        <v>0</v>
      </c>
      <c r="P219" s="94">
        <f>((C218+O219)+2*(SUM(D219:N219)))/24</f>
        <v>0</v>
      </c>
      <c r="Q219" s="90"/>
      <c r="R219" s="90"/>
    </row>
    <row r="220" spans="1:18" hidden="1" outlineLevel="1" x14ac:dyDescent="0.25">
      <c r="A220" s="96">
        <v>2009</v>
      </c>
      <c r="B220" s="94"/>
      <c r="C220" s="94">
        <f t="shared" si="183"/>
        <v>0</v>
      </c>
      <c r="D220" s="94">
        <f>(B220-B219)/12*1+B219</f>
        <v>0</v>
      </c>
      <c r="E220" s="94">
        <f>(B220-B219)/12*2+B219</f>
        <v>0</v>
      </c>
      <c r="F220" s="94">
        <f>(B220-B219)/12*3+B219</f>
        <v>0</v>
      </c>
      <c r="G220" s="94">
        <f>(B220-B219)/12*4+B219</f>
        <v>0</v>
      </c>
      <c r="H220" s="94">
        <f>(B220-B219)/12*5+B219</f>
        <v>0</v>
      </c>
      <c r="I220" s="94">
        <f>(B220-B219)/12*6+B219</f>
        <v>0</v>
      </c>
      <c r="J220" s="94">
        <f>(B220-B219)/12*7+B219</f>
        <v>0</v>
      </c>
      <c r="K220" s="94">
        <f>(B220-B219)/12*8+B219</f>
        <v>0</v>
      </c>
      <c r="L220" s="94">
        <f>(B220-B219)/12*9+B219</f>
        <v>0</v>
      </c>
      <c r="M220" s="94">
        <f>(B220-B219)/12*10+B219</f>
        <v>0</v>
      </c>
      <c r="N220" s="94">
        <f>(B220-B219)/12*11+B219</f>
        <v>0</v>
      </c>
      <c r="O220" s="94">
        <f>+B220</f>
        <v>0</v>
      </c>
      <c r="P220" s="94">
        <f>((C219+O220)+2*(SUM(D220:N220)))/24</f>
        <v>0</v>
      </c>
      <c r="Q220" s="90"/>
      <c r="R220" s="90"/>
    </row>
    <row r="221" spans="1:18" hidden="1" outlineLevel="1" x14ac:dyDescent="0.25">
      <c r="A221" s="85">
        <v>2010</v>
      </c>
      <c r="B221" s="94"/>
      <c r="C221" s="94">
        <f t="shared" si="183"/>
        <v>0</v>
      </c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1"/>
      <c r="Q221" s="90"/>
      <c r="R221" s="90"/>
    </row>
    <row r="222" spans="1:18" hidden="1" outlineLevel="1" x14ac:dyDescent="0.25">
      <c r="A222" s="85">
        <v>2011</v>
      </c>
      <c r="B222" s="94">
        <v>0</v>
      </c>
      <c r="C222" s="94">
        <f t="shared" si="183"/>
        <v>0</v>
      </c>
      <c r="D222" s="94">
        <f t="shared" ref="D222:D231" si="184">(B222-B221)/12*1+B221</f>
        <v>0</v>
      </c>
      <c r="E222" s="94">
        <f t="shared" ref="E222:E231" si="185">(B222-B221)/12*2+B221</f>
        <v>0</v>
      </c>
      <c r="F222" s="94">
        <f t="shared" ref="F222:F231" si="186">(B222-B221)/12*3+B221</f>
        <v>0</v>
      </c>
      <c r="G222" s="94">
        <f t="shared" ref="G222:G231" si="187">(B222-B221)/12*4+B221</f>
        <v>0</v>
      </c>
      <c r="H222" s="94">
        <f t="shared" ref="H222:H231" si="188">(B222-B221)/12*5+B221</f>
        <v>0</v>
      </c>
      <c r="I222" s="94">
        <f t="shared" ref="I222:I231" si="189">(B222-B221)/12*6+B221</f>
        <v>0</v>
      </c>
      <c r="J222" s="94">
        <f t="shared" ref="J222:J231" si="190">(B222-B221)/12*7+B221</f>
        <v>0</v>
      </c>
      <c r="K222" s="94">
        <f t="shared" ref="K222:K231" si="191">(B222-B221)/12*8+B221</f>
        <v>0</v>
      </c>
      <c r="L222" s="94">
        <f t="shared" ref="L222:L231" si="192">(B222-B221)/12*9+B221</f>
        <v>0</v>
      </c>
      <c r="M222" s="94">
        <f t="shared" ref="M222:M231" si="193">(B222-B221)/12*10+B221</f>
        <v>0</v>
      </c>
      <c r="N222" s="94">
        <f t="shared" ref="N222:N231" si="194">(B222-B221)/12*11+B221</f>
        <v>0</v>
      </c>
      <c r="O222" s="94">
        <f t="shared" ref="O222:O231" si="195">+B222</f>
        <v>0</v>
      </c>
      <c r="P222" s="94">
        <f t="shared" ref="P222:P231" si="196">((C221+O222)+2*(SUM(D222:N222)))/24</f>
        <v>0</v>
      </c>
      <c r="Q222" s="90"/>
      <c r="R222" s="90"/>
    </row>
    <row r="223" spans="1:18" hidden="1" outlineLevel="1" x14ac:dyDescent="0.25">
      <c r="A223" s="85">
        <v>2012</v>
      </c>
      <c r="B223" s="94">
        <v>112205285</v>
      </c>
      <c r="C223" s="94">
        <f t="shared" si="183"/>
        <v>112205285</v>
      </c>
      <c r="D223" s="94">
        <f t="shared" si="184"/>
        <v>9350440.416666666</v>
      </c>
      <c r="E223" s="94">
        <f t="shared" si="185"/>
        <v>18700880.833333332</v>
      </c>
      <c r="F223" s="94">
        <f t="shared" si="186"/>
        <v>28051321.25</v>
      </c>
      <c r="G223" s="94">
        <f t="shared" si="187"/>
        <v>37401761.666666664</v>
      </c>
      <c r="H223" s="94">
        <f t="shared" si="188"/>
        <v>46752202.083333328</v>
      </c>
      <c r="I223" s="94">
        <f t="shared" si="189"/>
        <v>56102642.5</v>
      </c>
      <c r="J223" s="94">
        <f t="shared" si="190"/>
        <v>65453082.916666664</v>
      </c>
      <c r="K223" s="94">
        <f t="shared" si="191"/>
        <v>74803523.333333328</v>
      </c>
      <c r="L223" s="94">
        <f t="shared" si="192"/>
        <v>84153963.75</v>
      </c>
      <c r="M223" s="94">
        <f t="shared" si="193"/>
        <v>93504404.166666657</v>
      </c>
      <c r="N223" s="94">
        <f t="shared" si="194"/>
        <v>102854844.58333333</v>
      </c>
      <c r="O223" s="94">
        <f t="shared" si="195"/>
        <v>112205285</v>
      </c>
      <c r="P223" s="94">
        <f t="shared" si="196"/>
        <v>56102642.5</v>
      </c>
      <c r="Q223" s="90"/>
      <c r="R223" s="90"/>
    </row>
    <row r="224" spans="1:18" hidden="1" outlineLevel="1" x14ac:dyDescent="0.25">
      <c r="A224" s="85">
        <v>2013</v>
      </c>
      <c r="B224" s="94">
        <v>136161373</v>
      </c>
      <c r="C224" s="94">
        <f t="shared" si="183"/>
        <v>136161373</v>
      </c>
      <c r="D224" s="94">
        <f t="shared" si="184"/>
        <v>114201625.66666667</v>
      </c>
      <c r="E224" s="94">
        <f t="shared" si="185"/>
        <v>116197966.33333333</v>
      </c>
      <c r="F224" s="94">
        <f t="shared" si="186"/>
        <v>118194307</v>
      </c>
      <c r="G224" s="94">
        <f t="shared" si="187"/>
        <v>120190647.66666667</v>
      </c>
      <c r="H224" s="94">
        <f t="shared" si="188"/>
        <v>122186988.33333333</v>
      </c>
      <c r="I224" s="94">
        <f t="shared" si="189"/>
        <v>124183329</v>
      </c>
      <c r="J224" s="94">
        <f t="shared" si="190"/>
        <v>126179669.66666667</v>
      </c>
      <c r="K224" s="94">
        <f t="shared" si="191"/>
        <v>128176010.33333333</v>
      </c>
      <c r="L224" s="94">
        <f t="shared" si="192"/>
        <v>130172351</v>
      </c>
      <c r="M224" s="94">
        <f t="shared" si="193"/>
        <v>132168691.66666667</v>
      </c>
      <c r="N224" s="94">
        <f t="shared" si="194"/>
        <v>134165032.33333334</v>
      </c>
      <c r="O224" s="94">
        <f t="shared" si="195"/>
        <v>136161373</v>
      </c>
      <c r="P224" s="94">
        <f t="shared" si="196"/>
        <v>124183329</v>
      </c>
      <c r="Q224" s="90"/>
      <c r="R224" s="90"/>
    </row>
    <row r="225" spans="1:18" hidden="1" outlineLevel="1" x14ac:dyDescent="0.25">
      <c r="A225" s="85">
        <v>2014</v>
      </c>
      <c r="B225" s="94">
        <v>150865526.53</v>
      </c>
      <c r="C225" s="94">
        <f t="shared" si="183"/>
        <v>150865526.53</v>
      </c>
      <c r="D225" s="94">
        <f t="shared" si="184"/>
        <v>137386719.1275</v>
      </c>
      <c r="E225" s="94">
        <f t="shared" si="185"/>
        <v>138612065.255</v>
      </c>
      <c r="F225" s="94">
        <f t="shared" si="186"/>
        <v>139837411.38249999</v>
      </c>
      <c r="G225" s="94">
        <f t="shared" si="187"/>
        <v>141062757.50999999</v>
      </c>
      <c r="H225" s="94">
        <f t="shared" si="188"/>
        <v>142288103.63749999</v>
      </c>
      <c r="I225" s="94">
        <f t="shared" si="189"/>
        <v>143513449.76499999</v>
      </c>
      <c r="J225" s="94">
        <f t="shared" si="190"/>
        <v>144738795.89250001</v>
      </c>
      <c r="K225" s="94">
        <f t="shared" si="191"/>
        <v>145964142.02000001</v>
      </c>
      <c r="L225" s="94">
        <f t="shared" si="192"/>
        <v>147189488.14750001</v>
      </c>
      <c r="M225" s="94">
        <f t="shared" si="193"/>
        <v>148414834.27500001</v>
      </c>
      <c r="N225" s="94">
        <f t="shared" si="194"/>
        <v>149640180.4025</v>
      </c>
      <c r="O225" s="94">
        <f t="shared" si="195"/>
        <v>150865526.53</v>
      </c>
      <c r="P225" s="94">
        <f t="shared" si="196"/>
        <v>143513449.76499999</v>
      </c>
      <c r="Q225" s="90"/>
      <c r="R225" s="90"/>
    </row>
    <row r="226" spans="1:18" hidden="1" outlineLevel="1" x14ac:dyDescent="0.25">
      <c r="A226" s="85">
        <v>2015</v>
      </c>
      <c r="B226" s="94">
        <v>130950010.04000001</v>
      </c>
      <c r="C226" s="94">
        <f t="shared" si="183"/>
        <v>130950010.04000001</v>
      </c>
      <c r="D226" s="94">
        <f t="shared" si="184"/>
        <v>149205900.15583333</v>
      </c>
      <c r="E226" s="94">
        <f t="shared" si="185"/>
        <v>147546273.78166667</v>
      </c>
      <c r="F226" s="94">
        <f t="shared" si="186"/>
        <v>145886647.4075</v>
      </c>
      <c r="G226" s="94">
        <f t="shared" si="187"/>
        <v>144227021.03333333</v>
      </c>
      <c r="H226" s="94">
        <f t="shared" si="188"/>
        <v>142567394.65916666</v>
      </c>
      <c r="I226" s="94">
        <f t="shared" si="189"/>
        <v>140907768.285</v>
      </c>
      <c r="J226" s="94">
        <f t="shared" si="190"/>
        <v>139248141.91083333</v>
      </c>
      <c r="K226" s="94">
        <f t="shared" si="191"/>
        <v>137588515.53666666</v>
      </c>
      <c r="L226" s="94">
        <f t="shared" si="192"/>
        <v>135928889.16249999</v>
      </c>
      <c r="M226" s="94">
        <f t="shared" si="193"/>
        <v>134269262.78833333</v>
      </c>
      <c r="N226" s="94">
        <f t="shared" si="194"/>
        <v>132609636.41416667</v>
      </c>
      <c r="O226" s="94">
        <f t="shared" si="195"/>
        <v>130950010.04000001</v>
      </c>
      <c r="P226" s="94">
        <f t="shared" si="196"/>
        <v>140907768.285</v>
      </c>
      <c r="Q226" s="90"/>
      <c r="R226" s="90"/>
    </row>
    <row r="227" spans="1:18" hidden="1" outlineLevel="1" x14ac:dyDescent="0.25">
      <c r="A227" s="85">
        <v>2016</v>
      </c>
      <c r="B227" s="94">
        <v>134420824.99000001</v>
      </c>
      <c r="C227" s="94">
        <f t="shared" si="183"/>
        <v>134420824.99000001</v>
      </c>
      <c r="D227" s="94">
        <f t="shared" si="184"/>
        <v>131239244.61916667</v>
      </c>
      <c r="E227" s="94">
        <f t="shared" si="185"/>
        <v>131528479.19833334</v>
      </c>
      <c r="F227" s="94">
        <f t="shared" si="186"/>
        <v>131817713.7775</v>
      </c>
      <c r="G227" s="94">
        <f t="shared" si="187"/>
        <v>132106948.35666667</v>
      </c>
      <c r="H227" s="94">
        <f t="shared" si="188"/>
        <v>132396182.93583333</v>
      </c>
      <c r="I227" s="94">
        <f t="shared" si="189"/>
        <v>132685417.51500002</v>
      </c>
      <c r="J227" s="94">
        <f t="shared" si="190"/>
        <v>132974652.09416668</v>
      </c>
      <c r="K227" s="94">
        <f t="shared" si="191"/>
        <v>133263886.67333335</v>
      </c>
      <c r="L227" s="94">
        <f t="shared" si="192"/>
        <v>133553121.25250001</v>
      </c>
      <c r="M227" s="94">
        <f t="shared" si="193"/>
        <v>133842355.83166668</v>
      </c>
      <c r="N227" s="94">
        <f t="shared" si="194"/>
        <v>134131590.41083334</v>
      </c>
      <c r="O227" s="94">
        <f t="shared" si="195"/>
        <v>134420824.99000001</v>
      </c>
      <c r="P227" s="94">
        <f t="shared" si="196"/>
        <v>132685417.51500003</v>
      </c>
      <c r="Q227" s="90"/>
      <c r="R227" s="90"/>
    </row>
    <row r="228" spans="1:18" hidden="1" outlineLevel="1" x14ac:dyDescent="0.25">
      <c r="A228" s="85">
        <v>2017</v>
      </c>
      <c r="B228" s="94">
        <v>132386422.01000001</v>
      </c>
      <c r="C228" s="94">
        <f t="shared" si="183"/>
        <v>132386422.01000001</v>
      </c>
      <c r="D228" s="94">
        <f t="shared" si="184"/>
        <v>134251291.40833333</v>
      </c>
      <c r="E228" s="94">
        <f t="shared" si="185"/>
        <v>134081757.82666668</v>
      </c>
      <c r="F228" s="94">
        <f t="shared" si="186"/>
        <v>133912224.245</v>
      </c>
      <c r="G228" s="94">
        <f t="shared" si="187"/>
        <v>133742690.66333334</v>
      </c>
      <c r="H228" s="94">
        <f t="shared" si="188"/>
        <v>133573157.08166668</v>
      </c>
      <c r="I228" s="94">
        <f t="shared" si="189"/>
        <v>133403623.5</v>
      </c>
      <c r="J228" s="94">
        <f t="shared" si="190"/>
        <v>133234089.91833334</v>
      </c>
      <c r="K228" s="94">
        <f t="shared" si="191"/>
        <v>133064556.33666667</v>
      </c>
      <c r="L228" s="94">
        <f t="shared" si="192"/>
        <v>132895022.75500001</v>
      </c>
      <c r="M228" s="94">
        <f t="shared" si="193"/>
        <v>132725489.17333335</v>
      </c>
      <c r="N228" s="94">
        <f t="shared" si="194"/>
        <v>132555955.59166667</v>
      </c>
      <c r="O228" s="94">
        <f t="shared" si="195"/>
        <v>132386422.01000001</v>
      </c>
      <c r="P228" s="94">
        <f t="shared" si="196"/>
        <v>133403623.50000001</v>
      </c>
      <c r="Q228" s="90"/>
      <c r="R228" s="90"/>
    </row>
    <row r="229" spans="1:18" hidden="1" outlineLevel="1" x14ac:dyDescent="0.25">
      <c r="A229" s="85">
        <v>2018</v>
      </c>
      <c r="B229" s="94">
        <v>124411152.44</v>
      </c>
      <c r="C229" s="94">
        <f t="shared" si="183"/>
        <v>124411152.44</v>
      </c>
      <c r="D229" s="94">
        <f t="shared" si="184"/>
        <v>131721816.21250001</v>
      </c>
      <c r="E229" s="94">
        <f t="shared" si="185"/>
        <v>131057210.41500001</v>
      </c>
      <c r="F229" s="94">
        <f t="shared" si="186"/>
        <v>130392604.61750001</v>
      </c>
      <c r="G229" s="94">
        <f t="shared" si="187"/>
        <v>129727998.82000001</v>
      </c>
      <c r="H229" s="94">
        <f t="shared" si="188"/>
        <v>129063393.02250001</v>
      </c>
      <c r="I229" s="94">
        <f t="shared" si="189"/>
        <v>128398787.22499999</v>
      </c>
      <c r="J229" s="94">
        <f t="shared" si="190"/>
        <v>127734181.42749999</v>
      </c>
      <c r="K229" s="94">
        <f t="shared" si="191"/>
        <v>127069575.63</v>
      </c>
      <c r="L229" s="94">
        <f t="shared" si="192"/>
        <v>126404969.8325</v>
      </c>
      <c r="M229" s="94">
        <f t="shared" si="193"/>
        <v>125740364.035</v>
      </c>
      <c r="N229" s="94">
        <f t="shared" si="194"/>
        <v>125075758.2375</v>
      </c>
      <c r="O229" s="94">
        <f t="shared" si="195"/>
        <v>124411152.44</v>
      </c>
      <c r="P229" s="94">
        <f t="shared" si="196"/>
        <v>128398787.22500001</v>
      </c>
      <c r="Q229" s="90"/>
      <c r="R229" s="90"/>
    </row>
    <row r="230" spans="1:18" collapsed="1" x14ac:dyDescent="0.25">
      <c r="A230" s="85">
        <v>2019</v>
      </c>
      <c r="B230" s="94">
        <v>116603841.86</v>
      </c>
      <c r="C230" s="94">
        <f t="shared" si="183"/>
        <v>116603841.86</v>
      </c>
      <c r="D230" s="94">
        <f t="shared" si="184"/>
        <v>123760543.22499999</v>
      </c>
      <c r="E230" s="94">
        <f t="shared" si="185"/>
        <v>123109934.00999999</v>
      </c>
      <c r="F230" s="94">
        <f t="shared" si="186"/>
        <v>122459324.795</v>
      </c>
      <c r="G230" s="94">
        <f t="shared" si="187"/>
        <v>121808715.58</v>
      </c>
      <c r="H230" s="94">
        <f t="shared" si="188"/>
        <v>121158106.36499999</v>
      </c>
      <c r="I230" s="94">
        <f t="shared" si="189"/>
        <v>120507497.15000001</v>
      </c>
      <c r="J230" s="94">
        <f t="shared" si="190"/>
        <v>119856887.935</v>
      </c>
      <c r="K230" s="94">
        <f t="shared" si="191"/>
        <v>119206278.72</v>
      </c>
      <c r="L230" s="94">
        <f t="shared" si="192"/>
        <v>118555669.505</v>
      </c>
      <c r="M230" s="94">
        <f t="shared" si="193"/>
        <v>117905060.28999999</v>
      </c>
      <c r="N230" s="94">
        <f t="shared" si="194"/>
        <v>117254451.075</v>
      </c>
      <c r="O230" s="94">
        <f t="shared" si="195"/>
        <v>116603841.86</v>
      </c>
      <c r="P230" s="94">
        <f t="shared" si="196"/>
        <v>120507497.14999999</v>
      </c>
      <c r="Q230" s="90"/>
      <c r="R230" s="90"/>
    </row>
    <row r="231" spans="1:18" x14ac:dyDescent="0.25">
      <c r="A231" s="85">
        <v>2020</v>
      </c>
      <c r="B231" s="93">
        <v>108923892.45999999</v>
      </c>
      <c r="C231" s="94">
        <f t="shared" si="183"/>
        <v>108923892.45999999</v>
      </c>
      <c r="D231" s="94">
        <f t="shared" si="184"/>
        <v>115963846.07666667</v>
      </c>
      <c r="E231" s="94">
        <f t="shared" si="185"/>
        <v>115323850.29333334</v>
      </c>
      <c r="F231" s="94">
        <f t="shared" si="186"/>
        <v>114683854.50999999</v>
      </c>
      <c r="G231" s="94">
        <f t="shared" si="187"/>
        <v>114043858.72666666</v>
      </c>
      <c r="H231" s="94">
        <f t="shared" si="188"/>
        <v>113403862.94333333</v>
      </c>
      <c r="I231" s="94">
        <f t="shared" si="189"/>
        <v>112763867.16</v>
      </c>
      <c r="J231" s="94">
        <f t="shared" si="190"/>
        <v>112123871.37666667</v>
      </c>
      <c r="K231" s="94">
        <f t="shared" si="191"/>
        <v>111483875.59333333</v>
      </c>
      <c r="L231" s="94">
        <f t="shared" si="192"/>
        <v>110843879.81</v>
      </c>
      <c r="M231" s="94">
        <f t="shared" si="193"/>
        <v>110203884.02666666</v>
      </c>
      <c r="N231" s="94">
        <f t="shared" si="194"/>
        <v>109563888.24333332</v>
      </c>
      <c r="O231" s="94">
        <f t="shared" si="195"/>
        <v>108923892.45999999</v>
      </c>
      <c r="P231" s="94">
        <f t="shared" si="196"/>
        <v>112763867.16000001</v>
      </c>
      <c r="Q231" s="90">
        <f>((I230+I231+(SUM(J230:O230)+SUM(D231:H231))*2)/24)</f>
        <v>116619762.00749999</v>
      </c>
      <c r="R231" s="90">
        <f>I231</f>
        <v>112763867.16</v>
      </c>
    </row>
    <row r="232" spans="1:18" x14ac:dyDescent="0.25">
      <c r="B232" s="94"/>
      <c r="C232" s="94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4"/>
      <c r="P232" s="92"/>
      <c r="Q232" s="90"/>
      <c r="R232" s="90"/>
    </row>
    <row r="233" spans="1:18" x14ac:dyDescent="0.25">
      <c r="A233" s="98" t="s">
        <v>148</v>
      </c>
      <c r="B233" s="94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1"/>
      <c r="Q233" s="90"/>
      <c r="R233" s="90"/>
    </row>
    <row r="234" spans="1:18" hidden="1" outlineLevel="1" x14ac:dyDescent="0.25">
      <c r="A234" s="96">
        <v>2008</v>
      </c>
      <c r="B234" s="94">
        <v>584746.65</v>
      </c>
      <c r="C234" s="94">
        <f t="shared" ref="C234:C246" si="197">B234</f>
        <v>584746.65</v>
      </c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0"/>
      <c r="R234" s="90"/>
    </row>
    <row r="235" spans="1:18" hidden="1" outlineLevel="1" x14ac:dyDescent="0.25">
      <c r="A235" s="96">
        <v>2009</v>
      </c>
      <c r="B235" s="94">
        <f>3905.83+4528111.76</f>
        <v>4532017.59</v>
      </c>
      <c r="C235" s="94">
        <f t="shared" si="197"/>
        <v>4532017.59</v>
      </c>
      <c r="D235" s="94">
        <f t="shared" ref="D235:D246" si="198">(B235-B234)/12*1+B234</f>
        <v>913685.89500000002</v>
      </c>
      <c r="E235" s="94">
        <f t="shared" ref="E235:E246" si="199">(B235-B234)/12*2+B234</f>
        <v>1242625.1400000001</v>
      </c>
      <c r="F235" s="94">
        <f t="shared" ref="F235:F246" si="200">(B235-B234)/12*3+B234</f>
        <v>1571564.385</v>
      </c>
      <c r="G235" s="94">
        <f t="shared" ref="G235:G246" si="201">(B235-B234)/12*4+B234</f>
        <v>1900503.63</v>
      </c>
      <c r="H235" s="94">
        <f t="shared" ref="H235:H246" si="202">(B235-B234)/12*5+B234</f>
        <v>2229442.875</v>
      </c>
      <c r="I235" s="94">
        <f t="shared" ref="I235:I246" si="203">(B235-B234)/12*6+B234</f>
        <v>2558382.12</v>
      </c>
      <c r="J235" s="94">
        <f t="shared" ref="J235:J246" si="204">(B235-B234)/12*7+B234</f>
        <v>2887321.3649999998</v>
      </c>
      <c r="K235" s="94">
        <f t="shared" ref="K235:K246" si="205">(B235-B234)/12*8+B234</f>
        <v>3216260.61</v>
      </c>
      <c r="L235" s="94">
        <f t="shared" ref="L235:L246" si="206">(B235-B234)/12*9+B234</f>
        <v>3545199.855</v>
      </c>
      <c r="M235" s="94">
        <f t="shared" ref="M235:M246" si="207">(B235-B234)/12*10+B234</f>
        <v>3874139.1</v>
      </c>
      <c r="N235" s="94">
        <f t="shared" ref="N235:N246" si="208">(B235-B234)/12*11+B234</f>
        <v>4203078.3449999997</v>
      </c>
      <c r="O235" s="94">
        <f t="shared" ref="O235:O246" si="209">+B235</f>
        <v>4532017.59</v>
      </c>
      <c r="P235" s="94">
        <f t="shared" ref="P235:P246" si="210">((C234+O235)+2*(SUM(D235:N235)))/24</f>
        <v>2558382.12</v>
      </c>
      <c r="Q235" s="90"/>
      <c r="R235" s="90"/>
    </row>
    <row r="236" spans="1:18" hidden="1" outlineLevel="1" x14ac:dyDescent="0.25">
      <c r="A236" s="85">
        <v>2010</v>
      </c>
      <c r="B236" s="94">
        <f>3773+8533625</f>
        <v>8537398</v>
      </c>
      <c r="C236" s="94">
        <f t="shared" si="197"/>
        <v>8537398</v>
      </c>
      <c r="D236" s="94">
        <f t="shared" si="198"/>
        <v>4865799.2908333335</v>
      </c>
      <c r="E236" s="94">
        <f t="shared" si="199"/>
        <v>5199580.9916666662</v>
      </c>
      <c r="F236" s="94">
        <f t="shared" si="200"/>
        <v>5533362.6924999999</v>
      </c>
      <c r="G236" s="94">
        <f t="shared" si="201"/>
        <v>5867144.3933333335</v>
      </c>
      <c r="H236" s="94">
        <f t="shared" si="202"/>
        <v>6200926.0941666663</v>
      </c>
      <c r="I236" s="94">
        <f t="shared" si="203"/>
        <v>6534707.7949999999</v>
      </c>
      <c r="J236" s="94">
        <f t="shared" si="204"/>
        <v>6868489.4958333336</v>
      </c>
      <c r="K236" s="94">
        <f t="shared" si="205"/>
        <v>7202271.1966666672</v>
      </c>
      <c r="L236" s="94">
        <f t="shared" si="206"/>
        <v>7536052.8975</v>
      </c>
      <c r="M236" s="94">
        <f t="shared" si="207"/>
        <v>7869834.5983333336</v>
      </c>
      <c r="N236" s="94">
        <f t="shared" si="208"/>
        <v>8203616.2991666663</v>
      </c>
      <c r="O236" s="94">
        <f t="shared" si="209"/>
        <v>8537398</v>
      </c>
      <c r="P236" s="94">
        <f t="shared" si="210"/>
        <v>6534707.7950000009</v>
      </c>
      <c r="Q236" s="90"/>
      <c r="R236" s="90"/>
    </row>
    <row r="237" spans="1:18" hidden="1" outlineLevel="1" x14ac:dyDescent="0.25">
      <c r="A237" s="85">
        <v>2011</v>
      </c>
      <c r="B237" s="94">
        <v>11512084</v>
      </c>
      <c r="C237" s="94">
        <f t="shared" si="197"/>
        <v>11512084</v>
      </c>
      <c r="D237" s="94">
        <f t="shared" si="198"/>
        <v>8785288.5</v>
      </c>
      <c r="E237" s="94">
        <f t="shared" si="199"/>
        <v>9033179</v>
      </c>
      <c r="F237" s="94">
        <f t="shared" si="200"/>
        <v>9281069.5</v>
      </c>
      <c r="G237" s="94">
        <f t="shared" si="201"/>
        <v>9528960</v>
      </c>
      <c r="H237" s="94">
        <f t="shared" si="202"/>
        <v>9776850.5</v>
      </c>
      <c r="I237" s="94">
        <f t="shared" si="203"/>
        <v>10024741</v>
      </c>
      <c r="J237" s="94">
        <f t="shared" si="204"/>
        <v>10272631.5</v>
      </c>
      <c r="K237" s="94">
        <f t="shared" si="205"/>
        <v>10520522</v>
      </c>
      <c r="L237" s="94">
        <f t="shared" si="206"/>
        <v>10768412.5</v>
      </c>
      <c r="M237" s="94">
        <f t="shared" si="207"/>
        <v>11016303</v>
      </c>
      <c r="N237" s="94">
        <f t="shared" si="208"/>
        <v>11264193.5</v>
      </c>
      <c r="O237" s="94">
        <f t="shared" si="209"/>
        <v>11512084</v>
      </c>
      <c r="P237" s="94">
        <f t="shared" si="210"/>
        <v>10024741</v>
      </c>
      <c r="Q237" s="90"/>
      <c r="R237" s="90"/>
    </row>
    <row r="238" spans="1:18" hidden="1" outlineLevel="1" x14ac:dyDescent="0.25">
      <c r="A238" s="85">
        <v>2012</v>
      </c>
      <c r="B238" s="94">
        <v>14338289</v>
      </c>
      <c r="C238" s="94">
        <f t="shared" si="197"/>
        <v>14338289</v>
      </c>
      <c r="D238" s="94">
        <f t="shared" si="198"/>
        <v>11747601.083333334</v>
      </c>
      <c r="E238" s="94">
        <f t="shared" si="199"/>
        <v>11983118.166666666</v>
      </c>
      <c r="F238" s="94">
        <f t="shared" si="200"/>
        <v>12218635.25</v>
      </c>
      <c r="G238" s="94">
        <f t="shared" si="201"/>
        <v>12454152.333333334</v>
      </c>
      <c r="H238" s="94">
        <f t="shared" si="202"/>
        <v>12689669.416666666</v>
      </c>
      <c r="I238" s="94">
        <f t="shared" si="203"/>
        <v>12925186.5</v>
      </c>
      <c r="J238" s="94">
        <f t="shared" si="204"/>
        <v>13160703.583333334</v>
      </c>
      <c r="K238" s="94">
        <f t="shared" si="205"/>
        <v>13396220.666666666</v>
      </c>
      <c r="L238" s="94">
        <f t="shared" si="206"/>
        <v>13631737.75</v>
      </c>
      <c r="M238" s="94">
        <f t="shared" si="207"/>
        <v>13867254.833333334</v>
      </c>
      <c r="N238" s="94">
        <f t="shared" si="208"/>
        <v>14102771.916666668</v>
      </c>
      <c r="O238" s="94">
        <f t="shared" si="209"/>
        <v>14338289</v>
      </c>
      <c r="P238" s="94">
        <f t="shared" si="210"/>
        <v>12925186.5</v>
      </c>
      <c r="Q238" s="90"/>
      <c r="R238" s="90"/>
    </row>
    <row r="239" spans="1:18" hidden="1" outlineLevel="1" x14ac:dyDescent="0.25">
      <c r="A239" s="85">
        <v>2013</v>
      </c>
      <c r="B239" s="94">
        <v>19400704</v>
      </c>
      <c r="C239" s="94">
        <f t="shared" si="197"/>
        <v>19400704</v>
      </c>
      <c r="D239" s="94">
        <f t="shared" si="198"/>
        <v>14760156.916666666</v>
      </c>
      <c r="E239" s="94">
        <f t="shared" si="199"/>
        <v>15182024.833333334</v>
      </c>
      <c r="F239" s="94">
        <f t="shared" si="200"/>
        <v>15603892.75</v>
      </c>
      <c r="G239" s="94">
        <f t="shared" si="201"/>
        <v>16025760.666666666</v>
      </c>
      <c r="H239" s="94">
        <f t="shared" si="202"/>
        <v>16447628.583333334</v>
      </c>
      <c r="I239" s="94">
        <f t="shared" si="203"/>
        <v>16869496.5</v>
      </c>
      <c r="J239" s="94">
        <f t="shared" si="204"/>
        <v>17291364.416666668</v>
      </c>
      <c r="K239" s="94">
        <f t="shared" si="205"/>
        <v>17713232.333333332</v>
      </c>
      <c r="L239" s="94">
        <f t="shared" si="206"/>
        <v>18135100.25</v>
      </c>
      <c r="M239" s="94">
        <f t="shared" si="207"/>
        <v>18556968.166666668</v>
      </c>
      <c r="N239" s="94">
        <f t="shared" si="208"/>
        <v>18978836.083333336</v>
      </c>
      <c r="O239" s="94">
        <f t="shared" si="209"/>
        <v>19400704</v>
      </c>
      <c r="P239" s="94">
        <f t="shared" si="210"/>
        <v>16869496.5</v>
      </c>
      <c r="Q239" s="90"/>
      <c r="R239" s="90"/>
    </row>
    <row r="240" spans="1:18" hidden="1" outlineLevel="1" x14ac:dyDescent="0.25">
      <c r="A240" s="85">
        <v>2014</v>
      </c>
      <c r="B240" s="94">
        <v>21165062.68</v>
      </c>
      <c r="C240" s="94">
        <f t="shared" si="197"/>
        <v>21165062.68</v>
      </c>
      <c r="D240" s="94">
        <f t="shared" si="198"/>
        <v>19547733.890000001</v>
      </c>
      <c r="E240" s="94">
        <f t="shared" si="199"/>
        <v>19694763.780000001</v>
      </c>
      <c r="F240" s="94">
        <f t="shared" si="200"/>
        <v>19841793.670000002</v>
      </c>
      <c r="G240" s="94">
        <f t="shared" si="201"/>
        <v>19988823.559999999</v>
      </c>
      <c r="H240" s="94">
        <f t="shared" si="202"/>
        <v>20135853.449999999</v>
      </c>
      <c r="I240" s="94">
        <f t="shared" si="203"/>
        <v>20282883.34</v>
      </c>
      <c r="J240" s="94">
        <f t="shared" si="204"/>
        <v>20429913.23</v>
      </c>
      <c r="K240" s="94">
        <f t="shared" si="205"/>
        <v>20576943.120000001</v>
      </c>
      <c r="L240" s="94">
        <f t="shared" si="206"/>
        <v>20723973.009999998</v>
      </c>
      <c r="M240" s="94">
        <f t="shared" si="207"/>
        <v>20871002.899999999</v>
      </c>
      <c r="N240" s="94">
        <f t="shared" si="208"/>
        <v>21018032.789999999</v>
      </c>
      <c r="O240" s="94">
        <f t="shared" si="209"/>
        <v>21165062.68</v>
      </c>
      <c r="P240" s="94">
        <f t="shared" si="210"/>
        <v>20282883.34</v>
      </c>
      <c r="Q240" s="90"/>
      <c r="R240" s="90"/>
    </row>
    <row r="241" spans="1:18" hidden="1" outlineLevel="1" x14ac:dyDescent="0.25">
      <c r="A241" s="85">
        <v>2015</v>
      </c>
      <c r="B241" s="94">
        <v>24222007.870000001</v>
      </c>
      <c r="C241" s="94">
        <f t="shared" si="197"/>
        <v>24222007.870000001</v>
      </c>
      <c r="D241" s="94">
        <f t="shared" si="198"/>
        <v>21419808.112500001</v>
      </c>
      <c r="E241" s="94">
        <f t="shared" si="199"/>
        <v>21674553.545000002</v>
      </c>
      <c r="F241" s="94">
        <f t="shared" si="200"/>
        <v>21929298.977499999</v>
      </c>
      <c r="G241" s="94">
        <f t="shared" si="201"/>
        <v>22184044.41</v>
      </c>
      <c r="H241" s="94">
        <f t="shared" si="202"/>
        <v>22438789.842500001</v>
      </c>
      <c r="I241" s="94">
        <f t="shared" si="203"/>
        <v>22693535.274999999</v>
      </c>
      <c r="J241" s="94">
        <f t="shared" si="204"/>
        <v>22948280.7075</v>
      </c>
      <c r="K241" s="94">
        <f t="shared" si="205"/>
        <v>23203026.140000001</v>
      </c>
      <c r="L241" s="94">
        <f t="shared" si="206"/>
        <v>23457771.572500002</v>
      </c>
      <c r="M241" s="94">
        <f t="shared" si="207"/>
        <v>23712517.005000003</v>
      </c>
      <c r="N241" s="94">
        <f t="shared" si="208"/>
        <v>23967262.4375</v>
      </c>
      <c r="O241" s="94">
        <f t="shared" si="209"/>
        <v>24222007.870000001</v>
      </c>
      <c r="P241" s="94">
        <f t="shared" si="210"/>
        <v>22693535.274999995</v>
      </c>
      <c r="Q241" s="90"/>
      <c r="R241" s="90"/>
    </row>
    <row r="242" spans="1:18" hidden="1" outlineLevel="1" x14ac:dyDescent="0.25">
      <c r="A242" s="85">
        <v>2016</v>
      </c>
      <c r="B242" s="94">
        <v>25438426.879999999</v>
      </c>
      <c r="C242" s="94">
        <f t="shared" si="197"/>
        <v>25438426.879999999</v>
      </c>
      <c r="D242" s="94">
        <f t="shared" si="198"/>
        <v>24323376.120833334</v>
      </c>
      <c r="E242" s="94">
        <f t="shared" si="199"/>
        <v>24424744.371666666</v>
      </c>
      <c r="F242" s="94">
        <f t="shared" si="200"/>
        <v>24526112.622500002</v>
      </c>
      <c r="G242" s="94">
        <f t="shared" si="201"/>
        <v>24627480.873333335</v>
      </c>
      <c r="H242" s="94">
        <f t="shared" si="202"/>
        <v>24728849.124166667</v>
      </c>
      <c r="I242" s="94">
        <f t="shared" si="203"/>
        <v>24830217.375</v>
      </c>
      <c r="J242" s="94">
        <f t="shared" si="204"/>
        <v>24931585.625833333</v>
      </c>
      <c r="K242" s="94">
        <f t="shared" si="205"/>
        <v>25032953.876666665</v>
      </c>
      <c r="L242" s="94">
        <f t="shared" si="206"/>
        <v>25134322.127499998</v>
      </c>
      <c r="M242" s="94">
        <f t="shared" si="207"/>
        <v>25235690.378333334</v>
      </c>
      <c r="N242" s="94">
        <f t="shared" si="208"/>
        <v>25337058.629166666</v>
      </c>
      <c r="O242" s="94">
        <f t="shared" si="209"/>
        <v>25438426.879999999</v>
      </c>
      <c r="P242" s="94">
        <f t="shared" si="210"/>
        <v>24830217.375</v>
      </c>
      <c r="Q242" s="90"/>
      <c r="R242" s="90"/>
    </row>
    <row r="243" spans="1:18" hidden="1" outlineLevel="1" x14ac:dyDescent="0.25">
      <c r="A243" s="85">
        <v>2017</v>
      </c>
      <c r="B243" s="94">
        <v>32636792.030000001</v>
      </c>
      <c r="C243" s="94">
        <f t="shared" si="197"/>
        <v>32636792.030000001</v>
      </c>
      <c r="D243" s="94">
        <f t="shared" si="198"/>
        <v>26038290.642499998</v>
      </c>
      <c r="E243" s="94">
        <f t="shared" si="199"/>
        <v>26638154.405000001</v>
      </c>
      <c r="F243" s="94">
        <f t="shared" si="200"/>
        <v>27238018.1675</v>
      </c>
      <c r="G243" s="94">
        <f t="shared" si="201"/>
        <v>27837881.93</v>
      </c>
      <c r="H243" s="94">
        <f t="shared" si="202"/>
        <v>28437745.692499999</v>
      </c>
      <c r="I243" s="94">
        <f t="shared" si="203"/>
        <v>29037609.454999998</v>
      </c>
      <c r="J243" s="94">
        <f t="shared" si="204"/>
        <v>29637473.217500001</v>
      </c>
      <c r="K243" s="94">
        <f t="shared" si="205"/>
        <v>30237336.98</v>
      </c>
      <c r="L243" s="94">
        <f t="shared" si="206"/>
        <v>30837200.7425</v>
      </c>
      <c r="M243" s="94">
        <f t="shared" si="207"/>
        <v>31437064.505000003</v>
      </c>
      <c r="N243" s="94">
        <f t="shared" si="208"/>
        <v>32036928.267500002</v>
      </c>
      <c r="O243" s="94">
        <f t="shared" si="209"/>
        <v>32636792.030000001</v>
      </c>
      <c r="P243" s="94">
        <f t="shared" si="210"/>
        <v>29037609.454999998</v>
      </c>
      <c r="Q243" s="90"/>
      <c r="R243" s="90"/>
    </row>
    <row r="244" spans="1:18" hidden="1" outlineLevel="1" x14ac:dyDescent="0.25">
      <c r="A244" s="85">
        <v>2018</v>
      </c>
      <c r="B244" s="94">
        <v>33623638.159999996</v>
      </c>
      <c r="C244" s="94">
        <f t="shared" si="197"/>
        <v>33623638.159999996</v>
      </c>
      <c r="D244" s="94">
        <f t="shared" si="198"/>
        <v>32719029.2075</v>
      </c>
      <c r="E244" s="94">
        <f t="shared" si="199"/>
        <v>32801266.385000002</v>
      </c>
      <c r="F244" s="94">
        <f t="shared" si="200"/>
        <v>32883503.5625</v>
      </c>
      <c r="G244" s="94">
        <f t="shared" si="201"/>
        <v>32965740.739999998</v>
      </c>
      <c r="H244" s="94">
        <f t="shared" si="202"/>
        <v>33047977.9175</v>
      </c>
      <c r="I244" s="94">
        <f t="shared" si="203"/>
        <v>33130215.094999999</v>
      </c>
      <c r="J244" s="94">
        <f t="shared" si="204"/>
        <v>33212452.272499997</v>
      </c>
      <c r="K244" s="94">
        <f t="shared" si="205"/>
        <v>33294689.449999999</v>
      </c>
      <c r="L244" s="94">
        <f t="shared" si="206"/>
        <v>33376926.627499998</v>
      </c>
      <c r="M244" s="94">
        <f t="shared" si="207"/>
        <v>33459163.804999996</v>
      </c>
      <c r="N244" s="94">
        <f t="shared" si="208"/>
        <v>33541400.982499998</v>
      </c>
      <c r="O244" s="94">
        <f t="shared" si="209"/>
        <v>33623638.159999996</v>
      </c>
      <c r="P244" s="94">
        <f t="shared" si="210"/>
        <v>33130215.094999999</v>
      </c>
      <c r="Q244" s="90"/>
      <c r="R244" s="90"/>
    </row>
    <row r="245" spans="1:18" collapsed="1" x14ac:dyDescent="0.25">
      <c r="A245" s="85">
        <v>2019</v>
      </c>
      <c r="B245" s="94">
        <v>34129458.579999998</v>
      </c>
      <c r="C245" s="94">
        <f t="shared" si="197"/>
        <v>34129458.579999998</v>
      </c>
      <c r="D245" s="94">
        <f t="shared" si="198"/>
        <v>33665789.861666664</v>
      </c>
      <c r="E245" s="94">
        <f t="shared" si="199"/>
        <v>33707941.563333333</v>
      </c>
      <c r="F245" s="94">
        <f t="shared" si="200"/>
        <v>33750093.265000001</v>
      </c>
      <c r="G245" s="94">
        <f t="shared" si="201"/>
        <v>33792244.966666661</v>
      </c>
      <c r="H245" s="94">
        <f t="shared" si="202"/>
        <v>33834396.668333329</v>
      </c>
      <c r="I245" s="94">
        <f t="shared" si="203"/>
        <v>33876548.369999997</v>
      </c>
      <c r="J245" s="94">
        <f t="shared" si="204"/>
        <v>33918700.071666665</v>
      </c>
      <c r="K245" s="94">
        <f t="shared" si="205"/>
        <v>33960851.773333333</v>
      </c>
      <c r="L245" s="94">
        <f t="shared" si="206"/>
        <v>34003003.474999994</v>
      </c>
      <c r="M245" s="94">
        <f t="shared" si="207"/>
        <v>34045155.176666662</v>
      </c>
      <c r="N245" s="94">
        <f t="shared" si="208"/>
        <v>34087306.87833333</v>
      </c>
      <c r="O245" s="94">
        <f t="shared" si="209"/>
        <v>34129458.579999998</v>
      </c>
      <c r="P245" s="94">
        <f t="shared" si="210"/>
        <v>33876548.369999997</v>
      </c>
      <c r="Q245" s="90"/>
      <c r="R245" s="90"/>
    </row>
    <row r="246" spans="1:18" x14ac:dyDescent="0.25">
      <c r="A246" s="85">
        <v>2020</v>
      </c>
      <c r="B246" s="93">
        <v>34554034.649999999</v>
      </c>
      <c r="C246" s="94">
        <f t="shared" si="197"/>
        <v>34554034.649999999</v>
      </c>
      <c r="D246" s="94">
        <f t="shared" si="198"/>
        <v>34164839.919166662</v>
      </c>
      <c r="E246" s="94">
        <f t="shared" si="199"/>
        <v>34200221.258333333</v>
      </c>
      <c r="F246" s="94">
        <f t="shared" si="200"/>
        <v>34235602.597499996</v>
      </c>
      <c r="G246" s="94">
        <f t="shared" si="201"/>
        <v>34270983.936666667</v>
      </c>
      <c r="H246" s="94">
        <f t="shared" si="202"/>
        <v>34306365.275833331</v>
      </c>
      <c r="I246" s="94">
        <f t="shared" si="203"/>
        <v>34341746.614999995</v>
      </c>
      <c r="J246" s="94">
        <f t="shared" si="204"/>
        <v>34377127.954166666</v>
      </c>
      <c r="K246" s="94">
        <f t="shared" si="205"/>
        <v>34412509.293333329</v>
      </c>
      <c r="L246" s="94">
        <f t="shared" si="206"/>
        <v>34447890.6325</v>
      </c>
      <c r="M246" s="94">
        <f t="shared" si="207"/>
        <v>34483271.971666664</v>
      </c>
      <c r="N246" s="94">
        <f t="shared" si="208"/>
        <v>34518653.310833335</v>
      </c>
      <c r="O246" s="94">
        <f t="shared" si="209"/>
        <v>34554034.649999999</v>
      </c>
      <c r="P246" s="94">
        <f t="shared" si="210"/>
        <v>34341746.615000002</v>
      </c>
      <c r="Q246" s="90">
        <f>((I245+I246+(SUM(J245:O245)+SUM(D246:H246))*2)/24)</f>
        <v>34119303.036250003</v>
      </c>
      <c r="R246" s="90">
        <f>I246</f>
        <v>34341746.614999995</v>
      </c>
    </row>
    <row r="247" spans="1:18" x14ac:dyDescent="0.25">
      <c r="B247" s="94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0"/>
      <c r="R247" s="90"/>
    </row>
    <row r="248" spans="1:18" x14ac:dyDescent="0.25">
      <c r="A248" s="98" t="s">
        <v>98</v>
      </c>
      <c r="B248" s="94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1"/>
      <c r="Q248" s="90"/>
      <c r="R248" s="90"/>
    </row>
    <row r="249" spans="1:18" hidden="1" outlineLevel="1" x14ac:dyDescent="0.25">
      <c r="A249" s="96">
        <v>2008</v>
      </c>
      <c r="B249" s="94">
        <f>904.73+1332453.32</f>
        <v>1333358.05</v>
      </c>
      <c r="C249" s="94">
        <f t="shared" ref="C249:C262" si="211">B249</f>
        <v>1333358.05</v>
      </c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0"/>
      <c r="R249" s="90"/>
    </row>
    <row r="250" spans="1:18" hidden="1" outlineLevel="1" x14ac:dyDescent="0.25">
      <c r="A250" s="96">
        <v>2009</v>
      </c>
      <c r="B250" s="94">
        <f>281876.13+1464770.59</f>
        <v>1746646.7200000002</v>
      </c>
      <c r="C250" s="94">
        <f t="shared" si="211"/>
        <v>1746646.7200000002</v>
      </c>
      <c r="D250" s="94">
        <f t="shared" ref="D250:D261" si="212">(B250-B249)/12*1+B249</f>
        <v>1367798.7725</v>
      </c>
      <c r="E250" s="94">
        <f t="shared" ref="E250:E261" si="213">(B250-B249)/12*2+B249</f>
        <v>1402239.4950000001</v>
      </c>
      <c r="F250" s="94">
        <f t="shared" ref="F250:F261" si="214">(B250-B249)/12*3+B249</f>
        <v>1436680.2175</v>
      </c>
      <c r="G250" s="94">
        <f t="shared" ref="G250:G261" si="215">(B250-B249)/12*4+B249</f>
        <v>1471120.9400000002</v>
      </c>
      <c r="H250" s="94">
        <f t="shared" ref="H250:H261" si="216">(B250-B249)/12*5+B249</f>
        <v>1505561.6625000001</v>
      </c>
      <c r="I250" s="94">
        <f t="shared" ref="I250:I261" si="217">(B250-B249)/12*6+B249</f>
        <v>1540002.3850000002</v>
      </c>
      <c r="J250" s="94">
        <f t="shared" ref="J250:J261" si="218">(B250-B249)/12*7+B249</f>
        <v>1574443.1075000002</v>
      </c>
      <c r="K250" s="94">
        <f t="shared" ref="K250:K261" si="219">(B250-B249)/12*8+B249</f>
        <v>1608883.83</v>
      </c>
      <c r="L250" s="94">
        <f t="shared" ref="L250:L261" si="220">(B250-B249)/12*9+B249</f>
        <v>1643324.5525000002</v>
      </c>
      <c r="M250" s="94">
        <f t="shared" ref="M250:M261" si="221">(B250-B249)/12*10+B249</f>
        <v>1677765.2750000001</v>
      </c>
      <c r="N250" s="94">
        <f t="shared" ref="N250:N261" si="222">(B250-B249)/12*11+B249</f>
        <v>1712205.9975000001</v>
      </c>
      <c r="O250" s="94">
        <f t="shared" ref="O250:O262" si="223">+B250</f>
        <v>1746646.7200000002</v>
      </c>
      <c r="P250" s="94">
        <f t="shared" ref="P250:P261" si="224">((C249+O250)+2*(SUM(D250:N250)))/24</f>
        <v>1540002.385</v>
      </c>
      <c r="Q250" s="90"/>
      <c r="R250" s="90"/>
    </row>
    <row r="251" spans="1:18" hidden="1" outlineLevel="1" x14ac:dyDescent="0.25">
      <c r="A251" s="85">
        <v>2010</v>
      </c>
      <c r="B251" s="94">
        <f>200820+1979571</f>
        <v>2180391</v>
      </c>
      <c r="C251" s="94">
        <f t="shared" si="211"/>
        <v>2180391</v>
      </c>
      <c r="D251" s="94">
        <f t="shared" si="212"/>
        <v>1782792.0766666669</v>
      </c>
      <c r="E251" s="94">
        <f t="shared" si="213"/>
        <v>1818937.4333333336</v>
      </c>
      <c r="F251" s="94">
        <f t="shared" si="214"/>
        <v>1855082.79</v>
      </c>
      <c r="G251" s="94">
        <f t="shared" si="215"/>
        <v>1891228.1466666667</v>
      </c>
      <c r="H251" s="94">
        <f t="shared" si="216"/>
        <v>1927373.5033333334</v>
      </c>
      <c r="I251" s="94">
        <f t="shared" si="217"/>
        <v>1963518.86</v>
      </c>
      <c r="J251" s="94">
        <f t="shared" si="218"/>
        <v>1999664.2166666668</v>
      </c>
      <c r="K251" s="94">
        <f t="shared" si="219"/>
        <v>2035809.5733333335</v>
      </c>
      <c r="L251" s="94">
        <f t="shared" si="220"/>
        <v>2071954.9300000002</v>
      </c>
      <c r="M251" s="94">
        <f t="shared" si="221"/>
        <v>2108100.2866666666</v>
      </c>
      <c r="N251" s="94">
        <f t="shared" si="222"/>
        <v>2144245.6433333335</v>
      </c>
      <c r="O251" s="94">
        <f t="shared" si="223"/>
        <v>2180391</v>
      </c>
      <c r="P251" s="94">
        <f t="shared" si="224"/>
        <v>1963518.86</v>
      </c>
      <c r="Q251" s="90"/>
      <c r="R251" s="90"/>
    </row>
    <row r="252" spans="1:18" hidden="1" outlineLevel="1" x14ac:dyDescent="0.25">
      <c r="A252" s="85">
        <v>2011</v>
      </c>
      <c r="B252" s="94">
        <v>3885903</v>
      </c>
      <c r="C252" s="94">
        <f t="shared" si="211"/>
        <v>3885903</v>
      </c>
      <c r="D252" s="94">
        <f t="shared" si="212"/>
        <v>2322517</v>
      </c>
      <c r="E252" s="94">
        <f t="shared" si="213"/>
        <v>2464643</v>
      </c>
      <c r="F252" s="94">
        <f t="shared" si="214"/>
        <v>2606769</v>
      </c>
      <c r="G252" s="94">
        <f t="shared" si="215"/>
        <v>2748895</v>
      </c>
      <c r="H252" s="94">
        <f t="shared" si="216"/>
        <v>2891021</v>
      </c>
      <c r="I252" s="94">
        <f t="shared" si="217"/>
        <v>3033147</v>
      </c>
      <c r="J252" s="94">
        <f t="shared" si="218"/>
        <v>3175273</v>
      </c>
      <c r="K252" s="94">
        <f t="shared" si="219"/>
        <v>3317399</v>
      </c>
      <c r="L252" s="94">
        <f t="shared" si="220"/>
        <v>3459525</v>
      </c>
      <c r="M252" s="94">
        <f t="shared" si="221"/>
        <v>3601651</v>
      </c>
      <c r="N252" s="94">
        <f t="shared" si="222"/>
        <v>3743777</v>
      </c>
      <c r="O252" s="94">
        <f t="shared" si="223"/>
        <v>3885903</v>
      </c>
      <c r="P252" s="94">
        <f t="shared" si="224"/>
        <v>3033147</v>
      </c>
      <c r="Q252" s="90"/>
      <c r="R252" s="90"/>
    </row>
    <row r="253" spans="1:18" hidden="1" outlineLevel="1" x14ac:dyDescent="0.25">
      <c r="A253" s="85">
        <v>2012</v>
      </c>
      <c r="B253" s="94">
        <v>4943198</v>
      </c>
      <c r="C253" s="94">
        <f t="shared" si="211"/>
        <v>4943198</v>
      </c>
      <c r="D253" s="94">
        <f t="shared" si="212"/>
        <v>3974010.9166666665</v>
      </c>
      <c r="E253" s="94">
        <f t="shared" si="213"/>
        <v>4062118.8333333335</v>
      </c>
      <c r="F253" s="94">
        <f t="shared" si="214"/>
        <v>4150226.75</v>
      </c>
      <c r="G253" s="94">
        <f t="shared" si="215"/>
        <v>4238334.666666667</v>
      </c>
      <c r="H253" s="94">
        <f t="shared" si="216"/>
        <v>4326442.583333333</v>
      </c>
      <c r="I253" s="94">
        <f t="shared" si="217"/>
        <v>4414550.5</v>
      </c>
      <c r="J253" s="94">
        <f t="shared" si="218"/>
        <v>4502658.416666667</v>
      </c>
      <c r="K253" s="94">
        <f t="shared" si="219"/>
        <v>4590766.333333333</v>
      </c>
      <c r="L253" s="94">
        <f t="shared" si="220"/>
        <v>4678874.25</v>
      </c>
      <c r="M253" s="94">
        <f t="shared" si="221"/>
        <v>4766982.166666667</v>
      </c>
      <c r="N253" s="94">
        <f t="shared" si="222"/>
        <v>4855090.083333333</v>
      </c>
      <c r="O253" s="94">
        <f t="shared" si="223"/>
        <v>4943198</v>
      </c>
      <c r="P253" s="94">
        <f t="shared" si="224"/>
        <v>4414550.5</v>
      </c>
      <c r="Q253" s="90"/>
      <c r="R253" s="90"/>
    </row>
    <row r="254" spans="1:18" hidden="1" outlineLevel="1" x14ac:dyDescent="0.25">
      <c r="A254" s="85">
        <v>2013</v>
      </c>
      <c r="B254" s="94">
        <v>49221806</v>
      </c>
      <c r="C254" s="94">
        <f t="shared" si="211"/>
        <v>49221806</v>
      </c>
      <c r="D254" s="94">
        <f t="shared" si="212"/>
        <v>8633082</v>
      </c>
      <c r="E254" s="94">
        <f t="shared" si="213"/>
        <v>12322966</v>
      </c>
      <c r="F254" s="94">
        <f t="shared" si="214"/>
        <v>16012850</v>
      </c>
      <c r="G254" s="94">
        <f t="shared" si="215"/>
        <v>19702734</v>
      </c>
      <c r="H254" s="94">
        <f t="shared" si="216"/>
        <v>23392618</v>
      </c>
      <c r="I254" s="94">
        <f t="shared" si="217"/>
        <v>27082502</v>
      </c>
      <c r="J254" s="94">
        <f t="shared" si="218"/>
        <v>30772386</v>
      </c>
      <c r="K254" s="94">
        <f t="shared" si="219"/>
        <v>34462270</v>
      </c>
      <c r="L254" s="94">
        <f t="shared" si="220"/>
        <v>38152154</v>
      </c>
      <c r="M254" s="94">
        <f t="shared" si="221"/>
        <v>41842038</v>
      </c>
      <c r="N254" s="94">
        <f t="shared" si="222"/>
        <v>45531922</v>
      </c>
      <c r="O254" s="94">
        <f t="shared" si="223"/>
        <v>49221806</v>
      </c>
      <c r="P254" s="94">
        <f t="shared" si="224"/>
        <v>27082502</v>
      </c>
      <c r="Q254" s="90"/>
      <c r="R254" s="90"/>
    </row>
    <row r="255" spans="1:18" hidden="1" outlineLevel="1" x14ac:dyDescent="0.25">
      <c r="A255" s="85">
        <v>2014</v>
      </c>
      <c r="B255" s="94">
        <v>50188207.140000001</v>
      </c>
      <c r="C255" s="94">
        <f t="shared" si="211"/>
        <v>50188207.140000001</v>
      </c>
      <c r="D255" s="94">
        <f t="shared" si="212"/>
        <v>49302339.428333335</v>
      </c>
      <c r="E255" s="94">
        <f t="shared" si="213"/>
        <v>49382872.856666669</v>
      </c>
      <c r="F255" s="94">
        <f t="shared" si="214"/>
        <v>49463406.284999996</v>
      </c>
      <c r="G255" s="94">
        <f t="shared" si="215"/>
        <v>49543939.713333331</v>
      </c>
      <c r="H255" s="94">
        <f t="shared" si="216"/>
        <v>49624473.141666666</v>
      </c>
      <c r="I255" s="94">
        <f t="shared" si="217"/>
        <v>49705006.57</v>
      </c>
      <c r="J255" s="94">
        <f t="shared" si="218"/>
        <v>49785539.998333335</v>
      </c>
      <c r="K255" s="94">
        <f t="shared" si="219"/>
        <v>49866073.42666667</v>
      </c>
      <c r="L255" s="94">
        <f t="shared" si="220"/>
        <v>49946606.855000004</v>
      </c>
      <c r="M255" s="94">
        <f t="shared" si="221"/>
        <v>50027140.283333331</v>
      </c>
      <c r="N255" s="94">
        <f t="shared" si="222"/>
        <v>50107673.711666666</v>
      </c>
      <c r="O255" s="94">
        <f t="shared" si="223"/>
        <v>50188207.140000001</v>
      </c>
      <c r="P255" s="94">
        <f t="shared" si="224"/>
        <v>49705006.570000015</v>
      </c>
      <c r="Q255" s="90"/>
      <c r="R255" s="90"/>
    </row>
    <row r="256" spans="1:18" hidden="1" outlineLevel="1" x14ac:dyDescent="0.25">
      <c r="A256" s="85">
        <v>2015</v>
      </c>
      <c r="B256" s="94">
        <f>50715049.82-277103</f>
        <v>50437946.82</v>
      </c>
      <c r="C256" s="94">
        <f t="shared" si="211"/>
        <v>50437946.82</v>
      </c>
      <c r="D256" s="94">
        <f t="shared" si="212"/>
        <v>50209018.780000001</v>
      </c>
      <c r="E256" s="94">
        <f t="shared" si="213"/>
        <v>50229830.420000002</v>
      </c>
      <c r="F256" s="94">
        <f t="shared" si="214"/>
        <v>50250642.060000002</v>
      </c>
      <c r="G256" s="94">
        <f t="shared" si="215"/>
        <v>50271453.700000003</v>
      </c>
      <c r="H256" s="94">
        <f t="shared" si="216"/>
        <v>50292265.340000004</v>
      </c>
      <c r="I256" s="94">
        <f t="shared" si="217"/>
        <v>50313076.980000004</v>
      </c>
      <c r="J256" s="94">
        <f t="shared" si="218"/>
        <v>50333888.619999997</v>
      </c>
      <c r="K256" s="94">
        <f t="shared" si="219"/>
        <v>50354700.259999998</v>
      </c>
      <c r="L256" s="94">
        <f t="shared" si="220"/>
        <v>50375511.899999999</v>
      </c>
      <c r="M256" s="94">
        <f t="shared" si="221"/>
        <v>50396323.539999999</v>
      </c>
      <c r="N256" s="94">
        <f t="shared" si="222"/>
        <v>50417135.18</v>
      </c>
      <c r="O256" s="94">
        <f t="shared" si="223"/>
        <v>50437946.82</v>
      </c>
      <c r="P256" s="94">
        <f t="shared" si="224"/>
        <v>50313076.979999997</v>
      </c>
      <c r="Q256" s="90"/>
      <c r="R256" s="90"/>
    </row>
    <row r="257" spans="1:18" hidden="1" outlineLevel="1" x14ac:dyDescent="0.25">
      <c r="A257" s="85">
        <v>2016</v>
      </c>
      <c r="B257" s="94">
        <v>50911803.659999996</v>
      </c>
      <c r="C257" s="94">
        <f t="shared" si="211"/>
        <v>50911803.659999996</v>
      </c>
      <c r="D257" s="94">
        <f t="shared" si="212"/>
        <v>50477434.890000001</v>
      </c>
      <c r="E257" s="94">
        <f t="shared" si="213"/>
        <v>50516922.960000001</v>
      </c>
      <c r="F257" s="94">
        <f t="shared" si="214"/>
        <v>50556411.030000001</v>
      </c>
      <c r="G257" s="94">
        <f t="shared" si="215"/>
        <v>50595899.100000001</v>
      </c>
      <c r="H257" s="94">
        <f t="shared" si="216"/>
        <v>50635387.170000002</v>
      </c>
      <c r="I257" s="94">
        <f t="shared" si="217"/>
        <v>50674875.239999995</v>
      </c>
      <c r="J257" s="94">
        <f t="shared" si="218"/>
        <v>50714363.309999995</v>
      </c>
      <c r="K257" s="94">
        <f t="shared" si="219"/>
        <v>50753851.379999995</v>
      </c>
      <c r="L257" s="94">
        <f t="shared" si="220"/>
        <v>50793339.449999996</v>
      </c>
      <c r="M257" s="94">
        <f t="shared" si="221"/>
        <v>50832827.519999996</v>
      </c>
      <c r="N257" s="94">
        <f t="shared" si="222"/>
        <v>50872315.589999996</v>
      </c>
      <c r="O257" s="94">
        <f t="shared" si="223"/>
        <v>50911803.659999996</v>
      </c>
      <c r="P257" s="94">
        <f t="shared" si="224"/>
        <v>50674875.240000002</v>
      </c>
      <c r="Q257" s="90"/>
      <c r="R257" s="90"/>
    </row>
    <row r="258" spans="1:18" hidden="1" outlineLevel="1" x14ac:dyDescent="0.25">
      <c r="A258" s="85">
        <v>2017</v>
      </c>
      <c r="B258" s="94">
        <v>51063261.869999997</v>
      </c>
      <c r="C258" s="94">
        <f t="shared" si="211"/>
        <v>51063261.869999997</v>
      </c>
      <c r="D258" s="94">
        <f t="shared" si="212"/>
        <v>50924425.177499995</v>
      </c>
      <c r="E258" s="94">
        <f t="shared" si="213"/>
        <v>50937046.694999993</v>
      </c>
      <c r="F258" s="94">
        <f t="shared" si="214"/>
        <v>50949668.212499999</v>
      </c>
      <c r="G258" s="94">
        <f t="shared" si="215"/>
        <v>50962289.729999997</v>
      </c>
      <c r="H258" s="94">
        <f t="shared" si="216"/>
        <v>50974911.247499995</v>
      </c>
      <c r="I258" s="94">
        <f t="shared" si="217"/>
        <v>50987532.765000001</v>
      </c>
      <c r="J258" s="94">
        <f t="shared" si="218"/>
        <v>51000154.282499999</v>
      </c>
      <c r="K258" s="94">
        <f t="shared" si="219"/>
        <v>51012775.799999997</v>
      </c>
      <c r="L258" s="94">
        <f t="shared" si="220"/>
        <v>51025397.317499995</v>
      </c>
      <c r="M258" s="94">
        <f t="shared" si="221"/>
        <v>51038018.834999993</v>
      </c>
      <c r="N258" s="94">
        <f t="shared" si="222"/>
        <v>51050640.352499999</v>
      </c>
      <c r="O258" s="94">
        <f t="shared" si="223"/>
        <v>51063261.869999997</v>
      </c>
      <c r="P258" s="94">
        <f t="shared" si="224"/>
        <v>50987532.764999993</v>
      </c>
      <c r="Q258" s="90"/>
      <c r="R258" s="90"/>
    </row>
    <row r="259" spans="1:18" hidden="1" outlineLevel="1" x14ac:dyDescent="0.25">
      <c r="A259" s="85">
        <v>2018</v>
      </c>
      <c r="B259" s="94">
        <v>50184080.369999997</v>
      </c>
      <c r="C259" s="94">
        <f t="shared" si="211"/>
        <v>50184080.369999997</v>
      </c>
      <c r="D259" s="94">
        <f t="shared" si="212"/>
        <v>50989996.744999997</v>
      </c>
      <c r="E259" s="94">
        <f t="shared" si="213"/>
        <v>50916731.619999997</v>
      </c>
      <c r="F259" s="94">
        <f t="shared" si="214"/>
        <v>50843466.494999997</v>
      </c>
      <c r="G259" s="94">
        <f t="shared" si="215"/>
        <v>50770201.369999997</v>
      </c>
      <c r="H259" s="94">
        <f t="shared" si="216"/>
        <v>50696936.244999997</v>
      </c>
      <c r="I259" s="94">
        <f t="shared" si="217"/>
        <v>50623671.119999997</v>
      </c>
      <c r="J259" s="94">
        <f t="shared" si="218"/>
        <v>50550405.994999997</v>
      </c>
      <c r="K259" s="94">
        <f t="shared" si="219"/>
        <v>50477140.869999997</v>
      </c>
      <c r="L259" s="94">
        <f t="shared" si="220"/>
        <v>50403875.744999997</v>
      </c>
      <c r="M259" s="94">
        <f t="shared" si="221"/>
        <v>50330610.619999997</v>
      </c>
      <c r="N259" s="94">
        <f t="shared" si="222"/>
        <v>50257345.494999997</v>
      </c>
      <c r="O259" s="94">
        <f t="shared" si="223"/>
        <v>50184080.369999997</v>
      </c>
      <c r="P259" s="94">
        <f t="shared" si="224"/>
        <v>50623671.119999997</v>
      </c>
      <c r="Q259" s="90"/>
      <c r="R259" s="90"/>
    </row>
    <row r="260" spans="1:18" collapsed="1" x14ac:dyDescent="0.25">
      <c r="A260" s="85">
        <v>2019</v>
      </c>
      <c r="B260" s="94">
        <v>49433485.280000001</v>
      </c>
      <c r="C260" s="94">
        <f t="shared" si="211"/>
        <v>49433485.280000001</v>
      </c>
      <c r="D260" s="94">
        <f t="shared" si="212"/>
        <v>50121530.779166661</v>
      </c>
      <c r="E260" s="94">
        <f t="shared" si="213"/>
        <v>50058981.188333333</v>
      </c>
      <c r="F260" s="94">
        <f t="shared" si="214"/>
        <v>49996431.597499996</v>
      </c>
      <c r="G260" s="94">
        <f t="shared" si="215"/>
        <v>49933882.006666668</v>
      </c>
      <c r="H260" s="94">
        <f t="shared" si="216"/>
        <v>49871332.415833332</v>
      </c>
      <c r="I260" s="94">
        <f t="shared" si="217"/>
        <v>49808782.825000003</v>
      </c>
      <c r="J260" s="94">
        <f t="shared" si="218"/>
        <v>49746233.234166667</v>
      </c>
      <c r="K260" s="94">
        <f t="shared" si="219"/>
        <v>49683683.643333331</v>
      </c>
      <c r="L260" s="94">
        <f t="shared" si="220"/>
        <v>49621134.052500002</v>
      </c>
      <c r="M260" s="94">
        <f t="shared" si="221"/>
        <v>49558584.461666666</v>
      </c>
      <c r="N260" s="94">
        <f t="shared" si="222"/>
        <v>49496034.870833337</v>
      </c>
      <c r="O260" s="94">
        <f t="shared" si="223"/>
        <v>49433485.280000001</v>
      </c>
      <c r="P260" s="94">
        <f t="shared" si="224"/>
        <v>49808782.82500001</v>
      </c>
      <c r="Q260" s="90"/>
      <c r="R260" s="90"/>
    </row>
    <row r="261" spans="1:18" x14ac:dyDescent="0.25">
      <c r="A261" s="85">
        <v>2020</v>
      </c>
      <c r="B261" s="93">
        <v>48379749.280000001</v>
      </c>
      <c r="C261" s="94">
        <f t="shared" si="211"/>
        <v>48379749.280000001</v>
      </c>
      <c r="D261" s="94">
        <f t="shared" si="212"/>
        <v>49345673.946666665</v>
      </c>
      <c r="E261" s="94">
        <f t="shared" si="213"/>
        <v>49257862.613333337</v>
      </c>
      <c r="F261" s="94">
        <f t="shared" si="214"/>
        <v>49170051.280000001</v>
      </c>
      <c r="G261" s="94">
        <f t="shared" si="215"/>
        <v>49082239.946666665</v>
      </c>
      <c r="H261" s="94">
        <f t="shared" si="216"/>
        <v>48994428.613333337</v>
      </c>
      <c r="I261" s="94">
        <f t="shared" si="217"/>
        <v>48906617.280000001</v>
      </c>
      <c r="J261" s="94">
        <f t="shared" si="218"/>
        <v>48818805.946666665</v>
      </c>
      <c r="K261" s="94">
        <f t="shared" si="219"/>
        <v>48730994.613333337</v>
      </c>
      <c r="L261" s="94">
        <f t="shared" si="220"/>
        <v>48643183.280000001</v>
      </c>
      <c r="M261" s="94">
        <f t="shared" si="221"/>
        <v>48555371.946666665</v>
      </c>
      <c r="N261" s="94">
        <f t="shared" si="222"/>
        <v>48467560.613333337</v>
      </c>
      <c r="O261" s="94">
        <f t="shared" si="223"/>
        <v>48379749.280000001</v>
      </c>
      <c r="P261" s="94">
        <f t="shared" si="224"/>
        <v>48906617.279999994</v>
      </c>
      <c r="Q261" s="90">
        <f>((I260+I261+(SUM(J260:O260)+SUM(D261:H261))*2)/24)</f>
        <v>49395592.666249998</v>
      </c>
      <c r="R261" s="90">
        <f>I261</f>
        <v>48906617.280000001</v>
      </c>
    </row>
    <row r="262" spans="1:18" x14ac:dyDescent="0.25">
      <c r="B262" s="94"/>
      <c r="C262" s="94">
        <f t="shared" si="211"/>
        <v>0</v>
      </c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4">
        <f t="shared" si="223"/>
        <v>0</v>
      </c>
      <c r="P262" s="92"/>
      <c r="Q262" s="90"/>
      <c r="R262" s="90"/>
    </row>
    <row r="263" spans="1:18" x14ac:dyDescent="0.25">
      <c r="A263" s="98" t="s">
        <v>135</v>
      </c>
      <c r="B263" s="94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1"/>
      <c r="Q263" s="90"/>
      <c r="R263" s="90"/>
    </row>
    <row r="264" spans="1:18" hidden="1" outlineLevel="1" x14ac:dyDescent="0.25">
      <c r="A264" s="96">
        <v>2008</v>
      </c>
      <c r="B264" s="94">
        <v>-33759.760000000002</v>
      </c>
      <c r="C264" s="94">
        <f t="shared" ref="C264:C276" si="225">B264</f>
        <v>-33759.760000000002</v>
      </c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0"/>
      <c r="R264" s="90"/>
    </row>
    <row r="265" spans="1:18" hidden="1" outlineLevel="1" x14ac:dyDescent="0.25">
      <c r="A265" s="96">
        <v>2009</v>
      </c>
      <c r="B265" s="94">
        <v>363242.57</v>
      </c>
      <c r="C265" s="94">
        <f t="shared" si="225"/>
        <v>363242.57</v>
      </c>
      <c r="D265" s="94">
        <f t="shared" ref="D265:D276" si="226">(B265-B264)/12*1+B264</f>
        <v>-676.23249999999825</v>
      </c>
      <c r="E265" s="94">
        <f t="shared" ref="E265:E276" si="227">(B265-B264)/12*2+B264</f>
        <v>32407.295000000006</v>
      </c>
      <c r="F265" s="94">
        <f t="shared" ref="F265:F276" si="228">(B265-B264)/12*3+B264</f>
        <v>65490.822500000017</v>
      </c>
      <c r="G265" s="94">
        <f t="shared" ref="G265:G276" si="229">(B265-B264)/12*4+B264</f>
        <v>98574.35</v>
      </c>
      <c r="H265" s="94">
        <f t="shared" ref="H265:H276" si="230">(B265-B264)/12*5+B264</f>
        <v>131657.8775</v>
      </c>
      <c r="I265" s="94">
        <f t="shared" ref="I265:I276" si="231">(B265-B264)/12*6+B264</f>
        <v>164741.40500000003</v>
      </c>
      <c r="J265" s="94">
        <f t="shared" ref="J265:J276" si="232">(B265-B264)/12*7+B264</f>
        <v>197824.93250000002</v>
      </c>
      <c r="K265" s="94">
        <f t="shared" ref="K265:K276" si="233">(B265-B264)/12*8+B264</f>
        <v>230908.46000000002</v>
      </c>
      <c r="L265" s="94">
        <f t="shared" ref="L265:L276" si="234">(B265-B264)/12*9+B264</f>
        <v>263991.98750000005</v>
      </c>
      <c r="M265" s="94">
        <f t="shared" ref="M265:M276" si="235">(B265-B264)/12*10+B264</f>
        <v>297075.51500000001</v>
      </c>
      <c r="N265" s="94">
        <f t="shared" ref="N265:N276" si="236">(B265-B264)/12*11+B264</f>
        <v>330159.04250000004</v>
      </c>
      <c r="O265" s="94">
        <f t="shared" ref="O265:O276" si="237">+B265</f>
        <v>363242.57</v>
      </c>
      <c r="P265" s="94">
        <f t="shared" ref="P265:P276" si="238">((C264+O265)+2*(SUM(D265:N265)))/24</f>
        <v>164741.405</v>
      </c>
      <c r="Q265" s="90"/>
      <c r="R265" s="90"/>
    </row>
    <row r="266" spans="1:18" hidden="1" outlineLevel="1" x14ac:dyDescent="0.25">
      <c r="A266" s="85">
        <v>2010</v>
      </c>
      <c r="B266" s="94">
        <v>683758</v>
      </c>
      <c r="C266" s="94">
        <f t="shared" si="225"/>
        <v>683758</v>
      </c>
      <c r="D266" s="94">
        <f t="shared" si="226"/>
        <v>389952.18916666665</v>
      </c>
      <c r="E266" s="94">
        <f t="shared" si="227"/>
        <v>416661.80833333335</v>
      </c>
      <c r="F266" s="94">
        <f t="shared" si="228"/>
        <v>443371.42749999999</v>
      </c>
      <c r="G266" s="94">
        <f t="shared" si="229"/>
        <v>470081.04666666669</v>
      </c>
      <c r="H266" s="94">
        <f t="shared" si="230"/>
        <v>496790.66583333333</v>
      </c>
      <c r="I266" s="94">
        <f t="shared" si="231"/>
        <v>523500.28500000003</v>
      </c>
      <c r="J266" s="94">
        <f t="shared" si="232"/>
        <v>550209.90416666667</v>
      </c>
      <c r="K266" s="94">
        <f t="shared" si="233"/>
        <v>576919.52333333332</v>
      </c>
      <c r="L266" s="94">
        <f t="shared" si="234"/>
        <v>603629.14250000007</v>
      </c>
      <c r="M266" s="94">
        <f t="shared" si="235"/>
        <v>630338.76166666672</v>
      </c>
      <c r="N266" s="94">
        <f t="shared" si="236"/>
        <v>657048.38083333336</v>
      </c>
      <c r="O266" s="94">
        <f t="shared" si="237"/>
        <v>683758</v>
      </c>
      <c r="P266" s="94">
        <f t="shared" si="238"/>
        <v>523500.28500000009</v>
      </c>
      <c r="Q266" s="90"/>
      <c r="R266" s="90"/>
    </row>
    <row r="267" spans="1:18" hidden="1" outlineLevel="1" x14ac:dyDescent="0.25">
      <c r="A267" s="85">
        <v>2011</v>
      </c>
      <c r="B267" s="94">
        <v>874605</v>
      </c>
      <c r="C267" s="94">
        <f t="shared" si="225"/>
        <v>874605</v>
      </c>
      <c r="D267" s="94">
        <f t="shared" si="226"/>
        <v>699661.91666666663</v>
      </c>
      <c r="E267" s="94">
        <f t="shared" si="227"/>
        <v>715565.83333333337</v>
      </c>
      <c r="F267" s="94">
        <f t="shared" si="228"/>
        <v>731469.75</v>
      </c>
      <c r="G267" s="94">
        <f t="shared" si="229"/>
        <v>747373.66666666663</v>
      </c>
      <c r="H267" s="94">
        <f t="shared" si="230"/>
        <v>763277.58333333337</v>
      </c>
      <c r="I267" s="94">
        <f t="shared" si="231"/>
        <v>779181.5</v>
      </c>
      <c r="J267" s="94">
        <f t="shared" si="232"/>
        <v>795085.41666666663</v>
      </c>
      <c r="K267" s="94">
        <f t="shared" si="233"/>
        <v>810989.33333333337</v>
      </c>
      <c r="L267" s="94">
        <f t="shared" si="234"/>
        <v>826893.25</v>
      </c>
      <c r="M267" s="94">
        <f t="shared" si="235"/>
        <v>842797.16666666663</v>
      </c>
      <c r="N267" s="94">
        <f t="shared" si="236"/>
        <v>858701.08333333326</v>
      </c>
      <c r="O267" s="94">
        <f t="shared" si="237"/>
        <v>874605</v>
      </c>
      <c r="P267" s="94">
        <f t="shared" si="238"/>
        <v>779181.5</v>
      </c>
      <c r="Q267" s="90"/>
      <c r="R267" s="90"/>
    </row>
    <row r="268" spans="1:18" hidden="1" outlineLevel="1" x14ac:dyDescent="0.25">
      <c r="A268" s="85">
        <v>2012</v>
      </c>
      <c r="B268" s="94">
        <v>983281</v>
      </c>
      <c r="C268" s="94">
        <f t="shared" si="225"/>
        <v>983281</v>
      </c>
      <c r="D268" s="94">
        <f t="shared" si="226"/>
        <v>883661.33333333337</v>
      </c>
      <c r="E268" s="94">
        <f t="shared" si="227"/>
        <v>892717.66666666663</v>
      </c>
      <c r="F268" s="94">
        <f t="shared" si="228"/>
        <v>901774</v>
      </c>
      <c r="G268" s="94">
        <f t="shared" si="229"/>
        <v>910830.33333333337</v>
      </c>
      <c r="H268" s="94">
        <f t="shared" si="230"/>
        <v>919886.66666666663</v>
      </c>
      <c r="I268" s="94">
        <f t="shared" si="231"/>
        <v>928943</v>
      </c>
      <c r="J268" s="94">
        <f t="shared" si="232"/>
        <v>937999.33333333337</v>
      </c>
      <c r="K268" s="94">
        <f t="shared" si="233"/>
        <v>947055.66666666663</v>
      </c>
      <c r="L268" s="94">
        <f t="shared" si="234"/>
        <v>956112</v>
      </c>
      <c r="M268" s="94">
        <f t="shared" si="235"/>
        <v>965168.33333333337</v>
      </c>
      <c r="N268" s="94">
        <f t="shared" si="236"/>
        <v>974224.66666666663</v>
      </c>
      <c r="O268" s="94">
        <f t="shared" si="237"/>
        <v>983281</v>
      </c>
      <c r="P268" s="94">
        <f t="shared" si="238"/>
        <v>928943</v>
      </c>
      <c r="Q268" s="90"/>
      <c r="R268" s="90"/>
    </row>
    <row r="269" spans="1:18" hidden="1" outlineLevel="1" x14ac:dyDescent="0.25">
      <c r="A269" s="85">
        <v>2013</v>
      </c>
      <c r="B269" s="94">
        <v>1077544</v>
      </c>
      <c r="C269" s="94">
        <f t="shared" si="225"/>
        <v>1077544</v>
      </c>
      <c r="D269" s="94">
        <f t="shared" si="226"/>
        <v>991136.25</v>
      </c>
      <c r="E269" s="94">
        <f t="shared" si="227"/>
        <v>998991.5</v>
      </c>
      <c r="F269" s="94">
        <f t="shared" si="228"/>
        <v>1006846.75</v>
      </c>
      <c r="G269" s="94">
        <f t="shared" si="229"/>
        <v>1014702</v>
      </c>
      <c r="H269" s="94">
        <f t="shared" si="230"/>
        <v>1022557.25</v>
      </c>
      <c r="I269" s="94">
        <f t="shared" si="231"/>
        <v>1030412.5</v>
      </c>
      <c r="J269" s="94">
        <f t="shared" si="232"/>
        <v>1038267.75</v>
      </c>
      <c r="K269" s="94">
        <f t="shared" si="233"/>
        <v>1046123</v>
      </c>
      <c r="L269" s="94">
        <f t="shared" si="234"/>
        <v>1053978.25</v>
      </c>
      <c r="M269" s="94">
        <f t="shared" si="235"/>
        <v>1061833.5</v>
      </c>
      <c r="N269" s="94">
        <f t="shared" si="236"/>
        <v>1069688.75</v>
      </c>
      <c r="O269" s="94">
        <f t="shared" si="237"/>
        <v>1077544</v>
      </c>
      <c r="P269" s="94">
        <f t="shared" si="238"/>
        <v>1030412.5</v>
      </c>
      <c r="Q269" s="90"/>
      <c r="R269" s="90"/>
    </row>
    <row r="270" spans="1:18" hidden="1" outlineLevel="1" x14ac:dyDescent="0.25">
      <c r="A270" s="85">
        <v>2014</v>
      </c>
      <c r="B270" s="94">
        <v>1058702</v>
      </c>
      <c r="C270" s="94">
        <f t="shared" si="225"/>
        <v>1058702</v>
      </c>
      <c r="D270" s="94">
        <f t="shared" si="226"/>
        <v>1075973.8333333333</v>
      </c>
      <c r="E270" s="94">
        <f t="shared" si="227"/>
        <v>1074403.6666666667</v>
      </c>
      <c r="F270" s="94">
        <f t="shared" si="228"/>
        <v>1072833.5</v>
      </c>
      <c r="G270" s="94">
        <f t="shared" si="229"/>
        <v>1071263.3333333333</v>
      </c>
      <c r="H270" s="94">
        <f t="shared" si="230"/>
        <v>1069693.1666666667</v>
      </c>
      <c r="I270" s="94">
        <f t="shared" si="231"/>
        <v>1068123</v>
      </c>
      <c r="J270" s="94">
        <f t="shared" si="232"/>
        <v>1066552.8333333333</v>
      </c>
      <c r="K270" s="94">
        <f t="shared" si="233"/>
        <v>1064982.6666666667</v>
      </c>
      <c r="L270" s="94">
        <f t="shared" si="234"/>
        <v>1063412.5</v>
      </c>
      <c r="M270" s="94">
        <f t="shared" si="235"/>
        <v>1061842.3333333333</v>
      </c>
      <c r="N270" s="94">
        <f t="shared" si="236"/>
        <v>1060272.1666666667</v>
      </c>
      <c r="O270" s="94">
        <f t="shared" si="237"/>
        <v>1058702</v>
      </c>
      <c r="P270" s="94">
        <f t="shared" si="238"/>
        <v>1068123</v>
      </c>
      <c r="Q270" s="90"/>
      <c r="R270" s="90"/>
    </row>
    <row r="271" spans="1:18" hidden="1" outlineLevel="1" x14ac:dyDescent="0.25">
      <c r="A271" s="85">
        <v>2015</v>
      </c>
      <c r="B271" s="94">
        <v>1000066.75</v>
      </c>
      <c r="C271" s="94">
        <f t="shared" si="225"/>
        <v>1000066.75</v>
      </c>
      <c r="D271" s="94">
        <f t="shared" si="226"/>
        <v>1053815.7291666667</v>
      </c>
      <c r="E271" s="94">
        <f t="shared" si="227"/>
        <v>1048929.4583333333</v>
      </c>
      <c r="F271" s="94">
        <f t="shared" si="228"/>
        <v>1044043.1875</v>
      </c>
      <c r="G271" s="94">
        <f t="shared" si="229"/>
        <v>1039156.9166666666</v>
      </c>
      <c r="H271" s="94">
        <f t="shared" si="230"/>
        <v>1034270.6458333334</v>
      </c>
      <c r="I271" s="94">
        <f t="shared" si="231"/>
        <v>1029384.375</v>
      </c>
      <c r="J271" s="94">
        <f t="shared" si="232"/>
        <v>1024498.1041666666</v>
      </c>
      <c r="K271" s="94">
        <f t="shared" si="233"/>
        <v>1019611.8333333334</v>
      </c>
      <c r="L271" s="94">
        <f t="shared" si="234"/>
        <v>1014725.5625</v>
      </c>
      <c r="M271" s="94">
        <f t="shared" si="235"/>
        <v>1009839.2916666666</v>
      </c>
      <c r="N271" s="94">
        <f t="shared" si="236"/>
        <v>1004953.0208333334</v>
      </c>
      <c r="O271" s="94">
        <f t="shared" si="237"/>
        <v>1000066.75</v>
      </c>
      <c r="P271" s="94">
        <f t="shared" si="238"/>
        <v>1029384.375</v>
      </c>
      <c r="Q271" s="90"/>
      <c r="R271" s="90"/>
    </row>
    <row r="272" spans="1:18" hidden="1" outlineLevel="1" x14ac:dyDescent="0.25">
      <c r="A272" s="85">
        <v>2016</v>
      </c>
      <c r="B272" s="94">
        <v>936918</v>
      </c>
      <c r="C272" s="94">
        <f t="shared" si="225"/>
        <v>936918</v>
      </c>
      <c r="D272" s="94">
        <f t="shared" si="226"/>
        <v>994804.35416666663</v>
      </c>
      <c r="E272" s="94">
        <f t="shared" si="227"/>
        <v>989541.95833333337</v>
      </c>
      <c r="F272" s="94">
        <f t="shared" si="228"/>
        <v>984279.5625</v>
      </c>
      <c r="G272" s="94">
        <f t="shared" si="229"/>
        <v>979017.16666666663</v>
      </c>
      <c r="H272" s="94">
        <f t="shared" si="230"/>
        <v>973754.77083333337</v>
      </c>
      <c r="I272" s="94">
        <f t="shared" si="231"/>
        <v>968492.375</v>
      </c>
      <c r="J272" s="94">
        <f t="shared" si="232"/>
        <v>963229.97916666663</v>
      </c>
      <c r="K272" s="94">
        <f t="shared" si="233"/>
        <v>957967.58333333337</v>
      </c>
      <c r="L272" s="94">
        <f t="shared" si="234"/>
        <v>952705.1875</v>
      </c>
      <c r="M272" s="94">
        <f t="shared" si="235"/>
        <v>947442.79166666663</v>
      </c>
      <c r="N272" s="94">
        <f t="shared" si="236"/>
        <v>942180.39583333337</v>
      </c>
      <c r="O272" s="94">
        <f t="shared" si="237"/>
        <v>936918</v>
      </c>
      <c r="P272" s="94">
        <f t="shared" si="238"/>
        <v>968492.375</v>
      </c>
      <c r="Q272" s="90"/>
      <c r="R272" s="90"/>
    </row>
    <row r="273" spans="1:18" hidden="1" outlineLevel="1" x14ac:dyDescent="0.25">
      <c r="A273" s="85">
        <v>2017</v>
      </c>
      <c r="B273" s="94">
        <v>873493.59</v>
      </c>
      <c r="C273" s="94">
        <f t="shared" si="225"/>
        <v>873493.59</v>
      </c>
      <c r="D273" s="94">
        <f t="shared" si="226"/>
        <v>931632.63249999995</v>
      </c>
      <c r="E273" s="94">
        <f t="shared" si="227"/>
        <v>926347.26500000001</v>
      </c>
      <c r="F273" s="94">
        <f t="shared" si="228"/>
        <v>921061.89749999996</v>
      </c>
      <c r="G273" s="94">
        <f t="shared" si="229"/>
        <v>915776.53</v>
      </c>
      <c r="H273" s="94">
        <f t="shared" si="230"/>
        <v>910491.16249999998</v>
      </c>
      <c r="I273" s="94">
        <f t="shared" si="231"/>
        <v>905205.79499999993</v>
      </c>
      <c r="J273" s="94">
        <f t="shared" si="232"/>
        <v>899920.42749999999</v>
      </c>
      <c r="K273" s="94">
        <f t="shared" si="233"/>
        <v>894635.05999999994</v>
      </c>
      <c r="L273" s="94">
        <f t="shared" si="234"/>
        <v>889349.6925</v>
      </c>
      <c r="M273" s="94">
        <f t="shared" si="235"/>
        <v>884064.32499999995</v>
      </c>
      <c r="N273" s="94">
        <f t="shared" si="236"/>
        <v>878778.95750000002</v>
      </c>
      <c r="O273" s="94">
        <f t="shared" si="237"/>
        <v>873493.59</v>
      </c>
      <c r="P273" s="94">
        <f t="shared" si="238"/>
        <v>905205.79499999993</v>
      </c>
      <c r="Q273" s="90"/>
      <c r="R273" s="90"/>
    </row>
    <row r="274" spans="1:18" hidden="1" outlineLevel="1" x14ac:dyDescent="0.25">
      <c r="A274" s="85">
        <v>2018</v>
      </c>
      <c r="B274" s="94">
        <v>803628.57</v>
      </c>
      <c r="C274" s="94">
        <f t="shared" si="225"/>
        <v>803628.57</v>
      </c>
      <c r="D274" s="94">
        <f t="shared" si="226"/>
        <v>867671.505</v>
      </c>
      <c r="E274" s="94">
        <f t="shared" si="227"/>
        <v>861849.41999999993</v>
      </c>
      <c r="F274" s="94">
        <f t="shared" si="228"/>
        <v>856027.33499999996</v>
      </c>
      <c r="G274" s="94">
        <f t="shared" si="229"/>
        <v>850205.25</v>
      </c>
      <c r="H274" s="94">
        <f t="shared" si="230"/>
        <v>844383.16499999992</v>
      </c>
      <c r="I274" s="94">
        <f t="shared" si="231"/>
        <v>838561.08</v>
      </c>
      <c r="J274" s="94">
        <f t="shared" si="232"/>
        <v>832738.995</v>
      </c>
      <c r="K274" s="94">
        <f t="shared" si="233"/>
        <v>826916.90999999992</v>
      </c>
      <c r="L274" s="94">
        <f t="shared" si="234"/>
        <v>821094.82499999995</v>
      </c>
      <c r="M274" s="94">
        <f t="shared" si="235"/>
        <v>815272.74</v>
      </c>
      <c r="N274" s="94">
        <f t="shared" si="236"/>
        <v>809450.65499999991</v>
      </c>
      <c r="O274" s="94">
        <f t="shared" si="237"/>
        <v>803628.57</v>
      </c>
      <c r="P274" s="94">
        <f t="shared" si="238"/>
        <v>838561.08</v>
      </c>
      <c r="Q274" s="90"/>
      <c r="R274" s="90"/>
    </row>
    <row r="275" spans="1:18" collapsed="1" x14ac:dyDescent="0.25">
      <c r="A275" s="85">
        <v>2019</v>
      </c>
      <c r="B275" s="94">
        <v>733682.46</v>
      </c>
      <c r="C275" s="94">
        <f t="shared" si="225"/>
        <v>733682.46</v>
      </c>
      <c r="D275" s="94">
        <f t="shared" si="226"/>
        <v>797799.72749999992</v>
      </c>
      <c r="E275" s="94">
        <f t="shared" si="227"/>
        <v>791970.88500000001</v>
      </c>
      <c r="F275" s="94">
        <f t="shared" si="228"/>
        <v>786142.04249999998</v>
      </c>
      <c r="G275" s="94">
        <f t="shared" si="229"/>
        <v>780313.2</v>
      </c>
      <c r="H275" s="94">
        <f t="shared" si="230"/>
        <v>774484.35749999993</v>
      </c>
      <c r="I275" s="94">
        <f t="shared" si="231"/>
        <v>768655.5149999999</v>
      </c>
      <c r="J275" s="94">
        <f t="shared" si="232"/>
        <v>762826.67249999999</v>
      </c>
      <c r="K275" s="94">
        <f t="shared" si="233"/>
        <v>756997.83</v>
      </c>
      <c r="L275" s="94">
        <f t="shared" si="234"/>
        <v>751168.98749999993</v>
      </c>
      <c r="M275" s="94">
        <f t="shared" si="235"/>
        <v>745340.14500000002</v>
      </c>
      <c r="N275" s="94">
        <f t="shared" si="236"/>
        <v>739511.30249999999</v>
      </c>
      <c r="O275" s="94">
        <f t="shared" si="237"/>
        <v>733682.46</v>
      </c>
      <c r="P275" s="94">
        <f t="shared" si="238"/>
        <v>768655.51500000001</v>
      </c>
      <c r="Q275" s="90"/>
      <c r="R275" s="90"/>
    </row>
    <row r="276" spans="1:18" x14ac:dyDescent="0.25">
      <c r="A276" s="85">
        <v>2020</v>
      </c>
      <c r="B276" s="93">
        <v>664959.5</v>
      </c>
      <c r="C276" s="94">
        <f t="shared" si="225"/>
        <v>664959.5</v>
      </c>
      <c r="D276" s="94">
        <f t="shared" si="226"/>
        <v>727955.54666666663</v>
      </c>
      <c r="E276" s="94">
        <f t="shared" si="227"/>
        <v>722228.6333333333</v>
      </c>
      <c r="F276" s="94">
        <f t="shared" si="228"/>
        <v>716501.72</v>
      </c>
      <c r="G276" s="94">
        <f t="shared" si="229"/>
        <v>710774.80666666664</v>
      </c>
      <c r="H276" s="94">
        <f t="shared" si="230"/>
        <v>705047.89333333331</v>
      </c>
      <c r="I276" s="94">
        <f t="shared" si="231"/>
        <v>699320.98</v>
      </c>
      <c r="J276" s="94">
        <f t="shared" si="232"/>
        <v>693594.06666666665</v>
      </c>
      <c r="K276" s="94">
        <f t="shared" si="233"/>
        <v>687867.15333333332</v>
      </c>
      <c r="L276" s="94">
        <f t="shared" si="234"/>
        <v>682140.24</v>
      </c>
      <c r="M276" s="94">
        <f t="shared" si="235"/>
        <v>676413.32666666666</v>
      </c>
      <c r="N276" s="94">
        <f t="shared" si="236"/>
        <v>670686.41333333333</v>
      </c>
      <c r="O276" s="94">
        <f t="shared" si="237"/>
        <v>664959.5</v>
      </c>
      <c r="P276" s="94">
        <f t="shared" si="238"/>
        <v>699320.98</v>
      </c>
      <c r="Q276" s="90">
        <f>((I275+I276+(SUM(J275:O275)+SUM(D276:H276))*2)/24)</f>
        <v>733835.35374999989</v>
      </c>
      <c r="R276" s="90">
        <f>I276</f>
        <v>699320.98</v>
      </c>
    </row>
    <row r="277" spans="1:18" x14ac:dyDescent="0.25"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0"/>
      <c r="R277" s="90"/>
    </row>
    <row r="278" spans="1:18" x14ac:dyDescent="0.25">
      <c r="A278" s="98" t="s">
        <v>147</v>
      </c>
      <c r="B278" s="94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1"/>
      <c r="Q278" s="90"/>
      <c r="R278" s="90"/>
    </row>
    <row r="279" spans="1:18" hidden="1" outlineLevel="1" x14ac:dyDescent="0.25">
      <c r="A279" s="96">
        <v>2008</v>
      </c>
      <c r="B279" s="94">
        <v>70005.39</v>
      </c>
      <c r="C279" s="94">
        <f t="shared" ref="C279:C291" si="239">B279</f>
        <v>70005.39</v>
      </c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0"/>
      <c r="R279" s="90"/>
    </row>
    <row r="280" spans="1:18" hidden="1" outlineLevel="1" x14ac:dyDescent="0.25">
      <c r="A280" s="96">
        <v>2009</v>
      </c>
      <c r="B280" s="94">
        <f>3323.87+212129.03</f>
        <v>215452.9</v>
      </c>
      <c r="C280" s="94">
        <f t="shared" si="239"/>
        <v>215452.9</v>
      </c>
      <c r="D280" s="94">
        <f t="shared" ref="D280:D291" si="240">(B280-B279)/12*1+B279</f>
        <v>82126.015833333338</v>
      </c>
      <c r="E280" s="94">
        <f t="shared" ref="E280:E291" si="241">(B280-B279)/12*2+B279</f>
        <v>94246.641666666663</v>
      </c>
      <c r="F280" s="94">
        <f t="shared" ref="F280:F291" si="242">(B280-B279)/12*3+B279</f>
        <v>106367.2675</v>
      </c>
      <c r="G280" s="94">
        <f t="shared" ref="G280:G291" si="243">(B280-B279)/12*4+B279</f>
        <v>118487.89333333334</v>
      </c>
      <c r="H280" s="94">
        <f t="shared" ref="H280:H291" si="244">(B280-B279)/12*5+B279</f>
        <v>130608.51916666667</v>
      </c>
      <c r="I280" s="94">
        <f t="shared" ref="I280:I291" si="245">(B280-B279)/12*6+B279</f>
        <v>142729.14500000002</v>
      </c>
      <c r="J280" s="94">
        <f t="shared" ref="J280:J291" si="246">(B280-B279)/12*7+B279</f>
        <v>154849.77083333331</v>
      </c>
      <c r="K280" s="94">
        <f t="shared" ref="K280:K291" si="247">(B280-B279)/12*8+B279</f>
        <v>166970.39666666667</v>
      </c>
      <c r="L280" s="94">
        <f t="shared" ref="L280:L291" si="248">(B280-B279)/12*9+B279</f>
        <v>179091.02250000002</v>
      </c>
      <c r="M280" s="94">
        <f t="shared" ref="M280:M291" si="249">(B280-B279)/12*10+B279</f>
        <v>191211.64833333332</v>
      </c>
      <c r="N280" s="94">
        <f t="shared" ref="N280:N291" si="250">(B280-B279)/12*11+B279</f>
        <v>203332.27416666667</v>
      </c>
      <c r="O280" s="94">
        <f t="shared" ref="O280:O291" si="251">+B280</f>
        <v>215452.9</v>
      </c>
      <c r="P280" s="94">
        <f t="shared" ref="P280:P291" si="252">((C279+O280)+2*(SUM(D280:N280)))/24</f>
        <v>142729.14499999999</v>
      </c>
      <c r="Q280" s="90"/>
      <c r="R280" s="90"/>
    </row>
    <row r="281" spans="1:18" hidden="1" outlineLevel="1" x14ac:dyDescent="0.25">
      <c r="A281" s="85">
        <v>2010</v>
      </c>
      <c r="B281" s="94">
        <f>2974+1284582</f>
        <v>1287556</v>
      </c>
      <c r="C281" s="94">
        <f t="shared" si="239"/>
        <v>1287556</v>
      </c>
      <c r="D281" s="94">
        <f t="shared" si="240"/>
        <v>304794.82500000001</v>
      </c>
      <c r="E281" s="94">
        <f t="shared" si="241"/>
        <v>394136.75</v>
      </c>
      <c r="F281" s="94">
        <f t="shared" si="242"/>
        <v>483478.67500000005</v>
      </c>
      <c r="G281" s="94">
        <f t="shared" si="243"/>
        <v>572820.6</v>
      </c>
      <c r="H281" s="94">
        <f t="shared" si="244"/>
        <v>662162.52500000002</v>
      </c>
      <c r="I281" s="94">
        <f t="shared" si="245"/>
        <v>751504.45000000007</v>
      </c>
      <c r="J281" s="94">
        <f t="shared" si="246"/>
        <v>840846.375</v>
      </c>
      <c r="K281" s="94">
        <f t="shared" si="247"/>
        <v>930188.3</v>
      </c>
      <c r="L281" s="94">
        <f t="shared" si="248"/>
        <v>1019530.2250000001</v>
      </c>
      <c r="M281" s="94">
        <f t="shared" si="249"/>
        <v>1108872.1499999999</v>
      </c>
      <c r="N281" s="94">
        <f t="shared" si="250"/>
        <v>1198214.075</v>
      </c>
      <c r="O281" s="94">
        <f t="shared" si="251"/>
        <v>1287556</v>
      </c>
      <c r="P281" s="94">
        <f t="shared" si="252"/>
        <v>751504.45000000007</v>
      </c>
      <c r="Q281" s="90"/>
      <c r="R281" s="90"/>
    </row>
    <row r="282" spans="1:18" hidden="1" outlineLevel="1" x14ac:dyDescent="0.25">
      <c r="A282" s="85">
        <v>2011</v>
      </c>
      <c r="B282" s="94">
        <v>1415030</v>
      </c>
      <c r="C282" s="94">
        <f t="shared" si="239"/>
        <v>1415030</v>
      </c>
      <c r="D282" s="94">
        <f t="shared" si="240"/>
        <v>1298178.8333333333</v>
      </c>
      <c r="E282" s="94">
        <f t="shared" si="241"/>
        <v>1308801.6666666667</v>
      </c>
      <c r="F282" s="94">
        <f t="shared" si="242"/>
        <v>1319424.5</v>
      </c>
      <c r="G282" s="94">
        <f t="shared" si="243"/>
        <v>1330047.3333333333</v>
      </c>
      <c r="H282" s="94">
        <f t="shared" si="244"/>
        <v>1340670.1666666667</v>
      </c>
      <c r="I282" s="94">
        <f t="shared" si="245"/>
        <v>1351293</v>
      </c>
      <c r="J282" s="94">
        <f t="shared" si="246"/>
        <v>1361915.8333333333</v>
      </c>
      <c r="K282" s="94">
        <f t="shared" si="247"/>
        <v>1372538.6666666667</v>
      </c>
      <c r="L282" s="94">
        <f t="shared" si="248"/>
        <v>1383161.5</v>
      </c>
      <c r="M282" s="94">
        <f t="shared" si="249"/>
        <v>1393784.3333333333</v>
      </c>
      <c r="N282" s="94">
        <f t="shared" si="250"/>
        <v>1404407.1666666667</v>
      </c>
      <c r="O282" s="94">
        <f t="shared" si="251"/>
        <v>1415030</v>
      </c>
      <c r="P282" s="94">
        <f t="shared" si="252"/>
        <v>1351293</v>
      </c>
      <c r="Q282" s="90"/>
      <c r="R282" s="90"/>
    </row>
    <row r="283" spans="1:18" hidden="1" outlineLevel="1" x14ac:dyDescent="0.25">
      <c r="A283" s="85">
        <v>2012</v>
      </c>
      <c r="B283" s="94">
        <v>1737157</v>
      </c>
      <c r="C283" s="94">
        <f t="shared" si="239"/>
        <v>1737157</v>
      </c>
      <c r="D283" s="94">
        <f t="shared" si="240"/>
        <v>1441873.9166666667</v>
      </c>
      <c r="E283" s="94">
        <f t="shared" si="241"/>
        <v>1468717.8333333333</v>
      </c>
      <c r="F283" s="94">
        <f t="shared" si="242"/>
        <v>1495561.75</v>
      </c>
      <c r="G283" s="94">
        <f t="shared" si="243"/>
        <v>1522405.6666666667</v>
      </c>
      <c r="H283" s="94">
        <f t="shared" si="244"/>
        <v>1549249.5833333333</v>
      </c>
      <c r="I283" s="94">
        <f t="shared" si="245"/>
        <v>1576093.5</v>
      </c>
      <c r="J283" s="94">
        <f t="shared" si="246"/>
        <v>1602937.4166666667</v>
      </c>
      <c r="K283" s="94">
        <f t="shared" si="247"/>
        <v>1629781.3333333333</v>
      </c>
      <c r="L283" s="94">
        <f t="shared" si="248"/>
        <v>1656625.25</v>
      </c>
      <c r="M283" s="94">
        <f t="shared" si="249"/>
        <v>1683469.1666666667</v>
      </c>
      <c r="N283" s="94">
        <f t="shared" si="250"/>
        <v>1710313.0833333335</v>
      </c>
      <c r="O283" s="94">
        <f t="shared" si="251"/>
        <v>1737157</v>
      </c>
      <c r="P283" s="94">
        <f t="shared" si="252"/>
        <v>1576093.5</v>
      </c>
      <c r="Q283" s="90"/>
      <c r="R283" s="90"/>
    </row>
    <row r="284" spans="1:18" hidden="1" outlineLevel="1" x14ac:dyDescent="0.25">
      <c r="A284" s="85">
        <v>2013</v>
      </c>
      <c r="B284" s="94">
        <v>2189415</v>
      </c>
      <c r="C284" s="94">
        <f t="shared" si="239"/>
        <v>2189415</v>
      </c>
      <c r="D284" s="94">
        <f t="shared" si="240"/>
        <v>1774845.1666666667</v>
      </c>
      <c r="E284" s="94">
        <f t="shared" si="241"/>
        <v>1812533.3333333333</v>
      </c>
      <c r="F284" s="94">
        <f t="shared" si="242"/>
        <v>1850221.5</v>
      </c>
      <c r="G284" s="94">
        <f t="shared" si="243"/>
        <v>1887909.6666666667</v>
      </c>
      <c r="H284" s="94">
        <f t="shared" si="244"/>
        <v>1925597.8333333333</v>
      </c>
      <c r="I284" s="94">
        <f t="shared" si="245"/>
        <v>1963286</v>
      </c>
      <c r="J284" s="94">
        <f t="shared" si="246"/>
        <v>2000974.1666666665</v>
      </c>
      <c r="K284" s="94">
        <f t="shared" si="247"/>
        <v>2038662.3333333333</v>
      </c>
      <c r="L284" s="94">
        <f t="shared" si="248"/>
        <v>2076350.5</v>
      </c>
      <c r="M284" s="94">
        <f t="shared" si="249"/>
        <v>2114038.6666666665</v>
      </c>
      <c r="N284" s="94">
        <f t="shared" si="250"/>
        <v>2151726.8333333335</v>
      </c>
      <c r="O284" s="94">
        <f t="shared" si="251"/>
        <v>2189415</v>
      </c>
      <c r="P284" s="94">
        <f t="shared" si="252"/>
        <v>1963286</v>
      </c>
      <c r="Q284" s="90"/>
      <c r="R284" s="90"/>
    </row>
    <row r="285" spans="1:18" hidden="1" outlineLevel="1" x14ac:dyDescent="0.25">
      <c r="A285" s="85">
        <v>2014</v>
      </c>
      <c r="B285" s="94">
        <v>2189420.84</v>
      </c>
      <c r="C285" s="94">
        <f t="shared" si="239"/>
        <v>2189420.84</v>
      </c>
      <c r="D285" s="94">
        <f t="shared" si="240"/>
        <v>2189415.4866666668</v>
      </c>
      <c r="E285" s="94">
        <f t="shared" si="241"/>
        <v>2189415.9733333332</v>
      </c>
      <c r="F285" s="94">
        <f t="shared" si="242"/>
        <v>2189416.46</v>
      </c>
      <c r="G285" s="94">
        <f t="shared" si="243"/>
        <v>2189416.9466666668</v>
      </c>
      <c r="H285" s="94">
        <f t="shared" si="244"/>
        <v>2189417.4333333331</v>
      </c>
      <c r="I285" s="94">
        <f t="shared" si="245"/>
        <v>2189417.92</v>
      </c>
      <c r="J285" s="94">
        <f t="shared" si="246"/>
        <v>2189418.4066666667</v>
      </c>
      <c r="K285" s="94">
        <f t="shared" si="247"/>
        <v>2189418.8933333331</v>
      </c>
      <c r="L285" s="94">
        <f t="shared" si="248"/>
        <v>2189419.38</v>
      </c>
      <c r="M285" s="94">
        <f t="shared" si="249"/>
        <v>2189419.8666666667</v>
      </c>
      <c r="N285" s="94">
        <f t="shared" si="250"/>
        <v>2189420.353333333</v>
      </c>
      <c r="O285" s="94">
        <f t="shared" si="251"/>
        <v>2189420.84</v>
      </c>
      <c r="P285" s="94">
        <f t="shared" si="252"/>
        <v>2189417.92</v>
      </c>
      <c r="Q285" s="90"/>
      <c r="R285" s="90"/>
    </row>
    <row r="286" spans="1:18" hidden="1" outlineLevel="1" x14ac:dyDescent="0.25">
      <c r="A286" s="85">
        <v>2015</v>
      </c>
      <c r="B286" s="94">
        <v>2271639.08</v>
      </c>
      <c r="C286" s="94">
        <f t="shared" si="239"/>
        <v>2271639.08</v>
      </c>
      <c r="D286" s="94">
        <f t="shared" si="240"/>
        <v>2196272.36</v>
      </c>
      <c r="E286" s="94">
        <f t="shared" si="241"/>
        <v>2203123.88</v>
      </c>
      <c r="F286" s="94">
        <f t="shared" si="242"/>
        <v>2209975.4</v>
      </c>
      <c r="G286" s="94">
        <f t="shared" si="243"/>
        <v>2216826.92</v>
      </c>
      <c r="H286" s="94">
        <f t="shared" si="244"/>
        <v>2223678.44</v>
      </c>
      <c r="I286" s="94">
        <f t="shared" si="245"/>
        <v>2230529.96</v>
      </c>
      <c r="J286" s="94">
        <f t="shared" si="246"/>
        <v>2237381.48</v>
      </c>
      <c r="K286" s="94">
        <f t="shared" si="247"/>
        <v>2244233</v>
      </c>
      <c r="L286" s="94">
        <f t="shared" si="248"/>
        <v>2251084.52</v>
      </c>
      <c r="M286" s="94">
        <f t="shared" si="249"/>
        <v>2257936.04</v>
      </c>
      <c r="N286" s="94">
        <f t="shared" si="250"/>
        <v>2264787.56</v>
      </c>
      <c r="O286" s="94">
        <f t="shared" si="251"/>
        <v>2271639.08</v>
      </c>
      <c r="P286" s="94">
        <f t="shared" si="252"/>
        <v>2230529.96</v>
      </c>
      <c r="Q286" s="90"/>
      <c r="R286" s="90"/>
    </row>
    <row r="287" spans="1:18" hidden="1" outlineLevel="1" x14ac:dyDescent="0.25">
      <c r="A287" s="85">
        <v>2016</v>
      </c>
      <c r="B287" s="94">
        <v>2114595.64</v>
      </c>
      <c r="C287" s="94">
        <f t="shared" si="239"/>
        <v>2114595.64</v>
      </c>
      <c r="D287" s="94">
        <f t="shared" si="240"/>
        <v>2258552.1266666669</v>
      </c>
      <c r="E287" s="94">
        <f t="shared" si="241"/>
        <v>2245465.1733333333</v>
      </c>
      <c r="F287" s="94">
        <f t="shared" si="242"/>
        <v>2232378.2200000002</v>
      </c>
      <c r="G287" s="94">
        <f t="shared" si="243"/>
        <v>2219291.2666666666</v>
      </c>
      <c r="H287" s="94">
        <f t="shared" si="244"/>
        <v>2206204.3133333335</v>
      </c>
      <c r="I287" s="94">
        <f t="shared" si="245"/>
        <v>2193117.3600000003</v>
      </c>
      <c r="J287" s="94">
        <f t="shared" si="246"/>
        <v>2180030.4066666667</v>
      </c>
      <c r="K287" s="94">
        <f t="shared" si="247"/>
        <v>2166943.4533333336</v>
      </c>
      <c r="L287" s="94">
        <f t="shared" si="248"/>
        <v>2153856.5</v>
      </c>
      <c r="M287" s="94">
        <f t="shared" si="249"/>
        <v>2140769.5466666669</v>
      </c>
      <c r="N287" s="94">
        <f t="shared" si="250"/>
        <v>2127682.5933333333</v>
      </c>
      <c r="O287" s="94">
        <f t="shared" si="251"/>
        <v>2114595.64</v>
      </c>
      <c r="P287" s="94">
        <f t="shared" si="252"/>
        <v>2193117.36</v>
      </c>
      <c r="Q287" s="90"/>
      <c r="R287" s="90"/>
    </row>
    <row r="288" spans="1:18" hidden="1" outlineLevel="1" x14ac:dyDescent="0.25">
      <c r="A288" s="85">
        <v>2017</v>
      </c>
      <c r="B288" s="94">
        <v>3270114.54</v>
      </c>
      <c r="C288" s="94">
        <f t="shared" si="239"/>
        <v>3270114.54</v>
      </c>
      <c r="D288" s="94">
        <f t="shared" si="240"/>
        <v>2210888.8816666668</v>
      </c>
      <c r="E288" s="94">
        <f t="shared" si="241"/>
        <v>2307182.1233333335</v>
      </c>
      <c r="F288" s="94">
        <f t="shared" si="242"/>
        <v>2403475.3650000002</v>
      </c>
      <c r="G288" s="94">
        <f t="shared" si="243"/>
        <v>2499768.6066666669</v>
      </c>
      <c r="H288" s="94">
        <f t="shared" si="244"/>
        <v>2596061.8483333336</v>
      </c>
      <c r="I288" s="94">
        <f t="shared" si="245"/>
        <v>2692355.09</v>
      </c>
      <c r="J288" s="94">
        <f t="shared" si="246"/>
        <v>2788648.3316666665</v>
      </c>
      <c r="K288" s="94">
        <f t="shared" si="247"/>
        <v>2884941.5733333332</v>
      </c>
      <c r="L288" s="94">
        <f t="shared" si="248"/>
        <v>2981234.8149999999</v>
      </c>
      <c r="M288" s="94">
        <f t="shared" si="249"/>
        <v>3077528.0566666666</v>
      </c>
      <c r="N288" s="94">
        <f t="shared" si="250"/>
        <v>3173821.2983333333</v>
      </c>
      <c r="O288" s="94">
        <f t="shared" si="251"/>
        <v>3270114.54</v>
      </c>
      <c r="P288" s="94">
        <f t="shared" si="252"/>
        <v>2692355.0900000003</v>
      </c>
      <c r="Q288" s="90"/>
      <c r="R288" s="90"/>
    </row>
    <row r="289" spans="1:18" hidden="1" outlineLevel="1" x14ac:dyDescent="0.25">
      <c r="A289" s="85">
        <v>2018</v>
      </c>
      <c r="B289" s="94">
        <v>3384831.52</v>
      </c>
      <c r="C289" s="94">
        <f t="shared" si="239"/>
        <v>3384831.52</v>
      </c>
      <c r="D289" s="94">
        <f t="shared" si="240"/>
        <v>3279674.2883333336</v>
      </c>
      <c r="E289" s="94">
        <f t="shared" si="241"/>
        <v>3289234.0366666666</v>
      </c>
      <c r="F289" s="94">
        <f t="shared" si="242"/>
        <v>3298793.7850000001</v>
      </c>
      <c r="G289" s="94">
        <f t="shared" si="243"/>
        <v>3308353.5333333332</v>
      </c>
      <c r="H289" s="94">
        <f t="shared" si="244"/>
        <v>3317913.2816666667</v>
      </c>
      <c r="I289" s="94">
        <f t="shared" si="245"/>
        <v>3327473.0300000003</v>
      </c>
      <c r="J289" s="94">
        <f t="shared" si="246"/>
        <v>3337032.7783333333</v>
      </c>
      <c r="K289" s="94">
        <f t="shared" si="247"/>
        <v>3346592.5266666668</v>
      </c>
      <c r="L289" s="94">
        <f t="shared" si="248"/>
        <v>3356152.2749999999</v>
      </c>
      <c r="M289" s="94">
        <f t="shared" si="249"/>
        <v>3365712.0233333334</v>
      </c>
      <c r="N289" s="94">
        <f t="shared" si="250"/>
        <v>3375271.7716666665</v>
      </c>
      <c r="O289" s="94">
        <f t="shared" si="251"/>
        <v>3384831.52</v>
      </c>
      <c r="P289" s="94">
        <f t="shared" si="252"/>
        <v>3327473.03</v>
      </c>
      <c r="Q289" s="90"/>
      <c r="R289" s="90"/>
    </row>
    <row r="290" spans="1:18" collapsed="1" x14ac:dyDescent="0.25">
      <c r="A290" s="85">
        <v>2019</v>
      </c>
      <c r="B290" s="94">
        <v>3580503.67</v>
      </c>
      <c r="C290" s="94">
        <f t="shared" si="239"/>
        <v>3580503.67</v>
      </c>
      <c r="D290" s="94">
        <f t="shared" si="240"/>
        <v>3401137.5325000002</v>
      </c>
      <c r="E290" s="94">
        <f t="shared" si="241"/>
        <v>3417443.5449999999</v>
      </c>
      <c r="F290" s="94">
        <f t="shared" si="242"/>
        <v>3433749.5575000001</v>
      </c>
      <c r="G290" s="94">
        <f t="shared" si="243"/>
        <v>3450055.57</v>
      </c>
      <c r="H290" s="94">
        <f t="shared" si="244"/>
        <v>3466361.5825</v>
      </c>
      <c r="I290" s="94">
        <f t="shared" si="245"/>
        <v>3482667.5949999997</v>
      </c>
      <c r="J290" s="94">
        <f t="shared" si="246"/>
        <v>3498973.6074999999</v>
      </c>
      <c r="K290" s="94">
        <f t="shared" si="247"/>
        <v>3515279.62</v>
      </c>
      <c r="L290" s="94">
        <f t="shared" si="248"/>
        <v>3531585.6324999998</v>
      </c>
      <c r="M290" s="94">
        <f t="shared" si="249"/>
        <v>3547891.645</v>
      </c>
      <c r="N290" s="94">
        <f t="shared" si="250"/>
        <v>3564197.6574999997</v>
      </c>
      <c r="O290" s="94">
        <f t="shared" si="251"/>
        <v>3580503.67</v>
      </c>
      <c r="P290" s="94">
        <f t="shared" si="252"/>
        <v>3482667.5950000002</v>
      </c>
      <c r="Q290" s="90"/>
      <c r="R290" s="90"/>
    </row>
    <row r="291" spans="1:18" x14ac:dyDescent="0.25">
      <c r="A291" s="85">
        <v>2020</v>
      </c>
      <c r="B291" s="93">
        <v>3740641.79</v>
      </c>
      <c r="C291" s="94">
        <f t="shared" si="239"/>
        <v>3740641.79</v>
      </c>
      <c r="D291" s="94">
        <f t="shared" si="240"/>
        <v>3593848.5133333332</v>
      </c>
      <c r="E291" s="94">
        <f t="shared" si="241"/>
        <v>3607193.3566666665</v>
      </c>
      <c r="F291" s="94">
        <f t="shared" si="242"/>
        <v>3620538.2</v>
      </c>
      <c r="G291" s="94">
        <f t="shared" si="243"/>
        <v>3633883.0433333335</v>
      </c>
      <c r="H291" s="94">
        <f t="shared" si="244"/>
        <v>3647227.8866666667</v>
      </c>
      <c r="I291" s="94">
        <f t="shared" si="245"/>
        <v>3660572.73</v>
      </c>
      <c r="J291" s="94">
        <f t="shared" si="246"/>
        <v>3673917.5733333332</v>
      </c>
      <c r="K291" s="94">
        <f t="shared" si="247"/>
        <v>3687262.4166666665</v>
      </c>
      <c r="L291" s="94">
        <f t="shared" si="248"/>
        <v>3700607.26</v>
      </c>
      <c r="M291" s="94">
        <f t="shared" si="249"/>
        <v>3713952.1033333335</v>
      </c>
      <c r="N291" s="94">
        <f t="shared" si="250"/>
        <v>3727296.9466666668</v>
      </c>
      <c r="O291" s="94">
        <f t="shared" si="251"/>
        <v>3740641.79</v>
      </c>
      <c r="P291" s="94">
        <f t="shared" si="252"/>
        <v>3660572.73</v>
      </c>
      <c r="Q291" s="90">
        <f>((I290+I291+(SUM(J290:O290)+SUM(D291:H291))*2)/24)</f>
        <v>3576061.9162499998</v>
      </c>
      <c r="R291" s="90">
        <f>I291</f>
        <v>3660572.73</v>
      </c>
    </row>
    <row r="292" spans="1:18" x14ac:dyDescent="0.25">
      <c r="B292" s="94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0"/>
      <c r="R292" s="90"/>
    </row>
    <row r="293" spans="1:18" x14ac:dyDescent="0.25">
      <c r="A293" s="98" t="s">
        <v>146</v>
      </c>
      <c r="B293" s="94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1"/>
      <c r="Q293" s="90"/>
      <c r="R293" s="90"/>
    </row>
    <row r="294" spans="1:18" hidden="1" outlineLevel="1" x14ac:dyDescent="0.25">
      <c r="A294" s="96">
        <v>2008</v>
      </c>
      <c r="B294" s="94">
        <f>4594.56-3585574.25</f>
        <v>-3580979.69</v>
      </c>
      <c r="C294" s="94">
        <f t="shared" ref="C294:C306" si="253">B294</f>
        <v>-3580979.69</v>
      </c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0"/>
      <c r="R294" s="90"/>
    </row>
    <row r="295" spans="1:18" hidden="1" outlineLevel="1" x14ac:dyDescent="0.25">
      <c r="A295" s="96">
        <v>2009</v>
      </c>
      <c r="B295" s="94">
        <f>1885325.76-1362569.69</f>
        <v>522756.07000000007</v>
      </c>
      <c r="C295" s="94">
        <f t="shared" si="253"/>
        <v>522756.07000000007</v>
      </c>
      <c r="D295" s="94">
        <f t="shared" ref="D295:D306" si="254">(B295-B294)/12*1+B294</f>
        <v>-3239001.71</v>
      </c>
      <c r="E295" s="94">
        <f t="shared" ref="E295:E306" si="255">(B295-B294)/12*2+B294</f>
        <v>-2897023.73</v>
      </c>
      <c r="F295" s="94">
        <f t="shared" ref="F295:F306" si="256">(B295-B294)/12*3+B294</f>
        <v>-2555045.75</v>
      </c>
      <c r="G295" s="94">
        <f t="shared" ref="G295:G306" si="257">(B295-B294)/12*4+B294</f>
        <v>-2213067.77</v>
      </c>
      <c r="H295" s="94">
        <f t="shared" ref="H295:H306" si="258">(B295-B294)/12*5+B294</f>
        <v>-1871089.79</v>
      </c>
      <c r="I295" s="94">
        <f t="shared" ref="I295:I306" si="259">(B295-B294)/12*6+B294</f>
        <v>-1529111.81</v>
      </c>
      <c r="J295" s="94">
        <f t="shared" ref="J295:J306" si="260">(B295-B294)/12*7+B294</f>
        <v>-1187133.83</v>
      </c>
      <c r="K295" s="94">
        <f t="shared" ref="K295:K306" si="261">(B295-B294)/12*8+B294</f>
        <v>-845155.85000000009</v>
      </c>
      <c r="L295" s="94">
        <f t="shared" ref="L295:L306" si="262">(B295-B294)/12*9+B294</f>
        <v>-503177.87000000011</v>
      </c>
      <c r="M295" s="94">
        <f t="shared" ref="M295:M306" si="263">(B295-B294)/12*10+B294</f>
        <v>-161199.89000000013</v>
      </c>
      <c r="N295" s="94">
        <f t="shared" ref="N295:N306" si="264">(B295-B294)/12*11+B294</f>
        <v>180778.08999999985</v>
      </c>
      <c r="O295" s="94">
        <f t="shared" ref="O295:O306" si="265">+B295</f>
        <v>522756.07000000007</v>
      </c>
      <c r="P295" s="94">
        <f t="shared" ref="P295:P306" si="266">((C294+O295)+2*(SUM(D295:N295)))/24</f>
        <v>-1529111.8099999998</v>
      </c>
      <c r="Q295" s="90"/>
      <c r="R295" s="90"/>
    </row>
    <row r="296" spans="1:18" hidden="1" outlineLevel="1" x14ac:dyDescent="0.25">
      <c r="A296" s="85">
        <v>2010</v>
      </c>
      <c r="B296" s="94">
        <f>1870524+6347540</f>
        <v>8218064</v>
      </c>
      <c r="C296" s="94">
        <f t="shared" si="253"/>
        <v>8218064</v>
      </c>
      <c r="D296" s="94">
        <f t="shared" si="254"/>
        <v>1164031.7308333335</v>
      </c>
      <c r="E296" s="94">
        <f t="shared" si="255"/>
        <v>1805307.3916666666</v>
      </c>
      <c r="F296" s="94">
        <f t="shared" si="256"/>
        <v>2446583.0525000002</v>
      </c>
      <c r="G296" s="94">
        <f t="shared" si="257"/>
        <v>3087858.7133333329</v>
      </c>
      <c r="H296" s="94">
        <f t="shared" si="258"/>
        <v>3729134.3741666665</v>
      </c>
      <c r="I296" s="94">
        <f t="shared" si="259"/>
        <v>4370410.0350000001</v>
      </c>
      <c r="J296" s="94">
        <f t="shared" si="260"/>
        <v>5011685.6958333328</v>
      </c>
      <c r="K296" s="94">
        <f t="shared" si="261"/>
        <v>5652961.3566666665</v>
      </c>
      <c r="L296" s="94">
        <f t="shared" si="262"/>
        <v>6294237.0175000001</v>
      </c>
      <c r="M296" s="94">
        <f t="shared" si="263"/>
        <v>6935512.6783333328</v>
      </c>
      <c r="N296" s="94">
        <f t="shared" si="264"/>
        <v>7576788.3391666664</v>
      </c>
      <c r="O296" s="94">
        <f t="shared" si="265"/>
        <v>8218064</v>
      </c>
      <c r="P296" s="94">
        <f t="shared" si="266"/>
        <v>4370410.0350000001</v>
      </c>
      <c r="Q296" s="90"/>
      <c r="R296" s="90"/>
    </row>
    <row r="297" spans="1:18" hidden="1" outlineLevel="1" x14ac:dyDescent="0.25">
      <c r="A297" s="85">
        <v>2011</v>
      </c>
      <c r="B297" s="94">
        <v>10973353</v>
      </c>
      <c r="C297" s="94">
        <f t="shared" si="253"/>
        <v>10973353</v>
      </c>
      <c r="D297" s="94">
        <f t="shared" si="254"/>
        <v>8447671.416666666</v>
      </c>
      <c r="E297" s="94">
        <f t="shared" si="255"/>
        <v>8677278.833333334</v>
      </c>
      <c r="F297" s="94">
        <f t="shared" si="256"/>
        <v>8906886.25</v>
      </c>
      <c r="G297" s="94">
        <f t="shared" si="257"/>
        <v>9136493.666666666</v>
      </c>
      <c r="H297" s="94">
        <f t="shared" si="258"/>
        <v>9366101.083333334</v>
      </c>
      <c r="I297" s="94">
        <f t="shared" si="259"/>
        <v>9595708.5</v>
      </c>
      <c r="J297" s="94">
        <f t="shared" si="260"/>
        <v>9825315.916666666</v>
      </c>
      <c r="K297" s="94">
        <f t="shared" si="261"/>
        <v>10054923.333333334</v>
      </c>
      <c r="L297" s="94">
        <f t="shared" si="262"/>
        <v>10284530.75</v>
      </c>
      <c r="M297" s="94">
        <f t="shared" si="263"/>
        <v>10514138.166666666</v>
      </c>
      <c r="N297" s="94">
        <f t="shared" si="264"/>
        <v>10743745.583333332</v>
      </c>
      <c r="O297" s="94">
        <f t="shared" si="265"/>
        <v>10973353</v>
      </c>
      <c r="P297" s="94">
        <f t="shared" si="266"/>
        <v>9595708.5</v>
      </c>
      <c r="Q297" s="90"/>
      <c r="R297" s="90"/>
    </row>
    <row r="298" spans="1:18" ht="15" hidden="1" customHeight="1" outlineLevel="1" x14ac:dyDescent="0.25">
      <c r="A298" s="85">
        <v>2012</v>
      </c>
      <c r="B298" s="94">
        <v>12882081</v>
      </c>
      <c r="C298" s="94">
        <f t="shared" si="253"/>
        <v>12882081</v>
      </c>
      <c r="D298" s="94">
        <f t="shared" si="254"/>
        <v>11132413.666666666</v>
      </c>
      <c r="E298" s="94">
        <f t="shared" si="255"/>
        <v>11291474.333333334</v>
      </c>
      <c r="F298" s="94">
        <f t="shared" si="256"/>
        <v>11450535</v>
      </c>
      <c r="G298" s="94">
        <f t="shared" si="257"/>
        <v>11609595.666666666</v>
      </c>
      <c r="H298" s="94">
        <f t="shared" si="258"/>
        <v>11768656.333333334</v>
      </c>
      <c r="I298" s="94">
        <f t="shared" si="259"/>
        <v>11927717</v>
      </c>
      <c r="J298" s="94">
        <f t="shared" si="260"/>
        <v>12086777.666666666</v>
      </c>
      <c r="K298" s="94">
        <f t="shared" si="261"/>
        <v>12245838.333333334</v>
      </c>
      <c r="L298" s="94">
        <f t="shared" si="262"/>
        <v>12404899</v>
      </c>
      <c r="M298" s="94">
        <f t="shared" si="263"/>
        <v>12563959.666666666</v>
      </c>
      <c r="N298" s="94">
        <f t="shared" si="264"/>
        <v>12723020.333333334</v>
      </c>
      <c r="O298" s="94">
        <f t="shared" si="265"/>
        <v>12882081</v>
      </c>
      <c r="P298" s="94">
        <f t="shared" si="266"/>
        <v>11927717</v>
      </c>
      <c r="Q298" s="90"/>
      <c r="R298" s="90"/>
    </row>
    <row r="299" spans="1:18" hidden="1" outlineLevel="1" x14ac:dyDescent="0.25">
      <c r="A299" s="85">
        <v>2013</v>
      </c>
      <c r="B299" s="94">
        <v>15333544</v>
      </c>
      <c r="C299" s="94">
        <f t="shared" si="253"/>
        <v>15333544</v>
      </c>
      <c r="D299" s="94">
        <f t="shared" si="254"/>
        <v>13086369.583333334</v>
      </c>
      <c r="E299" s="94">
        <f t="shared" si="255"/>
        <v>13290658.166666666</v>
      </c>
      <c r="F299" s="94">
        <f t="shared" si="256"/>
        <v>13494946.75</v>
      </c>
      <c r="G299" s="94">
        <f t="shared" si="257"/>
        <v>13699235.333333334</v>
      </c>
      <c r="H299" s="94">
        <f t="shared" si="258"/>
        <v>13903523.916666666</v>
      </c>
      <c r="I299" s="94">
        <f t="shared" si="259"/>
        <v>14107812.5</v>
      </c>
      <c r="J299" s="94">
        <f t="shared" si="260"/>
        <v>14312101.083333334</v>
      </c>
      <c r="K299" s="94">
        <f t="shared" si="261"/>
        <v>14516389.666666666</v>
      </c>
      <c r="L299" s="94">
        <f t="shared" si="262"/>
        <v>14720678.25</v>
      </c>
      <c r="M299" s="94">
        <f t="shared" si="263"/>
        <v>14924966.833333334</v>
      </c>
      <c r="N299" s="94">
        <f t="shared" si="264"/>
        <v>15129255.416666668</v>
      </c>
      <c r="O299" s="94">
        <f t="shared" si="265"/>
        <v>15333544</v>
      </c>
      <c r="P299" s="94">
        <f t="shared" si="266"/>
        <v>14107812.5</v>
      </c>
      <c r="Q299" s="90"/>
      <c r="R299" s="90"/>
    </row>
    <row r="300" spans="1:18" hidden="1" outlineLevel="1" x14ac:dyDescent="0.25">
      <c r="A300" s="85">
        <v>2014</v>
      </c>
      <c r="B300" s="94">
        <v>17437289.059999999</v>
      </c>
      <c r="C300" s="94">
        <f t="shared" si="253"/>
        <v>17437289.059999999</v>
      </c>
      <c r="D300" s="94">
        <f t="shared" si="254"/>
        <v>15508856.088333333</v>
      </c>
      <c r="E300" s="94">
        <f t="shared" si="255"/>
        <v>15684168.176666666</v>
      </c>
      <c r="F300" s="94">
        <f t="shared" si="256"/>
        <v>15859480.265000001</v>
      </c>
      <c r="G300" s="94">
        <f t="shared" si="257"/>
        <v>16034792.353333334</v>
      </c>
      <c r="H300" s="94">
        <f t="shared" si="258"/>
        <v>16210104.441666666</v>
      </c>
      <c r="I300" s="94">
        <f t="shared" si="259"/>
        <v>16385416.529999999</v>
      </c>
      <c r="J300" s="94">
        <f t="shared" si="260"/>
        <v>16560728.618333332</v>
      </c>
      <c r="K300" s="94">
        <f t="shared" si="261"/>
        <v>16736040.706666665</v>
      </c>
      <c r="L300" s="94">
        <f t="shared" si="262"/>
        <v>16911352.794999998</v>
      </c>
      <c r="M300" s="94">
        <f t="shared" si="263"/>
        <v>17086664.883333333</v>
      </c>
      <c r="N300" s="94">
        <f t="shared" si="264"/>
        <v>17261976.971666664</v>
      </c>
      <c r="O300" s="94">
        <f t="shared" si="265"/>
        <v>17437289.059999999</v>
      </c>
      <c r="P300" s="94">
        <f t="shared" si="266"/>
        <v>16385416.529999999</v>
      </c>
      <c r="Q300" s="90"/>
      <c r="R300" s="90"/>
    </row>
    <row r="301" spans="1:18" hidden="1" outlineLevel="1" x14ac:dyDescent="0.25">
      <c r="A301" s="85">
        <v>2015</v>
      </c>
      <c r="B301" s="94">
        <v>19060275.550000001</v>
      </c>
      <c r="C301" s="94">
        <f t="shared" si="253"/>
        <v>19060275.550000001</v>
      </c>
      <c r="D301" s="94">
        <f t="shared" si="254"/>
        <v>17572537.934166666</v>
      </c>
      <c r="E301" s="94">
        <f t="shared" si="255"/>
        <v>17707786.808333334</v>
      </c>
      <c r="F301" s="94">
        <f t="shared" si="256"/>
        <v>17843035.682499997</v>
      </c>
      <c r="G301" s="94">
        <f t="shared" si="257"/>
        <v>17978284.556666665</v>
      </c>
      <c r="H301" s="94">
        <f t="shared" si="258"/>
        <v>18113533.430833332</v>
      </c>
      <c r="I301" s="94">
        <f t="shared" si="259"/>
        <v>18248782.305</v>
      </c>
      <c r="J301" s="94">
        <f t="shared" si="260"/>
        <v>18384031.179166667</v>
      </c>
      <c r="K301" s="94">
        <f t="shared" si="261"/>
        <v>18519280.053333335</v>
      </c>
      <c r="L301" s="94">
        <f t="shared" si="262"/>
        <v>18654528.927500002</v>
      </c>
      <c r="M301" s="94">
        <f t="shared" si="263"/>
        <v>18789777.801666666</v>
      </c>
      <c r="N301" s="94">
        <f t="shared" si="264"/>
        <v>18925026.675833333</v>
      </c>
      <c r="O301" s="94">
        <f t="shared" si="265"/>
        <v>19060275.550000001</v>
      </c>
      <c r="P301" s="94">
        <f t="shared" si="266"/>
        <v>18248782.305000003</v>
      </c>
      <c r="Q301" s="90"/>
      <c r="R301" s="90"/>
    </row>
    <row r="302" spans="1:18" hidden="1" outlineLevel="1" x14ac:dyDescent="0.25">
      <c r="A302" s="85">
        <v>2016</v>
      </c>
      <c r="B302" s="94">
        <v>21629330.23</v>
      </c>
      <c r="C302" s="94">
        <f t="shared" si="253"/>
        <v>21629330.23</v>
      </c>
      <c r="D302" s="94">
        <f t="shared" si="254"/>
        <v>19274363.440000001</v>
      </c>
      <c r="E302" s="94">
        <f t="shared" si="255"/>
        <v>19488451.330000002</v>
      </c>
      <c r="F302" s="94">
        <f t="shared" si="256"/>
        <v>19702539.219999999</v>
      </c>
      <c r="G302" s="94">
        <f t="shared" si="257"/>
        <v>19916627.109999999</v>
      </c>
      <c r="H302" s="94">
        <f t="shared" si="258"/>
        <v>20130715</v>
      </c>
      <c r="I302" s="94">
        <f t="shared" si="259"/>
        <v>20344802.890000001</v>
      </c>
      <c r="J302" s="94">
        <f t="shared" si="260"/>
        <v>20558890.780000001</v>
      </c>
      <c r="K302" s="94">
        <f t="shared" si="261"/>
        <v>20772978.670000002</v>
      </c>
      <c r="L302" s="94">
        <f t="shared" si="262"/>
        <v>20987066.560000002</v>
      </c>
      <c r="M302" s="94">
        <f t="shared" si="263"/>
        <v>21201154.449999999</v>
      </c>
      <c r="N302" s="94">
        <f t="shared" si="264"/>
        <v>21415242.34</v>
      </c>
      <c r="O302" s="94">
        <f t="shared" si="265"/>
        <v>21629330.23</v>
      </c>
      <c r="P302" s="94">
        <f t="shared" si="266"/>
        <v>20344802.890000001</v>
      </c>
      <c r="Q302" s="90"/>
      <c r="R302" s="90"/>
    </row>
    <row r="303" spans="1:18" hidden="1" outlineLevel="1" x14ac:dyDescent="0.25">
      <c r="A303" s="85">
        <v>2017</v>
      </c>
      <c r="B303" s="94">
        <v>23338095.120000001</v>
      </c>
      <c r="C303" s="94">
        <f t="shared" si="253"/>
        <v>23338095.120000001</v>
      </c>
      <c r="D303" s="94">
        <f t="shared" si="254"/>
        <v>21771727.304166667</v>
      </c>
      <c r="E303" s="94">
        <f t="shared" si="255"/>
        <v>21914124.378333334</v>
      </c>
      <c r="F303" s="94">
        <f t="shared" si="256"/>
        <v>22056521.452500001</v>
      </c>
      <c r="G303" s="94">
        <f t="shared" si="257"/>
        <v>22198918.526666667</v>
      </c>
      <c r="H303" s="94">
        <f t="shared" si="258"/>
        <v>22341315.600833334</v>
      </c>
      <c r="I303" s="94">
        <f t="shared" si="259"/>
        <v>22483712.675000001</v>
      </c>
      <c r="J303" s="94">
        <f t="shared" si="260"/>
        <v>22626109.749166667</v>
      </c>
      <c r="K303" s="94">
        <f t="shared" si="261"/>
        <v>22768506.823333334</v>
      </c>
      <c r="L303" s="94">
        <f t="shared" si="262"/>
        <v>22910903.897500001</v>
      </c>
      <c r="M303" s="94">
        <f t="shared" si="263"/>
        <v>23053300.971666668</v>
      </c>
      <c r="N303" s="94">
        <f t="shared" si="264"/>
        <v>23195698.045833334</v>
      </c>
      <c r="O303" s="94">
        <f t="shared" si="265"/>
        <v>23338095.120000001</v>
      </c>
      <c r="P303" s="94">
        <f t="shared" si="266"/>
        <v>22483712.675000001</v>
      </c>
      <c r="Q303" s="90"/>
      <c r="R303" s="90"/>
    </row>
    <row r="304" spans="1:18" hidden="1" outlineLevel="1" x14ac:dyDescent="0.25">
      <c r="A304" s="85">
        <v>2018</v>
      </c>
      <c r="B304" s="94">
        <v>23837288.52</v>
      </c>
      <c r="C304" s="94">
        <f t="shared" si="253"/>
        <v>23837288.52</v>
      </c>
      <c r="D304" s="94">
        <f t="shared" si="254"/>
        <v>23379694.57</v>
      </c>
      <c r="E304" s="94">
        <f t="shared" si="255"/>
        <v>23421294.02</v>
      </c>
      <c r="F304" s="94">
        <f t="shared" si="256"/>
        <v>23462893.469999999</v>
      </c>
      <c r="G304" s="94">
        <f t="shared" si="257"/>
        <v>23504492.920000002</v>
      </c>
      <c r="H304" s="94">
        <f t="shared" si="258"/>
        <v>23546092.370000001</v>
      </c>
      <c r="I304" s="94">
        <f t="shared" si="259"/>
        <v>23587691.82</v>
      </c>
      <c r="J304" s="94">
        <f t="shared" si="260"/>
        <v>23629291.27</v>
      </c>
      <c r="K304" s="94">
        <f t="shared" si="261"/>
        <v>23670890.719999999</v>
      </c>
      <c r="L304" s="94">
        <f t="shared" si="262"/>
        <v>23712490.170000002</v>
      </c>
      <c r="M304" s="94">
        <f t="shared" si="263"/>
        <v>23754089.620000001</v>
      </c>
      <c r="N304" s="94">
        <f t="shared" si="264"/>
        <v>23795689.07</v>
      </c>
      <c r="O304" s="94">
        <f t="shared" si="265"/>
        <v>23837288.52</v>
      </c>
      <c r="P304" s="94">
        <f t="shared" si="266"/>
        <v>23587691.820000004</v>
      </c>
      <c r="Q304" s="90"/>
      <c r="R304" s="90"/>
    </row>
    <row r="305" spans="1:18" collapsed="1" x14ac:dyDescent="0.25">
      <c r="A305" s="85">
        <v>2019</v>
      </c>
      <c r="B305" s="94">
        <v>23469143.129999999</v>
      </c>
      <c r="C305" s="94">
        <f t="shared" si="253"/>
        <v>23469143.129999999</v>
      </c>
      <c r="D305" s="94">
        <f t="shared" si="254"/>
        <v>23806609.737500001</v>
      </c>
      <c r="E305" s="94">
        <f t="shared" si="255"/>
        <v>23775930.954999998</v>
      </c>
      <c r="F305" s="94">
        <f t="shared" si="256"/>
        <v>23745252.172499999</v>
      </c>
      <c r="G305" s="94">
        <f t="shared" si="257"/>
        <v>23714573.390000001</v>
      </c>
      <c r="H305" s="94">
        <f t="shared" si="258"/>
        <v>23683894.607499998</v>
      </c>
      <c r="I305" s="94">
        <f t="shared" si="259"/>
        <v>23653215.824999999</v>
      </c>
      <c r="J305" s="94">
        <f t="shared" si="260"/>
        <v>23622537.0425</v>
      </c>
      <c r="K305" s="94">
        <f t="shared" si="261"/>
        <v>23591858.259999998</v>
      </c>
      <c r="L305" s="94">
        <f t="shared" si="262"/>
        <v>23561179.477499999</v>
      </c>
      <c r="M305" s="94">
        <f t="shared" si="263"/>
        <v>23530500.695</v>
      </c>
      <c r="N305" s="94">
        <f t="shared" si="264"/>
        <v>23499821.912499998</v>
      </c>
      <c r="O305" s="94">
        <f t="shared" si="265"/>
        <v>23469143.129999999</v>
      </c>
      <c r="P305" s="94">
        <f t="shared" si="266"/>
        <v>23653215.824999999</v>
      </c>
      <c r="Q305" s="90"/>
      <c r="R305" s="90"/>
    </row>
    <row r="306" spans="1:18" x14ac:dyDescent="0.25">
      <c r="A306" s="85">
        <v>2020</v>
      </c>
      <c r="B306" s="93">
        <v>23428665.530000001</v>
      </c>
      <c r="C306" s="94">
        <f t="shared" si="253"/>
        <v>23428665.530000001</v>
      </c>
      <c r="D306" s="94">
        <f t="shared" si="254"/>
        <v>23465769.996666666</v>
      </c>
      <c r="E306" s="94">
        <f t="shared" si="255"/>
        <v>23462396.863333333</v>
      </c>
      <c r="F306" s="94">
        <f t="shared" si="256"/>
        <v>23459023.73</v>
      </c>
      <c r="G306" s="94">
        <f t="shared" si="257"/>
        <v>23455650.596666668</v>
      </c>
      <c r="H306" s="94">
        <f t="shared" si="258"/>
        <v>23452277.463333335</v>
      </c>
      <c r="I306" s="94">
        <f t="shared" si="259"/>
        <v>23448904.329999998</v>
      </c>
      <c r="J306" s="94">
        <f t="shared" si="260"/>
        <v>23445531.196666665</v>
      </c>
      <c r="K306" s="94">
        <f t="shared" si="261"/>
        <v>23442158.063333333</v>
      </c>
      <c r="L306" s="94">
        <f t="shared" si="262"/>
        <v>23438784.93</v>
      </c>
      <c r="M306" s="94">
        <f t="shared" si="263"/>
        <v>23435411.796666667</v>
      </c>
      <c r="N306" s="94">
        <f t="shared" si="264"/>
        <v>23432038.663333334</v>
      </c>
      <c r="O306" s="94">
        <f t="shared" si="265"/>
        <v>23428665.530000001</v>
      </c>
      <c r="P306" s="94">
        <f t="shared" si="266"/>
        <v>23448904.330000002</v>
      </c>
      <c r="Q306" s="90">
        <f>((I305+I306+(SUM(J305:O305)+SUM(D306:H306))*2)/24)</f>
        <v>23510101.603750002</v>
      </c>
      <c r="R306" s="90">
        <f>I306</f>
        <v>23448904.329999998</v>
      </c>
    </row>
    <row r="307" spans="1:18" x14ac:dyDescent="0.25">
      <c r="B307" s="94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0"/>
      <c r="R307" s="90"/>
    </row>
    <row r="308" spans="1:18" x14ac:dyDescent="0.25">
      <c r="A308" s="98" t="s">
        <v>145</v>
      </c>
      <c r="B308" s="94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1"/>
      <c r="Q308" s="90"/>
      <c r="R308" s="90"/>
    </row>
    <row r="309" spans="1:18" hidden="1" outlineLevel="1" x14ac:dyDescent="0.25">
      <c r="A309" s="96">
        <v>2008</v>
      </c>
      <c r="B309" s="94">
        <f>109.5+2162002.86</f>
        <v>2162112.36</v>
      </c>
      <c r="C309" s="94">
        <f t="shared" ref="C309:C321" si="267">B309</f>
        <v>2162112.36</v>
      </c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0"/>
      <c r="R309" s="90"/>
    </row>
    <row r="310" spans="1:18" hidden="1" outlineLevel="1" x14ac:dyDescent="0.25">
      <c r="A310" s="96">
        <v>2009</v>
      </c>
      <c r="B310" s="94">
        <f>1135.37-4831337.66</f>
        <v>-4830202.29</v>
      </c>
      <c r="C310" s="94">
        <f t="shared" si="267"/>
        <v>-4830202.29</v>
      </c>
      <c r="D310" s="94">
        <f t="shared" ref="D310:D321" si="268">(B310-B309)/12*1+B309</f>
        <v>1579419.4724999997</v>
      </c>
      <c r="E310" s="94">
        <f t="shared" ref="E310:E321" si="269">(B310-B309)/12*2+B309</f>
        <v>996726.58499999973</v>
      </c>
      <c r="F310" s="94">
        <f t="shared" ref="F310:F321" si="270">(B310-B309)/12*3+B309</f>
        <v>414033.69749999978</v>
      </c>
      <c r="G310" s="94">
        <f t="shared" ref="G310:G321" si="271">(B310-B309)/12*4+B309</f>
        <v>-168659.19000000041</v>
      </c>
      <c r="H310" s="94">
        <f t="shared" ref="H310:H321" si="272">(B310-B309)/12*5+B309</f>
        <v>-751352.0775000006</v>
      </c>
      <c r="I310" s="94">
        <f t="shared" ref="I310:I321" si="273">(B310-B309)/12*6+B309</f>
        <v>-1334044.9650000003</v>
      </c>
      <c r="J310" s="94">
        <f t="shared" ref="J310:J321" si="274">(B310-B309)/12*7+B309</f>
        <v>-1916737.8525000005</v>
      </c>
      <c r="K310" s="94">
        <f t="shared" ref="K310:K321" si="275">(B310-B309)/12*8+B309</f>
        <v>-2499430.7400000007</v>
      </c>
      <c r="L310" s="94">
        <f t="shared" ref="L310:L321" si="276">(B310-B309)/12*9+B309</f>
        <v>-3082123.6275000009</v>
      </c>
      <c r="M310" s="94">
        <f t="shared" ref="M310:M321" si="277">(B310-B309)/12*10+B309</f>
        <v>-3664816.5150000011</v>
      </c>
      <c r="N310" s="94">
        <f t="shared" ref="N310:N321" si="278">(B310-B309)/12*11+B309</f>
        <v>-4247509.4025000017</v>
      </c>
      <c r="O310" s="94">
        <f t="shared" ref="O310:O321" si="279">+B310</f>
        <v>-4830202.29</v>
      </c>
      <c r="P310" s="94">
        <f t="shared" ref="P310:P321" si="280">((C309+O310)+2*(SUM(D310:N310)))/24</f>
        <v>-1334044.9650000005</v>
      </c>
      <c r="Q310" s="90"/>
      <c r="R310" s="90"/>
    </row>
    <row r="311" spans="1:18" hidden="1" outlineLevel="1" x14ac:dyDescent="0.25">
      <c r="A311" s="85">
        <v>2010</v>
      </c>
      <c r="B311" s="94">
        <f>974-4748812</f>
        <v>-4747838</v>
      </c>
      <c r="C311" s="94">
        <f t="shared" si="267"/>
        <v>-4747838</v>
      </c>
      <c r="D311" s="94">
        <f t="shared" si="268"/>
        <v>-4823338.5991666671</v>
      </c>
      <c r="E311" s="94">
        <f t="shared" si="269"/>
        <v>-4816474.9083333332</v>
      </c>
      <c r="F311" s="94">
        <f t="shared" si="270"/>
        <v>-4809611.2175000003</v>
      </c>
      <c r="G311" s="94">
        <f t="shared" si="271"/>
        <v>-4802747.5266666664</v>
      </c>
      <c r="H311" s="94">
        <f t="shared" si="272"/>
        <v>-4795883.8358333334</v>
      </c>
      <c r="I311" s="94">
        <f t="shared" si="273"/>
        <v>-4789020.1449999996</v>
      </c>
      <c r="J311" s="94">
        <f t="shared" si="274"/>
        <v>-4782156.4541666666</v>
      </c>
      <c r="K311" s="94">
        <f t="shared" si="275"/>
        <v>-4775292.7633333337</v>
      </c>
      <c r="L311" s="94">
        <f t="shared" si="276"/>
        <v>-4768429.0724999998</v>
      </c>
      <c r="M311" s="94">
        <f t="shared" si="277"/>
        <v>-4761565.3816666668</v>
      </c>
      <c r="N311" s="94">
        <f t="shared" si="278"/>
        <v>-4754701.6908333329</v>
      </c>
      <c r="O311" s="94">
        <f t="shared" si="279"/>
        <v>-4747838</v>
      </c>
      <c r="P311" s="94">
        <f t="shared" si="280"/>
        <v>-4789020.1449999996</v>
      </c>
      <c r="Q311" s="90"/>
      <c r="R311" s="90"/>
    </row>
    <row r="312" spans="1:18" hidden="1" outlineLevel="1" x14ac:dyDescent="0.25">
      <c r="A312" s="85">
        <v>2011</v>
      </c>
      <c r="B312" s="94">
        <v>-4719590</v>
      </c>
      <c r="C312" s="94">
        <f t="shared" si="267"/>
        <v>-4719590</v>
      </c>
      <c r="D312" s="94">
        <f t="shared" si="268"/>
        <v>-4745484</v>
      </c>
      <c r="E312" s="94">
        <f t="shared" si="269"/>
        <v>-4743130</v>
      </c>
      <c r="F312" s="94">
        <f t="shared" si="270"/>
        <v>-4740776</v>
      </c>
      <c r="G312" s="94">
        <f t="shared" si="271"/>
        <v>-4738422</v>
      </c>
      <c r="H312" s="94">
        <f t="shared" si="272"/>
        <v>-4736068</v>
      </c>
      <c r="I312" s="94">
        <f t="shared" si="273"/>
        <v>-4733714</v>
      </c>
      <c r="J312" s="94">
        <f t="shared" si="274"/>
        <v>-4731360</v>
      </c>
      <c r="K312" s="94">
        <f t="shared" si="275"/>
        <v>-4729006</v>
      </c>
      <c r="L312" s="94">
        <f t="shared" si="276"/>
        <v>-4726652</v>
      </c>
      <c r="M312" s="94">
        <f t="shared" si="277"/>
        <v>-4724298</v>
      </c>
      <c r="N312" s="94">
        <f t="shared" si="278"/>
        <v>-4721944</v>
      </c>
      <c r="O312" s="94">
        <f t="shared" si="279"/>
        <v>-4719590</v>
      </c>
      <c r="P312" s="94">
        <f t="shared" si="280"/>
        <v>-4733714</v>
      </c>
      <c r="Q312" s="90"/>
      <c r="R312" s="90"/>
    </row>
    <row r="313" spans="1:18" hidden="1" outlineLevel="1" x14ac:dyDescent="0.25">
      <c r="A313" s="85">
        <v>2012</v>
      </c>
      <c r="B313" s="94">
        <v>-4859572</v>
      </c>
      <c r="C313" s="94">
        <f t="shared" si="267"/>
        <v>-4859572</v>
      </c>
      <c r="D313" s="94">
        <f t="shared" si="268"/>
        <v>-4731255.166666667</v>
      </c>
      <c r="E313" s="94">
        <f t="shared" si="269"/>
        <v>-4742920.333333333</v>
      </c>
      <c r="F313" s="94">
        <f t="shared" si="270"/>
        <v>-4754585.5</v>
      </c>
      <c r="G313" s="94">
        <f t="shared" si="271"/>
        <v>-4766250.666666667</v>
      </c>
      <c r="H313" s="94">
        <f t="shared" si="272"/>
        <v>-4777915.833333333</v>
      </c>
      <c r="I313" s="94">
        <f t="shared" si="273"/>
        <v>-4789581</v>
      </c>
      <c r="J313" s="94">
        <f t="shared" si="274"/>
        <v>-4801246.166666667</v>
      </c>
      <c r="K313" s="94">
        <f t="shared" si="275"/>
        <v>-4812911.333333333</v>
      </c>
      <c r="L313" s="94">
        <f t="shared" si="276"/>
        <v>-4824576.5</v>
      </c>
      <c r="M313" s="94">
        <f t="shared" si="277"/>
        <v>-4836241.666666667</v>
      </c>
      <c r="N313" s="94">
        <f t="shared" si="278"/>
        <v>-4847906.833333333</v>
      </c>
      <c r="O313" s="94">
        <f t="shared" si="279"/>
        <v>-4859572</v>
      </c>
      <c r="P313" s="94">
        <f t="shared" si="280"/>
        <v>-4789581</v>
      </c>
      <c r="Q313" s="90"/>
      <c r="R313" s="90"/>
    </row>
    <row r="314" spans="1:18" hidden="1" outlineLevel="1" x14ac:dyDescent="0.25">
      <c r="A314" s="85">
        <v>2013</v>
      </c>
      <c r="B314" s="94">
        <v>-5011118</v>
      </c>
      <c r="C314" s="94">
        <f t="shared" si="267"/>
        <v>-5011118</v>
      </c>
      <c r="D314" s="94">
        <f t="shared" si="268"/>
        <v>-4872200.833333333</v>
      </c>
      <c r="E314" s="94">
        <f t="shared" si="269"/>
        <v>-4884829.666666667</v>
      </c>
      <c r="F314" s="94">
        <f t="shared" si="270"/>
        <v>-4897458.5</v>
      </c>
      <c r="G314" s="94">
        <f t="shared" si="271"/>
        <v>-4910087.333333333</v>
      </c>
      <c r="H314" s="94">
        <f t="shared" si="272"/>
        <v>-4922716.166666667</v>
      </c>
      <c r="I314" s="94">
        <f t="shared" si="273"/>
        <v>-4935345</v>
      </c>
      <c r="J314" s="94">
        <f t="shared" si="274"/>
        <v>-4947973.833333333</v>
      </c>
      <c r="K314" s="94">
        <f t="shared" si="275"/>
        <v>-4960602.666666667</v>
      </c>
      <c r="L314" s="94">
        <f t="shared" si="276"/>
        <v>-4973231.5</v>
      </c>
      <c r="M314" s="94">
        <f t="shared" si="277"/>
        <v>-4985860.333333333</v>
      </c>
      <c r="N314" s="94">
        <f t="shared" si="278"/>
        <v>-4998489.166666667</v>
      </c>
      <c r="O314" s="94">
        <f t="shared" si="279"/>
        <v>-5011118</v>
      </c>
      <c r="P314" s="94">
        <f t="shared" si="280"/>
        <v>-4935345</v>
      </c>
      <c r="Q314" s="90"/>
      <c r="R314" s="90"/>
    </row>
    <row r="315" spans="1:18" hidden="1" outlineLevel="1" x14ac:dyDescent="0.25">
      <c r="A315" s="85">
        <v>2014</v>
      </c>
      <c r="B315" s="94">
        <v>-5240173.5999999996</v>
      </c>
      <c r="C315" s="94">
        <f t="shared" si="267"/>
        <v>-5240173.5999999996</v>
      </c>
      <c r="D315" s="94">
        <f t="shared" si="268"/>
        <v>-5030205.9666666668</v>
      </c>
      <c r="E315" s="94">
        <f t="shared" si="269"/>
        <v>-5049293.9333333336</v>
      </c>
      <c r="F315" s="94">
        <f t="shared" si="270"/>
        <v>-5068381.9000000004</v>
      </c>
      <c r="G315" s="94">
        <f t="shared" si="271"/>
        <v>-5087469.8666666662</v>
      </c>
      <c r="H315" s="94">
        <f t="shared" si="272"/>
        <v>-5106557.833333333</v>
      </c>
      <c r="I315" s="94">
        <f t="shared" si="273"/>
        <v>-5125645.8</v>
      </c>
      <c r="J315" s="94">
        <f t="shared" si="274"/>
        <v>-5144733.7666666666</v>
      </c>
      <c r="K315" s="94">
        <f t="shared" si="275"/>
        <v>-5163821.7333333334</v>
      </c>
      <c r="L315" s="94">
        <f t="shared" si="276"/>
        <v>-5182909.6999999993</v>
      </c>
      <c r="M315" s="94">
        <f t="shared" si="277"/>
        <v>-5201997.666666666</v>
      </c>
      <c r="N315" s="94">
        <f t="shared" si="278"/>
        <v>-5221085.6333333328</v>
      </c>
      <c r="O315" s="94">
        <f t="shared" si="279"/>
        <v>-5240173.5999999996</v>
      </c>
      <c r="P315" s="94">
        <f t="shared" si="280"/>
        <v>-5125645.8</v>
      </c>
      <c r="Q315" s="90"/>
      <c r="R315" s="90"/>
    </row>
    <row r="316" spans="1:18" hidden="1" outlineLevel="1" x14ac:dyDescent="0.25">
      <c r="A316" s="85">
        <v>2015</v>
      </c>
      <c r="B316" s="94">
        <v>-5531600.9299999997</v>
      </c>
      <c r="C316" s="94">
        <f t="shared" si="267"/>
        <v>-5531600.9299999997</v>
      </c>
      <c r="D316" s="94">
        <f t="shared" si="268"/>
        <v>-5264459.2108333334</v>
      </c>
      <c r="E316" s="94">
        <f t="shared" si="269"/>
        <v>-5288744.8216666663</v>
      </c>
      <c r="F316" s="94">
        <f t="shared" si="270"/>
        <v>-5313030.4324999992</v>
      </c>
      <c r="G316" s="94">
        <f t="shared" si="271"/>
        <v>-5337316.043333333</v>
      </c>
      <c r="H316" s="94">
        <f t="shared" si="272"/>
        <v>-5361601.6541666668</v>
      </c>
      <c r="I316" s="94">
        <f t="shared" si="273"/>
        <v>-5385887.2649999997</v>
      </c>
      <c r="J316" s="94">
        <f t="shared" si="274"/>
        <v>-5410172.8758333325</v>
      </c>
      <c r="K316" s="94">
        <f t="shared" si="275"/>
        <v>-5434458.4866666663</v>
      </c>
      <c r="L316" s="94">
        <f t="shared" si="276"/>
        <v>-5458744.0975000001</v>
      </c>
      <c r="M316" s="94">
        <f t="shared" si="277"/>
        <v>-5483029.708333333</v>
      </c>
      <c r="N316" s="94">
        <f t="shared" si="278"/>
        <v>-5507315.3191666659</v>
      </c>
      <c r="O316" s="94">
        <f t="shared" si="279"/>
        <v>-5531600.9299999997</v>
      </c>
      <c r="P316" s="94">
        <f t="shared" si="280"/>
        <v>-5385887.2650000006</v>
      </c>
      <c r="Q316" s="90"/>
      <c r="R316" s="90"/>
    </row>
    <row r="317" spans="1:18" hidden="1" outlineLevel="1" x14ac:dyDescent="0.25">
      <c r="A317" s="85">
        <v>2016</v>
      </c>
      <c r="B317" s="94">
        <v>-5456296</v>
      </c>
      <c r="C317" s="94">
        <f t="shared" si="267"/>
        <v>-5456296</v>
      </c>
      <c r="D317" s="94">
        <f t="shared" si="268"/>
        <v>-5525325.5191666661</v>
      </c>
      <c r="E317" s="94">
        <f t="shared" si="269"/>
        <v>-5519050.1083333334</v>
      </c>
      <c r="F317" s="94">
        <f t="shared" si="270"/>
        <v>-5512774.6974999998</v>
      </c>
      <c r="G317" s="94">
        <f t="shared" si="271"/>
        <v>-5506499.2866666662</v>
      </c>
      <c r="H317" s="94">
        <f t="shared" si="272"/>
        <v>-5500223.8758333335</v>
      </c>
      <c r="I317" s="94">
        <f t="shared" si="273"/>
        <v>-5493948.4649999999</v>
      </c>
      <c r="J317" s="94">
        <f t="shared" si="274"/>
        <v>-5487673.0541666662</v>
      </c>
      <c r="K317" s="94">
        <f t="shared" si="275"/>
        <v>-5481397.6433333335</v>
      </c>
      <c r="L317" s="94">
        <f t="shared" si="276"/>
        <v>-5475122.2324999999</v>
      </c>
      <c r="M317" s="94">
        <f t="shared" si="277"/>
        <v>-5468846.8216666663</v>
      </c>
      <c r="N317" s="94">
        <f t="shared" si="278"/>
        <v>-5462571.4108333336</v>
      </c>
      <c r="O317" s="94">
        <f t="shared" si="279"/>
        <v>-5456296</v>
      </c>
      <c r="P317" s="94">
        <f t="shared" si="280"/>
        <v>-5493948.4649999999</v>
      </c>
      <c r="Q317" s="90"/>
      <c r="R317" s="90"/>
    </row>
    <row r="318" spans="1:18" hidden="1" outlineLevel="1" x14ac:dyDescent="0.25">
      <c r="A318" s="85">
        <v>2017</v>
      </c>
      <c r="B318" s="94">
        <v>-4812937.96</v>
      </c>
      <c r="C318" s="94">
        <f t="shared" si="267"/>
        <v>-4812937.96</v>
      </c>
      <c r="D318" s="94">
        <f t="shared" si="268"/>
        <v>-5402682.8300000001</v>
      </c>
      <c r="E318" s="94">
        <f t="shared" si="269"/>
        <v>-5349069.66</v>
      </c>
      <c r="F318" s="94">
        <f t="shared" si="270"/>
        <v>-5295456.49</v>
      </c>
      <c r="G318" s="94">
        <f t="shared" si="271"/>
        <v>-5241843.32</v>
      </c>
      <c r="H318" s="94">
        <f t="shared" si="272"/>
        <v>-5188230.1500000004</v>
      </c>
      <c r="I318" s="94">
        <f t="shared" si="273"/>
        <v>-5134616.9800000004</v>
      </c>
      <c r="J318" s="94">
        <f t="shared" si="274"/>
        <v>-5081003.8099999996</v>
      </c>
      <c r="K318" s="94">
        <f t="shared" si="275"/>
        <v>-5027390.6399999997</v>
      </c>
      <c r="L318" s="94">
        <f t="shared" si="276"/>
        <v>-4973777.47</v>
      </c>
      <c r="M318" s="94">
        <f t="shared" si="277"/>
        <v>-4920164.3</v>
      </c>
      <c r="N318" s="94">
        <f t="shared" si="278"/>
        <v>-4866551.13</v>
      </c>
      <c r="O318" s="94">
        <f t="shared" si="279"/>
        <v>-4812937.96</v>
      </c>
      <c r="P318" s="94">
        <f t="shared" si="280"/>
        <v>-5134616.9800000004</v>
      </c>
      <c r="Q318" s="90"/>
      <c r="R318" s="90"/>
    </row>
    <row r="319" spans="1:18" hidden="1" outlineLevel="1" x14ac:dyDescent="0.25">
      <c r="A319" s="85">
        <v>2018</v>
      </c>
      <c r="B319" s="94">
        <v>-3949215.76</v>
      </c>
      <c r="C319" s="94">
        <f t="shared" si="267"/>
        <v>-3949215.76</v>
      </c>
      <c r="D319" s="94">
        <f t="shared" si="268"/>
        <v>-4740961.1100000003</v>
      </c>
      <c r="E319" s="94">
        <f t="shared" si="269"/>
        <v>-4668984.26</v>
      </c>
      <c r="F319" s="94">
        <f t="shared" si="270"/>
        <v>-4597007.41</v>
      </c>
      <c r="G319" s="94">
        <f t="shared" si="271"/>
        <v>-4525030.5599999996</v>
      </c>
      <c r="H319" s="94">
        <f t="shared" si="272"/>
        <v>-4453053.71</v>
      </c>
      <c r="I319" s="94">
        <f t="shared" si="273"/>
        <v>-4381076.8599999994</v>
      </c>
      <c r="J319" s="94">
        <f t="shared" si="274"/>
        <v>-4309100.01</v>
      </c>
      <c r="K319" s="94">
        <f t="shared" si="275"/>
        <v>-4237123.16</v>
      </c>
      <c r="L319" s="94">
        <f t="shared" si="276"/>
        <v>-4165146.3099999996</v>
      </c>
      <c r="M319" s="94">
        <f t="shared" si="277"/>
        <v>-4093169.46</v>
      </c>
      <c r="N319" s="94">
        <f t="shared" si="278"/>
        <v>-4021192.61</v>
      </c>
      <c r="O319" s="94">
        <f t="shared" si="279"/>
        <v>-3949215.76</v>
      </c>
      <c r="P319" s="94">
        <f t="shared" si="280"/>
        <v>-4381076.8600000003</v>
      </c>
      <c r="Q319" s="90"/>
      <c r="R319" s="90"/>
    </row>
    <row r="320" spans="1:18" collapsed="1" x14ac:dyDescent="0.25">
      <c r="A320" s="85">
        <v>2019</v>
      </c>
      <c r="B320" s="94">
        <v>-2860570.45</v>
      </c>
      <c r="C320" s="94">
        <f t="shared" si="267"/>
        <v>-2860570.45</v>
      </c>
      <c r="D320" s="94">
        <f t="shared" si="268"/>
        <v>-3858495.3174999999</v>
      </c>
      <c r="E320" s="94">
        <f t="shared" si="269"/>
        <v>-3767774.875</v>
      </c>
      <c r="F320" s="94">
        <f t="shared" si="270"/>
        <v>-3677054.4325000001</v>
      </c>
      <c r="G320" s="94">
        <f t="shared" si="271"/>
        <v>-3586333.9899999998</v>
      </c>
      <c r="H320" s="94">
        <f t="shared" si="272"/>
        <v>-3495613.5474999999</v>
      </c>
      <c r="I320" s="94">
        <f t="shared" si="273"/>
        <v>-3404893.105</v>
      </c>
      <c r="J320" s="94">
        <f t="shared" si="274"/>
        <v>-3314172.6625000001</v>
      </c>
      <c r="K320" s="94">
        <f t="shared" si="275"/>
        <v>-3223452.22</v>
      </c>
      <c r="L320" s="94">
        <f t="shared" si="276"/>
        <v>-3132731.7774999999</v>
      </c>
      <c r="M320" s="94">
        <f t="shared" si="277"/>
        <v>-3042011.335</v>
      </c>
      <c r="N320" s="94">
        <f t="shared" si="278"/>
        <v>-2951290.8925000001</v>
      </c>
      <c r="O320" s="94">
        <f t="shared" si="279"/>
        <v>-2860570.45</v>
      </c>
      <c r="P320" s="94">
        <f t="shared" si="280"/>
        <v>-3404893.105</v>
      </c>
      <c r="Q320" s="90"/>
      <c r="R320" s="90"/>
    </row>
    <row r="321" spans="1:18" x14ac:dyDescent="0.25">
      <c r="A321" s="85">
        <v>2020</v>
      </c>
      <c r="B321" s="93">
        <v>-1996133.85</v>
      </c>
      <c r="C321" s="94">
        <f t="shared" si="267"/>
        <v>-1996133.85</v>
      </c>
      <c r="D321" s="94">
        <f t="shared" si="268"/>
        <v>-2788534.0666666669</v>
      </c>
      <c r="E321" s="94">
        <f t="shared" si="269"/>
        <v>-2716497.6833333336</v>
      </c>
      <c r="F321" s="94">
        <f t="shared" si="270"/>
        <v>-2644461.3000000003</v>
      </c>
      <c r="G321" s="94">
        <f t="shared" si="271"/>
        <v>-2572424.916666667</v>
      </c>
      <c r="H321" s="94">
        <f t="shared" si="272"/>
        <v>-2500388.5333333332</v>
      </c>
      <c r="I321" s="94">
        <f t="shared" si="273"/>
        <v>-2428352.1500000004</v>
      </c>
      <c r="J321" s="94">
        <f t="shared" si="274"/>
        <v>-2356315.7666666666</v>
      </c>
      <c r="K321" s="94">
        <f t="shared" si="275"/>
        <v>-2284279.3833333333</v>
      </c>
      <c r="L321" s="94">
        <f t="shared" si="276"/>
        <v>-2212243</v>
      </c>
      <c r="M321" s="94">
        <f t="shared" si="277"/>
        <v>-2140206.6166666667</v>
      </c>
      <c r="N321" s="94">
        <f t="shared" si="278"/>
        <v>-2068170.2333333334</v>
      </c>
      <c r="O321" s="94">
        <f t="shared" si="279"/>
        <v>-1996133.85</v>
      </c>
      <c r="P321" s="94">
        <f t="shared" si="280"/>
        <v>-2428352.1500000004</v>
      </c>
      <c r="Q321" s="90">
        <f>((I320+I321+(SUM(J320:O320)+SUM(D321:H321))*2)/24)</f>
        <v>-2888596.5387500003</v>
      </c>
      <c r="R321" s="90">
        <f>I321</f>
        <v>-2428352.1500000004</v>
      </c>
    </row>
    <row r="322" spans="1:18" x14ac:dyDescent="0.25"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0"/>
      <c r="R322" s="90"/>
    </row>
    <row r="323" spans="1:18" x14ac:dyDescent="0.25">
      <c r="A323" s="98" t="s">
        <v>144</v>
      </c>
      <c r="B323" s="94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1"/>
      <c r="Q323" s="90"/>
      <c r="R323" s="90"/>
    </row>
    <row r="324" spans="1:18" hidden="1" outlineLevel="1" x14ac:dyDescent="0.25">
      <c r="A324" s="96">
        <v>2008</v>
      </c>
      <c r="B324" s="94">
        <f>2541530.45+63659286</f>
        <v>66200816.450000003</v>
      </c>
      <c r="C324" s="94">
        <f t="shared" ref="C324:C336" si="281">B324</f>
        <v>66200816.450000003</v>
      </c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0"/>
      <c r="R324" s="90"/>
    </row>
    <row r="325" spans="1:18" hidden="1" outlineLevel="1" x14ac:dyDescent="0.25">
      <c r="A325" s="96">
        <v>2009</v>
      </c>
      <c r="B325" s="94">
        <f>2445127.08+89873496.29</f>
        <v>92318623.370000005</v>
      </c>
      <c r="C325" s="94">
        <f t="shared" si="281"/>
        <v>92318623.370000005</v>
      </c>
      <c r="D325" s="94">
        <f t="shared" ref="D325:D336" si="282">(B325-B324)/12*1+B324</f>
        <v>68377300.359999999</v>
      </c>
      <c r="E325" s="94">
        <f t="shared" ref="E325:E336" si="283">(B325-B324)/12*2+B324</f>
        <v>70553784.270000011</v>
      </c>
      <c r="F325" s="94">
        <f t="shared" ref="F325:F336" si="284">(B325-B324)/12*3+B324</f>
        <v>72730268.180000007</v>
      </c>
      <c r="G325" s="94">
        <f t="shared" ref="G325:G336" si="285">(B325-B324)/12*4+B324</f>
        <v>74906752.090000004</v>
      </c>
      <c r="H325" s="94">
        <f t="shared" ref="H325:H336" si="286">(B325-B324)/12*5+B324</f>
        <v>77083236</v>
      </c>
      <c r="I325" s="94">
        <f t="shared" ref="I325:I336" si="287">(B325-B324)/12*6+B324</f>
        <v>79259719.909999996</v>
      </c>
      <c r="J325" s="94">
        <f t="shared" ref="J325:J336" si="288">(B325-B324)/12*7+B324</f>
        <v>81436203.820000008</v>
      </c>
      <c r="K325" s="94">
        <f t="shared" ref="K325:K336" si="289">(B325-B324)/12*8+B324</f>
        <v>83612687.730000004</v>
      </c>
      <c r="L325" s="94">
        <f t="shared" ref="L325:L336" si="290">(B325-B324)/12*9+B324</f>
        <v>85789171.640000001</v>
      </c>
      <c r="M325" s="94">
        <f t="shared" ref="M325:M336" si="291">(B325-B324)/12*10+B324</f>
        <v>87965655.550000012</v>
      </c>
      <c r="N325" s="94">
        <f t="shared" ref="N325:N336" si="292">(B325-B324)/12*11+B324</f>
        <v>90142139.460000008</v>
      </c>
      <c r="O325" s="94">
        <f t="shared" ref="O325:O336" si="293">+B325</f>
        <v>92318623.370000005</v>
      </c>
      <c r="P325" s="94">
        <f t="shared" ref="P325:P336" si="294">((C324+O325)+2*(SUM(D325:N325)))/24</f>
        <v>79259719.909999996</v>
      </c>
      <c r="Q325" s="90"/>
      <c r="R325" s="90"/>
    </row>
    <row r="326" spans="1:18" hidden="1" outlineLevel="1" x14ac:dyDescent="0.25">
      <c r="A326" s="85">
        <v>2010</v>
      </c>
      <c r="B326" s="94">
        <f>2337366+98119714</f>
        <v>100457080</v>
      </c>
      <c r="C326" s="94">
        <f t="shared" si="281"/>
        <v>100457080</v>
      </c>
      <c r="D326" s="94">
        <f t="shared" si="282"/>
        <v>92996828.089166671</v>
      </c>
      <c r="E326" s="94">
        <f t="shared" si="283"/>
        <v>93675032.808333337</v>
      </c>
      <c r="F326" s="94">
        <f t="shared" si="284"/>
        <v>94353237.527500004</v>
      </c>
      <c r="G326" s="94">
        <f t="shared" si="285"/>
        <v>95031442.24666667</v>
      </c>
      <c r="H326" s="94">
        <f t="shared" si="286"/>
        <v>95709646.965833336</v>
      </c>
      <c r="I326" s="94">
        <f t="shared" si="287"/>
        <v>96387851.685000002</v>
      </c>
      <c r="J326" s="94">
        <f t="shared" si="288"/>
        <v>97066056.404166669</v>
      </c>
      <c r="K326" s="94">
        <f t="shared" si="289"/>
        <v>97744261.123333335</v>
      </c>
      <c r="L326" s="94">
        <f t="shared" si="290"/>
        <v>98422465.842500001</v>
      </c>
      <c r="M326" s="94">
        <f t="shared" si="291"/>
        <v>99100670.561666667</v>
      </c>
      <c r="N326" s="94">
        <f t="shared" si="292"/>
        <v>99778875.280833334</v>
      </c>
      <c r="O326" s="94">
        <f t="shared" si="293"/>
        <v>100457080</v>
      </c>
      <c r="P326" s="94">
        <f t="shared" si="294"/>
        <v>96387851.685000002</v>
      </c>
      <c r="Q326" s="90"/>
      <c r="R326" s="90"/>
    </row>
    <row r="327" spans="1:18" hidden="1" outlineLevel="1" x14ac:dyDescent="0.25">
      <c r="A327" s="85">
        <v>2011</v>
      </c>
      <c r="B327" s="94">
        <v>108646437</v>
      </c>
      <c r="C327" s="94">
        <f t="shared" si="281"/>
        <v>108646437</v>
      </c>
      <c r="D327" s="94">
        <f t="shared" si="282"/>
        <v>101139526.41666667</v>
      </c>
      <c r="E327" s="94">
        <f t="shared" si="283"/>
        <v>101821972.83333333</v>
      </c>
      <c r="F327" s="94">
        <f t="shared" si="284"/>
        <v>102504419.25</v>
      </c>
      <c r="G327" s="94">
        <f t="shared" si="285"/>
        <v>103186865.66666667</v>
      </c>
      <c r="H327" s="94">
        <f t="shared" si="286"/>
        <v>103869312.08333333</v>
      </c>
      <c r="I327" s="94">
        <f t="shared" si="287"/>
        <v>104551758.5</v>
      </c>
      <c r="J327" s="94">
        <f t="shared" si="288"/>
        <v>105234204.91666667</v>
      </c>
      <c r="K327" s="94">
        <f t="shared" si="289"/>
        <v>105916651.33333333</v>
      </c>
      <c r="L327" s="94">
        <f t="shared" si="290"/>
        <v>106599097.75</v>
      </c>
      <c r="M327" s="94">
        <f t="shared" si="291"/>
        <v>107281544.16666667</v>
      </c>
      <c r="N327" s="94">
        <f t="shared" si="292"/>
        <v>107963990.58333333</v>
      </c>
      <c r="O327" s="94">
        <f t="shared" si="293"/>
        <v>108646437</v>
      </c>
      <c r="P327" s="94">
        <f t="shared" si="294"/>
        <v>104551758.5</v>
      </c>
      <c r="Q327" s="90"/>
      <c r="R327" s="90"/>
    </row>
    <row r="328" spans="1:18" hidden="1" outlineLevel="1" x14ac:dyDescent="0.25">
      <c r="A328" s="85">
        <v>2012</v>
      </c>
      <c r="B328" s="94">
        <v>105365894</v>
      </c>
      <c r="C328" s="94">
        <f t="shared" si="281"/>
        <v>105365894</v>
      </c>
      <c r="D328" s="94">
        <f t="shared" si="282"/>
        <v>108373058.41666667</v>
      </c>
      <c r="E328" s="94">
        <f t="shared" si="283"/>
        <v>108099679.83333333</v>
      </c>
      <c r="F328" s="94">
        <f t="shared" si="284"/>
        <v>107826301.25</v>
      </c>
      <c r="G328" s="94">
        <f t="shared" si="285"/>
        <v>107552922.66666667</v>
      </c>
      <c r="H328" s="94">
        <f t="shared" si="286"/>
        <v>107279544.08333333</v>
      </c>
      <c r="I328" s="94">
        <f t="shared" si="287"/>
        <v>107006165.5</v>
      </c>
      <c r="J328" s="94">
        <f t="shared" si="288"/>
        <v>106732786.91666667</v>
      </c>
      <c r="K328" s="94">
        <f t="shared" si="289"/>
        <v>106459408.33333333</v>
      </c>
      <c r="L328" s="94">
        <f t="shared" si="290"/>
        <v>106186029.75</v>
      </c>
      <c r="M328" s="94">
        <f t="shared" si="291"/>
        <v>105912651.16666667</v>
      </c>
      <c r="N328" s="94">
        <f t="shared" si="292"/>
        <v>105639272.58333333</v>
      </c>
      <c r="O328" s="94">
        <f t="shared" si="293"/>
        <v>105365894</v>
      </c>
      <c r="P328" s="94">
        <f t="shared" si="294"/>
        <v>107006165.5</v>
      </c>
      <c r="Q328" s="90"/>
      <c r="R328" s="90"/>
    </row>
    <row r="329" spans="1:18" hidden="1" outlineLevel="1" x14ac:dyDescent="0.25">
      <c r="A329" s="85">
        <v>2013</v>
      </c>
      <c r="B329" s="94">
        <v>101300168</v>
      </c>
      <c r="C329" s="94">
        <f t="shared" si="281"/>
        <v>101300168</v>
      </c>
      <c r="D329" s="94">
        <f t="shared" si="282"/>
        <v>105027083.5</v>
      </c>
      <c r="E329" s="94">
        <f t="shared" si="283"/>
        <v>104688273</v>
      </c>
      <c r="F329" s="94">
        <f t="shared" si="284"/>
        <v>104349462.5</v>
      </c>
      <c r="G329" s="94">
        <f t="shared" si="285"/>
        <v>104010652</v>
      </c>
      <c r="H329" s="94">
        <f t="shared" si="286"/>
        <v>103671841.5</v>
      </c>
      <c r="I329" s="94">
        <f t="shared" si="287"/>
        <v>103333031</v>
      </c>
      <c r="J329" s="94">
        <f t="shared" si="288"/>
        <v>102994220.5</v>
      </c>
      <c r="K329" s="94">
        <f t="shared" si="289"/>
        <v>102655410</v>
      </c>
      <c r="L329" s="94">
        <f t="shared" si="290"/>
        <v>102316599.5</v>
      </c>
      <c r="M329" s="94">
        <f t="shared" si="291"/>
        <v>101977789</v>
      </c>
      <c r="N329" s="94">
        <f t="shared" si="292"/>
        <v>101638978.5</v>
      </c>
      <c r="O329" s="94">
        <f t="shared" si="293"/>
        <v>101300168</v>
      </c>
      <c r="P329" s="94">
        <f t="shared" si="294"/>
        <v>103333031</v>
      </c>
      <c r="Q329" s="90"/>
      <c r="R329" s="90"/>
    </row>
    <row r="330" spans="1:18" hidden="1" outlineLevel="1" x14ac:dyDescent="0.25">
      <c r="A330" s="85">
        <v>2014</v>
      </c>
      <c r="B330" s="94">
        <v>97630821.25</v>
      </c>
      <c r="C330" s="94">
        <f t="shared" si="281"/>
        <v>97630821.25</v>
      </c>
      <c r="D330" s="94">
        <f t="shared" si="282"/>
        <v>100994389.10416667</v>
      </c>
      <c r="E330" s="94">
        <f t="shared" si="283"/>
        <v>100688610.20833333</v>
      </c>
      <c r="F330" s="94">
        <f t="shared" si="284"/>
        <v>100382831.3125</v>
      </c>
      <c r="G330" s="94">
        <f t="shared" si="285"/>
        <v>100077052.41666667</v>
      </c>
      <c r="H330" s="94">
        <f t="shared" si="286"/>
        <v>99771273.520833328</v>
      </c>
      <c r="I330" s="94">
        <f t="shared" si="287"/>
        <v>99465494.625</v>
      </c>
      <c r="J330" s="94">
        <f t="shared" si="288"/>
        <v>99159715.729166672</v>
      </c>
      <c r="K330" s="94">
        <f t="shared" si="289"/>
        <v>98853936.833333328</v>
      </c>
      <c r="L330" s="94">
        <f t="shared" si="290"/>
        <v>98548157.9375</v>
      </c>
      <c r="M330" s="94">
        <f t="shared" si="291"/>
        <v>98242379.041666672</v>
      </c>
      <c r="N330" s="94">
        <f t="shared" si="292"/>
        <v>97936600.145833328</v>
      </c>
      <c r="O330" s="94">
        <f t="shared" si="293"/>
        <v>97630821.25</v>
      </c>
      <c r="P330" s="94">
        <f t="shared" si="294"/>
        <v>99465494.625</v>
      </c>
      <c r="Q330" s="90"/>
      <c r="R330" s="90"/>
    </row>
    <row r="331" spans="1:18" hidden="1" outlineLevel="1" x14ac:dyDescent="0.25">
      <c r="A331" s="85">
        <v>2015</v>
      </c>
      <c r="B331" s="94">
        <v>93546536.469999999</v>
      </c>
      <c r="C331" s="94">
        <f t="shared" si="281"/>
        <v>93546536.469999999</v>
      </c>
      <c r="D331" s="94">
        <f t="shared" si="282"/>
        <v>97290464.185000002</v>
      </c>
      <c r="E331" s="94">
        <f t="shared" si="283"/>
        <v>96950107.120000005</v>
      </c>
      <c r="F331" s="94">
        <f t="shared" si="284"/>
        <v>96609750.055000007</v>
      </c>
      <c r="G331" s="94">
        <f t="shared" si="285"/>
        <v>96269392.989999995</v>
      </c>
      <c r="H331" s="94">
        <f t="shared" si="286"/>
        <v>95929035.924999997</v>
      </c>
      <c r="I331" s="94">
        <f t="shared" si="287"/>
        <v>95588678.859999999</v>
      </c>
      <c r="J331" s="94">
        <f t="shared" si="288"/>
        <v>95248321.795000002</v>
      </c>
      <c r="K331" s="94">
        <f t="shared" si="289"/>
        <v>94907964.730000004</v>
      </c>
      <c r="L331" s="94">
        <f t="shared" si="290"/>
        <v>94567607.664999992</v>
      </c>
      <c r="M331" s="94">
        <f t="shared" si="291"/>
        <v>94227250.599999994</v>
      </c>
      <c r="N331" s="94">
        <f t="shared" si="292"/>
        <v>93886893.534999996</v>
      </c>
      <c r="O331" s="94">
        <f t="shared" si="293"/>
        <v>93546536.469999999</v>
      </c>
      <c r="P331" s="94">
        <f t="shared" si="294"/>
        <v>95588678.859999999</v>
      </c>
      <c r="Q331" s="90"/>
      <c r="R331" s="90"/>
    </row>
    <row r="332" spans="1:18" hidden="1" outlineLevel="1" x14ac:dyDescent="0.25">
      <c r="A332" s="85">
        <v>2016</v>
      </c>
      <c r="B332" s="94">
        <v>90000455.489999995</v>
      </c>
      <c r="C332" s="94">
        <f t="shared" si="281"/>
        <v>90000455.489999995</v>
      </c>
      <c r="D332" s="94">
        <f t="shared" si="282"/>
        <v>93251029.721666664</v>
      </c>
      <c r="E332" s="94">
        <f t="shared" si="283"/>
        <v>92955522.973333329</v>
      </c>
      <c r="F332" s="94">
        <f t="shared" si="284"/>
        <v>92660016.224999994</v>
      </c>
      <c r="G332" s="94">
        <f t="shared" si="285"/>
        <v>92364509.476666659</v>
      </c>
      <c r="H332" s="94">
        <f t="shared" si="286"/>
        <v>92069002.728333324</v>
      </c>
      <c r="I332" s="94">
        <f t="shared" si="287"/>
        <v>91773495.979999989</v>
      </c>
      <c r="J332" s="94">
        <f t="shared" si="288"/>
        <v>91477989.231666669</v>
      </c>
      <c r="K332" s="94">
        <f t="shared" si="289"/>
        <v>91182482.483333334</v>
      </c>
      <c r="L332" s="94">
        <f t="shared" si="290"/>
        <v>90886975.734999999</v>
      </c>
      <c r="M332" s="94">
        <f t="shared" si="291"/>
        <v>90591468.986666664</v>
      </c>
      <c r="N332" s="94">
        <f t="shared" si="292"/>
        <v>90295962.23833333</v>
      </c>
      <c r="O332" s="94">
        <f t="shared" si="293"/>
        <v>90000455.489999995</v>
      </c>
      <c r="P332" s="94">
        <f t="shared" si="294"/>
        <v>91773495.980000004</v>
      </c>
      <c r="Q332" s="90"/>
      <c r="R332" s="90"/>
    </row>
    <row r="333" spans="1:18" hidden="1" outlineLevel="1" x14ac:dyDescent="0.25">
      <c r="A333" s="85">
        <v>2017</v>
      </c>
      <c r="B333" s="94">
        <v>86157410.420000002</v>
      </c>
      <c r="C333" s="94">
        <f t="shared" si="281"/>
        <v>86157410.420000002</v>
      </c>
      <c r="D333" s="94">
        <f t="shared" si="282"/>
        <v>89680201.734166667</v>
      </c>
      <c r="E333" s="94">
        <f t="shared" si="283"/>
        <v>89359947.978333324</v>
      </c>
      <c r="F333" s="94">
        <f t="shared" si="284"/>
        <v>89039694.222499996</v>
      </c>
      <c r="G333" s="94">
        <f t="shared" si="285"/>
        <v>88719440.466666669</v>
      </c>
      <c r="H333" s="94">
        <f t="shared" si="286"/>
        <v>88399186.710833326</v>
      </c>
      <c r="I333" s="94">
        <f t="shared" si="287"/>
        <v>88078932.954999998</v>
      </c>
      <c r="J333" s="94">
        <f t="shared" si="288"/>
        <v>87758679.19916667</v>
      </c>
      <c r="K333" s="94">
        <f t="shared" si="289"/>
        <v>87438425.443333328</v>
      </c>
      <c r="L333" s="94">
        <f t="shared" si="290"/>
        <v>87118171.6875</v>
      </c>
      <c r="M333" s="94">
        <f t="shared" si="291"/>
        <v>86797917.931666672</v>
      </c>
      <c r="N333" s="94">
        <f t="shared" si="292"/>
        <v>86477664.17583333</v>
      </c>
      <c r="O333" s="94">
        <f t="shared" si="293"/>
        <v>86157410.420000002</v>
      </c>
      <c r="P333" s="94">
        <f t="shared" si="294"/>
        <v>88078932.954999998</v>
      </c>
      <c r="Q333" s="90"/>
      <c r="R333" s="90"/>
    </row>
    <row r="334" spans="1:18" hidden="1" outlineLevel="1" x14ac:dyDescent="0.25">
      <c r="A334" s="85">
        <v>2018</v>
      </c>
      <c r="B334" s="94">
        <v>81339765.549999997</v>
      </c>
      <c r="C334" s="94">
        <f t="shared" si="281"/>
        <v>81339765.549999997</v>
      </c>
      <c r="D334" s="94">
        <f t="shared" si="282"/>
        <v>85755940.014166668</v>
      </c>
      <c r="E334" s="94">
        <f t="shared" si="283"/>
        <v>85354469.608333334</v>
      </c>
      <c r="F334" s="94">
        <f t="shared" si="284"/>
        <v>84952999.202500001</v>
      </c>
      <c r="G334" s="94">
        <f t="shared" si="285"/>
        <v>84551528.796666667</v>
      </c>
      <c r="H334" s="94">
        <f t="shared" si="286"/>
        <v>84150058.390833333</v>
      </c>
      <c r="I334" s="94">
        <f t="shared" si="287"/>
        <v>83748587.984999999</v>
      </c>
      <c r="J334" s="94">
        <f t="shared" si="288"/>
        <v>83347117.579166666</v>
      </c>
      <c r="K334" s="94">
        <f t="shared" si="289"/>
        <v>82945647.173333332</v>
      </c>
      <c r="L334" s="94">
        <f t="shared" si="290"/>
        <v>82544176.767499998</v>
      </c>
      <c r="M334" s="94">
        <f t="shared" si="291"/>
        <v>82142706.361666664</v>
      </c>
      <c r="N334" s="94">
        <f t="shared" si="292"/>
        <v>81741235.955833331</v>
      </c>
      <c r="O334" s="94">
        <f t="shared" si="293"/>
        <v>81339765.549999997</v>
      </c>
      <c r="P334" s="94">
        <f t="shared" si="294"/>
        <v>83748587.984999999</v>
      </c>
      <c r="Q334" s="90"/>
      <c r="R334" s="90"/>
    </row>
    <row r="335" spans="1:18" collapsed="1" x14ac:dyDescent="0.25">
      <c r="A335" s="85">
        <v>2019</v>
      </c>
      <c r="B335" s="94">
        <v>74514821.049999997</v>
      </c>
      <c r="C335" s="94">
        <f t="shared" si="281"/>
        <v>74514821.049999997</v>
      </c>
      <c r="D335" s="94">
        <f t="shared" si="282"/>
        <v>80771020.174999997</v>
      </c>
      <c r="E335" s="94">
        <f t="shared" si="283"/>
        <v>80202274.799999997</v>
      </c>
      <c r="F335" s="94">
        <f t="shared" si="284"/>
        <v>79633529.424999997</v>
      </c>
      <c r="G335" s="94">
        <f t="shared" si="285"/>
        <v>79064784.049999997</v>
      </c>
      <c r="H335" s="94">
        <f t="shared" si="286"/>
        <v>78496038.674999997</v>
      </c>
      <c r="I335" s="94">
        <f t="shared" si="287"/>
        <v>77927293.299999997</v>
      </c>
      <c r="J335" s="94">
        <f t="shared" si="288"/>
        <v>77358547.924999997</v>
      </c>
      <c r="K335" s="94">
        <f t="shared" si="289"/>
        <v>76789802.549999997</v>
      </c>
      <c r="L335" s="94">
        <f t="shared" si="290"/>
        <v>76221057.174999997</v>
      </c>
      <c r="M335" s="94">
        <f t="shared" si="291"/>
        <v>75652311.799999997</v>
      </c>
      <c r="N335" s="94">
        <f t="shared" si="292"/>
        <v>75083566.424999997</v>
      </c>
      <c r="O335" s="94">
        <f t="shared" si="293"/>
        <v>74514821.049999997</v>
      </c>
      <c r="P335" s="94">
        <f t="shared" si="294"/>
        <v>77927293.299999982</v>
      </c>
      <c r="Q335" s="90"/>
      <c r="R335" s="90"/>
    </row>
    <row r="336" spans="1:18" x14ac:dyDescent="0.25">
      <c r="A336" s="85">
        <v>2020</v>
      </c>
      <c r="B336" s="93">
        <v>69155687.980000004</v>
      </c>
      <c r="C336" s="94">
        <f t="shared" si="281"/>
        <v>69155687.980000004</v>
      </c>
      <c r="D336" s="94">
        <f t="shared" si="282"/>
        <v>74068226.627499998</v>
      </c>
      <c r="E336" s="94">
        <f t="shared" si="283"/>
        <v>73621632.204999998</v>
      </c>
      <c r="F336" s="94">
        <f t="shared" si="284"/>
        <v>73175037.782499999</v>
      </c>
      <c r="G336" s="94">
        <f t="shared" si="285"/>
        <v>72728443.359999999</v>
      </c>
      <c r="H336" s="94">
        <f t="shared" si="286"/>
        <v>72281848.9375</v>
      </c>
      <c r="I336" s="94">
        <f t="shared" si="287"/>
        <v>71835254.515000001</v>
      </c>
      <c r="J336" s="94">
        <f t="shared" si="288"/>
        <v>71388660.092500001</v>
      </c>
      <c r="K336" s="94">
        <f t="shared" si="289"/>
        <v>70942065.670000002</v>
      </c>
      <c r="L336" s="94">
        <f t="shared" si="290"/>
        <v>70495471.247500002</v>
      </c>
      <c r="M336" s="94">
        <f t="shared" si="291"/>
        <v>70048876.825000003</v>
      </c>
      <c r="N336" s="94">
        <f t="shared" si="292"/>
        <v>69602282.402500004</v>
      </c>
      <c r="O336" s="94">
        <f t="shared" si="293"/>
        <v>69155687.980000004</v>
      </c>
      <c r="P336" s="94">
        <f t="shared" si="294"/>
        <v>71835254.515000001</v>
      </c>
      <c r="Q336" s="90">
        <f>((I335+I336+(SUM(J335:O335)+SUM(D336:H336))*2)/24)</f>
        <v>74698047.478750005</v>
      </c>
      <c r="R336" s="90">
        <f>I336</f>
        <v>71835254.515000001</v>
      </c>
    </row>
    <row r="337" spans="1:18" x14ac:dyDescent="0.25">
      <c r="B337" s="94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0"/>
      <c r="R337" s="90"/>
    </row>
    <row r="338" spans="1:18" x14ac:dyDescent="0.25">
      <c r="A338" s="98" t="s">
        <v>143</v>
      </c>
      <c r="B338" s="94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0"/>
      <c r="R338" s="90"/>
    </row>
    <row r="339" spans="1:18" x14ac:dyDescent="0.25">
      <c r="A339" s="98"/>
      <c r="B339" s="97" t="s">
        <v>142</v>
      </c>
      <c r="C339" s="92"/>
      <c r="D339" s="97" t="s">
        <v>141</v>
      </c>
      <c r="E339" s="97" t="s">
        <v>134</v>
      </c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1" t="s">
        <v>140</v>
      </c>
      <c r="Q339" s="90">
        <f>SUM(Q10:Q336)</f>
        <v>492329266.21914893</v>
      </c>
      <c r="R339" s="90">
        <f>SUM(R10:R336)</f>
        <v>467041785.50980777</v>
      </c>
    </row>
    <row r="340" spans="1:18" hidden="1" outlineLevel="1" x14ac:dyDescent="0.25">
      <c r="A340" s="96">
        <v>2008</v>
      </c>
      <c r="B340" s="94">
        <f>SUM(B14,B29,B44,B59,B79,B94,B124,B139,B154,B169,B189,B204,B234,B249,B264,B279,B294,B309,B324)</f>
        <v>197464773.01999998</v>
      </c>
      <c r="C340" s="92"/>
      <c r="D340" s="92">
        <v>197464773.02000001</v>
      </c>
      <c r="E340" s="92">
        <f t="shared" ref="E340:E352" si="295">B340-D340</f>
        <v>0</v>
      </c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1"/>
      <c r="Q340" s="90"/>
      <c r="R340" s="90"/>
    </row>
    <row r="341" spans="1:18" hidden="1" outlineLevel="1" x14ac:dyDescent="0.25">
      <c r="A341" s="96">
        <v>2009</v>
      </c>
      <c r="B341" s="94">
        <f>SUM(B15,B30,B45,B60,B80,B95,B125,B140,B155,B170,B190,B205,B235,B250,B265,B280,B295,B310,B325)</f>
        <v>243222753.03999999</v>
      </c>
      <c r="C341" s="92"/>
      <c r="D341" s="92">
        <v>243222753.03999999</v>
      </c>
      <c r="E341" s="92">
        <f t="shared" si="295"/>
        <v>0</v>
      </c>
      <c r="F341" s="92">
        <f t="shared" ref="F341:F352" si="296">B341-B340</f>
        <v>45757980.020000011</v>
      </c>
      <c r="G341" s="92"/>
      <c r="H341" s="92"/>
      <c r="I341" s="92"/>
      <c r="J341" s="92"/>
      <c r="K341" s="92"/>
      <c r="L341" s="92"/>
      <c r="M341" s="92"/>
      <c r="N341" s="92"/>
      <c r="O341" s="92"/>
      <c r="P341" s="91"/>
      <c r="Q341" s="90"/>
      <c r="R341" s="90"/>
    </row>
    <row r="342" spans="1:18" hidden="1" outlineLevel="1" x14ac:dyDescent="0.25">
      <c r="A342" s="85">
        <v>2010</v>
      </c>
      <c r="B342" s="94">
        <f>SUM(B16,B31,B46,B61,B81,B96,B126,B141,B156,B171,B191,B206,B236,B251,B266,B281,B296,B311,B326)</f>
        <v>270477997</v>
      </c>
      <c r="C342" s="92"/>
      <c r="D342" s="92">
        <v>270478018</v>
      </c>
      <c r="E342" s="92">
        <f t="shared" si="295"/>
        <v>-21</v>
      </c>
      <c r="F342" s="92">
        <f t="shared" si="296"/>
        <v>27255243.960000008</v>
      </c>
      <c r="G342" s="92"/>
      <c r="H342" s="92"/>
      <c r="I342" s="92"/>
      <c r="J342" s="92"/>
      <c r="K342" s="92"/>
      <c r="L342" s="92" t="s">
        <v>1</v>
      </c>
      <c r="M342" s="92"/>
      <c r="N342" s="92"/>
      <c r="O342" s="92"/>
      <c r="P342" s="91"/>
      <c r="Q342" s="90"/>
      <c r="R342" s="90"/>
    </row>
    <row r="343" spans="1:18" hidden="1" outlineLevel="1" x14ac:dyDescent="0.25">
      <c r="A343" s="85">
        <v>2011</v>
      </c>
      <c r="B343" s="94">
        <f>B17+B32+B47+B62+B82+B97+B112+B127+B142+B157+B172+B192+B207+B222+B237+B252+B267+B282+B297+B312+B327</f>
        <v>299485006</v>
      </c>
      <c r="C343" s="92"/>
      <c r="D343" s="92">
        <v>299485006</v>
      </c>
      <c r="E343" s="92">
        <f t="shared" si="295"/>
        <v>0</v>
      </c>
      <c r="F343" s="92">
        <f t="shared" si="296"/>
        <v>29007009</v>
      </c>
      <c r="G343" s="92"/>
      <c r="H343" s="92"/>
      <c r="I343" s="92"/>
      <c r="J343" s="92"/>
      <c r="K343" s="92"/>
      <c r="L343" s="92"/>
      <c r="M343" s="92"/>
      <c r="N343" s="92"/>
      <c r="O343" s="92"/>
      <c r="P343" s="91"/>
      <c r="Q343" s="90"/>
      <c r="R343" s="90"/>
    </row>
    <row r="344" spans="1:18" hidden="1" outlineLevel="1" x14ac:dyDescent="0.25">
      <c r="A344" s="85">
        <v>2012</v>
      </c>
      <c r="B344" s="94">
        <f>B18+B33+B48+B63+B83+B98+B113+B128+B143+B158+B173+B193+B208+B223+B238+B253+B268+B283+B298+B313+B328</f>
        <v>415760124</v>
      </c>
      <c r="C344" s="92"/>
      <c r="D344" s="94">
        <v>415760125</v>
      </c>
      <c r="E344" s="92">
        <f t="shared" si="295"/>
        <v>-1</v>
      </c>
      <c r="F344" s="92">
        <f t="shared" si="296"/>
        <v>116275118</v>
      </c>
      <c r="G344" s="92"/>
      <c r="H344" s="92"/>
      <c r="I344" s="92"/>
      <c r="J344" s="92"/>
      <c r="K344" s="92"/>
      <c r="L344" s="92"/>
      <c r="M344" s="92"/>
      <c r="N344" s="92"/>
      <c r="O344" s="92"/>
      <c r="P344" s="91"/>
      <c r="Q344" s="90"/>
      <c r="R344" s="90"/>
    </row>
    <row r="345" spans="1:18" hidden="1" outlineLevel="1" x14ac:dyDescent="0.25">
      <c r="A345" s="85">
        <v>2013</v>
      </c>
      <c r="B345" s="94">
        <f>B19+B34+B49+B64+B84+B99+B114+B129+B144+B159+B174+B194+B209+B224+B239+B254+B269+B284+B299+B314+B329</f>
        <v>518598699</v>
      </c>
      <c r="C345" s="92"/>
      <c r="D345" s="94">
        <v>518598699</v>
      </c>
      <c r="E345" s="92">
        <f t="shared" si="295"/>
        <v>0</v>
      </c>
      <c r="F345" s="92">
        <f t="shared" si="296"/>
        <v>102838575</v>
      </c>
      <c r="G345" s="92"/>
      <c r="H345" s="92"/>
      <c r="I345" s="92"/>
      <c r="J345" s="92"/>
      <c r="K345" s="92"/>
      <c r="L345" s="92"/>
      <c r="M345" s="92"/>
      <c r="N345" s="92"/>
      <c r="O345" s="92"/>
      <c r="P345" s="91"/>
      <c r="Q345" s="90"/>
      <c r="R345" s="90"/>
    </row>
    <row r="346" spans="1:18" hidden="1" outlineLevel="1" x14ac:dyDescent="0.25">
      <c r="A346" s="85">
        <v>2014</v>
      </c>
      <c r="B346" s="94">
        <f>B20+B35+B50+B65+B85+B100+B115+B130+B145+B160+B175+B195+B210+B225+B240+B255+B270+B285+B300+B315+B330</f>
        <v>534624416.30999988</v>
      </c>
      <c r="C346" s="92"/>
      <c r="D346" s="94">
        <v>534624416</v>
      </c>
      <c r="E346" s="92">
        <f t="shared" si="295"/>
        <v>0.30999988317489624</v>
      </c>
      <c r="F346" s="92">
        <f t="shared" si="296"/>
        <v>16025717.309999883</v>
      </c>
      <c r="G346" s="92"/>
      <c r="H346" s="92"/>
      <c r="I346" s="92"/>
      <c r="J346" s="92"/>
      <c r="K346" s="92"/>
      <c r="L346" s="92"/>
      <c r="M346" s="92"/>
      <c r="N346" s="92"/>
      <c r="O346" s="92"/>
      <c r="P346" s="91"/>
      <c r="Q346" s="90"/>
      <c r="R346" s="90"/>
    </row>
    <row r="347" spans="1:18" hidden="1" outlineLevel="1" x14ac:dyDescent="0.25">
      <c r="A347" s="85">
        <v>2015</v>
      </c>
      <c r="B347" s="94">
        <f>B21+B36+B51+B66+B86+B101+B116+B131+B146+B161+B176+B196+B211+B226+B241+B256+B271+B286+B301+B316+B331</f>
        <v>519588074.95000005</v>
      </c>
      <c r="C347" s="92"/>
      <c r="D347" s="94">
        <v>519588075</v>
      </c>
      <c r="E347" s="92">
        <f t="shared" si="295"/>
        <v>-4.999995231628418E-2</v>
      </c>
      <c r="F347" s="92">
        <f t="shared" si="296"/>
        <v>-15036341.359999835</v>
      </c>
      <c r="G347" s="92"/>
      <c r="H347" s="92"/>
      <c r="I347" s="92"/>
      <c r="J347" s="92"/>
      <c r="K347" s="92"/>
      <c r="L347" s="92"/>
      <c r="M347" s="92"/>
      <c r="N347" s="92"/>
      <c r="O347" s="92"/>
      <c r="P347" s="91"/>
      <c r="Q347" s="90"/>
      <c r="R347" s="90"/>
    </row>
    <row r="348" spans="1:18" ht="17.100000000000001" customHeight="1" collapsed="1" x14ac:dyDescent="0.25">
      <c r="A348" s="85">
        <v>2016</v>
      </c>
      <c r="B348" s="94">
        <f>SUMIF(A6:A337,"2016",B6:B337)</f>
        <v>535193024.20000005</v>
      </c>
      <c r="C348" s="92"/>
      <c r="D348" s="94">
        <v>535193024.52999997</v>
      </c>
      <c r="E348" s="92">
        <f t="shared" si="295"/>
        <v>-0.32999992370605469</v>
      </c>
      <c r="F348" s="92">
        <f t="shared" si="296"/>
        <v>15604949.25</v>
      </c>
      <c r="G348" s="92"/>
      <c r="H348" s="92"/>
      <c r="I348" s="92"/>
      <c r="J348" s="92"/>
      <c r="K348" s="92"/>
      <c r="L348" s="92"/>
      <c r="M348" s="92"/>
      <c r="N348" s="92"/>
      <c r="O348" s="92"/>
      <c r="P348" s="91"/>
      <c r="Q348" s="90"/>
      <c r="R348" s="90"/>
    </row>
    <row r="349" spans="1:18" x14ac:dyDescent="0.25">
      <c r="A349" s="85">
        <v>2017</v>
      </c>
      <c r="B349" s="94">
        <f>SUMIF(A7:A338,"2017",B7:B338)</f>
        <v>547891178.30000007</v>
      </c>
      <c r="C349" s="92"/>
      <c r="D349" s="94">
        <v>547891178.27999997</v>
      </c>
      <c r="E349" s="92">
        <f t="shared" si="295"/>
        <v>2.0000100135803223E-2</v>
      </c>
      <c r="F349" s="92">
        <f t="shared" si="296"/>
        <v>12698154.100000024</v>
      </c>
      <c r="G349" s="92"/>
      <c r="H349" s="92"/>
      <c r="I349" s="92"/>
      <c r="J349" s="92"/>
      <c r="K349" s="92"/>
      <c r="L349" s="92"/>
      <c r="M349" s="92"/>
      <c r="N349" s="92"/>
      <c r="O349" s="92"/>
      <c r="P349" s="91" t="s">
        <v>139</v>
      </c>
      <c r="Q349" s="90">
        <f>-Q56</f>
        <v>-3691890.6687500007</v>
      </c>
      <c r="R349" s="90">
        <f>-R56</f>
        <v>-2650429.8050000002</v>
      </c>
    </row>
    <row r="350" spans="1:18" ht="13.5" customHeight="1" x14ac:dyDescent="0.25">
      <c r="A350" s="85">
        <v>2018</v>
      </c>
      <c r="B350" s="94">
        <f>SUMIF(A7:A338,"2018",B7:B338)</f>
        <v>525388961.1931504</v>
      </c>
      <c r="C350" s="92"/>
      <c r="D350" s="94">
        <v>524145744.99000001</v>
      </c>
      <c r="E350" s="92">
        <f t="shared" si="295"/>
        <v>1243216.2031503916</v>
      </c>
      <c r="F350" s="92">
        <f t="shared" si="296"/>
        <v>-22502217.10684967</v>
      </c>
      <c r="G350" s="92"/>
      <c r="H350" s="92"/>
      <c r="I350" s="92"/>
      <c r="J350" s="92"/>
      <c r="K350" s="92"/>
      <c r="L350" s="92"/>
      <c r="M350" s="92"/>
      <c r="N350" s="92"/>
      <c r="O350" s="92"/>
      <c r="P350" s="91"/>
      <c r="Q350" s="90"/>
      <c r="R350" s="90"/>
    </row>
    <row r="351" spans="1:18" ht="13.5" customHeight="1" x14ac:dyDescent="0.25">
      <c r="A351" s="85">
        <v>2019</v>
      </c>
      <c r="B351" s="94">
        <f>SUMIF(A8:A339,"2019",B8:B339)</f>
        <v>495985970.23181093</v>
      </c>
      <c r="C351" s="92"/>
      <c r="D351" s="94">
        <v>495117229.60000002</v>
      </c>
      <c r="E351" s="92">
        <f t="shared" si="295"/>
        <v>868740.63181090355</v>
      </c>
      <c r="F351" s="92">
        <f t="shared" si="296"/>
        <v>-29402990.961339474</v>
      </c>
      <c r="G351" s="92"/>
      <c r="H351" s="92"/>
      <c r="I351" s="92"/>
      <c r="J351" s="92"/>
      <c r="K351" s="92"/>
      <c r="L351" s="92"/>
      <c r="M351" s="92"/>
      <c r="N351" s="92"/>
      <c r="O351" s="92"/>
      <c r="P351" s="91" t="s">
        <v>138</v>
      </c>
      <c r="Q351" s="95">
        <f>-Q11</f>
        <v>-159391.99718245701</v>
      </c>
      <c r="R351" s="95">
        <f>-R11</f>
        <v>-251306.14804398149</v>
      </c>
    </row>
    <row r="352" spans="1:18" x14ac:dyDescent="0.25">
      <c r="A352" s="85">
        <v>2020</v>
      </c>
      <c r="B352" s="94">
        <f>SUMIF(A9:A340,"2020",B9:B340)</f>
        <v>438112162.83171666</v>
      </c>
      <c r="C352" s="92"/>
      <c r="D352" s="93">
        <f>B352</f>
        <v>438112162.83171666</v>
      </c>
      <c r="E352" s="92">
        <f t="shared" si="295"/>
        <v>0</v>
      </c>
      <c r="F352" s="92">
        <f t="shared" si="296"/>
        <v>-57873807.400094271</v>
      </c>
      <c r="G352" s="92"/>
      <c r="H352" s="92"/>
      <c r="I352" s="92"/>
      <c r="J352" s="92"/>
      <c r="K352" s="92"/>
      <c r="L352" s="92"/>
      <c r="M352" s="92"/>
      <c r="N352" s="92"/>
      <c r="O352" s="92"/>
      <c r="P352" s="91"/>
      <c r="Q352" s="90"/>
      <c r="R352" s="90"/>
    </row>
    <row r="353" spans="1:18" ht="15.75" thickBot="1" x14ac:dyDescent="0.3">
      <c r="D353" s="85" t="s">
        <v>137</v>
      </c>
      <c r="P353" s="89" t="s">
        <v>136</v>
      </c>
      <c r="Q353" s="240">
        <f>Q339+Q349+Q351</f>
        <v>488477983.55321652</v>
      </c>
      <c r="R353" s="240">
        <f>R339+R349+R351</f>
        <v>464140049.55676377</v>
      </c>
    </row>
    <row r="354" spans="1:18" ht="15.75" thickTop="1" x14ac:dyDescent="0.25">
      <c r="E354" s="88"/>
    </row>
    <row r="355" spans="1:18" x14ac:dyDescent="0.25">
      <c r="P355" s="243" t="s">
        <v>354</v>
      </c>
      <c r="Q355" s="244"/>
      <c r="R355" s="245"/>
    </row>
    <row r="356" spans="1:18" x14ac:dyDescent="0.25">
      <c r="P356" s="246" t="s">
        <v>360</v>
      </c>
      <c r="Q356" s="247">
        <f>Q373</f>
        <v>192739216</v>
      </c>
      <c r="R356" s="248">
        <f>R373</f>
        <v>185645781.5</v>
      </c>
    </row>
    <row r="357" spans="1:18" x14ac:dyDescent="0.25">
      <c r="F357" s="86"/>
      <c r="P357" s="249" t="s">
        <v>355</v>
      </c>
      <c r="Q357" s="250">
        <f>Q358-Q356</f>
        <v>295738767.55321652</v>
      </c>
      <c r="R357" s="251">
        <f>R358-R356</f>
        <v>278494268.05676377</v>
      </c>
    </row>
    <row r="358" spans="1:18" ht="15.75" thickBot="1" x14ac:dyDescent="0.3">
      <c r="F358" s="86"/>
      <c r="P358" s="249" t="s">
        <v>188</v>
      </c>
      <c r="Q358" s="242">
        <f>Q353</f>
        <v>488477983.55321652</v>
      </c>
      <c r="R358" s="252">
        <f>R353</f>
        <v>464140049.55676377</v>
      </c>
    </row>
    <row r="359" spans="1:18" ht="15.75" thickTop="1" x14ac:dyDescent="0.25">
      <c r="F359" s="86"/>
      <c r="P359" s="253"/>
      <c r="Q359" s="254"/>
      <c r="R359" s="255"/>
    </row>
    <row r="360" spans="1:18" s="96" customFormat="1" ht="15.75" thickBot="1" x14ac:dyDescent="0.3">
      <c r="B360" s="94"/>
      <c r="F360" s="86"/>
      <c r="Q360" s="86"/>
    </row>
    <row r="361" spans="1:18" ht="15.75" thickBot="1" x14ac:dyDescent="0.3">
      <c r="F361" s="86"/>
      <c r="Q361" s="234" t="s">
        <v>164</v>
      </c>
      <c r="R361" s="234" t="s">
        <v>183</v>
      </c>
    </row>
    <row r="362" spans="1:18" x14ac:dyDescent="0.25">
      <c r="A362" s="119" t="s">
        <v>358</v>
      </c>
      <c r="B362" s="96"/>
      <c r="C362" s="94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94"/>
      <c r="P362" s="107"/>
      <c r="Q362" s="233"/>
      <c r="R362" s="233"/>
    </row>
    <row r="363" spans="1:18" outlineLevel="1" x14ac:dyDescent="0.25">
      <c r="A363" s="96">
        <v>2018</v>
      </c>
      <c r="B363" s="94">
        <f>205189540/0.79</f>
        <v>259733594.93670884</v>
      </c>
      <c r="C363" s="94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94"/>
      <c r="P363" s="107"/>
      <c r="Q363" s="90"/>
      <c r="R363" s="90"/>
    </row>
    <row r="364" spans="1:18" x14ac:dyDescent="0.25">
      <c r="A364" s="96">
        <v>2019</v>
      </c>
      <c r="B364" s="94">
        <f>193086525/0.79</f>
        <v>244413322.78481013</v>
      </c>
      <c r="C364" s="94"/>
      <c r="D364" s="94">
        <f>(B364-B363)/12*1+B363</f>
        <v>258456905.59071729</v>
      </c>
      <c r="E364" s="94">
        <f>(B364-B363)/12*2+B363</f>
        <v>257180216.2447257</v>
      </c>
      <c r="F364" s="94">
        <f>(B364-B363)/12*3+B363</f>
        <v>255903526.89873415</v>
      </c>
      <c r="G364" s="94">
        <f>(B364-B363)/12*4+B363</f>
        <v>254626837.5527426</v>
      </c>
      <c r="H364" s="94">
        <f>(B364-B363)/12*5+B363</f>
        <v>253350148.20675105</v>
      </c>
      <c r="I364" s="94">
        <f>(B364-B363)/12*6+B363</f>
        <v>252073458.8607595</v>
      </c>
      <c r="J364" s="94">
        <f>(B364-B363)/12*7+B363</f>
        <v>250796769.51476792</v>
      </c>
      <c r="K364" s="94">
        <f>(B364-B363)/12*8+B363</f>
        <v>249520080.16877636</v>
      </c>
      <c r="L364" s="94">
        <f>(B364-B363)/12*9+B363</f>
        <v>248243390.82278481</v>
      </c>
      <c r="M364" s="94">
        <f>(B364-B363)/12*10+B363</f>
        <v>246966701.47679323</v>
      </c>
      <c r="N364" s="94">
        <f>(B364-B363)/12*11+B363</f>
        <v>245690012.13080168</v>
      </c>
      <c r="O364" s="94">
        <f t="shared" ref="O364:O365" si="297">+B364</f>
        <v>244413322.78481013</v>
      </c>
      <c r="P364" s="94">
        <f>((C363+O364)+2*(SUM(D364:N364)))/24</f>
        <v>241251225.73839661</v>
      </c>
      <c r="Q364" s="90"/>
      <c r="R364" s="90"/>
    </row>
    <row r="365" spans="1:18" x14ac:dyDescent="0.25">
      <c r="A365" s="96">
        <v>2020</v>
      </c>
      <c r="B365" s="94">
        <f>178205038/0.79</f>
        <v>225575997.46835443</v>
      </c>
      <c r="C365" s="94"/>
      <c r="D365" s="94">
        <f>(B365-B364)/12*1+B364</f>
        <v>242843545.67510548</v>
      </c>
      <c r="E365" s="94">
        <f>(B365-B364)/12*2+B364</f>
        <v>241273768.56540084</v>
      </c>
      <c r="F365" s="94">
        <f>(B365-B364)/12*3+B364</f>
        <v>239703991.4556962</v>
      </c>
      <c r="G365" s="94">
        <f>(B365-B364)/12*4+B364</f>
        <v>238134214.34599155</v>
      </c>
      <c r="H365" s="94">
        <f>(B365-B364)/12*5+B364</f>
        <v>236564437.23628691</v>
      </c>
      <c r="I365" s="94">
        <f>(B365-B364)/12*6+B364</f>
        <v>234994660.12658226</v>
      </c>
      <c r="J365" s="94">
        <f>(B365-B364)/12*7+B364</f>
        <v>233424883.01687765</v>
      </c>
      <c r="K365" s="94">
        <f>(B365-B364)/12*8+B364</f>
        <v>231855105.90717301</v>
      </c>
      <c r="L365" s="94">
        <f>(B365-B364)/12*9+B364</f>
        <v>230285328.79746836</v>
      </c>
      <c r="M365" s="94">
        <f>(B365-B364)/12*10+B364</f>
        <v>228715551.68776372</v>
      </c>
      <c r="N365" s="94">
        <f>(B365-B364)/12*11+B364</f>
        <v>227145774.57805908</v>
      </c>
      <c r="O365" s="94">
        <f t="shared" si="297"/>
        <v>225575997.46835443</v>
      </c>
      <c r="P365" s="94">
        <f>((C364+O365)+2*(SUM(D365:N365)))/24</f>
        <v>224810771.67721519</v>
      </c>
      <c r="Q365" s="235">
        <f>((I364+I365+(SUM(J364:O364)+SUM(D365:H365))*2)/24)</f>
        <v>243973691.1392405</v>
      </c>
      <c r="R365" s="235">
        <f>I365</f>
        <v>234994660.12658226</v>
      </c>
    </row>
    <row r="366" spans="1:18" s="96" customFormat="1" x14ac:dyDescent="0.25">
      <c r="A366" s="119" t="s">
        <v>357</v>
      </c>
      <c r="C366" s="94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94"/>
      <c r="P366" s="107"/>
      <c r="Q366" s="90"/>
      <c r="R366" s="90"/>
    </row>
    <row r="367" spans="1:18" s="96" customFormat="1" outlineLevel="1" x14ac:dyDescent="0.25">
      <c r="A367" s="96">
        <v>2018</v>
      </c>
      <c r="B367" s="94">
        <f>-B363*0.21</f>
        <v>-54544054.936708853</v>
      </c>
      <c r="C367" s="94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94"/>
      <c r="P367" s="107"/>
      <c r="Q367" s="90"/>
      <c r="R367" s="90"/>
    </row>
    <row r="368" spans="1:18" s="96" customFormat="1" x14ac:dyDescent="0.25">
      <c r="A368" s="96">
        <v>2019</v>
      </c>
      <c r="B368" s="94">
        <f t="shared" ref="B368:B369" si="298">-B364*0.21</f>
        <v>-51326797.784810126</v>
      </c>
      <c r="C368" s="94"/>
      <c r="D368" s="94">
        <f>(B368-B367)/12*1+B367</f>
        <v>-54275950.174050629</v>
      </c>
      <c r="E368" s="94">
        <f>(B368-B367)/12*2+B367</f>
        <v>-54007845.411392398</v>
      </c>
      <c r="F368" s="94">
        <f>(B368-B367)/12*3+B367</f>
        <v>-53739740.648734167</v>
      </c>
      <c r="G368" s="94">
        <f>(B368-B367)/12*4+B367</f>
        <v>-53471635.886075944</v>
      </c>
      <c r="H368" s="94">
        <f>(B368-B367)/12*5+B367</f>
        <v>-53203531.12341772</v>
      </c>
      <c r="I368" s="94">
        <f>(B368-B367)/12*6+B367</f>
        <v>-52935426.360759489</v>
      </c>
      <c r="J368" s="94">
        <f>(B368-B367)/12*7+B367</f>
        <v>-52667321.598101258</v>
      </c>
      <c r="K368" s="94">
        <f>(B368-B367)/12*8+B367</f>
        <v>-52399216.835443035</v>
      </c>
      <c r="L368" s="94">
        <f>(B368-B367)/12*9+B367</f>
        <v>-52131112.072784811</v>
      </c>
      <c r="M368" s="94">
        <f>(B368-B367)/12*10+B367</f>
        <v>-51863007.31012658</v>
      </c>
      <c r="N368" s="94">
        <f>(B368-B367)/12*11+B367</f>
        <v>-51594902.547468349</v>
      </c>
      <c r="O368" s="94">
        <f t="shared" ref="O368:O369" si="299">+B368</f>
        <v>-51326797.784810126</v>
      </c>
      <c r="P368" s="94">
        <f>((C367+O368)+2*(SUM(D368:N368)))/24</f>
        <v>-50662757.405063279</v>
      </c>
      <c r="Q368" s="90"/>
      <c r="R368" s="90"/>
    </row>
    <row r="369" spans="1:18" s="96" customFormat="1" x14ac:dyDescent="0.25">
      <c r="A369" s="96">
        <v>2020</v>
      </c>
      <c r="B369" s="94">
        <f t="shared" si="298"/>
        <v>-47370959.468354426</v>
      </c>
      <c r="C369" s="94"/>
      <c r="D369" s="94">
        <f>(B369-B368)/12*1+B368</f>
        <v>-50997144.591772154</v>
      </c>
      <c r="E369" s="94">
        <f>(B369-B368)/12*2+B368</f>
        <v>-50667491.398734175</v>
      </c>
      <c r="F369" s="94">
        <f>(B369-B368)/12*3+B368</f>
        <v>-50337838.205696203</v>
      </c>
      <c r="G369" s="94">
        <f>(B369-B368)/12*4+B368</f>
        <v>-50008185.012658224</v>
      </c>
      <c r="H369" s="94">
        <f>(B369-B368)/12*5+B368</f>
        <v>-49678531.819620252</v>
      </c>
      <c r="I369" s="94">
        <f>(B369-B368)/12*6+B368</f>
        <v>-49348878.62658228</v>
      </c>
      <c r="J369" s="94">
        <f>(B369-B368)/12*7+B368</f>
        <v>-49019225.4335443</v>
      </c>
      <c r="K369" s="94">
        <f>(B369-B368)/12*8+B368</f>
        <v>-48689572.240506329</v>
      </c>
      <c r="L369" s="94">
        <f>(B369-B368)/12*9+B368</f>
        <v>-48359919.047468349</v>
      </c>
      <c r="M369" s="94">
        <f>(B369-B368)/12*10+B368</f>
        <v>-48030265.854430377</v>
      </c>
      <c r="N369" s="94">
        <f>(B369-B368)/12*11+B368</f>
        <v>-47700612.661392398</v>
      </c>
      <c r="O369" s="94">
        <f t="shared" si="299"/>
        <v>-47370959.468354426</v>
      </c>
      <c r="P369" s="94">
        <f>((C368+O369)+2*(SUM(D369:N369)))/24</f>
        <v>-47210262.052215189</v>
      </c>
      <c r="Q369" s="235">
        <f>((I368+I369+(SUM(J368:O368)+SUM(D369:H369))*2)/24)</f>
        <v>-51234475.139240503</v>
      </c>
      <c r="R369" s="235">
        <f>I369</f>
        <v>-49348878.62658228</v>
      </c>
    </row>
    <row r="370" spans="1:18" s="96" customFormat="1" x14ac:dyDescent="0.25">
      <c r="A370" s="119" t="s">
        <v>359</v>
      </c>
      <c r="C370" s="94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94"/>
      <c r="P370" s="107"/>
      <c r="Q370" s="90"/>
      <c r="R370" s="90"/>
    </row>
    <row r="371" spans="1:18" s="96" customFormat="1" outlineLevel="1" x14ac:dyDescent="0.25">
      <c r="A371" s="96">
        <v>2018</v>
      </c>
      <c r="B371" s="94">
        <f>B363+B367</f>
        <v>205189540</v>
      </c>
      <c r="C371" s="94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94"/>
      <c r="P371" s="107"/>
      <c r="Q371" s="90"/>
      <c r="R371" s="90"/>
    </row>
    <row r="372" spans="1:18" s="96" customFormat="1" x14ac:dyDescent="0.25">
      <c r="A372" s="96">
        <v>2019</v>
      </c>
      <c r="B372" s="94">
        <f>B364+B368</f>
        <v>193086525</v>
      </c>
      <c r="C372" s="94"/>
      <c r="D372" s="94">
        <f>(B372-B371)/12*1+B371</f>
        <v>204180955.41666666</v>
      </c>
      <c r="E372" s="94">
        <f>(B372-B371)/12*2+B371</f>
        <v>203172370.83333334</v>
      </c>
      <c r="F372" s="94">
        <f>(B372-B371)/12*3+B371</f>
        <v>202163786.25</v>
      </c>
      <c r="G372" s="94">
        <f>(B372-B371)/12*4+B371</f>
        <v>201155201.66666666</v>
      </c>
      <c r="H372" s="94">
        <f>(B372-B371)/12*5+B371</f>
        <v>200146617.08333334</v>
      </c>
      <c r="I372" s="94">
        <f>(B372-B371)/12*6+B371</f>
        <v>199138032.5</v>
      </c>
      <c r="J372" s="94">
        <f>(B372-B371)/12*7+B371</f>
        <v>198129447.91666666</v>
      </c>
      <c r="K372" s="94">
        <f>(B372-B371)/12*8+B371</f>
        <v>197120863.33333334</v>
      </c>
      <c r="L372" s="94">
        <f>(B372-B371)/12*9+B371</f>
        <v>196112278.75</v>
      </c>
      <c r="M372" s="94">
        <f>(B372-B371)/12*10+B371</f>
        <v>195103694.16666666</v>
      </c>
      <c r="N372" s="94">
        <f>(B372-B371)/12*11+B371</f>
        <v>194095109.58333334</v>
      </c>
      <c r="O372" s="94">
        <f t="shared" ref="O372:O373" si="300">+B372</f>
        <v>193086525</v>
      </c>
      <c r="P372" s="94">
        <f>((C371+O372)+2*(SUM(D372:N372)))/24</f>
        <v>190588468.33333334</v>
      </c>
      <c r="Q372" s="90"/>
      <c r="R372" s="90"/>
    </row>
    <row r="373" spans="1:18" s="96" customFormat="1" ht="15.75" thickBot="1" x14ac:dyDescent="0.3">
      <c r="A373" s="96">
        <v>2020</v>
      </c>
      <c r="B373" s="94">
        <f>B365+B369</f>
        <v>178205038</v>
      </c>
      <c r="C373" s="94"/>
      <c r="D373" s="94">
        <f>(B373-B372)/12*1+B372</f>
        <v>191846401.08333334</v>
      </c>
      <c r="E373" s="94">
        <f>(B373-B372)/12*2+B372</f>
        <v>190606277.16666666</v>
      </c>
      <c r="F373" s="94">
        <f>(B373-B372)/12*3+B372</f>
        <v>189366153.25</v>
      </c>
      <c r="G373" s="94">
        <f>(B373-B372)/12*4+B372</f>
        <v>188126029.33333334</v>
      </c>
      <c r="H373" s="94">
        <f>(B373-B372)/12*5+B372</f>
        <v>186885905.41666666</v>
      </c>
      <c r="I373" s="94">
        <f>(B373-B372)/12*6+B372</f>
        <v>185645781.5</v>
      </c>
      <c r="J373" s="94">
        <f>(B373-B372)/12*7+B372</f>
        <v>184405657.58333334</v>
      </c>
      <c r="K373" s="94">
        <f>(B373-B372)/12*8+B372</f>
        <v>183165533.66666666</v>
      </c>
      <c r="L373" s="94">
        <f>(B373-B372)/12*9+B372</f>
        <v>181925409.75</v>
      </c>
      <c r="M373" s="94">
        <f>(B373-B372)/12*10+B372</f>
        <v>180685285.83333334</v>
      </c>
      <c r="N373" s="94">
        <f>(B373-B372)/12*11+B372</f>
        <v>179445161.91666666</v>
      </c>
      <c r="O373" s="94">
        <f t="shared" si="300"/>
        <v>178205038</v>
      </c>
      <c r="P373" s="94">
        <f>((C372+O373)+2*(SUM(D373:N373)))/24</f>
        <v>177600509.625</v>
      </c>
      <c r="Q373" s="241">
        <f>((I372+I373+(SUM(J372:O372)+SUM(D373:H373))*2)/24)</f>
        <v>192739216</v>
      </c>
      <c r="R373" s="241">
        <f>I373</f>
        <v>185645781.5</v>
      </c>
    </row>
  </sheetData>
  <printOptions gridLines="1"/>
  <pageMargins left="0.7" right="0.7" top="0.75" bottom="0.75" header="0.3" footer="0.3"/>
  <pageSetup paperSize="5" scale="64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I13" sqref="I13"/>
    </sheetView>
  </sheetViews>
  <sheetFormatPr defaultColWidth="7.28515625" defaultRowHeight="15" x14ac:dyDescent="0.25"/>
  <cols>
    <col min="1" max="1" width="30.5703125" style="124" bestFit="1" customWidth="1"/>
    <col min="2" max="2" width="27.42578125" style="124" bestFit="1" customWidth="1"/>
    <col min="3" max="4" width="12.5703125" style="124" customWidth="1"/>
    <col min="5" max="5" width="13.7109375" style="124" bestFit="1" customWidth="1"/>
    <col min="6" max="6" width="12.5703125" style="124" customWidth="1"/>
    <col min="7" max="7" width="3.42578125" style="124" customWidth="1"/>
    <col min="8" max="8" width="12.7109375" style="124" bestFit="1" customWidth="1"/>
    <col min="9" max="9" width="7.28515625" style="124"/>
    <col min="10" max="10" width="11.28515625" style="124" bestFit="1" customWidth="1"/>
    <col min="11" max="16384" width="7.28515625" style="124"/>
  </cols>
  <sheetData>
    <row r="1" spans="1:10" x14ac:dyDescent="0.25">
      <c r="A1" s="123" t="s">
        <v>198</v>
      </c>
    </row>
    <row r="2" spans="1:10" x14ac:dyDescent="0.25">
      <c r="A2" s="123" t="s">
        <v>199</v>
      </c>
    </row>
    <row r="3" spans="1:10" x14ac:dyDescent="0.25">
      <c r="C3" s="125" t="s">
        <v>121</v>
      </c>
      <c r="D3" s="125" t="s">
        <v>121</v>
      </c>
    </row>
    <row r="4" spans="1:10" x14ac:dyDescent="0.25">
      <c r="A4" s="126" t="s">
        <v>200</v>
      </c>
      <c r="B4" s="126" t="s">
        <v>201</v>
      </c>
      <c r="C4" s="126" t="s">
        <v>65</v>
      </c>
      <c r="D4" s="126" t="s">
        <v>202</v>
      </c>
      <c r="E4" s="126" t="s">
        <v>203</v>
      </c>
      <c r="F4" s="127"/>
      <c r="G4" s="128"/>
      <c r="H4" s="127"/>
    </row>
    <row r="5" spans="1:10" x14ac:dyDescent="0.25">
      <c r="F5" s="127"/>
      <c r="H5" s="127"/>
    </row>
    <row r="6" spans="1:10" x14ac:dyDescent="0.25">
      <c r="A6" s="124" t="s">
        <v>204</v>
      </c>
      <c r="B6" s="124" t="s">
        <v>205</v>
      </c>
      <c r="C6" s="129">
        <f>((D14+D26)+(SUM(D15:D25)*2))/24</f>
        <v>7166134.8537500016</v>
      </c>
      <c r="D6" s="129">
        <f>-((E14+E26)+(SUM(E15:E25)*2))/24</f>
        <v>-6037443.8324999996</v>
      </c>
      <c r="E6" s="129">
        <f>SUM(F15:F26)</f>
        <v>2163401.5100000007</v>
      </c>
      <c r="F6" s="127"/>
      <c r="H6" s="127"/>
    </row>
    <row r="7" spans="1:10" x14ac:dyDescent="0.25">
      <c r="A7" s="124" t="s">
        <v>206</v>
      </c>
      <c r="B7" s="124" t="s">
        <v>207</v>
      </c>
      <c r="C7" s="130">
        <f>((D30+D42)+(SUM(D31:D41)*2))/24</f>
        <v>113664.96999999999</v>
      </c>
      <c r="D7" s="130">
        <f>-((E30+E42)+(SUM(E31:E41)*2))/24</f>
        <v>-69146.798416666672</v>
      </c>
      <c r="E7" s="131">
        <f>SUM(F31:F42)</f>
        <v>22733.194</v>
      </c>
      <c r="F7" s="127"/>
      <c r="H7" s="127"/>
    </row>
    <row r="8" spans="1:10" x14ac:dyDescent="0.25">
      <c r="C8" s="132"/>
      <c r="D8" s="132"/>
      <c r="E8" s="132"/>
      <c r="F8" s="127"/>
      <c r="H8" s="127"/>
    </row>
    <row r="9" spans="1:10" ht="15.75" thickBot="1" x14ac:dyDescent="0.3">
      <c r="A9" s="124" t="s">
        <v>188</v>
      </c>
      <c r="C9" s="133">
        <f>SUM(C6:C8)</f>
        <v>7279799.8237500014</v>
      </c>
      <c r="D9" s="133">
        <f>SUM(D6:D8)</f>
        <v>-6106590.6309166662</v>
      </c>
      <c r="E9" s="133">
        <f>SUM(E6:E8)</f>
        <v>2186134.7040000008</v>
      </c>
      <c r="F9" s="127"/>
      <c r="H9" s="127"/>
    </row>
    <row r="10" spans="1:10" ht="15.75" thickTop="1" x14ac:dyDescent="0.25">
      <c r="F10" s="127"/>
      <c r="H10" s="127"/>
    </row>
    <row r="11" spans="1:10" ht="15.75" thickBot="1" x14ac:dyDescent="0.3">
      <c r="J11" s="129"/>
    </row>
    <row r="12" spans="1:10" ht="15.75" thickBot="1" x14ac:dyDescent="0.3">
      <c r="A12" s="258" t="s">
        <v>208</v>
      </c>
      <c r="B12" s="259"/>
      <c r="C12" s="259"/>
      <c r="D12" s="259"/>
      <c r="E12" s="259"/>
      <c r="F12" s="260"/>
    </row>
    <row r="13" spans="1:10" ht="45" x14ac:dyDescent="0.25">
      <c r="A13" s="134" t="s">
        <v>209</v>
      </c>
      <c r="B13" s="135" t="s">
        <v>210</v>
      </c>
      <c r="C13" s="135" t="s">
        <v>211</v>
      </c>
      <c r="D13" s="135" t="s">
        <v>212</v>
      </c>
      <c r="E13" s="135" t="s">
        <v>213</v>
      </c>
      <c r="F13" s="136" t="s">
        <v>214</v>
      </c>
    </row>
    <row r="14" spans="1:10" x14ac:dyDescent="0.25">
      <c r="A14" s="137" t="s">
        <v>215</v>
      </c>
      <c r="B14" s="138"/>
      <c r="C14" s="139">
        <v>43617</v>
      </c>
      <c r="D14" s="140">
        <v>18727262.690000001</v>
      </c>
      <c r="E14" s="140">
        <v>16410204.85</v>
      </c>
      <c r="F14" s="141">
        <v>522284.15</v>
      </c>
    </row>
    <row r="15" spans="1:10" x14ac:dyDescent="0.25">
      <c r="A15" s="142" t="s">
        <v>216</v>
      </c>
      <c r="B15" s="143" t="s">
        <v>217</v>
      </c>
      <c r="C15" s="139">
        <v>43647</v>
      </c>
      <c r="D15" s="140">
        <v>18727262.690000001</v>
      </c>
      <c r="E15" s="140">
        <v>16932489</v>
      </c>
      <c r="F15" s="141">
        <v>522284.15</v>
      </c>
      <c r="H15" s="129"/>
    </row>
    <row r="16" spans="1:10" x14ac:dyDescent="0.25">
      <c r="A16" s="142" t="s">
        <v>218</v>
      </c>
      <c r="B16" s="143" t="s">
        <v>219</v>
      </c>
      <c r="C16" s="139">
        <v>43678</v>
      </c>
      <c r="D16" s="140">
        <v>18727262.690000001</v>
      </c>
      <c r="E16" s="140">
        <v>17454768.150000002</v>
      </c>
      <c r="F16" s="141">
        <v>522284.15</v>
      </c>
      <c r="H16" s="131"/>
    </row>
    <row r="17" spans="1:8" x14ac:dyDescent="0.25">
      <c r="A17" s="142" t="s">
        <v>220</v>
      </c>
      <c r="B17" s="143" t="s">
        <v>221</v>
      </c>
      <c r="C17" s="139">
        <v>43709</v>
      </c>
      <c r="D17" s="140">
        <v>18727262.690000001</v>
      </c>
      <c r="E17" s="140">
        <v>17977057.300000001</v>
      </c>
      <c r="F17" s="141">
        <v>522284.15</v>
      </c>
      <c r="H17" s="131"/>
    </row>
    <row r="18" spans="1:8" x14ac:dyDescent="0.25">
      <c r="A18" s="142" t="s">
        <v>222</v>
      </c>
      <c r="B18" s="143" t="s">
        <v>223</v>
      </c>
      <c r="C18" s="139">
        <v>43739</v>
      </c>
      <c r="D18" s="140">
        <v>1850688.46</v>
      </c>
      <c r="E18" s="140">
        <v>1152221.3700000001</v>
      </c>
      <c r="F18" s="141">
        <v>51738.3</v>
      </c>
      <c r="H18" s="131"/>
    </row>
    <row r="19" spans="1:8" x14ac:dyDescent="0.25">
      <c r="A19" s="142" t="s">
        <v>224</v>
      </c>
      <c r="B19" s="143" t="s">
        <v>225</v>
      </c>
      <c r="C19" s="139">
        <v>43770</v>
      </c>
      <c r="D19" s="140">
        <v>1850688.46</v>
      </c>
      <c r="E19" s="140">
        <v>1203959.67</v>
      </c>
      <c r="F19" s="141">
        <v>51738.3</v>
      </c>
      <c r="H19" s="131"/>
    </row>
    <row r="20" spans="1:8" x14ac:dyDescent="0.25">
      <c r="A20" s="142" t="s">
        <v>226</v>
      </c>
      <c r="B20" s="143" t="s">
        <v>227</v>
      </c>
      <c r="C20" s="139">
        <v>43800</v>
      </c>
      <c r="D20" s="140">
        <v>2590071.2000000002</v>
      </c>
      <c r="E20" s="140">
        <v>1265967.18</v>
      </c>
      <c r="F20" s="141">
        <v>62007.51</v>
      </c>
      <c r="H20" s="131"/>
    </row>
    <row r="21" spans="1:8" x14ac:dyDescent="0.25">
      <c r="A21" s="142" t="s">
        <v>228</v>
      </c>
      <c r="B21" s="143" t="s">
        <v>229</v>
      </c>
      <c r="C21" s="139">
        <v>43831</v>
      </c>
      <c r="D21" s="140">
        <v>2580902.9500000002</v>
      </c>
      <c r="E21" s="140">
        <v>1338114.76</v>
      </c>
      <c r="F21" s="141">
        <v>72147.58</v>
      </c>
      <c r="H21" s="131"/>
    </row>
    <row r="22" spans="1:8" x14ac:dyDescent="0.25">
      <c r="A22" s="142" t="s">
        <v>230</v>
      </c>
      <c r="B22" s="143" t="s">
        <v>231</v>
      </c>
      <c r="C22" s="139">
        <v>43862</v>
      </c>
      <c r="D22" s="140">
        <v>2580997.2799999998</v>
      </c>
      <c r="E22" s="140">
        <v>1410130.84</v>
      </c>
      <c r="F22" s="141">
        <v>72016.08</v>
      </c>
      <c r="H22" s="131"/>
    </row>
    <row r="23" spans="1:8" x14ac:dyDescent="0.25">
      <c r="A23" s="142" t="s">
        <v>232</v>
      </c>
      <c r="B23" s="143" t="s">
        <v>233</v>
      </c>
      <c r="C23" s="139">
        <v>43891</v>
      </c>
      <c r="D23" s="140">
        <v>2569957.2799999998</v>
      </c>
      <c r="E23" s="140">
        <v>1481983.5499999998</v>
      </c>
      <c r="F23" s="141">
        <v>71852.710000000006</v>
      </c>
      <c r="H23" s="131"/>
    </row>
    <row r="24" spans="1:8" x14ac:dyDescent="0.25">
      <c r="A24" s="142" t="s">
        <v>234</v>
      </c>
      <c r="B24" s="143" t="s">
        <v>235</v>
      </c>
      <c r="C24" s="139">
        <v>43922</v>
      </c>
      <c r="D24" s="140">
        <v>2569957.2799999998</v>
      </c>
      <c r="E24" s="140">
        <v>1553666.41</v>
      </c>
      <c r="F24" s="141">
        <v>71682.86</v>
      </c>
      <c r="H24" s="131"/>
    </row>
    <row r="25" spans="1:8" x14ac:dyDescent="0.25">
      <c r="A25" s="142" t="s">
        <v>236</v>
      </c>
      <c r="B25" s="143" t="s">
        <v>237</v>
      </c>
      <c r="C25" s="139">
        <v>43952</v>
      </c>
      <c r="D25" s="140">
        <v>2569957.2799999998</v>
      </c>
      <c r="E25" s="140">
        <v>1625349.27</v>
      </c>
      <c r="F25" s="141">
        <v>71682.86</v>
      </c>
      <c r="H25" s="131"/>
    </row>
    <row r="26" spans="1:8" x14ac:dyDescent="0.25">
      <c r="A26" s="142" t="s">
        <v>238</v>
      </c>
      <c r="B26" s="143" t="s">
        <v>239</v>
      </c>
      <c r="C26" s="139">
        <v>43983</v>
      </c>
      <c r="D26" s="140">
        <v>2569957.2799999998</v>
      </c>
      <c r="E26" s="140">
        <v>1697032.1300000001</v>
      </c>
      <c r="F26" s="141">
        <v>71682.86</v>
      </c>
      <c r="H26" s="131"/>
    </row>
    <row r="27" spans="1:8" x14ac:dyDescent="0.25">
      <c r="A27" s="144"/>
      <c r="B27" s="145"/>
      <c r="C27" s="146"/>
      <c r="D27" s="147"/>
      <c r="E27" s="148"/>
      <c r="F27" s="149"/>
      <c r="H27" s="131"/>
    </row>
    <row r="28" spans="1:8" x14ac:dyDescent="0.25">
      <c r="A28" s="144"/>
      <c r="B28" s="145"/>
      <c r="C28" s="139"/>
      <c r="D28" s="140"/>
      <c r="E28" s="140"/>
      <c r="F28" s="141"/>
      <c r="H28" s="131"/>
    </row>
    <row r="29" spans="1:8" x14ac:dyDescent="0.25">
      <c r="A29" s="144"/>
      <c r="B29" s="145"/>
      <c r="C29" s="139"/>
      <c r="D29" s="140"/>
      <c r="E29" s="140"/>
      <c r="F29" s="141"/>
      <c r="H29" s="131"/>
    </row>
    <row r="30" spans="1:8" x14ac:dyDescent="0.25">
      <c r="A30" s="137" t="s">
        <v>240</v>
      </c>
      <c r="B30" s="145"/>
      <c r="C30" s="139">
        <v>43617</v>
      </c>
      <c r="D30" s="140">
        <v>113664.97</v>
      </c>
      <c r="E30" s="140">
        <v>57780.201416666656</v>
      </c>
      <c r="F30" s="141">
        <v>1894.4328333333335</v>
      </c>
      <c r="H30" s="131"/>
    </row>
    <row r="31" spans="1:8" x14ac:dyDescent="0.25">
      <c r="A31" s="144">
        <v>143002134</v>
      </c>
      <c r="B31" s="145">
        <v>303006375</v>
      </c>
      <c r="C31" s="139">
        <v>43647</v>
      </c>
      <c r="D31" s="140">
        <v>113664.97</v>
      </c>
      <c r="E31" s="140">
        <v>59674.634249999988</v>
      </c>
      <c r="F31" s="141">
        <v>1894.4328333333335</v>
      </c>
      <c r="H31" s="131"/>
    </row>
    <row r="32" spans="1:8" x14ac:dyDescent="0.25">
      <c r="A32" s="144">
        <v>143002134</v>
      </c>
      <c r="B32" s="145">
        <v>303006375</v>
      </c>
      <c r="C32" s="139">
        <v>43678</v>
      </c>
      <c r="D32" s="140">
        <v>113664.97</v>
      </c>
      <c r="E32" s="140">
        <v>61569.067083333321</v>
      </c>
      <c r="F32" s="141">
        <v>1894.4328333333335</v>
      </c>
      <c r="H32" s="131"/>
    </row>
    <row r="33" spans="1:8" x14ac:dyDescent="0.25">
      <c r="A33" s="144">
        <v>143002134</v>
      </c>
      <c r="B33" s="145">
        <v>303006375</v>
      </c>
      <c r="C33" s="139">
        <v>43709</v>
      </c>
      <c r="D33" s="140">
        <v>113664.97</v>
      </c>
      <c r="E33" s="140">
        <v>63463.499916666653</v>
      </c>
      <c r="F33" s="141">
        <v>1894.4328333333335</v>
      </c>
      <c r="H33" s="131"/>
    </row>
    <row r="34" spans="1:8" x14ac:dyDescent="0.25">
      <c r="A34" s="144">
        <v>143002134</v>
      </c>
      <c r="B34" s="145">
        <v>303006375</v>
      </c>
      <c r="C34" s="139">
        <v>43739</v>
      </c>
      <c r="D34" s="140">
        <v>113664.97</v>
      </c>
      <c r="E34" s="140">
        <v>65357.932749999985</v>
      </c>
      <c r="F34" s="141">
        <v>1894.4328333333335</v>
      </c>
      <c r="H34" s="131"/>
    </row>
    <row r="35" spans="1:8" x14ac:dyDescent="0.25">
      <c r="A35" s="144">
        <v>143002134</v>
      </c>
      <c r="B35" s="145">
        <v>303006375</v>
      </c>
      <c r="C35" s="139">
        <v>43770</v>
      </c>
      <c r="D35" s="140">
        <v>113664.97</v>
      </c>
      <c r="E35" s="140">
        <v>67252.365583333318</v>
      </c>
      <c r="F35" s="141">
        <v>1894.4328333333335</v>
      </c>
      <c r="H35" s="131"/>
    </row>
    <row r="36" spans="1:8" x14ac:dyDescent="0.25">
      <c r="A36" s="144">
        <v>143002134</v>
      </c>
      <c r="B36" s="145">
        <v>303006375</v>
      </c>
      <c r="C36" s="139">
        <v>43800</v>
      </c>
      <c r="D36" s="140">
        <v>113664.97</v>
      </c>
      <c r="E36" s="140">
        <v>69146.798416666657</v>
      </c>
      <c r="F36" s="141">
        <v>1894.4328333333335</v>
      </c>
    </row>
    <row r="37" spans="1:8" x14ac:dyDescent="0.25">
      <c r="A37" s="144">
        <v>143002134</v>
      </c>
      <c r="B37" s="145">
        <v>303006375</v>
      </c>
      <c r="C37" s="139">
        <v>43831</v>
      </c>
      <c r="D37" s="140">
        <v>113664.97</v>
      </c>
      <c r="E37" s="140">
        <v>71041.231249999997</v>
      </c>
      <c r="F37" s="141">
        <v>1894.4328333333335</v>
      </c>
    </row>
    <row r="38" spans="1:8" x14ac:dyDescent="0.25">
      <c r="A38" s="144">
        <v>143002134</v>
      </c>
      <c r="B38" s="145">
        <v>303006375</v>
      </c>
      <c r="C38" s="139">
        <v>43862</v>
      </c>
      <c r="D38" s="140">
        <v>113664.97</v>
      </c>
      <c r="E38" s="140">
        <v>72935.664083333337</v>
      </c>
      <c r="F38" s="141">
        <v>1894.4328333333335</v>
      </c>
    </row>
    <row r="39" spans="1:8" x14ac:dyDescent="0.25">
      <c r="A39" s="144">
        <v>143002134</v>
      </c>
      <c r="B39" s="145">
        <v>303006375</v>
      </c>
      <c r="C39" s="139">
        <v>43891</v>
      </c>
      <c r="D39" s="140">
        <v>113664.97</v>
      </c>
      <c r="E39" s="140">
        <v>74830.096916666676</v>
      </c>
      <c r="F39" s="141">
        <v>1894.4328333333335</v>
      </c>
    </row>
    <row r="40" spans="1:8" x14ac:dyDescent="0.25">
      <c r="A40" s="144">
        <v>143002134</v>
      </c>
      <c r="B40" s="145">
        <v>303006375</v>
      </c>
      <c r="C40" s="139">
        <v>43922</v>
      </c>
      <c r="D40" s="140">
        <v>113664.97</v>
      </c>
      <c r="E40" s="140">
        <v>76724.529750000016</v>
      </c>
      <c r="F40" s="141">
        <v>1894.4328333333335</v>
      </c>
    </row>
    <row r="41" spans="1:8" x14ac:dyDescent="0.25">
      <c r="A41" s="144">
        <v>143002134</v>
      </c>
      <c r="B41" s="145">
        <v>303006375</v>
      </c>
      <c r="C41" s="139">
        <v>43952</v>
      </c>
      <c r="D41" s="140">
        <v>113664.97</v>
      </c>
      <c r="E41" s="140">
        <v>78618.962583333356</v>
      </c>
      <c r="F41" s="141">
        <v>1894.4328333333335</v>
      </c>
    </row>
    <row r="42" spans="1:8" x14ac:dyDescent="0.25">
      <c r="A42" s="144">
        <v>143002134</v>
      </c>
      <c r="B42" s="145">
        <v>303006375</v>
      </c>
      <c r="C42" s="139">
        <v>43983</v>
      </c>
      <c r="D42" s="140">
        <v>113664.97</v>
      </c>
      <c r="E42" s="140">
        <v>80513.395416666695</v>
      </c>
      <c r="F42" s="141">
        <v>1894.4328333333335</v>
      </c>
    </row>
    <row r="43" spans="1:8" ht="15.75" thickBot="1" x14ac:dyDescent="0.3">
      <c r="A43" s="150"/>
      <c r="B43" s="151"/>
      <c r="C43" s="152"/>
      <c r="D43" s="153"/>
      <c r="E43" s="153"/>
      <c r="F43" s="154"/>
    </row>
    <row r="44" spans="1:8" x14ac:dyDescent="0.25">
      <c r="A44" s="155"/>
      <c r="B44" s="155"/>
      <c r="C44" s="155"/>
      <c r="D44" s="156"/>
      <c r="E44" s="156"/>
      <c r="F44" s="156"/>
    </row>
    <row r="45" spans="1:8" x14ac:dyDescent="0.25">
      <c r="A45" s="155"/>
      <c r="B45" s="155"/>
      <c r="C45" s="155"/>
      <c r="D45" s="156"/>
      <c r="E45" s="156"/>
      <c r="F45" s="156"/>
    </row>
    <row r="46" spans="1:8" x14ac:dyDescent="0.25">
      <c r="A46" s="155"/>
      <c r="B46" s="155"/>
      <c r="C46" s="155"/>
      <c r="D46" s="156"/>
      <c r="E46" s="156"/>
      <c r="F46" s="156"/>
    </row>
    <row r="47" spans="1:8" x14ac:dyDescent="0.25">
      <c r="A47" s="155"/>
      <c r="B47" s="155"/>
      <c r="C47" s="155"/>
      <c r="D47" s="156"/>
      <c r="E47" s="156"/>
      <c r="F47" s="156"/>
    </row>
    <row r="48" spans="1:8" x14ac:dyDescent="0.25">
      <c r="A48" s="155"/>
      <c r="B48" s="155"/>
      <c r="C48" s="155"/>
      <c r="D48" s="156"/>
      <c r="E48" s="156"/>
      <c r="F48" s="156"/>
    </row>
    <row r="49" spans="1:6" x14ac:dyDescent="0.25">
      <c r="A49" s="155"/>
      <c r="B49" s="155"/>
      <c r="C49" s="155"/>
      <c r="D49" s="156"/>
      <c r="E49" s="156"/>
      <c r="F49" s="156"/>
    </row>
    <row r="50" spans="1:6" x14ac:dyDescent="0.25">
      <c r="A50" s="155"/>
      <c r="B50" s="155"/>
      <c r="C50" s="155"/>
      <c r="D50" s="155"/>
      <c r="E50" s="155"/>
      <c r="F50" s="155"/>
    </row>
  </sheetData>
  <mergeCells count="1">
    <mergeCell ref="A12:F1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80" zoomScaleNormal="80" workbookViewId="0">
      <selection activeCell="C14" sqref="C14"/>
    </sheetView>
  </sheetViews>
  <sheetFormatPr defaultColWidth="9.28515625" defaultRowHeight="15" x14ac:dyDescent="0.25"/>
  <cols>
    <col min="1" max="1" width="38.7109375" style="157" customWidth="1"/>
    <col min="2" max="2" width="24.5703125" style="157" bestFit="1" customWidth="1"/>
    <col min="3" max="3" width="11.28515625" style="157" customWidth="1"/>
    <col min="4" max="8" width="10.7109375" style="157" customWidth="1"/>
    <col min="9" max="9" width="11.7109375" style="157" customWidth="1"/>
    <col min="10" max="10" width="12.5703125" style="157" customWidth="1"/>
    <col min="11" max="14" width="10.7109375" style="157" customWidth="1"/>
    <col min="15" max="15" width="12.28515625" style="157" bestFit="1" customWidth="1"/>
    <col min="16" max="16" width="14" style="157" bestFit="1" customWidth="1"/>
    <col min="17" max="17" width="13.7109375" style="157" bestFit="1" customWidth="1"/>
    <col min="18" max="16384" width="9.28515625" style="157"/>
  </cols>
  <sheetData>
    <row r="1" spans="1:16" x14ac:dyDescent="0.25">
      <c r="A1" s="172" t="s">
        <v>281</v>
      </c>
    </row>
    <row r="2" spans="1:16" x14ac:dyDescent="0.25">
      <c r="A2" s="170" t="s">
        <v>280</v>
      </c>
    </row>
    <row r="3" spans="1:16" x14ac:dyDescent="0.25">
      <c r="A3" s="170" t="s">
        <v>279</v>
      </c>
      <c r="B3" s="171" t="s">
        <v>189</v>
      </c>
      <c r="C3" s="171" t="s">
        <v>278</v>
      </c>
      <c r="D3" s="171" t="s">
        <v>277</v>
      </c>
    </row>
    <row r="4" spans="1:16" x14ac:dyDescent="0.25">
      <c r="A4" s="161" t="s">
        <v>276</v>
      </c>
      <c r="B4" s="160">
        <f>P13</f>
        <v>3130666</v>
      </c>
      <c r="C4" s="160">
        <f>P23</f>
        <v>1614329</v>
      </c>
      <c r="D4" s="160">
        <f>O33</f>
        <v>151524</v>
      </c>
    </row>
    <row r="5" spans="1:16" x14ac:dyDescent="0.25">
      <c r="A5" s="161" t="s">
        <v>275</v>
      </c>
      <c r="B5" s="160">
        <f>P14</f>
        <v>1081259</v>
      </c>
      <c r="C5" s="160">
        <f>P24</f>
        <v>628101</v>
      </c>
      <c r="D5" s="160">
        <f>O34</f>
        <v>51792</v>
      </c>
    </row>
    <row r="6" spans="1:16" x14ac:dyDescent="0.25">
      <c r="A6" s="161" t="s">
        <v>274</v>
      </c>
      <c r="B6" s="160">
        <f>P15</f>
        <v>180679</v>
      </c>
      <c r="C6" s="160">
        <f>P25</f>
        <v>45567</v>
      </c>
      <c r="D6" s="160">
        <f>O35</f>
        <v>3684</v>
      </c>
    </row>
    <row r="7" spans="1:16" x14ac:dyDescent="0.25">
      <c r="A7" s="161" t="s">
        <v>273</v>
      </c>
      <c r="B7" s="160">
        <f>P16</f>
        <v>71312</v>
      </c>
      <c r="C7" s="160">
        <f>P26</f>
        <v>23542</v>
      </c>
      <c r="D7" s="160">
        <f>O36</f>
        <v>2244</v>
      </c>
    </row>
    <row r="8" spans="1:16" x14ac:dyDescent="0.25">
      <c r="A8" s="161" t="s">
        <v>272</v>
      </c>
      <c r="B8" s="160">
        <f>P17</f>
        <v>75387</v>
      </c>
      <c r="C8" s="160">
        <f>P27</f>
        <v>20757</v>
      </c>
      <c r="D8" s="160">
        <f>O37</f>
        <v>2820</v>
      </c>
    </row>
    <row r="9" spans="1:16" x14ac:dyDescent="0.25">
      <c r="A9" s="159" t="s">
        <v>188</v>
      </c>
      <c r="B9" s="158">
        <f>SUM(B4:B8)</f>
        <v>4539303</v>
      </c>
      <c r="C9" s="158">
        <f>SUM(C4:C8)</f>
        <v>2332296</v>
      </c>
      <c r="D9" s="158">
        <f>SUM(D4:D8)</f>
        <v>212064</v>
      </c>
    </row>
    <row r="11" spans="1:16" x14ac:dyDescent="0.25">
      <c r="A11" s="170" t="s">
        <v>271</v>
      </c>
      <c r="B11" s="166" t="s">
        <v>270</v>
      </c>
      <c r="C11" s="166"/>
      <c r="I11" s="166" t="s">
        <v>264</v>
      </c>
    </row>
    <row r="12" spans="1:16" x14ac:dyDescent="0.25">
      <c r="A12" s="162" t="s">
        <v>258</v>
      </c>
      <c r="C12" s="165">
        <v>43617</v>
      </c>
      <c r="D12" s="165">
        <v>43647</v>
      </c>
      <c r="E12" s="165">
        <v>43678</v>
      </c>
      <c r="F12" s="165">
        <v>43709</v>
      </c>
      <c r="G12" s="165">
        <v>43739</v>
      </c>
      <c r="H12" s="165">
        <v>43770</v>
      </c>
      <c r="I12" s="165">
        <v>43800</v>
      </c>
      <c r="J12" s="165">
        <v>43831</v>
      </c>
      <c r="K12" s="165">
        <v>43862</v>
      </c>
      <c r="L12" s="165">
        <v>43891</v>
      </c>
      <c r="M12" s="165">
        <v>43922</v>
      </c>
      <c r="N12" s="165">
        <v>43952</v>
      </c>
      <c r="O12" s="165">
        <v>43983</v>
      </c>
      <c r="P12" s="162" t="s">
        <v>267</v>
      </c>
    </row>
    <row r="13" spans="1:16" x14ac:dyDescent="0.25">
      <c r="A13" s="161" t="s">
        <v>250</v>
      </c>
      <c r="B13" s="169" t="s">
        <v>263</v>
      </c>
      <c r="C13" s="161">
        <v>3131</v>
      </c>
      <c r="D13" s="161">
        <v>3131</v>
      </c>
      <c r="E13" s="161">
        <v>3131</v>
      </c>
      <c r="F13" s="161">
        <v>3131</v>
      </c>
      <c r="G13" s="161">
        <v>3131</v>
      </c>
      <c r="H13" s="161">
        <v>3131</v>
      </c>
      <c r="I13" s="161">
        <v>3131</v>
      </c>
      <c r="J13" s="161">
        <v>3131</v>
      </c>
      <c r="K13" s="161">
        <v>3131</v>
      </c>
      <c r="L13" s="161">
        <v>3131</v>
      </c>
      <c r="M13" s="161">
        <v>3131</v>
      </c>
      <c r="N13" s="161">
        <v>3131</v>
      </c>
      <c r="O13" s="161">
        <v>3131</v>
      </c>
      <c r="P13" s="160">
        <v>3130666</v>
      </c>
    </row>
    <row r="14" spans="1:16" x14ac:dyDescent="0.25">
      <c r="A14" s="161" t="s">
        <v>249</v>
      </c>
      <c r="B14" s="169" t="s">
        <v>263</v>
      </c>
      <c r="C14" s="161">
        <v>1081</v>
      </c>
      <c r="D14" s="161">
        <v>1081</v>
      </c>
      <c r="E14" s="161">
        <v>1081</v>
      </c>
      <c r="F14" s="161">
        <v>1081</v>
      </c>
      <c r="G14" s="161">
        <v>1081</v>
      </c>
      <c r="H14" s="161">
        <v>1081</v>
      </c>
      <c r="I14" s="161">
        <v>1081</v>
      </c>
      <c r="J14" s="161">
        <v>1081</v>
      </c>
      <c r="K14" s="161">
        <v>1081</v>
      </c>
      <c r="L14" s="161">
        <v>1081</v>
      </c>
      <c r="M14" s="161">
        <v>1081</v>
      </c>
      <c r="N14" s="161">
        <v>1081</v>
      </c>
      <c r="O14" s="161">
        <v>1081</v>
      </c>
      <c r="P14" s="160">
        <v>1081259</v>
      </c>
    </row>
    <row r="15" spans="1:16" x14ac:dyDescent="0.25">
      <c r="A15" s="161" t="s">
        <v>247</v>
      </c>
      <c r="B15" s="169" t="s">
        <v>262</v>
      </c>
      <c r="C15" s="161">
        <v>181</v>
      </c>
      <c r="D15" s="161">
        <v>181</v>
      </c>
      <c r="E15" s="161">
        <v>181</v>
      </c>
      <c r="F15" s="161">
        <v>181</v>
      </c>
      <c r="G15" s="161">
        <v>181</v>
      </c>
      <c r="H15" s="161">
        <v>181</v>
      </c>
      <c r="I15" s="161">
        <v>181</v>
      </c>
      <c r="J15" s="161">
        <v>181</v>
      </c>
      <c r="K15" s="161">
        <v>181</v>
      </c>
      <c r="L15" s="161">
        <v>181</v>
      </c>
      <c r="M15" s="161">
        <v>181</v>
      </c>
      <c r="N15" s="161">
        <v>181</v>
      </c>
      <c r="O15" s="161">
        <v>181</v>
      </c>
      <c r="P15" s="160">
        <v>180679</v>
      </c>
    </row>
    <row r="16" spans="1:16" x14ac:dyDescent="0.25">
      <c r="A16" s="161" t="s">
        <v>245</v>
      </c>
      <c r="B16" s="169" t="s">
        <v>262</v>
      </c>
      <c r="C16" s="161">
        <v>71</v>
      </c>
      <c r="D16" s="161">
        <v>71</v>
      </c>
      <c r="E16" s="161">
        <v>71</v>
      </c>
      <c r="F16" s="161">
        <v>71</v>
      </c>
      <c r="G16" s="161">
        <v>71</v>
      </c>
      <c r="H16" s="161">
        <v>71</v>
      </c>
      <c r="I16" s="161">
        <v>71</v>
      </c>
      <c r="J16" s="161">
        <v>71</v>
      </c>
      <c r="K16" s="161">
        <v>71</v>
      </c>
      <c r="L16" s="161">
        <v>71</v>
      </c>
      <c r="M16" s="161">
        <v>71</v>
      </c>
      <c r="N16" s="161">
        <v>71</v>
      </c>
      <c r="O16" s="161">
        <v>71</v>
      </c>
      <c r="P16" s="160">
        <v>71312</v>
      </c>
    </row>
    <row r="17" spans="1:16" x14ac:dyDescent="0.25">
      <c r="A17" s="161" t="s">
        <v>243</v>
      </c>
      <c r="B17" s="169" t="s">
        <v>262</v>
      </c>
      <c r="C17" s="161">
        <v>75</v>
      </c>
      <c r="D17" s="161">
        <v>75</v>
      </c>
      <c r="E17" s="161">
        <v>75</v>
      </c>
      <c r="F17" s="161">
        <v>75</v>
      </c>
      <c r="G17" s="161">
        <v>75</v>
      </c>
      <c r="H17" s="161">
        <v>75</v>
      </c>
      <c r="I17" s="161">
        <v>75</v>
      </c>
      <c r="J17" s="161">
        <v>75</v>
      </c>
      <c r="K17" s="161">
        <v>75</v>
      </c>
      <c r="L17" s="161">
        <v>75</v>
      </c>
      <c r="M17" s="161">
        <v>75</v>
      </c>
      <c r="N17" s="161">
        <v>75</v>
      </c>
      <c r="O17" s="161">
        <v>75</v>
      </c>
      <c r="P17" s="160">
        <v>75387</v>
      </c>
    </row>
    <row r="18" spans="1:16" x14ac:dyDescent="0.25">
      <c r="A18" s="159" t="s">
        <v>261</v>
      </c>
      <c r="B18" s="159"/>
      <c r="C18" s="158">
        <f t="shared" ref="C18:P18" si="0">SUM(C13:C17)</f>
        <v>4539</v>
      </c>
      <c r="D18" s="158">
        <f t="shared" si="0"/>
        <v>4539</v>
      </c>
      <c r="E18" s="158">
        <f t="shared" si="0"/>
        <v>4539</v>
      </c>
      <c r="F18" s="158">
        <f t="shared" si="0"/>
        <v>4539</v>
      </c>
      <c r="G18" s="158">
        <f t="shared" si="0"/>
        <v>4539</v>
      </c>
      <c r="H18" s="158">
        <f t="shared" si="0"/>
        <v>4539</v>
      </c>
      <c r="I18" s="158">
        <f t="shared" si="0"/>
        <v>4539</v>
      </c>
      <c r="J18" s="158">
        <f t="shared" si="0"/>
        <v>4539</v>
      </c>
      <c r="K18" s="158">
        <f t="shared" si="0"/>
        <v>4539</v>
      </c>
      <c r="L18" s="158">
        <f t="shared" si="0"/>
        <v>4539</v>
      </c>
      <c r="M18" s="158">
        <f t="shared" si="0"/>
        <v>4539</v>
      </c>
      <c r="N18" s="158">
        <f t="shared" si="0"/>
        <v>4539</v>
      </c>
      <c r="O18" s="158">
        <f t="shared" si="0"/>
        <v>4539</v>
      </c>
      <c r="P18" s="158">
        <f t="shared" si="0"/>
        <v>4539303</v>
      </c>
    </row>
    <row r="21" spans="1:16" x14ac:dyDescent="0.25">
      <c r="A21" s="170" t="s">
        <v>269</v>
      </c>
      <c r="B21" s="166" t="s">
        <v>268</v>
      </c>
      <c r="C21" s="166"/>
      <c r="I21" s="166" t="s">
        <v>264</v>
      </c>
    </row>
    <row r="22" spans="1:16" x14ac:dyDescent="0.25">
      <c r="A22" s="162" t="s">
        <v>258</v>
      </c>
      <c r="C22" s="165">
        <v>43617</v>
      </c>
      <c r="D22" s="165">
        <v>43647</v>
      </c>
      <c r="E22" s="165">
        <v>43678</v>
      </c>
      <c r="F22" s="165">
        <v>43709</v>
      </c>
      <c r="G22" s="165">
        <v>43739</v>
      </c>
      <c r="H22" s="165">
        <v>43770</v>
      </c>
      <c r="I22" s="165">
        <v>43800</v>
      </c>
      <c r="J22" s="165">
        <v>43831</v>
      </c>
      <c r="K22" s="165">
        <v>43862</v>
      </c>
      <c r="L22" s="165">
        <v>43891</v>
      </c>
      <c r="M22" s="165">
        <v>43922</v>
      </c>
      <c r="N22" s="165">
        <v>43952</v>
      </c>
      <c r="O22" s="165">
        <v>43983</v>
      </c>
      <c r="P22" s="162" t="s">
        <v>267</v>
      </c>
    </row>
    <row r="23" spans="1:16" x14ac:dyDescent="0.25">
      <c r="A23" s="161" t="s">
        <v>250</v>
      </c>
      <c r="B23" s="169" t="s">
        <v>263</v>
      </c>
      <c r="C23" s="161">
        <v>1539</v>
      </c>
      <c r="D23" s="161">
        <v>1551</v>
      </c>
      <c r="E23" s="161">
        <v>1564</v>
      </c>
      <c r="F23" s="161">
        <v>1576</v>
      </c>
      <c r="G23" s="161">
        <v>1589</v>
      </c>
      <c r="H23" s="161">
        <v>1602</v>
      </c>
      <c r="I23" s="161">
        <v>1614</v>
      </c>
      <c r="J23" s="161">
        <v>1627</v>
      </c>
      <c r="K23" s="161">
        <v>1640</v>
      </c>
      <c r="L23" s="161">
        <v>1652</v>
      </c>
      <c r="M23" s="161">
        <v>1665</v>
      </c>
      <c r="N23" s="161">
        <v>1677</v>
      </c>
      <c r="O23" s="161">
        <v>1690</v>
      </c>
      <c r="P23" s="160">
        <v>1614329</v>
      </c>
    </row>
    <row r="24" spans="1:16" x14ac:dyDescent="0.25">
      <c r="A24" s="161" t="s">
        <v>249</v>
      </c>
      <c r="B24" s="169" t="s">
        <v>263</v>
      </c>
      <c r="C24" s="161">
        <v>602</v>
      </c>
      <c r="D24" s="161">
        <v>607</v>
      </c>
      <c r="E24" s="161">
        <v>611</v>
      </c>
      <c r="F24" s="161">
        <v>615</v>
      </c>
      <c r="G24" s="161">
        <v>619</v>
      </c>
      <c r="H24" s="161">
        <v>624</v>
      </c>
      <c r="I24" s="161">
        <v>628</v>
      </c>
      <c r="J24" s="161">
        <v>632</v>
      </c>
      <c r="K24" s="161">
        <v>637</v>
      </c>
      <c r="L24" s="161">
        <v>641</v>
      </c>
      <c r="M24" s="161">
        <v>645</v>
      </c>
      <c r="N24" s="161">
        <v>650</v>
      </c>
      <c r="O24" s="161">
        <v>654</v>
      </c>
      <c r="P24" s="160">
        <v>628101</v>
      </c>
    </row>
    <row r="25" spans="1:16" x14ac:dyDescent="0.25">
      <c r="A25" s="161" t="s">
        <v>247</v>
      </c>
      <c r="B25" s="169" t="s">
        <v>262</v>
      </c>
      <c r="C25" s="161">
        <v>44</v>
      </c>
      <c r="D25" s="161">
        <v>44</v>
      </c>
      <c r="E25" s="161">
        <v>44</v>
      </c>
      <c r="F25" s="161">
        <v>45</v>
      </c>
      <c r="G25" s="161">
        <v>45</v>
      </c>
      <c r="H25" s="161">
        <v>45</v>
      </c>
      <c r="I25" s="161">
        <v>46</v>
      </c>
      <c r="J25" s="161">
        <v>46</v>
      </c>
      <c r="K25" s="161">
        <v>46</v>
      </c>
      <c r="L25" s="161">
        <v>46</v>
      </c>
      <c r="M25" s="161">
        <v>47</v>
      </c>
      <c r="N25" s="161">
        <v>47</v>
      </c>
      <c r="O25" s="161">
        <v>47</v>
      </c>
      <c r="P25" s="160">
        <v>45567</v>
      </c>
    </row>
    <row r="26" spans="1:16" x14ac:dyDescent="0.25">
      <c r="A26" s="161" t="s">
        <v>245</v>
      </c>
      <c r="B26" s="169" t="s">
        <v>262</v>
      </c>
      <c r="C26" s="161">
        <v>22</v>
      </c>
      <c r="D26" s="161">
        <v>23</v>
      </c>
      <c r="E26" s="161">
        <v>23</v>
      </c>
      <c r="F26" s="161">
        <v>23</v>
      </c>
      <c r="G26" s="161">
        <v>23</v>
      </c>
      <c r="H26" s="161">
        <v>23</v>
      </c>
      <c r="I26" s="161">
        <v>24</v>
      </c>
      <c r="J26" s="161">
        <v>24</v>
      </c>
      <c r="K26" s="161">
        <v>24</v>
      </c>
      <c r="L26" s="161">
        <v>24</v>
      </c>
      <c r="M26" s="161">
        <v>24</v>
      </c>
      <c r="N26" s="161">
        <v>24</v>
      </c>
      <c r="O26" s="161">
        <v>25</v>
      </c>
      <c r="P26" s="160">
        <v>23542</v>
      </c>
    </row>
    <row r="27" spans="1:16" x14ac:dyDescent="0.25">
      <c r="A27" s="161" t="s">
        <v>243</v>
      </c>
      <c r="B27" s="169" t="s">
        <v>262</v>
      </c>
      <c r="C27" s="161">
        <v>19</v>
      </c>
      <c r="D27" s="161">
        <v>20</v>
      </c>
      <c r="E27" s="161">
        <v>20</v>
      </c>
      <c r="F27" s="161">
        <v>20</v>
      </c>
      <c r="G27" s="161">
        <v>20</v>
      </c>
      <c r="H27" s="161">
        <v>21</v>
      </c>
      <c r="I27" s="161">
        <v>21</v>
      </c>
      <c r="J27" s="161">
        <v>21</v>
      </c>
      <c r="K27" s="161">
        <v>21</v>
      </c>
      <c r="L27" s="161">
        <v>21</v>
      </c>
      <c r="M27" s="161">
        <v>22</v>
      </c>
      <c r="N27" s="161">
        <v>22</v>
      </c>
      <c r="O27" s="161">
        <v>22</v>
      </c>
      <c r="P27" s="160">
        <v>20757</v>
      </c>
    </row>
    <row r="28" spans="1:16" x14ac:dyDescent="0.25">
      <c r="A28" s="159" t="s">
        <v>261</v>
      </c>
      <c r="B28" s="159"/>
      <c r="C28" s="158">
        <f t="shared" ref="C28:P28" si="1">SUM(C23:C27)</f>
        <v>2226</v>
      </c>
      <c r="D28" s="158">
        <f t="shared" si="1"/>
        <v>2245</v>
      </c>
      <c r="E28" s="158">
        <f t="shared" si="1"/>
        <v>2262</v>
      </c>
      <c r="F28" s="158">
        <f t="shared" si="1"/>
        <v>2279</v>
      </c>
      <c r="G28" s="158">
        <f t="shared" si="1"/>
        <v>2296</v>
      </c>
      <c r="H28" s="158">
        <f t="shared" si="1"/>
        <v>2315</v>
      </c>
      <c r="I28" s="158">
        <f t="shared" si="1"/>
        <v>2333</v>
      </c>
      <c r="J28" s="158">
        <f t="shared" si="1"/>
        <v>2350</v>
      </c>
      <c r="K28" s="158">
        <f t="shared" si="1"/>
        <v>2368</v>
      </c>
      <c r="L28" s="158">
        <f t="shared" si="1"/>
        <v>2384</v>
      </c>
      <c r="M28" s="158">
        <f t="shared" si="1"/>
        <v>2403</v>
      </c>
      <c r="N28" s="158">
        <f t="shared" si="1"/>
        <v>2420</v>
      </c>
      <c r="O28" s="158">
        <f t="shared" si="1"/>
        <v>2438</v>
      </c>
      <c r="P28" s="158">
        <f t="shared" si="1"/>
        <v>2332296</v>
      </c>
    </row>
    <row r="29" spans="1:16" x14ac:dyDescent="0.25">
      <c r="A29" s="168"/>
      <c r="B29" s="168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</row>
    <row r="31" spans="1:16" ht="26.25" x14ac:dyDescent="0.25">
      <c r="A31" s="163" t="s">
        <v>266</v>
      </c>
      <c r="B31" s="166" t="s">
        <v>265</v>
      </c>
      <c r="C31" s="166"/>
      <c r="I31" s="166" t="s">
        <v>264</v>
      </c>
    </row>
    <row r="32" spans="1:16" x14ac:dyDescent="0.25">
      <c r="A32" s="162" t="s">
        <v>258</v>
      </c>
      <c r="B32" s="162"/>
      <c r="C32" s="165">
        <v>43647</v>
      </c>
      <c r="D32" s="165">
        <v>43678</v>
      </c>
      <c r="E32" s="165">
        <v>43709</v>
      </c>
      <c r="F32" s="165">
        <v>43739</v>
      </c>
      <c r="G32" s="165">
        <v>43770</v>
      </c>
      <c r="H32" s="165">
        <v>43800</v>
      </c>
      <c r="I32" s="165">
        <v>43831</v>
      </c>
      <c r="J32" s="165">
        <v>43862</v>
      </c>
      <c r="K32" s="165">
        <v>43891</v>
      </c>
      <c r="L32" s="165">
        <v>43922</v>
      </c>
      <c r="M32" s="165">
        <v>43952</v>
      </c>
      <c r="N32" s="165">
        <v>43983</v>
      </c>
      <c r="O32" s="164" t="s">
        <v>188</v>
      </c>
    </row>
    <row r="33" spans="1:15" x14ac:dyDescent="0.25">
      <c r="A33" s="161" t="s">
        <v>250</v>
      </c>
      <c r="B33" s="161" t="s">
        <v>263</v>
      </c>
      <c r="C33" s="161">
        <v>12627</v>
      </c>
      <c r="D33" s="161">
        <v>12627</v>
      </c>
      <c r="E33" s="161">
        <v>12627</v>
      </c>
      <c r="F33" s="161">
        <v>12627</v>
      </c>
      <c r="G33" s="161">
        <v>12627</v>
      </c>
      <c r="H33" s="161">
        <v>12627</v>
      </c>
      <c r="I33" s="161">
        <v>12627</v>
      </c>
      <c r="J33" s="161">
        <v>12627</v>
      </c>
      <c r="K33" s="161">
        <v>12627</v>
      </c>
      <c r="L33" s="161">
        <v>12627</v>
      </c>
      <c r="M33" s="161">
        <v>12627</v>
      </c>
      <c r="N33" s="161">
        <v>12627</v>
      </c>
      <c r="O33" s="160">
        <f>SUM(C33:N33)</f>
        <v>151524</v>
      </c>
    </row>
    <row r="34" spans="1:15" x14ac:dyDescent="0.25">
      <c r="A34" s="161" t="s">
        <v>249</v>
      </c>
      <c r="B34" s="161" t="s">
        <v>263</v>
      </c>
      <c r="C34" s="161">
        <v>4316</v>
      </c>
      <c r="D34" s="161">
        <v>4316</v>
      </c>
      <c r="E34" s="161">
        <v>4316</v>
      </c>
      <c r="F34" s="161">
        <v>4316</v>
      </c>
      <c r="G34" s="161">
        <v>4316</v>
      </c>
      <c r="H34" s="161">
        <v>4316</v>
      </c>
      <c r="I34" s="161">
        <v>4316</v>
      </c>
      <c r="J34" s="161">
        <v>4316</v>
      </c>
      <c r="K34" s="161">
        <v>4316</v>
      </c>
      <c r="L34" s="161">
        <v>4316</v>
      </c>
      <c r="M34" s="161">
        <v>4316</v>
      </c>
      <c r="N34" s="161">
        <v>4316</v>
      </c>
      <c r="O34" s="160">
        <f>SUM(C34:N34)</f>
        <v>51792</v>
      </c>
    </row>
    <row r="35" spans="1:15" x14ac:dyDescent="0.25">
      <c r="A35" s="161" t="s">
        <v>247</v>
      </c>
      <c r="B35" s="161" t="s">
        <v>262</v>
      </c>
      <c r="C35" s="161">
        <v>307</v>
      </c>
      <c r="D35" s="161">
        <v>307</v>
      </c>
      <c r="E35" s="161">
        <v>307</v>
      </c>
      <c r="F35" s="161">
        <v>307</v>
      </c>
      <c r="G35" s="161">
        <v>307</v>
      </c>
      <c r="H35" s="161">
        <v>307</v>
      </c>
      <c r="I35" s="161">
        <v>307</v>
      </c>
      <c r="J35" s="161">
        <v>307</v>
      </c>
      <c r="K35" s="161">
        <v>307</v>
      </c>
      <c r="L35" s="161">
        <v>307</v>
      </c>
      <c r="M35" s="161">
        <v>307</v>
      </c>
      <c r="N35" s="161">
        <v>307</v>
      </c>
      <c r="O35" s="160">
        <f>SUM(C35:N35)</f>
        <v>3684</v>
      </c>
    </row>
    <row r="36" spans="1:15" x14ac:dyDescent="0.25">
      <c r="A36" s="161" t="s">
        <v>245</v>
      </c>
      <c r="B36" s="161" t="s">
        <v>262</v>
      </c>
      <c r="C36" s="161">
        <v>187</v>
      </c>
      <c r="D36" s="161">
        <v>187</v>
      </c>
      <c r="E36" s="161">
        <v>187</v>
      </c>
      <c r="F36" s="161">
        <v>187</v>
      </c>
      <c r="G36" s="161">
        <v>187</v>
      </c>
      <c r="H36" s="161">
        <v>187</v>
      </c>
      <c r="I36" s="161">
        <v>187</v>
      </c>
      <c r="J36" s="161">
        <v>187</v>
      </c>
      <c r="K36" s="161">
        <v>187</v>
      </c>
      <c r="L36" s="161">
        <v>187</v>
      </c>
      <c r="M36" s="161">
        <v>187</v>
      </c>
      <c r="N36" s="161">
        <v>187</v>
      </c>
      <c r="O36" s="160">
        <f>SUM(C36:N36)</f>
        <v>2244</v>
      </c>
    </row>
    <row r="37" spans="1:15" x14ac:dyDescent="0.25">
      <c r="A37" s="161" t="s">
        <v>243</v>
      </c>
      <c r="B37" s="161" t="s">
        <v>262</v>
      </c>
      <c r="C37" s="161">
        <v>235</v>
      </c>
      <c r="D37" s="161">
        <v>235</v>
      </c>
      <c r="E37" s="161">
        <v>235</v>
      </c>
      <c r="F37" s="161">
        <v>235</v>
      </c>
      <c r="G37" s="161">
        <v>235</v>
      </c>
      <c r="H37" s="161">
        <v>235</v>
      </c>
      <c r="I37" s="161">
        <v>235</v>
      </c>
      <c r="J37" s="161">
        <v>235</v>
      </c>
      <c r="K37" s="161">
        <v>235</v>
      </c>
      <c r="L37" s="161">
        <v>235</v>
      </c>
      <c r="M37" s="161">
        <v>235</v>
      </c>
      <c r="N37" s="161">
        <v>235</v>
      </c>
      <c r="O37" s="160">
        <f>SUM(C37:N37)</f>
        <v>2820</v>
      </c>
    </row>
    <row r="38" spans="1:15" x14ac:dyDescent="0.25">
      <c r="A38" s="159" t="s">
        <v>261</v>
      </c>
      <c r="B38" s="159"/>
      <c r="C38" s="158">
        <f t="shared" ref="C38:O38" si="2">SUM(C33:C37)</f>
        <v>17672</v>
      </c>
      <c r="D38" s="158">
        <f t="shared" si="2"/>
        <v>17672</v>
      </c>
      <c r="E38" s="158">
        <f t="shared" si="2"/>
        <v>17672</v>
      </c>
      <c r="F38" s="158">
        <f t="shared" si="2"/>
        <v>17672</v>
      </c>
      <c r="G38" s="158">
        <f t="shared" si="2"/>
        <v>17672</v>
      </c>
      <c r="H38" s="158">
        <f t="shared" si="2"/>
        <v>17672</v>
      </c>
      <c r="I38" s="158">
        <f t="shared" si="2"/>
        <v>17672</v>
      </c>
      <c r="J38" s="158">
        <f t="shared" si="2"/>
        <v>17672</v>
      </c>
      <c r="K38" s="158">
        <f t="shared" si="2"/>
        <v>17672</v>
      </c>
      <c r="L38" s="158">
        <f t="shared" si="2"/>
        <v>17672</v>
      </c>
      <c r="M38" s="158">
        <f t="shared" si="2"/>
        <v>17672</v>
      </c>
      <c r="N38" s="158">
        <f t="shared" si="2"/>
        <v>17672</v>
      </c>
      <c r="O38" s="158">
        <f t="shared" si="2"/>
        <v>212064</v>
      </c>
    </row>
    <row r="41" spans="1:15" ht="26.25" x14ac:dyDescent="0.25">
      <c r="A41" s="163" t="s">
        <v>260</v>
      </c>
      <c r="B41" s="163" t="s">
        <v>259</v>
      </c>
    </row>
    <row r="42" spans="1:15" x14ac:dyDescent="0.25">
      <c r="A42" s="162" t="s">
        <v>258</v>
      </c>
      <c r="B42" s="161"/>
      <c r="C42" s="162" t="s">
        <v>257</v>
      </c>
      <c r="D42" s="162" t="s">
        <v>203</v>
      </c>
      <c r="E42" s="162" t="s">
        <v>256</v>
      </c>
      <c r="F42" s="162" t="s">
        <v>255</v>
      </c>
      <c r="G42" s="162" t="s">
        <v>254</v>
      </c>
      <c r="H42" s="162" t="s">
        <v>253</v>
      </c>
      <c r="I42" s="162" t="s">
        <v>252</v>
      </c>
      <c r="J42" s="162" t="s">
        <v>251</v>
      </c>
    </row>
    <row r="43" spans="1:15" x14ac:dyDescent="0.25">
      <c r="A43" s="161" t="s">
        <v>250</v>
      </c>
      <c r="B43" s="161" t="s">
        <v>248</v>
      </c>
      <c r="C43" s="160">
        <v>1538566.5199999998</v>
      </c>
      <c r="D43" s="160">
        <v>151524.12000000002</v>
      </c>
      <c r="E43" s="160">
        <v>0</v>
      </c>
      <c r="F43" s="160">
        <v>0</v>
      </c>
      <c r="G43" s="160">
        <v>0</v>
      </c>
      <c r="H43" s="160">
        <v>0</v>
      </c>
      <c r="I43" s="160">
        <v>0</v>
      </c>
      <c r="J43" s="160">
        <v>1690090.64</v>
      </c>
    </row>
    <row r="44" spans="1:15" x14ac:dyDescent="0.25">
      <c r="A44" s="161" t="s">
        <v>249</v>
      </c>
      <c r="B44" s="161" t="s">
        <v>248</v>
      </c>
      <c r="C44" s="160">
        <v>602205.37</v>
      </c>
      <c r="D44" s="160">
        <v>51792.24</v>
      </c>
      <c r="E44" s="160">
        <v>0</v>
      </c>
      <c r="F44" s="160">
        <v>0</v>
      </c>
      <c r="G44" s="160">
        <v>0</v>
      </c>
      <c r="H44" s="160">
        <v>0</v>
      </c>
      <c r="I44" s="160">
        <v>0</v>
      </c>
      <c r="J44" s="160">
        <v>653997.61</v>
      </c>
    </row>
    <row r="45" spans="1:15" x14ac:dyDescent="0.25">
      <c r="A45" s="161" t="s">
        <v>247</v>
      </c>
      <c r="B45" s="161" t="s">
        <v>246</v>
      </c>
      <c r="C45" s="160">
        <v>43723.64</v>
      </c>
      <c r="D45" s="160">
        <v>3685.92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47409.560000000005</v>
      </c>
    </row>
    <row r="46" spans="1:15" x14ac:dyDescent="0.25">
      <c r="A46" s="161" t="s">
        <v>245</v>
      </c>
      <c r="B46" s="161" t="s">
        <v>244</v>
      </c>
      <c r="C46" s="160">
        <v>22422.16</v>
      </c>
      <c r="D46" s="160">
        <v>2239.1999999999998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0">
        <v>24661.360000000001</v>
      </c>
    </row>
    <row r="47" spans="1:15" x14ac:dyDescent="0.25">
      <c r="A47" s="161" t="s">
        <v>243</v>
      </c>
      <c r="B47" s="161" t="s">
        <v>242</v>
      </c>
      <c r="C47" s="160">
        <v>19347.02</v>
      </c>
      <c r="D47" s="160">
        <v>2819.3999999999996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0">
        <v>22166.420000000002</v>
      </c>
    </row>
    <row r="48" spans="1:15" x14ac:dyDescent="0.25">
      <c r="A48" s="159" t="s">
        <v>241</v>
      </c>
      <c r="B48" s="159"/>
      <c r="C48" s="158">
        <v>2226264.71</v>
      </c>
      <c r="D48" s="158">
        <v>212060.88000000003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2438325.59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O38"/>
  <sheetViews>
    <sheetView workbookViewId="0">
      <selection activeCell="N32" sqref="N32"/>
    </sheetView>
  </sheetViews>
  <sheetFormatPr defaultColWidth="9.28515625" defaultRowHeight="15" x14ac:dyDescent="0.25"/>
  <cols>
    <col min="1" max="1" width="20" style="173" bestFit="1" customWidth="1"/>
    <col min="2" max="14" width="12" style="173" customWidth="1"/>
    <col min="15" max="15" width="16.7109375" style="173" bestFit="1" customWidth="1"/>
    <col min="16" max="20" width="11.28515625" style="173" bestFit="1" customWidth="1"/>
    <col min="21" max="16384" width="9.28515625" style="173"/>
  </cols>
  <sheetData>
    <row r="30" spans="1:15" x14ac:dyDescent="0.25">
      <c r="A30" s="177" t="s">
        <v>284</v>
      </c>
    </row>
    <row r="31" spans="1:15" x14ac:dyDescent="0.25">
      <c r="B31" s="176">
        <v>43617</v>
      </c>
      <c r="C31" s="176">
        <v>43647</v>
      </c>
      <c r="D31" s="176">
        <v>43678</v>
      </c>
      <c r="E31" s="176">
        <v>43709</v>
      </c>
      <c r="F31" s="176">
        <v>43739</v>
      </c>
      <c r="G31" s="176">
        <v>43770</v>
      </c>
      <c r="H31" s="176">
        <v>43800</v>
      </c>
      <c r="I31" s="176">
        <v>43831</v>
      </c>
      <c r="J31" s="176">
        <v>43862</v>
      </c>
      <c r="K31" s="176">
        <v>43891</v>
      </c>
      <c r="L31" s="176">
        <v>43922</v>
      </c>
      <c r="M31" s="176">
        <v>43952</v>
      </c>
      <c r="N31" s="176">
        <v>43983</v>
      </c>
      <c r="O31" s="175" t="s">
        <v>121</v>
      </c>
    </row>
    <row r="32" spans="1:15" x14ac:dyDescent="0.25">
      <c r="B32" s="174">
        <v>340637.09</v>
      </c>
      <c r="C32" s="174">
        <v>340637.09</v>
      </c>
      <c r="D32" s="174">
        <v>340637.09</v>
      </c>
      <c r="E32" s="174">
        <v>340637.09</v>
      </c>
      <c r="F32" s="174">
        <v>340637.09</v>
      </c>
      <c r="G32" s="174">
        <v>340637.09</v>
      </c>
      <c r="H32" s="174">
        <v>340637.09</v>
      </c>
      <c r="I32" s="174">
        <v>340637.09</v>
      </c>
      <c r="J32" s="174">
        <v>340637.09</v>
      </c>
      <c r="K32" s="174">
        <v>340637.09</v>
      </c>
      <c r="L32" s="174">
        <v>340637.09</v>
      </c>
      <c r="M32" s="174">
        <v>340637.09</v>
      </c>
      <c r="N32" s="174">
        <v>340637.09</v>
      </c>
      <c r="O32" s="174">
        <f>((B32+N32)+SUM(C32:M32)*2)/24</f>
        <v>340637.08999999997</v>
      </c>
    </row>
    <row r="33" spans="1:15" x14ac:dyDescent="0.25">
      <c r="A33" s="177" t="s">
        <v>283</v>
      </c>
    </row>
    <row r="34" spans="1:15" x14ac:dyDescent="0.25">
      <c r="B34" s="176">
        <v>43617</v>
      </c>
      <c r="C34" s="176">
        <v>43647</v>
      </c>
      <c r="D34" s="176">
        <v>43678</v>
      </c>
      <c r="E34" s="176">
        <v>43709</v>
      </c>
      <c r="F34" s="176">
        <v>43739</v>
      </c>
      <c r="G34" s="176">
        <v>43770</v>
      </c>
      <c r="H34" s="176">
        <v>43800</v>
      </c>
      <c r="I34" s="176">
        <v>43831</v>
      </c>
      <c r="J34" s="176">
        <v>43862</v>
      </c>
      <c r="K34" s="176">
        <v>43891</v>
      </c>
      <c r="L34" s="176">
        <v>43922</v>
      </c>
      <c r="M34" s="176">
        <v>43952</v>
      </c>
      <c r="N34" s="176">
        <v>43983</v>
      </c>
      <c r="O34" s="175" t="s">
        <v>121</v>
      </c>
    </row>
    <row r="35" spans="1:15" x14ac:dyDescent="0.25">
      <c r="B35" s="174">
        <f t="shared" ref="B35:M35" si="0">C35+0.03</f>
        <v>-0.1799999999999998</v>
      </c>
      <c r="C35" s="174">
        <f t="shared" si="0"/>
        <v>-0.2099999999999998</v>
      </c>
      <c r="D35" s="174">
        <f t="shared" si="0"/>
        <v>-0.2399999999999998</v>
      </c>
      <c r="E35" s="174">
        <f t="shared" si="0"/>
        <v>-0.2699999999999998</v>
      </c>
      <c r="F35" s="174">
        <f t="shared" si="0"/>
        <v>-0.29999999999999982</v>
      </c>
      <c r="G35" s="174">
        <f t="shared" si="0"/>
        <v>-0.32999999999999985</v>
      </c>
      <c r="H35" s="174">
        <f t="shared" si="0"/>
        <v>-0.35999999999999988</v>
      </c>
      <c r="I35" s="174">
        <f t="shared" si="0"/>
        <v>-0.3899999999999999</v>
      </c>
      <c r="J35" s="174">
        <f t="shared" si="0"/>
        <v>-0.41999999999999993</v>
      </c>
      <c r="K35" s="174">
        <f t="shared" si="0"/>
        <v>-0.44999999999999996</v>
      </c>
      <c r="L35" s="174">
        <f t="shared" si="0"/>
        <v>-0.48</v>
      </c>
      <c r="M35" s="174">
        <f t="shared" si="0"/>
        <v>-0.51</v>
      </c>
      <c r="N35" s="174">
        <v>-0.54</v>
      </c>
      <c r="O35" s="174">
        <f>((B35+N35)+SUM(C35:M35)*2)/24</f>
        <v>-0.35999999999999993</v>
      </c>
    </row>
    <row r="36" spans="1:15" x14ac:dyDescent="0.25">
      <c r="A36" s="177" t="s">
        <v>282</v>
      </c>
    </row>
    <row r="37" spans="1:15" x14ac:dyDescent="0.25">
      <c r="C37" s="176">
        <v>43647</v>
      </c>
      <c r="D37" s="176">
        <v>43678</v>
      </c>
      <c r="E37" s="176">
        <v>43709</v>
      </c>
      <c r="F37" s="176">
        <v>43739</v>
      </c>
      <c r="G37" s="176">
        <v>43770</v>
      </c>
      <c r="H37" s="176">
        <v>43800</v>
      </c>
      <c r="I37" s="176">
        <v>43831</v>
      </c>
      <c r="J37" s="176">
        <v>43862</v>
      </c>
      <c r="K37" s="176">
        <v>43891</v>
      </c>
      <c r="L37" s="176">
        <v>43922</v>
      </c>
      <c r="M37" s="176">
        <v>43952</v>
      </c>
      <c r="N37" s="176">
        <v>43983</v>
      </c>
      <c r="O37" s="175" t="s">
        <v>241</v>
      </c>
    </row>
    <row r="38" spans="1:15" x14ac:dyDescent="0.25">
      <c r="C38" s="174">
        <v>-0.03</v>
      </c>
      <c r="D38" s="174">
        <f t="shared" ref="D38:N38" si="1">C38</f>
        <v>-0.03</v>
      </c>
      <c r="E38" s="174">
        <f t="shared" si="1"/>
        <v>-0.03</v>
      </c>
      <c r="F38" s="174">
        <f t="shared" si="1"/>
        <v>-0.03</v>
      </c>
      <c r="G38" s="174">
        <f t="shared" si="1"/>
        <v>-0.03</v>
      </c>
      <c r="H38" s="174">
        <f t="shared" si="1"/>
        <v>-0.03</v>
      </c>
      <c r="I38" s="174">
        <f t="shared" si="1"/>
        <v>-0.03</v>
      </c>
      <c r="J38" s="174">
        <f t="shared" si="1"/>
        <v>-0.03</v>
      </c>
      <c r="K38" s="174">
        <f t="shared" si="1"/>
        <v>-0.03</v>
      </c>
      <c r="L38" s="174">
        <f t="shared" si="1"/>
        <v>-0.03</v>
      </c>
      <c r="M38" s="174">
        <f t="shared" si="1"/>
        <v>-0.03</v>
      </c>
      <c r="N38" s="174">
        <f t="shared" si="1"/>
        <v>-0.03</v>
      </c>
      <c r="O38" s="174">
        <f>SUM(B38:N38)</f>
        <v>-0.3600000000000001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workbookViewId="0">
      <selection activeCell="E8" sqref="E8"/>
    </sheetView>
  </sheetViews>
  <sheetFormatPr defaultRowHeight="15" x14ac:dyDescent="0.25"/>
  <cols>
    <col min="1" max="1" width="35.5703125" bestFit="1" customWidth="1"/>
    <col min="2" max="2" width="16.28515625" bestFit="1" customWidth="1"/>
    <col min="3" max="4" width="16" bestFit="1" customWidth="1"/>
    <col min="6" max="11" width="16.28515625" bestFit="1" customWidth="1"/>
  </cols>
  <sheetData>
    <row r="4" spans="1:11" x14ac:dyDescent="0.25">
      <c r="A4" s="229"/>
      <c r="B4" s="230" t="s">
        <v>78</v>
      </c>
      <c r="C4" s="230"/>
      <c r="D4" s="230"/>
    </row>
    <row r="5" spans="1:11" x14ac:dyDescent="0.25">
      <c r="A5" s="47" t="s">
        <v>200</v>
      </c>
      <c r="B5" s="47" t="s">
        <v>65</v>
      </c>
      <c r="C5" s="47" t="s">
        <v>66</v>
      </c>
      <c r="D5" s="47" t="s">
        <v>75</v>
      </c>
      <c r="F5" s="231">
        <v>43646</v>
      </c>
      <c r="G5" s="231">
        <v>43677</v>
      </c>
      <c r="H5" s="231">
        <v>43708</v>
      </c>
      <c r="I5" s="231">
        <v>43738</v>
      </c>
      <c r="J5" s="231">
        <v>43769</v>
      </c>
      <c r="K5" s="231">
        <v>43799</v>
      </c>
    </row>
    <row r="7" spans="1:11" x14ac:dyDescent="0.25">
      <c r="A7" s="215" t="s">
        <v>334</v>
      </c>
      <c r="B7" s="61">
        <v>13257.470416666669</v>
      </c>
      <c r="C7" s="61">
        <f>0*(-1)</f>
        <v>0</v>
      </c>
      <c r="D7" s="61">
        <f>SUM(B7:C7)</f>
        <v>13257.470416666669</v>
      </c>
      <c r="F7" s="61">
        <v>28925.39</v>
      </c>
      <c r="G7" s="61">
        <v>28925.39</v>
      </c>
      <c r="H7" s="61">
        <v>28925.39</v>
      </c>
      <c r="I7" s="61">
        <v>28925.39</v>
      </c>
      <c r="J7" s="61">
        <v>28925.39</v>
      </c>
      <c r="K7" s="61">
        <v>28925.39</v>
      </c>
    </row>
    <row r="8" spans="1:11" x14ac:dyDescent="0.25">
      <c r="A8" s="215" t="s">
        <v>335</v>
      </c>
      <c r="B8" s="65">
        <v>434645.37874999997</v>
      </c>
      <c r="C8" s="65">
        <f>0*(-1)</f>
        <v>0</v>
      </c>
      <c r="D8" s="65">
        <f t="shared" ref="D8:D25" si="0">SUM(B8:C8)</f>
        <v>434645.37874999997</v>
      </c>
      <c r="F8" s="65">
        <v>948317.19000000006</v>
      </c>
      <c r="G8" s="65">
        <v>948317.19000000006</v>
      </c>
      <c r="H8" s="65">
        <v>948317.19000000006</v>
      </c>
      <c r="I8" s="65">
        <v>948317.19000000006</v>
      </c>
      <c r="J8" s="65">
        <v>948317.19000000006</v>
      </c>
      <c r="K8" s="65">
        <v>948317.19000000006</v>
      </c>
    </row>
    <row r="9" spans="1:11" x14ac:dyDescent="0.25">
      <c r="A9" s="215" t="s">
        <v>336</v>
      </c>
      <c r="B9" s="65">
        <v>13257.470416666669</v>
      </c>
      <c r="C9" s="65">
        <f>0*(-1)</f>
        <v>0</v>
      </c>
      <c r="D9" s="65">
        <f t="shared" si="0"/>
        <v>13257.470416666669</v>
      </c>
      <c r="F9" s="65">
        <v>28925.39</v>
      </c>
      <c r="G9" s="65">
        <v>28925.39</v>
      </c>
      <c r="H9" s="65">
        <v>28925.39</v>
      </c>
      <c r="I9" s="65">
        <v>28925.39</v>
      </c>
      <c r="J9" s="65">
        <v>28925.39</v>
      </c>
      <c r="K9" s="65">
        <v>28925.39</v>
      </c>
    </row>
    <row r="10" spans="1:11" x14ac:dyDescent="0.25">
      <c r="A10" s="215" t="s">
        <v>337</v>
      </c>
      <c r="B10" s="65">
        <v>4349667.6254166672</v>
      </c>
      <c r="C10" s="65">
        <f>2832824.77625*(-1)</f>
        <v>-2832824.7762499996</v>
      </c>
      <c r="D10" s="65">
        <f t="shared" si="0"/>
        <v>1516842.8491666676</v>
      </c>
      <c r="F10" s="65">
        <v>3398463.120000001</v>
      </c>
      <c r="G10" s="65">
        <v>3360091.7100000009</v>
      </c>
      <c r="H10" s="65">
        <v>3333104.6399999997</v>
      </c>
      <c r="I10" s="65">
        <v>3298481.5999999996</v>
      </c>
      <c r="J10" s="65">
        <v>3271316.5599999996</v>
      </c>
      <c r="K10" s="65">
        <v>3239888.120000001</v>
      </c>
    </row>
    <row r="11" spans="1:11" x14ac:dyDescent="0.25">
      <c r="A11" s="215" t="s">
        <v>338</v>
      </c>
      <c r="B11" s="65">
        <v>14173682.829166666</v>
      </c>
      <c r="C11" s="65">
        <f>13162175.9629167*(-1)</f>
        <v>-13162175.962916667</v>
      </c>
      <c r="D11" s="65">
        <f t="shared" si="0"/>
        <v>1011506.866249999</v>
      </c>
      <c r="F11" s="65">
        <v>2390361.9899999984</v>
      </c>
      <c r="G11" s="65">
        <v>2323101.4199999981</v>
      </c>
      <c r="H11" s="65">
        <v>2255840.8499999978</v>
      </c>
      <c r="I11" s="65">
        <v>2188580.2799999975</v>
      </c>
      <c r="J11" s="65">
        <v>2121319.7099999972</v>
      </c>
      <c r="K11" s="65">
        <v>2054059.1399999969</v>
      </c>
    </row>
    <row r="12" spans="1:11" x14ac:dyDescent="0.25">
      <c r="A12" s="215" t="s">
        <v>339</v>
      </c>
      <c r="B12" s="65">
        <v>2134340.0283333333</v>
      </c>
      <c r="C12" s="65">
        <f>723701.3075*(-1)</f>
        <v>-723701.30750000011</v>
      </c>
      <c r="D12" s="65">
        <f t="shared" si="0"/>
        <v>1410638.7208333332</v>
      </c>
      <c r="F12" s="65">
        <v>3140411.7</v>
      </c>
      <c r="G12" s="65">
        <v>3111714.97</v>
      </c>
      <c r="H12" s="65">
        <v>3094390.4099999997</v>
      </c>
      <c r="I12" s="65">
        <v>3069413.6500000004</v>
      </c>
      <c r="J12" s="65">
        <v>3051878.8000000003</v>
      </c>
      <c r="K12" s="65">
        <v>3030060.9699999997</v>
      </c>
    </row>
    <row r="13" spans="1:11" x14ac:dyDescent="0.25">
      <c r="A13" s="215" t="s">
        <v>340</v>
      </c>
      <c r="B13" s="65">
        <v>41492772.981666677</v>
      </c>
      <c r="C13" s="65">
        <f>24090602.23*(-1)</f>
        <v>-24090602.23</v>
      </c>
      <c r="D13" s="65">
        <f t="shared" si="0"/>
        <v>17402170.751666676</v>
      </c>
      <c r="F13" s="65">
        <v>39246030.739999995</v>
      </c>
      <c r="G13" s="65">
        <v>38779771.299999997</v>
      </c>
      <c r="H13" s="65">
        <v>38298340.420000002</v>
      </c>
      <c r="I13" s="65">
        <v>37835001.039999999</v>
      </c>
      <c r="J13" s="65">
        <v>37377000.440000005</v>
      </c>
      <c r="K13" s="65">
        <v>36912920.450000003</v>
      </c>
    </row>
    <row r="14" spans="1:11" x14ac:dyDescent="0.25">
      <c r="A14" s="215" t="s">
        <v>341</v>
      </c>
      <c r="B14" s="65">
        <v>2766608.2904166668</v>
      </c>
      <c r="C14" s="65">
        <f>2528800.22208333*(-1)</f>
        <v>-2528800.2220833334</v>
      </c>
      <c r="D14" s="65">
        <f t="shared" si="0"/>
        <v>237808.06833333336</v>
      </c>
      <c r="F14" s="65">
        <v>553287.93999999948</v>
      </c>
      <c r="G14" s="65">
        <v>540662.14999999944</v>
      </c>
      <c r="H14" s="65">
        <v>528036.3599999994</v>
      </c>
      <c r="I14" s="65">
        <v>515410.56999999937</v>
      </c>
      <c r="J14" s="65">
        <v>502784.77999999933</v>
      </c>
      <c r="K14" s="65">
        <v>490158.98999999929</v>
      </c>
    </row>
    <row r="15" spans="1:11" x14ac:dyDescent="0.25">
      <c r="A15" s="215" t="s">
        <v>342</v>
      </c>
      <c r="B15" s="65">
        <v>41129656.170000002</v>
      </c>
      <c r="C15" s="65">
        <f>21665982.90375*(-1)</f>
        <v>-21665982.903749999</v>
      </c>
      <c r="D15" s="65">
        <f t="shared" si="0"/>
        <v>19463673.266250003</v>
      </c>
      <c r="F15" s="65">
        <v>43836414.630000003</v>
      </c>
      <c r="G15" s="65">
        <v>43336096.090000004</v>
      </c>
      <c r="H15" s="65">
        <v>42820609.350000009</v>
      </c>
      <c r="I15" s="65">
        <v>42323216.43999999</v>
      </c>
      <c r="J15" s="65">
        <v>41831159.409999996</v>
      </c>
      <c r="K15" s="65">
        <v>41334790.590000004</v>
      </c>
    </row>
    <row r="16" spans="1:11" x14ac:dyDescent="0.25">
      <c r="A16" s="215" t="s">
        <v>343</v>
      </c>
      <c r="B16" s="65">
        <v>13197031.232916668</v>
      </c>
      <c r="C16" s="65">
        <f>6070114.70083333*(-1)</f>
        <v>-6070114.7008333327</v>
      </c>
      <c r="D16" s="65">
        <f t="shared" si="0"/>
        <v>7126916.5320833353</v>
      </c>
      <c r="F16" s="65">
        <v>15993318.070000002</v>
      </c>
      <c r="G16" s="65">
        <v>15830634.670000002</v>
      </c>
      <c r="H16" s="65">
        <v>15667951.270000001</v>
      </c>
      <c r="I16" s="65">
        <v>15505267.870000001</v>
      </c>
      <c r="J16" s="65">
        <v>15342584.470000001</v>
      </c>
      <c r="K16" s="65">
        <v>15179901.070000002</v>
      </c>
    </row>
    <row r="17" spans="1:11" x14ac:dyDescent="0.25">
      <c r="A17" s="215" t="s">
        <v>344</v>
      </c>
      <c r="B17" s="232">
        <v>1747957.5208333333</v>
      </c>
      <c r="C17" s="232">
        <f>1750286.81375*(-1)</f>
        <v>-1750286.81375</v>
      </c>
      <c r="D17" s="232">
        <f t="shared" si="0"/>
        <v>-2329.2929166667163</v>
      </c>
      <c r="F17" s="232">
        <v>18840.370000000112</v>
      </c>
      <c r="G17" s="232">
        <v>10068.799999999814</v>
      </c>
      <c r="H17" s="232">
        <v>1297.2299999999814</v>
      </c>
      <c r="I17" s="232">
        <v>-7474.339999999851</v>
      </c>
      <c r="J17" s="232">
        <v>-16245.910000000149</v>
      </c>
      <c r="K17" s="232">
        <v>-25017.479999999981</v>
      </c>
    </row>
    <row r="18" spans="1:11" x14ac:dyDescent="0.25">
      <c r="A18" s="215" t="s">
        <v>345</v>
      </c>
      <c r="B18" s="65">
        <v>15534853.161666663</v>
      </c>
      <c r="C18" s="65">
        <f>7399449.3725*(-1)</f>
        <v>-7399449.3724999996</v>
      </c>
      <c r="D18" s="65">
        <f t="shared" si="0"/>
        <v>8135403.7891666638</v>
      </c>
      <c r="F18" s="65">
        <v>18263777.539999999</v>
      </c>
      <c r="G18" s="65">
        <v>18075382.140000001</v>
      </c>
      <c r="H18" s="65">
        <v>17886986.739999998</v>
      </c>
      <c r="I18" s="65">
        <v>17698591.339999996</v>
      </c>
      <c r="J18" s="65">
        <v>17510195.939999998</v>
      </c>
      <c r="K18" s="65">
        <v>17321800.539999999</v>
      </c>
    </row>
    <row r="19" spans="1:11" x14ac:dyDescent="0.25">
      <c r="A19" s="215" t="s">
        <v>346</v>
      </c>
      <c r="B19" s="65">
        <v>3371156.0420833337</v>
      </c>
      <c r="C19" s="65">
        <f>2374587.875*(-1)</f>
        <v>-2374587.8750000005</v>
      </c>
      <c r="D19" s="65">
        <f t="shared" si="0"/>
        <v>996568.16708333325</v>
      </c>
      <c r="F19" s="65">
        <v>2262495.4299999997</v>
      </c>
      <c r="G19" s="65">
        <v>2229648.34</v>
      </c>
      <c r="H19" s="65">
        <v>2196801.25</v>
      </c>
      <c r="I19" s="65">
        <v>2164389.5</v>
      </c>
      <c r="J19" s="65">
        <v>2132828.6099999994</v>
      </c>
      <c r="K19" s="65">
        <v>2103902.59</v>
      </c>
    </row>
    <row r="20" spans="1:11" x14ac:dyDescent="0.25">
      <c r="A20" s="215" t="s">
        <v>347</v>
      </c>
      <c r="B20" s="65">
        <v>1041727.7933333335</v>
      </c>
      <c r="C20" s="65">
        <f>981900.64125*(-1)</f>
        <v>-981900.64124999999</v>
      </c>
      <c r="D20" s="65">
        <f t="shared" si="0"/>
        <v>59827.152083333465</v>
      </c>
      <c r="F20" s="65">
        <v>155592.55000000028</v>
      </c>
      <c r="G20" s="65">
        <v>136965.83000000007</v>
      </c>
      <c r="H20" s="65">
        <v>132495.87000000011</v>
      </c>
      <c r="I20" s="65">
        <v>128025.91000000015</v>
      </c>
      <c r="J20" s="65">
        <v>123555.95000000019</v>
      </c>
      <c r="K20" s="65">
        <v>119085.99000000022</v>
      </c>
    </row>
    <row r="21" spans="1:11" x14ac:dyDescent="0.25">
      <c r="A21" s="215" t="s">
        <v>348</v>
      </c>
      <c r="B21" s="65">
        <v>1879858.1837499999</v>
      </c>
      <c r="C21" s="65">
        <f>807511.615*(-1)</f>
        <v>-807511.61499999987</v>
      </c>
      <c r="D21" s="65">
        <f t="shared" si="0"/>
        <v>1072346.5687500001</v>
      </c>
      <c r="F21" s="65">
        <v>2399423.73</v>
      </c>
      <c r="G21" s="65">
        <v>2377110.6800000002</v>
      </c>
      <c r="H21" s="65">
        <v>2354797.63</v>
      </c>
      <c r="I21" s="65">
        <v>2332919.7000000002</v>
      </c>
      <c r="J21" s="65">
        <v>2311891.81</v>
      </c>
      <c r="K21" s="65">
        <v>2291727.1399999997</v>
      </c>
    </row>
    <row r="22" spans="1:11" x14ac:dyDescent="0.25">
      <c r="A22" s="215" t="s">
        <v>349</v>
      </c>
      <c r="B22" s="65">
        <v>452242.16125000006</v>
      </c>
      <c r="C22" s="65">
        <f>227998.70875*(-1)</f>
        <v>-227998.70874999999</v>
      </c>
      <c r="D22" s="65">
        <f t="shared" si="0"/>
        <v>224243.45250000007</v>
      </c>
      <c r="F22" s="65">
        <v>504395.46</v>
      </c>
      <c r="G22" s="65">
        <v>498845.22000000003</v>
      </c>
      <c r="H22" s="65">
        <v>493294.98000000004</v>
      </c>
      <c r="I22" s="65">
        <v>487744.74000000005</v>
      </c>
      <c r="J22" s="65">
        <v>482194.50000000006</v>
      </c>
      <c r="K22" s="65">
        <v>476644.26</v>
      </c>
    </row>
    <row r="23" spans="1:11" x14ac:dyDescent="0.25">
      <c r="A23" s="215" t="s">
        <v>350</v>
      </c>
      <c r="B23" s="65">
        <v>2843816.1354166665</v>
      </c>
      <c r="C23" s="65">
        <f>2655289.25166667*(-1)</f>
        <v>-2655289.2516666665</v>
      </c>
      <c r="D23" s="65">
        <f t="shared" si="0"/>
        <v>188526.88375000004</v>
      </c>
      <c r="F23" s="65">
        <v>457443.50999999978</v>
      </c>
      <c r="G23" s="65">
        <v>440535.73000000045</v>
      </c>
      <c r="H23" s="65">
        <v>423627.95000000019</v>
      </c>
      <c r="I23" s="65">
        <v>406720.16999999993</v>
      </c>
      <c r="J23" s="65">
        <v>389812.38999999966</v>
      </c>
      <c r="K23" s="65">
        <v>372904.61000000034</v>
      </c>
    </row>
    <row r="24" spans="1:11" x14ac:dyDescent="0.25">
      <c r="A24" s="215" t="s">
        <v>351</v>
      </c>
      <c r="B24" s="232">
        <v>115286.21500000001</v>
      </c>
      <c r="C24" s="232">
        <f>97333.7825*(-1)</f>
        <v>-97333.782500000016</v>
      </c>
      <c r="D24" s="232">
        <f t="shared" si="0"/>
        <v>17952.432499999995</v>
      </c>
      <c r="F24" s="232">
        <v>40861.079999999987</v>
      </c>
      <c r="G24" s="232">
        <v>40240.630000000005</v>
      </c>
      <c r="H24" s="232">
        <v>39620.179999999993</v>
      </c>
      <c r="I24" s="232">
        <v>38999.729999999981</v>
      </c>
      <c r="J24" s="232">
        <v>38379.279999999999</v>
      </c>
      <c r="K24" s="232">
        <v>37758.829999999987</v>
      </c>
    </row>
    <row r="25" spans="1:11" x14ac:dyDescent="0.25">
      <c r="A25" s="215" t="s">
        <v>352</v>
      </c>
      <c r="B25" s="65">
        <v>512025.53416666668</v>
      </c>
      <c r="C25" s="65">
        <f>284560.17375*(-1)</f>
        <v>-284560.17375000002</v>
      </c>
      <c r="D25" s="65">
        <f t="shared" si="0"/>
        <v>227465.36041666666</v>
      </c>
      <c r="F25" s="65">
        <v>512334.35000000009</v>
      </c>
      <c r="G25" s="65">
        <v>506450.71000000008</v>
      </c>
      <c r="H25" s="65">
        <v>500567.07000000007</v>
      </c>
      <c r="I25" s="65">
        <v>494683.43000000005</v>
      </c>
      <c r="J25" s="65">
        <v>488799.79000000015</v>
      </c>
      <c r="K25" s="65">
        <v>482916.15000000014</v>
      </c>
    </row>
    <row r="26" spans="1:11" x14ac:dyDescent="0.25">
      <c r="B26" s="59"/>
      <c r="C26" s="59"/>
      <c r="D26" s="59"/>
      <c r="F26" s="59"/>
      <c r="G26" s="59"/>
      <c r="H26" s="59"/>
      <c r="I26" s="59"/>
      <c r="J26" s="59"/>
      <c r="K26" s="59"/>
    </row>
    <row r="27" spans="1:11" ht="15.75" thickBot="1" x14ac:dyDescent="0.3">
      <c r="A27" s="215" t="s">
        <v>188</v>
      </c>
      <c r="B27" s="60">
        <f>SUM(B7:B26)</f>
        <v>147203842.22499996</v>
      </c>
      <c r="C27" s="60">
        <f>SUM(C7:C26)</f>
        <v>-87653120.337499991</v>
      </c>
      <c r="D27" s="60">
        <f>SUM(D7:D26)</f>
        <v>59550721.887500003</v>
      </c>
      <c r="F27" s="60">
        <f>SUM(F7:F26)</f>
        <v>134179620.18000002</v>
      </c>
      <c r="G27" s="60">
        <f>SUM(G7:G26)</f>
        <v>132603488.36</v>
      </c>
      <c r="H27" s="60">
        <f>SUM(H7:H26)</f>
        <v>131033930.17</v>
      </c>
      <c r="I27" s="60">
        <f>SUM(I7:I26)</f>
        <v>129486139.59999999</v>
      </c>
      <c r="J27" s="60">
        <f t="shared" ref="J27:K27" si="1">SUM(J7:J26)</f>
        <v>127965624.50000001</v>
      </c>
      <c r="K27" s="60">
        <f t="shared" si="1"/>
        <v>126429669.93000002</v>
      </c>
    </row>
    <row r="28" spans="1:11" ht="15.75" thickTop="1" x14ac:dyDescent="0.25">
      <c r="D28" s="61">
        <f>(F27+R27+SUM(G27:Q27)*2)/24-D27</f>
        <v>0</v>
      </c>
      <c r="H28" s="7"/>
      <c r="I28" s="7"/>
      <c r="J28" s="7"/>
      <c r="K28" s="7"/>
    </row>
  </sheetData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pane xSplit="1" ySplit="7" topLeftCell="B34" activePane="bottomRight" state="frozen"/>
      <selection activeCell="C13" sqref="C13"/>
      <selection pane="topRight" activeCell="C13" sqref="C13"/>
      <selection pane="bottomLeft" activeCell="C13" sqref="C13"/>
      <selection pane="bottomRight" activeCell="G58" sqref="G58"/>
    </sheetView>
  </sheetViews>
  <sheetFormatPr defaultColWidth="9.28515625" defaultRowHeight="15" x14ac:dyDescent="0.25"/>
  <cols>
    <col min="1" max="1" width="71.7109375" customWidth="1"/>
    <col min="2" max="2" width="16.28515625" bestFit="1" customWidth="1"/>
    <col min="3" max="3" width="16" bestFit="1" customWidth="1"/>
    <col min="4" max="4" width="15" bestFit="1" customWidth="1"/>
  </cols>
  <sheetData>
    <row r="1" spans="1:4" x14ac:dyDescent="0.25">
      <c r="A1" s="75" t="s">
        <v>285</v>
      </c>
      <c r="B1" s="178"/>
      <c r="C1" s="178"/>
      <c r="D1" s="178"/>
    </row>
    <row r="2" spans="1:4" x14ac:dyDescent="0.25">
      <c r="A2" s="75" t="s">
        <v>286</v>
      </c>
      <c r="B2" s="178"/>
      <c r="C2" s="178"/>
      <c r="D2" s="178"/>
    </row>
    <row r="3" spans="1:4" x14ac:dyDescent="0.25">
      <c r="A3" s="179" t="s">
        <v>287</v>
      </c>
      <c r="B3" s="75"/>
      <c r="C3" s="75"/>
      <c r="D3" s="75"/>
    </row>
    <row r="4" spans="1:4" x14ac:dyDescent="0.25">
      <c r="A4" s="180"/>
      <c r="B4" s="178"/>
      <c r="C4" s="178"/>
      <c r="D4" s="178"/>
    </row>
    <row r="5" spans="1:4" x14ac:dyDescent="0.25">
      <c r="A5" s="181" t="s">
        <v>288</v>
      </c>
      <c r="B5" s="181"/>
      <c r="C5" s="181"/>
      <c r="D5" s="181"/>
    </row>
    <row r="6" spans="1:4" x14ac:dyDescent="0.25">
      <c r="A6" s="181" t="s">
        <v>289</v>
      </c>
      <c r="B6" s="181"/>
      <c r="C6" s="181"/>
      <c r="D6" s="181"/>
    </row>
    <row r="7" spans="1:4" x14ac:dyDescent="0.25">
      <c r="A7" s="182"/>
      <c r="B7" s="183" t="s">
        <v>190</v>
      </c>
      <c r="C7" s="184" t="s">
        <v>191</v>
      </c>
      <c r="D7" s="185" t="s">
        <v>290</v>
      </c>
    </row>
    <row r="8" spans="1:4" x14ac:dyDescent="0.25">
      <c r="A8" s="186" t="s">
        <v>291</v>
      </c>
      <c r="B8" s="187"/>
      <c r="C8" s="187"/>
      <c r="D8" s="188"/>
    </row>
    <row r="9" spans="1:4" x14ac:dyDescent="0.25">
      <c r="A9" s="189" t="s">
        <v>292</v>
      </c>
      <c r="B9" s="190">
        <v>2064593541.5999999</v>
      </c>
      <c r="C9" s="190">
        <v>949160646.39999986</v>
      </c>
      <c r="D9" s="191">
        <f>SUM(B9:C9)</f>
        <v>3013754188</v>
      </c>
    </row>
    <row r="10" spans="1:4" x14ac:dyDescent="0.25">
      <c r="A10" s="189" t="s">
        <v>293</v>
      </c>
      <c r="B10" s="2">
        <v>351214.45</v>
      </c>
      <c r="C10" s="2">
        <v>0</v>
      </c>
      <c r="D10" s="188">
        <f>SUM(B10:C10)</f>
        <v>351214.45</v>
      </c>
    </row>
    <row r="11" spans="1:4" x14ac:dyDescent="0.25">
      <c r="A11" s="189" t="s">
        <v>294</v>
      </c>
      <c r="B11" s="2">
        <v>189780073.88</v>
      </c>
      <c r="C11" s="2">
        <v>0</v>
      </c>
      <c r="D11" s="188">
        <f>SUM(B11:C11)</f>
        <v>189780073.88</v>
      </c>
    </row>
    <row r="12" spans="1:4" x14ac:dyDescent="0.25">
      <c r="A12" s="189" t="s">
        <v>295</v>
      </c>
      <c r="B12" s="192">
        <v>116671946.33999999</v>
      </c>
      <c r="C12" s="193">
        <v>16725305.34</v>
      </c>
      <c r="D12" s="194">
        <f>SUM(B12:C12)</f>
        <v>133397251.67999999</v>
      </c>
    </row>
    <row r="13" spans="1:4" x14ac:dyDescent="0.25">
      <c r="A13" s="189" t="s">
        <v>296</v>
      </c>
      <c r="B13" s="195">
        <f>SUM(B9:B12)</f>
        <v>2371396776.27</v>
      </c>
      <c r="C13" s="195">
        <f>SUM(C9:C12)</f>
        <v>965885951.73999989</v>
      </c>
      <c r="D13" s="191">
        <f>SUM(D9:D12)</f>
        <v>3337282728.0099998</v>
      </c>
    </row>
    <row r="14" spans="1:4" x14ac:dyDescent="0.25">
      <c r="A14" s="186" t="s">
        <v>297</v>
      </c>
      <c r="B14" s="187"/>
      <c r="C14" s="187"/>
      <c r="D14" s="188"/>
    </row>
    <row r="15" spans="1:4" x14ac:dyDescent="0.25">
      <c r="A15" s="186" t="s">
        <v>298</v>
      </c>
      <c r="B15" s="187"/>
      <c r="C15" s="187"/>
      <c r="D15" s="188"/>
    </row>
    <row r="16" spans="1:4" x14ac:dyDescent="0.25">
      <c r="A16" s="186" t="s">
        <v>299</v>
      </c>
      <c r="B16" s="187"/>
      <c r="C16" s="187"/>
      <c r="D16" s="188"/>
    </row>
    <row r="17" spans="1:4" x14ac:dyDescent="0.25">
      <c r="A17" s="186" t="s">
        <v>300</v>
      </c>
      <c r="B17" s="187"/>
      <c r="C17" s="187"/>
      <c r="D17" s="188"/>
    </row>
    <row r="18" spans="1:4" x14ac:dyDescent="0.25">
      <c r="A18" s="189" t="s">
        <v>301</v>
      </c>
      <c r="B18" s="190">
        <v>264662122.39000002</v>
      </c>
      <c r="C18" s="190">
        <v>0</v>
      </c>
      <c r="D18" s="191">
        <f>B18+C18</f>
        <v>264662122.39000002</v>
      </c>
    </row>
    <row r="19" spans="1:4" x14ac:dyDescent="0.25">
      <c r="A19" s="189" t="s">
        <v>302</v>
      </c>
      <c r="B19" s="2">
        <v>511976375.97999996</v>
      </c>
      <c r="C19" s="2">
        <v>366605648.86000001</v>
      </c>
      <c r="D19" s="196">
        <f>B19+C19</f>
        <v>878582024.83999991</v>
      </c>
    </row>
    <row r="20" spans="1:4" x14ac:dyDescent="0.25">
      <c r="A20" s="189" t="s">
        <v>303</v>
      </c>
      <c r="B20" s="2">
        <v>123883050.72</v>
      </c>
      <c r="C20" s="2">
        <v>0</v>
      </c>
      <c r="D20" s="196">
        <f>B20+C20</f>
        <v>123883050.72</v>
      </c>
    </row>
    <row r="21" spans="1:4" x14ac:dyDescent="0.25">
      <c r="A21" s="189" t="s">
        <v>304</v>
      </c>
      <c r="B21" s="192">
        <v>-78853312.420000002</v>
      </c>
      <c r="C21" s="193">
        <v>0</v>
      </c>
      <c r="D21" s="197">
        <f>B21+C21</f>
        <v>-78853312.420000002</v>
      </c>
    </row>
    <row r="22" spans="1:4" x14ac:dyDescent="0.25">
      <c r="A22" s="189" t="s">
        <v>305</v>
      </c>
      <c r="B22" s="195">
        <f>SUM(B18:B21)</f>
        <v>821668236.67000008</v>
      </c>
      <c r="C22" s="195">
        <f>SUM(C18:C21)</f>
        <v>366605648.86000001</v>
      </c>
      <c r="D22" s="191">
        <f>SUM(D18:D21)</f>
        <v>1188273885.53</v>
      </c>
    </row>
    <row r="23" spans="1:4" x14ac:dyDescent="0.25">
      <c r="A23" s="198" t="s">
        <v>11</v>
      </c>
      <c r="B23" s="199"/>
      <c r="C23" s="199"/>
      <c r="D23" s="200"/>
    </row>
    <row r="24" spans="1:4" x14ac:dyDescent="0.25">
      <c r="A24" s="189" t="s">
        <v>306</v>
      </c>
      <c r="B24" s="190">
        <v>120717329.14999999</v>
      </c>
      <c r="C24" s="190">
        <v>6538618.8400000008</v>
      </c>
      <c r="D24" s="191">
        <f t="shared" ref="D24:D37" si="0">B24+C24</f>
        <v>127255947.98999999</v>
      </c>
    </row>
    <row r="25" spans="1:4" x14ac:dyDescent="0.25">
      <c r="A25" s="189" t="s">
        <v>307</v>
      </c>
      <c r="B25" s="201">
        <v>22605208.919999998</v>
      </c>
      <c r="C25" s="201">
        <v>0</v>
      </c>
      <c r="D25" s="196">
        <f t="shared" si="0"/>
        <v>22605208.919999998</v>
      </c>
    </row>
    <row r="26" spans="1:4" x14ac:dyDescent="0.25">
      <c r="A26" s="189" t="s">
        <v>308</v>
      </c>
      <c r="B26" s="201">
        <v>82423054.329999998</v>
      </c>
      <c r="C26" s="201">
        <v>54776144.879999995</v>
      </c>
      <c r="D26" s="196">
        <f t="shared" si="0"/>
        <v>137199199.20999998</v>
      </c>
    </row>
    <row r="27" spans="1:4" x14ac:dyDescent="0.25">
      <c r="A27" s="189" t="s">
        <v>309</v>
      </c>
      <c r="B27" s="201">
        <v>50242169.629999995</v>
      </c>
      <c r="C27" s="201">
        <v>28603120.590000004</v>
      </c>
      <c r="D27" s="196">
        <f t="shared" si="0"/>
        <v>78845290.219999999</v>
      </c>
    </row>
    <row r="28" spans="1:4" x14ac:dyDescent="0.25">
      <c r="A28" s="189" t="s">
        <v>310</v>
      </c>
      <c r="B28" s="201">
        <v>23447356.580000002</v>
      </c>
      <c r="C28" s="201">
        <v>6815798.96</v>
      </c>
      <c r="D28" s="196">
        <f t="shared" si="0"/>
        <v>30263155.540000003</v>
      </c>
    </row>
    <row r="29" spans="1:4" x14ac:dyDescent="0.25">
      <c r="A29" s="189" t="s">
        <v>311</v>
      </c>
      <c r="B29" s="201">
        <v>74607188.019999996</v>
      </c>
      <c r="C29" s="201">
        <v>16362228.15</v>
      </c>
      <c r="D29" s="196">
        <f t="shared" si="0"/>
        <v>90969416.170000002</v>
      </c>
    </row>
    <row r="30" spans="1:4" x14ac:dyDescent="0.25">
      <c r="A30" s="189" t="s">
        <v>312</v>
      </c>
      <c r="B30" s="201">
        <v>130370063.31000002</v>
      </c>
      <c r="C30" s="201">
        <v>59064725.75</v>
      </c>
      <c r="D30" s="196">
        <f t="shared" si="0"/>
        <v>189434789.06</v>
      </c>
    </row>
    <row r="31" spans="1:4" x14ac:dyDescent="0.25">
      <c r="A31" s="189" t="s">
        <v>313</v>
      </c>
      <c r="B31" s="201">
        <v>358781056.63</v>
      </c>
      <c r="C31" s="201">
        <v>129257771.81999999</v>
      </c>
      <c r="D31" s="196">
        <f t="shared" si="0"/>
        <v>488038828.44999999</v>
      </c>
    </row>
    <row r="32" spans="1:4" x14ac:dyDescent="0.25">
      <c r="A32" s="189" t="s">
        <v>314</v>
      </c>
      <c r="B32" s="201">
        <v>101756083.26000001</v>
      </c>
      <c r="C32" s="201">
        <v>40672495.5</v>
      </c>
      <c r="D32" s="196">
        <f t="shared" si="0"/>
        <v>142428578.75999999</v>
      </c>
    </row>
    <row r="33" spans="1:4" x14ac:dyDescent="0.25">
      <c r="A33" s="189" t="s">
        <v>315</v>
      </c>
      <c r="B33" s="201">
        <v>31876556.52</v>
      </c>
      <c r="C33" s="201">
        <v>0</v>
      </c>
      <c r="D33" s="196">
        <f t="shared" si="0"/>
        <v>31876556.52</v>
      </c>
    </row>
    <row r="34" spans="1:4" x14ac:dyDescent="0.25">
      <c r="A34" s="202" t="s">
        <v>316</v>
      </c>
      <c r="B34" s="201">
        <v>-82382578.529999986</v>
      </c>
      <c r="C34" s="201">
        <v>-9504349.1700000018</v>
      </c>
      <c r="D34" s="203">
        <f t="shared" si="0"/>
        <v>-91886927.699999988</v>
      </c>
    </row>
    <row r="35" spans="1:4" x14ac:dyDescent="0.25">
      <c r="A35" s="202" t="s">
        <v>317</v>
      </c>
      <c r="B35" s="201">
        <v>224985851.35999998</v>
      </c>
      <c r="C35" s="201">
        <v>103681635.63</v>
      </c>
      <c r="D35" s="203">
        <f t="shared" si="0"/>
        <v>328667486.99000001</v>
      </c>
    </row>
    <row r="36" spans="1:4" x14ac:dyDescent="0.25">
      <c r="A36" s="202" t="s">
        <v>318</v>
      </c>
      <c r="B36" s="201">
        <v>40037496.210000001</v>
      </c>
      <c r="C36" s="201">
        <v>29239527.760000002</v>
      </c>
      <c r="D36" s="203">
        <f t="shared" si="0"/>
        <v>69277023.969999999</v>
      </c>
    </row>
    <row r="37" spans="1:4" x14ac:dyDescent="0.25">
      <c r="A37" s="202" t="s">
        <v>319</v>
      </c>
      <c r="B37" s="204">
        <v>18928553.430000007</v>
      </c>
      <c r="C37" s="205">
        <v>94783.429999999702</v>
      </c>
      <c r="D37" s="206">
        <f t="shared" si="0"/>
        <v>19023336.860000007</v>
      </c>
    </row>
    <row r="38" spans="1:4" x14ac:dyDescent="0.25">
      <c r="A38" s="198" t="s">
        <v>320</v>
      </c>
      <c r="B38" s="195">
        <f>SUM(B22:B37)</f>
        <v>2020063625.4899998</v>
      </c>
      <c r="C38" s="195">
        <f>SUM(C22:C37)</f>
        <v>832208150.99999988</v>
      </c>
      <c r="D38" s="191">
        <f>SUM(D22:D37)</f>
        <v>2852271776.4900007</v>
      </c>
    </row>
    <row r="39" spans="1:4" x14ac:dyDescent="0.25">
      <c r="A39" s="202"/>
      <c r="B39" s="199"/>
      <c r="C39" s="199"/>
      <c r="D39" s="200"/>
    </row>
    <row r="40" spans="1:4" ht="16.5" x14ac:dyDescent="0.35">
      <c r="A40" s="207" t="s">
        <v>321</v>
      </c>
      <c r="B40" s="208">
        <f>B13-B38</f>
        <v>351333150.78000021</v>
      </c>
      <c r="C40" s="208">
        <f>C13-C38</f>
        <v>133677800.74000001</v>
      </c>
      <c r="D40" s="209">
        <f>D13-D38</f>
        <v>485010951.51999903</v>
      </c>
    </row>
    <row r="41" spans="1:4" x14ac:dyDescent="0.25">
      <c r="A41" s="210"/>
      <c r="B41" s="211"/>
      <c r="C41" s="211"/>
      <c r="D41" s="188"/>
    </row>
    <row r="42" spans="1:4" x14ac:dyDescent="0.25">
      <c r="A42" s="212" t="str">
        <f>"RATE BASE (AMA "&amp;A2&amp;")"</f>
        <v>RATE BASE (AMA PERIODIC ALLOCATED RESULTS OF OPERATIONS)</v>
      </c>
      <c r="B42" s="213">
        <v>5405289459.1319838</v>
      </c>
      <c r="C42" s="213">
        <v>2276372408.9609914</v>
      </c>
      <c r="D42" s="214"/>
    </row>
    <row r="44" spans="1:4" ht="15.75" thickBot="1" x14ac:dyDescent="0.3">
      <c r="A44" s="221" t="s">
        <v>326</v>
      </c>
      <c r="B44" s="221"/>
      <c r="C44" s="221"/>
      <c r="D44" s="221"/>
    </row>
    <row r="45" spans="1:4" x14ac:dyDescent="0.25">
      <c r="A45" s="222" t="s">
        <v>327</v>
      </c>
      <c r="B45" s="222"/>
      <c r="C45" s="222"/>
      <c r="D45" s="222"/>
    </row>
    <row r="47" spans="1:4" x14ac:dyDescent="0.25">
      <c r="A47" s="189" t="s">
        <v>3</v>
      </c>
      <c r="B47" s="220" t="s">
        <v>323</v>
      </c>
      <c r="C47" s="47" t="s">
        <v>324</v>
      </c>
    </row>
    <row r="48" spans="1:4" x14ac:dyDescent="0.25">
      <c r="A48" s="218" t="s">
        <v>192</v>
      </c>
      <c r="B48" s="190">
        <v>11023071135.006672</v>
      </c>
      <c r="C48" s="190">
        <v>10983628148.88884</v>
      </c>
    </row>
    <row r="49" spans="1:3" x14ac:dyDescent="0.25">
      <c r="A49" s="218" t="s">
        <v>193</v>
      </c>
      <c r="B49" s="201">
        <v>-4601603518.9031439</v>
      </c>
      <c r="C49" s="201">
        <v>-4645723532.7514544</v>
      </c>
    </row>
    <row r="50" spans="1:3" x14ac:dyDescent="0.25">
      <c r="A50" s="218" t="s">
        <v>194</v>
      </c>
      <c r="B50" s="201">
        <v>324482587.17291665</v>
      </c>
      <c r="C50" s="201">
        <v>372517318.54000002</v>
      </c>
    </row>
    <row r="51" spans="1:3" x14ac:dyDescent="0.25">
      <c r="A51" s="218" t="s">
        <v>195</v>
      </c>
      <c r="B51" s="201">
        <v>-1389661590.8609612</v>
      </c>
      <c r="C51" s="201">
        <v>-1377080463.6095004</v>
      </c>
    </row>
    <row r="52" spans="1:3" x14ac:dyDescent="0.25">
      <c r="A52" s="218" t="s">
        <v>322</v>
      </c>
      <c r="B52" s="201">
        <v>156780269.1466653</v>
      </c>
      <c r="C52" s="201">
        <v>125074539.81768441</v>
      </c>
    </row>
    <row r="53" spans="1:3" x14ac:dyDescent="0.25">
      <c r="A53" s="218" t="s">
        <v>196</v>
      </c>
      <c r="B53" s="201">
        <v>-107779422.43016522</v>
      </c>
      <c r="C53" s="201">
        <v>-109008878.26295</v>
      </c>
    </row>
    <row r="54" spans="1:3" ht="15.75" thickBot="1" x14ac:dyDescent="0.3">
      <c r="A54" s="219" t="s">
        <v>197</v>
      </c>
      <c r="B54" s="216">
        <f t="shared" ref="B54:C54" si="1">SUM(B48:B53)</f>
        <v>5405289459.1319838</v>
      </c>
      <c r="C54" s="216">
        <f t="shared" si="1"/>
        <v>5349407132.6226187</v>
      </c>
    </row>
    <row r="55" spans="1:3" ht="15.75" thickTop="1" x14ac:dyDescent="0.25">
      <c r="B55" s="226">
        <f>B42-B54</f>
        <v>0</v>
      </c>
      <c r="C55" s="227" t="s">
        <v>330</v>
      </c>
    </row>
    <row r="56" spans="1:3" x14ac:dyDescent="0.25">
      <c r="A56" s="215" t="s">
        <v>325</v>
      </c>
    </row>
    <row r="57" spans="1:3" x14ac:dyDescent="0.25">
      <c r="A57" s="217" t="s">
        <v>192</v>
      </c>
      <c r="B57" s="190">
        <f>B48</f>
        <v>11023071135.006672</v>
      </c>
      <c r="C57" s="190">
        <f>C48</f>
        <v>10983628148.88884</v>
      </c>
    </row>
    <row r="58" spans="1:3" x14ac:dyDescent="0.25">
      <c r="A58" s="217" t="s">
        <v>193</v>
      </c>
      <c r="B58" s="201">
        <f>B49</f>
        <v>-4601603518.9031439</v>
      </c>
      <c r="C58" s="201">
        <f>C49</f>
        <v>-4645723532.7514544</v>
      </c>
    </row>
    <row r="59" spans="1:3" ht="15.75" thickBot="1" x14ac:dyDescent="0.3">
      <c r="A59" t="s">
        <v>328</v>
      </c>
      <c r="B59" s="216">
        <f t="shared" ref="B59:C59" si="2">SUM(B57:B58)</f>
        <v>6421467616.103528</v>
      </c>
      <c r="C59" s="216">
        <f t="shared" si="2"/>
        <v>6337904616.1373854</v>
      </c>
    </row>
    <row r="60" spans="1:3" ht="15.75" thickTop="1" x14ac:dyDescent="0.25"/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7DC8F5-602E-459A-A8D6-AEC40DE81F33}"/>
</file>

<file path=customXml/itemProps2.xml><?xml version="1.0" encoding="utf-8"?>
<ds:datastoreItem xmlns:ds="http://schemas.openxmlformats.org/officeDocument/2006/customXml" ds:itemID="{69AF04FF-1B77-41B4-876E-EFF56EA3AF8A}"/>
</file>

<file path=customXml/itemProps3.xml><?xml version="1.0" encoding="utf-8"?>
<ds:datastoreItem xmlns:ds="http://schemas.openxmlformats.org/officeDocument/2006/customXml" ds:itemID="{04040F16-966B-46BE-A9C6-B43484899810}"/>
</file>

<file path=customXml/itemProps4.xml><?xml version="1.0" encoding="utf-8"?>
<ds:datastoreItem xmlns:ds="http://schemas.openxmlformats.org/officeDocument/2006/customXml" ds:itemID="{A9F5CCB7-F7E5-46AF-B469-85D791914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</vt:lpstr>
      <vt:lpstr>Total RB w Prod Sep</vt:lpstr>
      <vt:lpstr>PowerPlant Detail</vt:lpstr>
      <vt:lpstr>DFIT</vt:lpstr>
      <vt:lpstr>EIM Summary</vt:lpstr>
      <vt:lpstr>WH Jun 20 PP Report</vt:lpstr>
      <vt:lpstr>Green Direct</vt:lpstr>
      <vt:lpstr>Cols 1&amp;2</vt:lpstr>
      <vt:lpstr>6-2020 Qtrly Rpt UE-200743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2020-11-01T23:35:22Z</dcterms:created>
  <dcterms:modified xsi:type="dcterms:W3CDTF">2021-01-30T04:14:25Z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