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3"/>
  </bookViews>
  <sheets>
    <sheet name="Electric Deferral" sheetId="1" r:id="rId1"/>
    <sheet name="Nat Gas Deferral" sheetId="2" r:id="rId2"/>
    <sheet name="Accounting Balances" sheetId="3" r:id="rId3"/>
    <sheet name="Notes" sheetId="4" r:id="rId4"/>
  </sheets>
  <definedNames>
    <definedName name="_xlnm.Print_Area" localSheetId="2">'Accounting Balances'!$A$1:$H$99</definedName>
    <definedName name="_xlnm.Print_Area" localSheetId="3">Notes!$A$1:$J$20</definedName>
  </definedNames>
  <calcPr calcId="152511" calcMode="manual"/>
</workbook>
</file>

<file path=xl/calcChain.xml><?xml version="1.0" encoding="utf-8"?>
<calcChain xmlns="http://schemas.openxmlformats.org/spreadsheetml/2006/main">
  <c r="L46" i="3" l="1"/>
  <c r="M46" i="3" s="1"/>
  <c r="K46" i="3"/>
  <c r="K44" i="3"/>
  <c r="L44" i="3" s="1"/>
  <c r="M44" i="3" s="1"/>
  <c r="J45" i="3"/>
  <c r="K45" i="3" s="1"/>
  <c r="L45" i="3" s="1"/>
  <c r="M45" i="3" s="1"/>
  <c r="J46" i="3"/>
  <c r="J44" i="3"/>
  <c r="J42" i="3"/>
  <c r="C53" i="1" l="1"/>
  <c r="C50" i="1"/>
  <c r="H46" i="1"/>
  <c r="I46" i="1" s="1"/>
  <c r="J46" i="1" s="1"/>
  <c r="K46" i="1" s="1"/>
  <c r="L46" i="1" s="1"/>
  <c r="M46" i="1" s="1"/>
  <c r="N46" i="1" s="1"/>
  <c r="O46" i="1" s="1"/>
  <c r="D46" i="1"/>
  <c r="E46" i="1" s="1"/>
  <c r="F46" i="1" s="1"/>
  <c r="A38" i="1"/>
  <c r="O34" i="1"/>
  <c r="L34" i="1"/>
  <c r="K34" i="1"/>
  <c r="H34" i="1"/>
  <c r="G34" i="1"/>
  <c r="D34" i="1"/>
  <c r="C34" i="1"/>
  <c r="A34" i="1"/>
  <c r="N34" i="1"/>
  <c r="M34" i="1"/>
  <c r="J34" i="1"/>
  <c r="I34" i="1"/>
  <c r="A33" i="1"/>
  <c r="P32" i="1"/>
  <c r="F34" i="1"/>
  <c r="E34" i="1"/>
  <c r="C27" i="1"/>
  <c r="H23" i="1"/>
  <c r="I23" i="1" s="1"/>
  <c r="J23" i="1" s="1"/>
  <c r="K23" i="1" s="1"/>
  <c r="L23" i="1" s="1"/>
  <c r="M23" i="1" s="1"/>
  <c r="N23" i="1" s="1"/>
  <c r="O23" i="1" s="1"/>
  <c r="E23" i="1"/>
  <c r="F23" i="1" s="1"/>
  <c r="C19" i="1"/>
  <c r="C18" i="1"/>
  <c r="F18" i="1"/>
  <c r="E18" i="1"/>
  <c r="E19" i="1" s="1"/>
  <c r="E20" i="1" s="1"/>
  <c r="D18" i="1"/>
  <c r="D19" i="1" s="1"/>
  <c r="M11" i="1"/>
  <c r="L11" i="1"/>
  <c r="I11" i="1"/>
  <c r="H11" i="1"/>
  <c r="E11" i="1"/>
  <c r="O11" i="1"/>
  <c r="N11" i="1"/>
  <c r="K11" i="1"/>
  <c r="J11" i="1"/>
  <c r="G11" i="1"/>
  <c r="A10" i="1"/>
  <c r="F11" i="1"/>
  <c r="E6" i="1"/>
  <c r="F6" i="1" s="1"/>
  <c r="G6" i="1" s="1"/>
  <c r="H6" i="1" s="1"/>
  <c r="I6" i="1" s="1"/>
  <c r="J6" i="1" s="1"/>
  <c r="K6" i="1" s="1"/>
  <c r="L6" i="1" s="1"/>
  <c r="M6" i="1" s="1"/>
  <c r="N6" i="1" s="1"/>
  <c r="O6" i="1" s="1"/>
  <c r="D41" i="1" l="1"/>
  <c r="D42" i="1" s="1"/>
  <c r="G18" i="1"/>
  <c r="G19" i="1" s="1"/>
  <c r="G20" i="1" s="1"/>
  <c r="D11" i="1"/>
  <c r="P9" i="1"/>
  <c r="A11" i="1"/>
  <c r="C21" i="1" s="1"/>
  <c r="C11" i="1"/>
  <c r="E21" i="1"/>
  <c r="D20" i="1"/>
  <c r="F19" i="1"/>
  <c r="P34" i="1"/>
  <c r="P33" i="1" s="1"/>
  <c r="A39" i="1"/>
  <c r="G21" i="1" l="1"/>
  <c r="G22" i="1" s="1"/>
  <c r="D43" i="1"/>
  <c r="D44" i="1"/>
  <c r="F20" i="1"/>
  <c r="F21" i="1"/>
  <c r="E41" i="1"/>
  <c r="E42" i="1" s="1"/>
  <c r="C41" i="1"/>
  <c r="A40" i="1"/>
  <c r="A41" i="1" s="1"/>
  <c r="H18" i="1"/>
  <c r="H19" i="1" s="1"/>
  <c r="E22" i="1"/>
  <c r="D21" i="1"/>
  <c r="P11" i="1"/>
  <c r="P10" i="1" s="1"/>
  <c r="D22" i="1" l="1"/>
  <c r="H20" i="1"/>
  <c r="H21" i="1"/>
  <c r="F41" i="1"/>
  <c r="F42" i="1" s="1"/>
  <c r="I18" i="1"/>
  <c r="I19" i="1" s="1"/>
  <c r="E43" i="1"/>
  <c r="E44" i="1"/>
  <c r="F22" i="1"/>
  <c r="A42" i="1"/>
  <c r="C44" i="1" s="1"/>
  <c r="C42" i="1"/>
  <c r="D45" i="1"/>
  <c r="D47" i="1" l="1"/>
  <c r="D48" i="1" s="1"/>
  <c r="G41" i="1"/>
  <c r="G42" i="1" s="1"/>
  <c r="E45" i="1"/>
  <c r="F43" i="1"/>
  <c r="F44" i="1"/>
  <c r="I20" i="1"/>
  <c r="I21" i="1"/>
  <c r="J18" i="1"/>
  <c r="J19" i="1" s="1"/>
  <c r="H22" i="1"/>
  <c r="D24" i="1"/>
  <c r="D27" i="1" s="1"/>
  <c r="D50" i="1" l="1"/>
  <c r="E47" i="1" s="1"/>
  <c r="E24" i="1"/>
  <c r="E25" i="1" s="1"/>
  <c r="K18" i="1"/>
  <c r="K19" i="1" s="1"/>
  <c r="F45" i="1"/>
  <c r="H41" i="1"/>
  <c r="H42" i="1" s="1"/>
  <c r="I22" i="1"/>
  <c r="G43" i="1"/>
  <c r="G44" i="1"/>
  <c r="D25" i="1"/>
  <c r="J20" i="1"/>
  <c r="J21" i="1"/>
  <c r="E50" i="1" l="1"/>
  <c r="F47" i="1" s="1"/>
  <c r="E48" i="1"/>
  <c r="D53" i="1"/>
  <c r="E27" i="1"/>
  <c r="F24" i="1" s="1"/>
  <c r="F27" i="1" s="1"/>
  <c r="I41" i="1"/>
  <c r="I42" i="1" s="1"/>
  <c r="K20" i="1"/>
  <c r="K21" i="1"/>
  <c r="J22" i="1"/>
  <c r="G45" i="1"/>
  <c r="H43" i="1"/>
  <c r="H44" i="1"/>
  <c r="L18" i="1"/>
  <c r="L19" i="1" s="1"/>
  <c r="F48" i="1" l="1"/>
  <c r="F50" i="1"/>
  <c r="E53" i="1"/>
  <c r="G24" i="1"/>
  <c r="G25" i="1" s="1"/>
  <c r="F53" i="1"/>
  <c r="K22" i="1"/>
  <c r="G47" i="1"/>
  <c r="G48" i="1" s="1"/>
  <c r="F25" i="1"/>
  <c r="L20" i="1"/>
  <c r="L21" i="1"/>
  <c r="J41" i="1"/>
  <c r="J42" i="1" s="1"/>
  <c r="M18" i="1"/>
  <c r="M19" i="1" s="1"/>
  <c r="I43" i="1"/>
  <c r="I44" i="1"/>
  <c r="H45" i="1"/>
  <c r="G50" i="1" l="1"/>
  <c r="H47" i="1" s="1"/>
  <c r="H48" i="1" s="1"/>
  <c r="J43" i="1"/>
  <c r="J44" i="1"/>
  <c r="I45" i="1"/>
  <c r="K41" i="1"/>
  <c r="K42" i="1" s="1"/>
  <c r="M20" i="1"/>
  <c r="M21" i="1"/>
  <c r="N18" i="1"/>
  <c r="N19" i="1" s="1"/>
  <c r="O18" i="1"/>
  <c r="O19" i="1" s="1"/>
  <c r="L22" i="1"/>
  <c r="G27" i="1"/>
  <c r="H24" i="1" l="1"/>
  <c r="H27" i="1" s="1"/>
  <c r="G53" i="1"/>
  <c r="N20" i="1"/>
  <c r="N21" i="1"/>
  <c r="O20" i="1"/>
  <c r="O21" i="1"/>
  <c r="P19" i="1"/>
  <c r="P20" i="1" s="1"/>
  <c r="M22" i="1"/>
  <c r="J45" i="1"/>
  <c r="L41" i="1"/>
  <c r="L42" i="1" s="1"/>
  <c r="K43" i="1"/>
  <c r="K44" i="1"/>
  <c r="H50" i="1"/>
  <c r="K45" i="1" l="1"/>
  <c r="N22" i="1"/>
  <c r="M41" i="1"/>
  <c r="M42" i="1" s="1"/>
  <c r="H25" i="1"/>
  <c r="L43" i="1"/>
  <c r="L44" i="1"/>
  <c r="O22" i="1"/>
  <c r="P21" i="1"/>
  <c r="H53" i="1"/>
  <c r="I24" i="1"/>
  <c r="I25" i="1" s="1"/>
  <c r="I47" i="1"/>
  <c r="I48" i="1" s="1"/>
  <c r="I50" i="1" l="1"/>
  <c r="J47" i="1" s="1"/>
  <c r="J48" i="1" s="1"/>
  <c r="P22" i="1"/>
  <c r="N41" i="1"/>
  <c r="N42" i="1" s="1"/>
  <c r="O41" i="1"/>
  <c r="O42" i="1" s="1"/>
  <c r="L45" i="1"/>
  <c r="M43" i="1"/>
  <c r="M44" i="1"/>
  <c r="I27" i="1"/>
  <c r="J50" i="1" l="1"/>
  <c r="K47" i="1" s="1"/>
  <c r="K48" i="1" s="1"/>
  <c r="I53" i="1"/>
  <c r="J24" i="1"/>
  <c r="J27" i="1" s="1"/>
  <c r="N43" i="1"/>
  <c r="N44" i="1"/>
  <c r="M45" i="1"/>
  <c r="O43" i="1"/>
  <c r="O44" i="1"/>
  <c r="P42" i="1"/>
  <c r="P43" i="1" s="1"/>
  <c r="O45" i="1" l="1"/>
  <c r="P44" i="1"/>
  <c r="K24" i="1"/>
  <c r="K25" i="1" s="1"/>
  <c r="J53" i="1"/>
  <c r="N45" i="1"/>
  <c r="J25" i="1"/>
  <c r="K50" i="1"/>
  <c r="P45" i="1" l="1"/>
  <c r="K27" i="1"/>
  <c r="K53" i="1" s="1"/>
  <c r="L47" i="1"/>
  <c r="L48" i="1" s="1"/>
  <c r="L50" i="1" l="1"/>
  <c r="M47" i="1" s="1"/>
  <c r="M48" i="1" s="1"/>
  <c r="L27" i="1"/>
  <c r="M24" i="1" s="1"/>
  <c r="M25" i="1" s="1"/>
  <c r="L24" i="1"/>
  <c r="L25" i="1" s="1"/>
  <c r="L53" i="1" l="1"/>
  <c r="M27" i="1"/>
  <c r="N24" i="1" s="1"/>
  <c r="N25" i="1" s="1"/>
  <c r="M50" i="1"/>
  <c r="N27" i="1" l="1"/>
  <c r="N47" i="1"/>
  <c r="N48" i="1" s="1"/>
  <c r="M53" i="1"/>
  <c r="N50" i="1" l="1"/>
  <c r="O47" i="1" s="1"/>
  <c r="N53" i="1"/>
  <c r="O24" i="1"/>
  <c r="O27" i="1" s="1"/>
  <c r="P24" i="1" l="1"/>
  <c r="P25" i="1" s="1"/>
  <c r="O25" i="1"/>
  <c r="P47" i="1"/>
  <c r="P48" i="1" s="1"/>
  <c r="O48" i="1"/>
  <c r="O50" i="1"/>
  <c r="O53" i="1" s="1"/>
  <c r="H38" i="2" l="1"/>
  <c r="I38" i="2" s="1"/>
  <c r="J38" i="2" s="1"/>
  <c r="K38" i="2" s="1"/>
  <c r="L38" i="2" s="1"/>
  <c r="M38" i="2" s="1"/>
  <c r="N38" i="2" s="1"/>
  <c r="O38" i="2" s="1"/>
  <c r="H19" i="2"/>
  <c r="I19" i="2" s="1"/>
  <c r="J19" i="2" s="1"/>
  <c r="K19" i="2" s="1"/>
  <c r="L19" i="2" s="1"/>
  <c r="M19" i="2" s="1"/>
  <c r="N19" i="2" s="1"/>
  <c r="O19" i="2" s="1"/>
  <c r="F16" i="2"/>
  <c r="C44" i="2"/>
  <c r="C42" i="2"/>
  <c r="E38" i="2"/>
  <c r="F38" i="2" s="1"/>
  <c r="C36" i="2"/>
  <c r="O34" i="2"/>
  <c r="N34" i="2"/>
  <c r="M34" i="2"/>
  <c r="L34" i="2"/>
  <c r="K34" i="2"/>
  <c r="J34" i="2"/>
  <c r="I34" i="2"/>
  <c r="H34" i="2"/>
  <c r="G34" i="2"/>
  <c r="C34" i="2"/>
  <c r="D34" i="2"/>
  <c r="F34" i="2"/>
  <c r="F35" i="2" s="1"/>
  <c r="E34" i="2"/>
  <c r="E35" i="2" s="1"/>
  <c r="O30" i="2"/>
  <c r="O36" i="2" s="1"/>
  <c r="N30" i="2"/>
  <c r="L30" i="2"/>
  <c r="L36" i="2" s="1"/>
  <c r="K30" i="2"/>
  <c r="K36" i="2" s="1"/>
  <c r="J30" i="2"/>
  <c r="J36" i="2" s="1"/>
  <c r="H30" i="2"/>
  <c r="G30" i="2"/>
  <c r="C30" i="2"/>
  <c r="M30" i="2"/>
  <c r="M36" i="2" s="1"/>
  <c r="I30" i="2"/>
  <c r="I36" i="2" s="1"/>
  <c r="F30" i="2"/>
  <c r="F36" i="2" s="1"/>
  <c r="E30" i="2"/>
  <c r="E36" i="2" s="1"/>
  <c r="D30" i="2"/>
  <c r="C23" i="2"/>
  <c r="E19" i="2"/>
  <c r="F19" i="2" s="1"/>
  <c r="O15" i="2"/>
  <c r="N15" i="2"/>
  <c r="M15" i="2"/>
  <c r="L15" i="2"/>
  <c r="K15" i="2"/>
  <c r="J15" i="2"/>
  <c r="I15" i="2"/>
  <c r="H15" i="2"/>
  <c r="G15" i="2"/>
  <c r="C15" i="2"/>
  <c r="F15" i="2"/>
  <c r="E15" i="2"/>
  <c r="E16" i="2" s="1"/>
  <c r="D15" i="2"/>
  <c r="O11" i="2"/>
  <c r="O17" i="2" s="1"/>
  <c r="N11" i="2"/>
  <c r="N17" i="2" s="1"/>
  <c r="K11" i="2"/>
  <c r="K17" i="2" s="1"/>
  <c r="J11" i="2"/>
  <c r="G11" i="2"/>
  <c r="G17" i="2" s="1"/>
  <c r="F11" i="2"/>
  <c r="F17" i="2" s="1"/>
  <c r="C11" i="2"/>
  <c r="M11" i="2"/>
  <c r="L11" i="2"/>
  <c r="I11" i="2"/>
  <c r="I17" i="2" s="1"/>
  <c r="H11" i="2"/>
  <c r="A10" i="2"/>
  <c r="A11" i="2" s="1"/>
  <c r="C17" i="2" s="1"/>
  <c r="E11" i="2"/>
  <c r="D11" i="2"/>
  <c r="E6" i="2"/>
  <c r="F6" i="2" s="1"/>
  <c r="G6" i="2" s="1"/>
  <c r="H6" i="2" s="1"/>
  <c r="I6" i="2" s="1"/>
  <c r="J6" i="2" s="1"/>
  <c r="K6" i="2" s="1"/>
  <c r="L6" i="2" s="1"/>
  <c r="M6" i="2" s="1"/>
  <c r="N6" i="2" s="1"/>
  <c r="O6" i="2" s="1"/>
  <c r="H17" i="2" l="1"/>
  <c r="J17" i="2"/>
  <c r="H36" i="2"/>
  <c r="N36" i="2"/>
  <c r="N37" i="2" s="1"/>
  <c r="L17" i="2"/>
  <c r="M17" i="2"/>
  <c r="M18" i="2" s="1"/>
  <c r="G36" i="2"/>
  <c r="E17" i="2"/>
  <c r="E18" i="2" s="1"/>
  <c r="G18" i="2"/>
  <c r="O18" i="2"/>
  <c r="F18" i="2"/>
  <c r="N18" i="2"/>
  <c r="F37" i="2"/>
  <c r="J37" i="2"/>
  <c r="D35" i="2"/>
  <c r="P34" i="2"/>
  <c r="I18" i="2"/>
  <c r="K18" i="2"/>
  <c r="E37" i="2"/>
  <c r="H37" i="2"/>
  <c r="D17" i="2"/>
  <c r="P11" i="2"/>
  <c r="H18" i="2"/>
  <c r="L18" i="2"/>
  <c r="J18" i="2"/>
  <c r="P15" i="2"/>
  <c r="D16" i="2"/>
  <c r="D36" i="2"/>
  <c r="P30" i="2"/>
  <c r="I37" i="2"/>
  <c r="M37" i="2"/>
  <c r="L37" i="2"/>
  <c r="G37" i="2"/>
  <c r="K37" i="2"/>
  <c r="O37" i="2"/>
  <c r="P17" i="2" l="1"/>
  <c r="D18" i="2"/>
  <c r="P18" i="2" s="1"/>
  <c r="P36" i="2"/>
  <c r="D37" i="2"/>
  <c r="P37" i="2" s="1"/>
  <c r="D39" i="2" l="1"/>
  <c r="D40" i="2" s="1"/>
  <c r="D20" i="2"/>
  <c r="D42" i="2" l="1"/>
  <c r="E39" i="2"/>
  <c r="E40" i="2" s="1"/>
  <c r="D21" i="2"/>
  <c r="D23" i="2"/>
  <c r="E42" i="2" l="1"/>
  <c r="D44" i="2"/>
  <c r="E20" i="2"/>
  <c r="F39" i="2" l="1"/>
  <c r="F40" i="2" s="1"/>
  <c r="F42" i="2"/>
  <c r="G39" i="2" s="1"/>
  <c r="G42" i="2" s="1"/>
  <c r="H39" i="2" s="1"/>
  <c r="H40" i="2" s="1"/>
  <c r="E21" i="2"/>
  <c r="E23" i="2"/>
  <c r="G40" i="2" l="1"/>
  <c r="E44" i="2"/>
  <c r="F20" i="2"/>
  <c r="F23" i="2" s="1"/>
  <c r="H42" i="2"/>
  <c r="G20" i="2" l="1"/>
  <c r="G21" i="2" s="1"/>
  <c r="F44" i="2"/>
  <c r="F21" i="2"/>
  <c r="I42" i="2"/>
  <c r="I39" i="2"/>
  <c r="I40" i="2" s="1"/>
  <c r="J39" i="2" l="1"/>
  <c r="J40" i="2" s="1"/>
  <c r="G23" i="2"/>
  <c r="H20" i="2" l="1"/>
  <c r="H23" i="2" s="1"/>
  <c r="G44" i="2"/>
  <c r="J42" i="2"/>
  <c r="H44" i="2" l="1"/>
  <c r="I20" i="2"/>
  <c r="I21" i="2" s="1"/>
  <c r="K39" i="2"/>
  <c r="K40" i="2" s="1"/>
  <c r="H21" i="2"/>
  <c r="I23" i="2" l="1"/>
  <c r="J20" i="2"/>
  <c r="J21" i="2" s="1"/>
  <c r="I44" i="2"/>
  <c r="K42" i="2"/>
  <c r="L39" i="2" l="1"/>
  <c r="L40" i="2" s="1"/>
  <c r="J23" i="2"/>
  <c r="K20" i="2" l="1"/>
  <c r="K21" i="2" s="1"/>
  <c r="J44" i="2"/>
  <c r="L42" i="2"/>
  <c r="K23" i="2" l="1"/>
  <c r="K44" i="2" s="1"/>
  <c r="M39" i="2"/>
  <c r="M40" i="2" s="1"/>
  <c r="M42" i="2" l="1"/>
  <c r="L20" i="2"/>
  <c r="L21" i="2" s="1"/>
  <c r="N39" i="2"/>
  <c r="N40" i="2" s="1"/>
  <c r="N42" i="2" l="1"/>
  <c r="L23" i="2"/>
  <c r="L44" i="2" s="1"/>
  <c r="O39" i="2"/>
  <c r="O42" i="2" s="1"/>
  <c r="M20" i="2" l="1"/>
  <c r="O40" i="2"/>
  <c r="P39" i="2"/>
  <c r="P40" i="2" s="1"/>
  <c r="M21" i="2" l="1"/>
  <c r="M23" i="2"/>
  <c r="N20" i="2" l="1"/>
  <c r="N21" i="2" s="1"/>
  <c r="N23" i="2"/>
  <c r="M44" i="2"/>
  <c r="N44" i="2" l="1"/>
  <c r="O20" i="2"/>
  <c r="O21" i="2" l="1"/>
  <c r="P20" i="2"/>
  <c r="P21" i="2" s="1"/>
  <c r="O23" i="2"/>
  <c r="O44" i="2" s="1"/>
</calcChain>
</file>

<file path=xl/sharedStrings.xml><?xml version="1.0" encoding="utf-8"?>
<sst xmlns="http://schemas.openxmlformats.org/spreadsheetml/2006/main" count="346" uniqueCount="131">
  <si>
    <t>Avista Utilities</t>
  </si>
  <si>
    <t>Natural Gas Decoupling Mechanism</t>
  </si>
  <si>
    <t>Development of Natural Gas Deferrals (Calendar Year 2015)</t>
  </si>
  <si>
    <t>Revised</t>
  </si>
  <si>
    <t>Line No.</t>
  </si>
  <si>
    <t>Source</t>
  </si>
  <si>
    <t>Total</t>
  </si>
  <si>
    <t>(a)</t>
  </si>
  <si>
    <t>(b)</t>
  </si>
  <si>
    <t>(c)</t>
  </si>
  <si>
    <t>(d)</t>
  </si>
  <si>
    <t>(e)</t>
  </si>
  <si>
    <t>(f)</t>
  </si>
  <si>
    <t>(g)</t>
  </si>
  <si>
    <t>(h)</t>
  </si>
  <si>
    <t>(i)</t>
  </si>
  <si>
    <t>(j)</t>
  </si>
  <si>
    <t>(k)</t>
  </si>
  <si>
    <t>(l)</t>
  </si>
  <si>
    <t>(m)</t>
  </si>
  <si>
    <t>(n)</t>
  </si>
  <si>
    <t>(o)</t>
  </si>
  <si>
    <t>Residential Group</t>
  </si>
  <si>
    <t>Actual Customers</t>
  </si>
  <si>
    <t>Revenue System</t>
  </si>
  <si>
    <t>Monthly Decoupled Revenue per Customer</t>
  </si>
  <si>
    <t>Appendix 5, Page 3</t>
  </si>
  <si>
    <t>Decoupled Revenue</t>
  </si>
  <si>
    <t>Actual Base Rate Revenue (Excluding Gas Costs)</t>
  </si>
  <si>
    <t>Actual Fixed Charge Revenue</t>
  </si>
  <si>
    <t>Customer Decoupled Payments</t>
  </si>
  <si>
    <t>Residential Revenue Per Customer Received</t>
  </si>
  <si>
    <t>Deferral - Surcharge (Rebate)</t>
  </si>
  <si>
    <t>Deferral - Revenue Related Expenses</t>
  </si>
  <si>
    <t>Rev Conv Factor</t>
  </si>
  <si>
    <t>FERC Rate</t>
  </si>
  <si>
    <t>Interest on Deferral</t>
  </si>
  <si>
    <t>Avg Bal Calc</t>
  </si>
  <si>
    <t>Monthly Residential Deferral Totals</t>
  </si>
  <si>
    <t>Cumulative Residential Deferral (Rebate)/Surcharge</t>
  </si>
  <si>
    <t>Non-Residential Group</t>
  </si>
  <si>
    <t>Non-Residential Revenue Per Customer Received</t>
  </si>
  <si>
    <t>Avg Balance Calc</t>
  </si>
  <si>
    <t>Monthly Non-Residential Deferral Totals</t>
  </si>
  <si>
    <t>Cumulative Non-Residential Deferral (Rebate)/Surcharge</t>
  </si>
  <si>
    <t>Total Natural Gas Decoupling Cumulative Deferral</t>
  </si>
  <si>
    <t>1st Quarter 2015</t>
  </si>
  <si>
    <t>Electric Decoupling Mechanism</t>
  </si>
  <si>
    <t>Development of Electric Deferrals (Calendar Year 2015)</t>
  </si>
  <si>
    <t>Appendix 4,  Page 3</t>
  </si>
  <si>
    <t>Actual Base Rate Revenue</t>
  </si>
  <si>
    <t>Actual Basic Charge Revenue</t>
  </si>
  <si>
    <t>Actual Usage (kWhs)</t>
  </si>
  <si>
    <t>Retail Revenue Credit ($/kWh)</t>
  </si>
  <si>
    <t>Appendix 4,  Page 1</t>
  </si>
  <si>
    <t>Variable Power Supply Payments</t>
  </si>
  <si>
    <t>Appendix 4, Page 3</t>
  </si>
  <si>
    <t>Acutal Usage (kWhs)</t>
  </si>
  <si>
    <t>Total Cumulative Deferral</t>
  </si>
  <si>
    <t>Balance Sheet Accounts</t>
  </si>
  <si>
    <t>GL Account Balance  Accounting Period : '201501, 201502, 201503'</t>
  </si>
  <si>
    <t>Jurisdiction:WA</t>
  </si>
  <si>
    <t>Ferc Acct</t>
  </si>
  <si>
    <t>Ferc Acct Desc</t>
  </si>
  <si>
    <t>Service</t>
  </si>
  <si>
    <t>Accounting Period</t>
  </si>
  <si>
    <t>Beginning Balance</t>
  </si>
  <si>
    <t>Monthly Activity</t>
  </si>
  <si>
    <t>Ending Balance</t>
  </si>
  <si>
    <t>186328</t>
  </si>
  <si>
    <t xml:space="preserve">REG ASSET-DECOUPLING DEFERRED </t>
  </si>
  <si>
    <t>ED</t>
  </si>
  <si>
    <t>201501</t>
  </si>
  <si>
    <t>201502</t>
  </si>
  <si>
    <t>201503</t>
  </si>
  <si>
    <t>GD</t>
  </si>
  <si>
    <t>Sum: 4,970,061.78</t>
  </si>
  <si>
    <t>186338</t>
  </si>
  <si>
    <t>REG ASSET NON-RES DECOUPLING D</t>
  </si>
  <si>
    <t>Sum: 1,590,284.79</t>
  </si>
  <si>
    <t>182328</t>
  </si>
  <si>
    <t>REG ASSET- DECOUPLING SURCHARG</t>
  </si>
  <si>
    <t>Sum: 44.49</t>
  </si>
  <si>
    <t>283328</t>
  </si>
  <si>
    <t>ADFIT DECOUPLING DEFERRED REV</t>
  </si>
  <si>
    <t>Sum: -2,072,703.00</t>
  </si>
  <si>
    <t>Deferred Revenue</t>
  </si>
  <si>
    <t>Rollover Balance</t>
  </si>
  <si>
    <t>Accumulated Deferred Taxes</t>
  </si>
  <si>
    <t>Sum: 2,799,595.22</t>
  </si>
  <si>
    <t>Sum: 2,170,466.56</t>
  </si>
  <si>
    <t>Sum: 1,080,393.22</t>
  </si>
  <si>
    <t>Sum: 509,891.57</t>
  </si>
  <si>
    <t>FERC Acct 186328</t>
  </si>
  <si>
    <t>Sum: -1,357,995.95</t>
  </si>
  <si>
    <t>Sum: -714,707.05</t>
  </si>
  <si>
    <t>FERC Acct 283328</t>
  </si>
  <si>
    <t>Income Statement Accounts</t>
  </si>
  <si>
    <t>407428</t>
  </si>
  <si>
    <t>REG CREDIT DECOUPLING DEF REV</t>
  </si>
  <si>
    <t>Sum: -3,973,640.24</t>
  </si>
  <si>
    <t>Sum: -2,687,913.70</t>
  </si>
  <si>
    <t>Sum: -6,661,553.94</t>
  </si>
  <si>
    <t>407438</t>
  </si>
  <si>
    <t xml:space="preserve">REG CREDIT NON-RES DECOUPLING </t>
  </si>
  <si>
    <t>Sum: -1,186,320.76</t>
  </si>
  <si>
    <t>Sum: -507,924.67</t>
  </si>
  <si>
    <t>Sum: -1,694,245.43</t>
  </si>
  <si>
    <t>FERC Acct 407428</t>
  </si>
  <si>
    <t>FERC Acct 407438</t>
  </si>
  <si>
    <t>FERC Acct 186338</t>
  </si>
  <si>
    <t>Electric Service</t>
  </si>
  <si>
    <t>Natural Gas Service</t>
  </si>
  <si>
    <t>Revenue Deferral Credits</t>
  </si>
  <si>
    <t>407328</t>
  </si>
  <si>
    <t>REG DEBIT DECOUPLING DEF REV</t>
  </si>
  <si>
    <t>Sum: 1,178,015.87</t>
  </si>
  <si>
    <t>Sum: 522,304.87</t>
  </si>
  <si>
    <t>Sum: 1,700,320.74</t>
  </si>
  <si>
    <t>407338</t>
  </si>
  <si>
    <t>REG DEBIT NON-RES DECOUPLING D</t>
  </si>
  <si>
    <t>Sum: 113,544.76</t>
  </si>
  <si>
    <t>Sum: 0.00</t>
  </si>
  <si>
    <t>Revenue Deferral Debits</t>
  </si>
  <si>
    <t>Check</t>
  </si>
  <si>
    <t>Missing Deferred Taxes on 186338 GD</t>
  </si>
  <si>
    <t>NOTES</t>
  </si>
  <si>
    <t>The electric and natural gas deferral calculations provided on Pages 1 and 2 of this report reflect the final monthly customer count information. The monthly general ledger entries provided on Pages 3 and 4 do not tie exactly to the revised deferral calculations as they include the prior month corrections.  The March balances agree with the deferral calculation totals shown on Pages 1 and 2.</t>
  </si>
  <si>
    <t>The Natural Gas Accumulated Deferred Tax balance is overstated as of March 2015.  A correcting entry will be recorded in April along with a corresponding Schedule M adjustment to current taxes.</t>
  </si>
  <si>
    <t>The Company's external auditors have determined that the decoupling deferred revenue under this mechanism qualifies as revenue per generally accepted accounting principals and therefore should be recorded in Other Electric Revenue FERC Account 456 and Other Natural Gas Revenue FERC Account 495.  The 2015 amounts already recorded in FERC Account 407 Regulatory Debits and Credits will be transferred to dedicated sub accounts in 456 and 495, and all subsequent entries will be recorded as revenue.  There will be no change to the balance sheet accounts associated with this transfer.</t>
  </si>
  <si>
    <t xml:space="preserve">The initial January and February general ledger journal entries were revised in February and March respectively to properly account for customer count information that became available after the journals were completed.  These issues were directly related to the conversion to the new customer care and billing system (Project Compass).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</si>
</sst>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409]mmm\-yy;@"/>
    <numFmt numFmtId="165" formatCode="_(* #,##0_);_(* \(#,##0\);_(* &quot;-&quot;??_);_(@_)"/>
    <numFmt numFmtId="166" formatCode="&quot;$&quot;#,##0.00"/>
    <numFmt numFmtId="167" formatCode="_(&quot;$&quot;* #,##0_);_(&quot;$&quot;* \(#,##0\);_(&quot;$&quot;* &quot;-&quot;??_);_(@_)"/>
    <numFmt numFmtId="168" formatCode="_(&quot;$&quot;* #,##0.000000_);_(&quot;$&quot;* \(#,##0.000000\);_(&quot;$&quot;* &quot;-&quot;??_);_(@_)"/>
    <numFmt numFmtId="169" formatCode="_(&quot;$&quot;* #,##0.00000_);_(&quot;$&quot;* \(#,##0.00000\);_(&quot;$&quot;* &quot;-&quot;??_);_(@_)"/>
    <numFmt numFmtId="170" formatCode="_(* #,##0.000000_);_(* \(#,##0.000000\);_(* &quot;-&quot;??_);_(@_)"/>
    <numFmt numFmtId="171" formatCode="###,###,##0.00"/>
    <numFmt numFmtId="172" formatCode="#,###,###,##0.00"/>
    <numFmt numFmtId="173" formatCode="###,###,##0.00;\-###,###,##0.00"/>
  </numFmts>
  <fonts count="16" x14ac:knownFonts="1">
    <font>
      <sz val="11"/>
      <color theme="1"/>
      <name val="Calibri"/>
      <family val="2"/>
      <scheme val="minor"/>
    </font>
    <font>
      <sz val="11"/>
      <color theme="1"/>
      <name val="Calibri"/>
      <family val="2"/>
      <scheme val="minor"/>
    </font>
    <font>
      <sz val="10"/>
      <color theme="1"/>
      <name val="Calibri"/>
      <family val="2"/>
    </font>
    <font>
      <b/>
      <sz val="12"/>
      <color theme="1"/>
      <name val="Times New Roman"/>
      <family val="1"/>
    </font>
    <font>
      <b/>
      <sz val="14"/>
      <color theme="1"/>
      <name val="Times New Roman"/>
      <family val="1"/>
    </font>
    <font>
      <sz val="10"/>
      <color theme="1"/>
      <name val="Times New Roman"/>
      <family val="1"/>
    </font>
    <font>
      <b/>
      <sz val="10"/>
      <color theme="1"/>
      <name val="Times New Roman"/>
      <family val="1"/>
    </font>
    <font>
      <sz val="10"/>
      <name val="Times New Roman"/>
      <family val="1"/>
    </font>
    <font>
      <b/>
      <sz val="10"/>
      <name val="Times New Roman"/>
      <family val="1"/>
    </font>
    <font>
      <b/>
      <sz val="10"/>
      <color theme="1"/>
      <name val="Calibri"/>
      <family val="2"/>
    </font>
    <font>
      <sz val="10"/>
      <name val="Arial"/>
      <family val="2"/>
    </font>
    <font>
      <sz val="10"/>
      <color indexed="8"/>
      <name val="Times New Roman"/>
      <family val="1"/>
    </font>
    <font>
      <sz val="10"/>
      <color indexed="8"/>
      <name val="Arial"/>
      <family val="2"/>
    </font>
    <font>
      <b/>
      <sz val="10"/>
      <color indexed="8"/>
      <name val="Arial"/>
      <family val="2"/>
    </font>
    <font>
      <b/>
      <sz val="12"/>
      <color theme="1"/>
      <name val="Calibri"/>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right/>
      <top style="thin">
        <color indexed="64"/>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0" fontId="10" fillId="0" borderId="0"/>
  </cellStyleXfs>
  <cellXfs count="86">
    <xf numFmtId="0" fontId="0" fillId="0" borderId="0" xfId="0"/>
    <xf numFmtId="0" fontId="2" fillId="0" borderId="0" xfId="3"/>
    <xf numFmtId="0" fontId="5" fillId="2" borderId="0" xfId="3" applyFont="1" applyFill="1"/>
    <xf numFmtId="0" fontId="6" fillId="2" borderId="0" xfId="3" applyFont="1" applyFill="1" applyAlignment="1">
      <alignment horizontal="center"/>
    </xf>
    <xf numFmtId="0" fontId="6" fillId="2" borderId="1" xfId="3" applyFont="1" applyFill="1" applyBorder="1" applyAlignment="1">
      <alignment horizontal="center" vertical="center" wrapText="1"/>
    </xf>
    <xf numFmtId="0" fontId="6" fillId="2" borderId="1" xfId="3" applyFont="1" applyFill="1" applyBorder="1" applyAlignment="1">
      <alignment vertical="center"/>
    </xf>
    <xf numFmtId="0" fontId="6" fillId="2" borderId="1" xfId="3" applyFont="1" applyFill="1" applyBorder="1" applyAlignment="1">
      <alignment horizontal="center" vertical="center"/>
    </xf>
    <xf numFmtId="164" fontId="6" fillId="2" borderId="1" xfId="3" applyNumberFormat="1" applyFont="1" applyFill="1" applyBorder="1" applyAlignment="1">
      <alignment horizontal="center" vertical="center"/>
    </xf>
    <xf numFmtId="0" fontId="5" fillId="2" borderId="0" xfId="3" applyFont="1" applyFill="1" applyAlignment="1">
      <alignment horizontal="center"/>
    </xf>
    <xf numFmtId="165" fontId="7" fillId="2" borderId="0" xfId="4" applyNumberFormat="1" applyFont="1" applyFill="1"/>
    <xf numFmtId="0" fontId="5" fillId="2" borderId="0" xfId="3" applyFont="1" applyFill="1" applyAlignment="1">
      <alignment horizontal="center" vertical="center"/>
    </xf>
    <xf numFmtId="0" fontId="5" fillId="2" borderId="0" xfId="3" applyFont="1" applyFill="1" applyAlignment="1">
      <alignment vertical="center"/>
    </xf>
    <xf numFmtId="166" fontId="5" fillId="2" borderId="0" xfId="3" applyNumberFormat="1" applyFont="1" applyFill="1"/>
    <xf numFmtId="44" fontId="7" fillId="2" borderId="0" xfId="3" applyNumberFormat="1" applyFont="1" applyFill="1" applyAlignment="1">
      <alignment vertical="center"/>
    </xf>
    <xf numFmtId="167" fontId="7" fillId="2" borderId="0" xfId="3" applyNumberFormat="1" applyFont="1" applyFill="1"/>
    <xf numFmtId="0" fontId="7" fillId="2" borderId="0" xfId="3" applyFont="1" applyFill="1"/>
    <xf numFmtId="0" fontId="5" fillId="2" borderId="0" xfId="3" applyFont="1" applyFill="1" applyAlignment="1">
      <alignment horizontal="left"/>
    </xf>
    <xf numFmtId="167" fontId="7" fillId="2" borderId="0" xfId="1" applyNumberFormat="1" applyFont="1" applyFill="1"/>
    <xf numFmtId="0" fontId="5" fillId="2" borderId="0" xfId="3" applyFont="1" applyFill="1" applyAlignment="1">
      <alignment horizontal="right"/>
    </xf>
    <xf numFmtId="0" fontId="5" fillId="0" borderId="0" xfId="3" applyFont="1" applyFill="1" applyAlignment="1">
      <alignment horizontal="center"/>
    </xf>
    <xf numFmtId="10" fontId="7" fillId="2" borderId="0" xfId="2" applyNumberFormat="1" applyFont="1" applyFill="1"/>
    <xf numFmtId="167" fontId="7" fillId="2" borderId="0" xfId="5" applyNumberFormat="1" applyFont="1" applyFill="1"/>
    <xf numFmtId="0" fontId="6" fillId="2" borderId="0" xfId="3" applyFont="1" applyFill="1"/>
    <xf numFmtId="167" fontId="8" fillId="2" borderId="2" xfId="5" applyNumberFormat="1" applyFont="1" applyFill="1" applyBorder="1"/>
    <xf numFmtId="167" fontId="7" fillId="2" borderId="0" xfId="3" applyNumberFormat="1" applyFont="1" applyFill="1" applyBorder="1"/>
    <xf numFmtId="166" fontId="7" fillId="2" borderId="0" xfId="3" applyNumberFormat="1" applyFont="1" applyFill="1" applyAlignment="1">
      <alignment vertical="center"/>
    </xf>
    <xf numFmtId="167" fontId="8" fillId="2" borderId="2" xfId="3" applyNumberFormat="1" applyFont="1" applyFill="1" applyBorder="1"/>
    <xf numFmtId="0" fontId="5" fillId="2" borderId="0" xfId="3" applyFont="1" applyFill="1" applyBorder="1"/>
    <xf numFmtId="0" fontId="5" fillId="0" borderId="0" xfId="3" applyFont="1"/>
    <xf numFmtId="0" fontId="3" fillId="2" borderId="0" xfId="3" applyFont="1" applyFill="1" applyAlignment="1">
      <alignment horizontal="center"/>
    </xf>
    <xf numFmtId="0" fontId="3" fillId="2" borderId="0" xfId="3" quotePrefix="1" applyFont="1" applyFill="1" applyAlignment="1">
      <alignment horizontal="center"/>
    </xf>
    <xf numFmtId="0" fontId="3" fillId="2" borderId="0" xfId="3" applyFont="1" applyFill="1" applyAlignment="1"/>
    <xf numFmtId="0" fontId="3" fillId="2" borderId="0" xfId="0" applyFont="1" applyFill="1" applyAlignment="1"/>
    <xf numFmtId="0" fontId="3" fillId="2" borderId="0" xfId="0" applyFont="1" applyFill="1" applyAlignment="1">
      <alignment horizontal="center"/>
    </xf>
    <xf numFmtId="165" fontId="5" fillId="2" borderId="0" xfId="4" applyNumberFormat="1" applyFont="1" applyFill="1"/>
    <xf numFmtId="0" fontId="5" fillId="2" borderId="0" xfId="3" applyFont="1" applyFill="1" applyAlignment="1">
      <alignment horizontal="center" vertical="center" wrapText="1"/>
    </xf>
    <xf numFmtId="0" fontId="5" fillId="2" borderId="0" xfId="3" applyFont="1" applyFill="1" applyAlignment="1">
      <alignment vertical="center" wrapText="1"/>
    </xf>
    <xf numFmtId="166" fontId="7" fillId="2" borderId="0" xfId="3" applyNumberFormat="1" applyFont="1" applyFill="1" applyAlignment="1">
      <alignment vertical="center" wrapText="1"/>
    </xf>
    <xf numFmtId="44" fontId="7" fillId="2" borderId="0" xfId="3" applyNumberFormat="1" applyFont="1" applyFill="1" applyAlignment="1">
      <alignment vertical="center" wrapText="1"/>
    </xf>
    <xf numFmtId="44" fontId="5" fillId="2" borderId="0" xfId="3" applyNumberFormat="1" applyFont="1" applyFill="1" applyAlignment="1">
      <alignment vertical="center" wrapText="1"/>
    </xf>
    <xf numFmtId="167" fontId="5" fillId="2" borderId="0" xfId="3" applyNumberFormat="1" applyFont="1" applyFill="1"/>
    <xf numFmtId="168" fontId="7" fillId="2" borderId="0" xfId="5" applyNumberFormat="1" applyFont="1" applyFill="1"/>
    <xf numFmtId="169" fontId="5" fillId="2" borderId="0" xfId="3" applyNumberFormat="1" applyFont="1" applyFill="1"/>
    <xf numFmtId="166" fontId="5" fillId="2" borderId="0" xfId="1" applyNumberFormat="1" applyFont="1" applyFill="1"/>
    <xf numFmtId="170" fontId="5" fillId="2" borderId="0" xfId="6" applyNumberFormat="1" applyFont="1" applyFill="1"/>
    <xf numFmtId="0" fontId="5" fillId="0" borderId="0" xfId="3" applyFont="1" applyFill="1"/>
    <xf numFmtId="167" fontId="8" fillId="2" borderId="0" xfId="3" applyNumberFormat="1" applyFont="1" applyFill="1" applyBorder="1"/>
    <xf numFmtId="167" fontId="5" fillId="2" borderId="0" xfId="3" applyNumberFormat="1" applyFont="1" applyFill="1" applyBorder="1"/>
    <xf numFmtId="0" fontId="10" fillId="0" borderId="0" xfId="7"/>
    <xf numFmtId="0" fontId="11" fillId="0" borderId="3" xfId="7" applyFont="1" applyFill="1" applyBorder="1" applyAlignment="1">
      <alignment horizontal="left" vertical="top"/>
    </xf>
    <xf numFmtId="0" fontId="10" fillId="0" borderId="0" xfId="7" applyFill="1"/>
    <xf numFmtId="0" fontId="0" fillId="0" borderId="0" xfId="0" applyFill="1"/>
    <xf numFmtId="0" fontId="12" fillId="0" borderId="3" xfId="7" applyFont="1" applyFill="1" applyBorder="1" applyAlignment="1">
      <alignment horizontal="left" vertical="top"/>
    </xf>
    <xf numFmtId="0" fontId="11" fillId="0" borderId="4" xfId="7" applyFont="1" applyFill="1" applyBorder="1" applyAlignment="1">
      <alignment horizontal="left" vertical="top" wrapText="1"/>
    </xf>
    <xf numFmtId="0" fontId="11" fillId="0" borderId="4" xfId="7" applyFont="1" applyFill="1" applyBorder="1" applyAlignment="1">
      <alignment horizontal="left" vertical="top"/>
    </xf>
    <xf numFmtId="0" fontId="11" fillId="0" borderId="3" xfId="7" applyFont="1" applyFill="1" applyBorder="1" applyAlignment="1">
      <alignment horizontal="left" vertical="center"/>
    </xf>
    <xf numFmtId="172" fontId="11" fillId="0" borderId="3" xfId="7" applyNumberFormat="1" applyFont="1" applyFill="1" applyBorder="1" applyAlignment="1">
      <alignment horizontal="right" vertical="center"/>
    </xf>
    <xf numFmtId="171" fontId="11" fillId="0" borderId="3" xfId="7" applyNumberFormat="1" applyFont="1" applyFill="1" applyBorder="1" applyAlignment="1">
      <alignment horizontal="right" vertical="center"/>
    </xf>
    <xf numFmtId="0" fontId="11" fillId="0" borderId="5" xfId="7" applyFont="1" applyFill="1" applyBorder="1" applyAlignment="1">
      <alignment horizontal="left" vertical="top" wrapText="1"/>
    </xf>
    <xf numFmtId="0" fontId="11" fillId="0" borderId="5" xfId="7" applyFont="1" applyFill="1" applyBorder="1" applyAlignment="1">
      <alignment horizontal="left" vertical="top"/>
    </xf>
    <xf numFmtId="0" fontId="11" fillId="0" borderId="6" xfId="7" applyFont="1" applyFill="1" applyBorder="1" applyAlignment="1">
      <alignment horizontal="left" vertical="top"/>
    </xf>
    <xf numFmtId="0" fontId="11" fillId="0" borderId="6" xfId="7" applyFont="1" applyFill="1" applyBorder="1" applyAlignment="1">
      <alignment horizontal="left" vertical="top" wrapText="1"/>
    </xf>
    <xf numFmtId="0" fontId="11" fillId="0" borderId="3" xfId="7" applyFont="1" applyFill="1" applyBorder="1" applyAlignment="1">
      <alignment horizontal="center" wrapText="1"/>
    </xf>
    <xf numFmtId="0" fontId="12" fillId="0" borderId="3" xfId="7" applyFont="1" applyFill="1" applyBorder="1" applyAlignment="1">
      <alignment horizontal="center"/>
    </xf>
    <xf numFmtId="0" fontId="15" fillId="0" borderId="0" xfId="7" applyFont="1" applyFill="1"/>
    <xf numFmtId="173" fontId="13" fillId="0" borderId="3" xfId="7" applyNumberFormat="1" applyFont="1" applyFill="1" applyBorder="1" applyAlignment="1">
      <alignment horizontal="right" vertical="center"/>
    </xf>
    <xf numFmtId="172" fontId="13" fillId="0" borderId="3" xfId="7" applyNumberFormat="1" applyFont="1" applyFill="1" applyBorder="1" applyAlignment="1">
      <alignment horizontal="right" vertical="center"/>
    </xf>
    <xf numFmtId="171" fontId="13" fillId="0" borderId="3" xfId="7" applyNumberFormat="1" applyFont="1" applyFill="1" applyBorder="1" applyAlignment="1">
      <alignment horizontal="right" vertical="center"/>
    </xf>
    <xf numFmtId="0" fontId="13" fillId="0" borderId="3" xfId="7" applyNumberFormat="1" applyFont="1" applyFill="1" applyBorder="1" applyAlignment="1">
      <alignment horizontal="right" vertical="center"/>
    </xf>
    <xf numFmtId="173" fontId="13" fillId="0" borderId="0" xfId="7" applyNumberFormat="1" applyFont="1" applyFill="1" applyBorder="1" applyAlignment="1">
      <alignment horizontal="right" vertical="center"/>
    </xf>
    <xf numFmtId="172" fontId="13" fillId="0" borderId="0" xfId="7" applyNumberFormat="1" applyFont="1" applyFill="1" applyBorder="1" applyAlignment="1">
      <alignment horizontal="right" vertical="center"/>
    </xf>
    <xf numFmtId="171" fontId="13" fillId="0" borderId="0" xfId="7" applyNumberFormat="1" applyFont="1" applyFill="1" applyBorder="1" applyAlignment="1">
      <alignment horizontal="right" vertical="center"/>
    </xf>
    <xf numFmtId="0" fontId="11" fillId="0" borderId="3" xfId="7" applyFont="1" applyFill="1" applyBorder="1" applyAlignment="1">
      <alignment horizontal="center"/>
    </xf>
    <xf numFmtId="43" fontId="0" fillId="0" borderId="0" xfId="6" applyFont="1"/>
    <xf numFmtId="0" fontId="11" fillId="0" borderId="0" xfId="7" applyFont="1" applyFill="1" applyBorder="1" applyAlignment="1">
      <alignment horizontal="center" wrapText="1"/>
    </xf>
    <xf numFmtId="43" fontId="0" fillId="0" borderId="0" xfId="0" applyNumberFormat="1"/>
    <xf numFmtId="0" fontId="6" fillId="2" borderId="0" xfId="3" applyFont="1" applyFill="1" applyAlignment="1">
      <alignment horizontal="right"/>
    </xf>
    <xf numFmtId="0" fontId="9" fillId="0" borderId="0" xfId="3" applyFont="1" applyAlignment="1">
      <alignment horizontal="right"/>
    </xf>
    <xf numFmtId="0" fontId="0" fillId="0" borderId="0" xfId="0" applyAlignment="1">
      <alignment horizontal="left" wrapText="1"/>
    </xf>
    <xf numFmtId="0" fontId="3" fillId="2" borderId="0" xfId="3" applyFont="1" applyFill="1" applyAlignment="1">
      <alignment horizontal="center"/>
    </xf>
    <xf numFmtId="0" fontId="4" fillId="2" borderId="0" xfId="3" applyFont="1" applyFill="1" applyAlignment="1">
      <alignment horizontal="center"/>
    </xf>
    <xf numFmtId="0" fontId="3" fillId="2" borderId="0" xfId="3" quotePrefix="1" applyFont="1" applyFill="1" applyAlignment="1">
      <alignment horizontal="center"/>
    </xf>
    <xf numFmtId="0" fontId="14"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0" xfId="0" applyFill="1" applyAlignment="1">
      <alignment horizontal="left" vertical="top" wrapText="1"/>
    </xf>
  </cellXfs>
  <cellStyles count="8">
    <cellStyle name="Comma" xfId="6" builtinId="3"/>
    <cellStyle name="Comma 2" xfId="4"/>
    <cellStyle name="Currency" xfId="1" builtinId="4"/>
    <cellStyle name="Currency 2" xfId="5"/>
    <cellStyle name="Normal" xfId="0" builtinId="0"/>
    <cellStyle name="Normal 2" xfId="3"/>
    <cellStyle name="Normal 3" xfId="7"/>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zoomScaleNormal="100" workbookViewId="0">
      <selection activeCell="L17" sqref="L17:U20"/>
    </sheetView>
  </sheetViews>
  <sheetFormatPr defaultRowHeight="14.4" x14ac:dyDescent="0.3"/>
  <cols>
    <col min="1" max="1" width="7.44140625" customWidth="1"/>
    <col min="2" max="2" width="36.109375" customWidth="1"/>
    <col min="3" max="3" width="14.77734375" customWidth="1"/>
    <col min="4" max="4" width="12.44140625" customWidth="1"/>
    <col min="5" max="5" width="12.5546875" customWidth="1"/>
    <col min="6" max="6" width="12" customWidth="1"/>
    <col min="7" max="15" width="0" hidden="1" customWidth="1"/>
    <col min="16" max="16" width="13.109375" customWidth="1"/>
  </cols>
  <sheetData>
    <row r="1" spans="1:16" ht="15.6" x14ac:dyDescent="0.3">
      <c r="A1" s="79" t="s">
        <v>0</v>
      </c>
      <c r="B1" s="79"/>
      <c r="C1" s="79"/>
      <c r="D1" s="79"/>
      <c r="E1" s="79"/>
      <c r="F1" s="79"/>
      <c r="G1" s="79"/>
      <c r="H1" s="79"/>
      <c r="I1" s="79"/>
      <c r="J1" s="79"/>
      <c r="K1" s="79"/>
      <c r="L1" s="79"/>
      <c r="M1" s="79"/>
      <c r="N1" s="79"/>
      <c r="O1" s="79"/>
      <c r="P1" s="79"/>
    </row>
    <row r="2" spans="1:16" ht="17.399999999999999" x14ac:dyDescent="0.3">
      <c r="A2" s="80" t="s">
        <v>47</v>
      </c>
      <c r="B2" s="80"/>
      <c r="C2" s="80"/>
      <c r="D2" s="80"/>
      <c r="E2" s="80"/>
      <c r="F2" s="80"/>
      <c r="G2" s="80"/>
      <c r="H2" s="80"/>
      <c r="I2" s="80"/>
      <c r="J2" s="80"/>
      <c r="K2" s="80"/>
      <c r="L2" s="80"/>
      <c r="M2" s="80"/>
      <c r="N2" s="80"/>
      <c r="O2" s="80"/>
      <c r="P2" s="80"/>
    </row>
    <row r="3" spans="1:16" ht="15.6" x14ac:dyDescent="0.3">
      <c r="A3" s="81" t="s">
        <v>48</v>
      </c>
      <c r="B3" s="81"/>
      <c r="C3" s="81"/>
      <c r="D3" s="81"/>
      <c r="E3" s="81"/>
      <c r="F3" s="81"/>
      <c r="G3" s="81"/>
      <c r="H3" s="81"/>
      <c r="I3" s="81"/>
      <c r="J3" s="81"/>
      <c r="K3" s="81"/>
      <c r="L3" s="81"/>
      <c r="M3" s="81"/>
      <c r="N3" s="81"/>
      <c r="O3" s="81"/>
      <c r="P3" s="81"/>
    </row>
    <row r="4" spans="1:16" ht="15.6" x14ac:dyDescent="0.3">
      <c r="A4" s="31"/>
      <c r="B4" s="32"/>
      <c r="C4" s="32"/>
      <c r="D4" s="33"/>
      <c r="E4" s="33"/>
      <c r="F4" s="32"/>
      <c r="G4" s="32"/>
      <c r="H4" s="32"/>
      <c r="I4" s="32"/>
      <c r="J4" s="32"/>
      <c r="K4" s="32"/>
      <c r="L4" s="32"/>
      <c r="M4" s="32"/>
      <c r="N4" s="32"/>
      <c r="O4" s="32"/>
      <c r="P4" s="2"/>
    </row>
    <row r="5" spans="1:16" ht="15.6" x14ac:dyDescent="0.3">
      <c r="A5" s="2"/>
      <c r="B5" s="2"/>
      <c r="C5" s="2"/>
      <c r="D5" s="33" t="s">
        <v>3</v>
      </c>
      <c r="E5" s="33" t="s">
        <v>3</v>
      </c>
      <c r="F5" s="2"/>
      <c r="G5" s="2"/>
      <c r="H5" s="2"/>
      <c r="I5" s="2"/>
      <c r="J5" s="2"/>
      <c r="K5" s="2"/>
      <c r="L5" s="2"/>
      <c r="M5" s="2"/>
      <c r="N5" s="2"/>
      <c r="O5" s="2"/>
      <c r="P5" s="76" t="s">
        <v>46</v>
      </c>
    </row>
    <row r="6" spans="1:16" ht="26.4" x14ac:dyDescent="0.3">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 t="s">
        <v>6</v>
      </c>
    </row>
    <row r="7" spans="1:16" x14ac:dyDescent="0.3">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 t="s">
        <v>21</v>
      </c>
    </row>
    <row r="8" spans="1:16" x14ac:dyDescent="0.3">
      <c r="A8" s="8"/>
      <c r="B8" s="3" t="s">
        <v>22</v>
      </c>
      <c r="C8" s="8"/>
      <c r="D8" s="8"/>
      <c r="E8" s="8"/>
      <c r="F8" s="8"/>
      <c r="G8" s="8"/>
      <c r="H8" s="8"/>
      <c r="I8" s="8"/>
      <c r="J8" s="8"/>
      <c r="K8" s="8"/>
      <c r="L8" s="8"/>
      <c r="M8" s="8"/>
      <c r="N8" s="8"/>
      <c r="O8" s="8"/>
      <c r="P8" s="2"/>
    </row>
    <row r="9" spans="1:16" x14ac:dyDescent="0.3">
      <c r="A9" s="8">
        <v>1</v>
      </c>
      <c r="B9" s="2" t="s">
        <v>23</v>
      </c>
      <c r="C9" s="8" t="s">
        <v>24</v>
      </c>
      <c r="D9" s="9">
        <v>207224</v>
      </c>
      <c r="E9" s="9">
        <v>207250</v>
      </c>
      <c r="F9" s="9">
        <v>206422</v>
      </c>
      <c r="G9" s="9"/>
      <c r="H9" s="9"/>
      <c r="I9" s="9"/>
      <c r="J9" s="9"/>
      <c r="K9" s="9"/>
      <c r="L9" s="9"/>
      <c r="M9" s="9"/>
      <c r="N9" s="9"/>
      <c r="O9" s="9"/>
      <c r="P9" s="34">
        <f>SUM(D9:O9)</f>
        <v>620896</v>
      </c>
    </row>
    <row r="10" spans="1:16" x14ac:dyDescent="0.3">
      <c r="A10" s="35">
        <f t="shared" ref="A10:A42" si="1">A9+1</f>
        <v>2</v>
      </c>
      <c r="B10" s="36" t="s">
        <v>25</v>
      </c>
      <c r="C10" s="10" t="s">
        <v>49</v>
      </c>
      <c r="D10" s="37">
        <v>78.809318650824423</v>
      </c>
      <c r="E10" s="37">
        <v>69.941481960984561</v>
      </c>
      <c r="F10" s="37">
        <v>64.345815043164464</v>
      </c>
      <c r="G10" s="38">
        <v>51.01990701924457</v>
      </c>
      <c r="H10" s="38">
        <v>47.063799760088948</v>
      </c>
      <c r="I10" s="38">
        <v>44.921736331003189</v>
      </c>
      <c r="J10" s="38">
        <v>51.178827370287053</v>
      </c>
      <c r="K10" s="38">
        <v>54.246921456412629</v>
      </c>
      <c r="L10" s="38">
        <v>45.858943541371545</v>
      </c>
      <c r="M10" s="38">
        <v>52.532862039130649</v>
      </c>
      <c r="N10" s="38">
        <v>65.528007877298535</v>
      </c>
      <c r="O10" s="38">
        <v>83.062378950189284</v>
      </c>
      <c r="P10" s="39">
        <f>P11/P9</f>
        <v>71.040796232142881</v>
      </c>
    </row>
    <row r="11" spans="1:16" x14ac:dyDescent="0.3">
      <c r="A11" s="8">
        <f t="shared" si="1"/>
        <v>3</v>
      </c>
      <c r="B11" s="2" t="s">
        <v>27</v>
      </c>
      <c r="C11" s="8" t="str">
        <f>"("&amp;A9&amp;") x ("&amp;A10&amp;")"</f>
        <v>(1) x (2)</v>
      </c>
      <c r="D11" s="14">
        <f t="shared" ref="D11:O11" si="2">D9*D10</f>
        <v>16331182.24809844</v>
      </c>
      <c r="E11" s="14">
        <f t="shared" si="2"/>
        <v>14495372.136414051</v>
      </c>
      <c r="F11" s="14">
        <f t="shared" si="2"/>
        <v>13282391.832840094</v>
      </c>
      <c r="G11" s="14">
        <f t="shared" si="2"/>
        <v>0</v>
      </c>
      <c r="H11" s="14">
        <f t="shared" si="2"/>
        <v>0</v>
      </c>
      <c r="I11" s="14">
        <f t="shared" si="2"/>
        <v>0</v>
      </c>
      <c r="J11" s="14">
        <f t="shared" si="2"/>
        <v>0</v>
      </c>
      <c r="K11" s="14">
        <f t="shared" si="2"/>
        <v>0</v>
      </c>
      <c r="L11" s="14">
        <f t="shared" si="2"/>
        <v>0</v>
      </c>
      <c r="M11" s="14">
        <f t="shared" si="2"/>
        <v>0</v>
      </c>
      <c r="N11" s="14">
        <f t="shared" si="2"/>
        <v>0</v>
      </c>
      <c r="O11" s="14">
        <f t="shared" si="2"/>
        <v>0</v>
      </c>
      <c r="P11" s="40">
        <f>SUM(D11:O11)</f>
        <v>44108946.217352584</v>
      </c>
    </row>
    <row r="12" spans="1:16" x14ac:dyDescent="0.3">
      <c r="A12" s="8"/>
      <c r="B12" s="2"/>
      <c r="C12" s="8"/>
      <c r="D12" s="15"/>
      <c r="E12" s="15"/>
      <c r="F12" s="15"/>
      <c r="G12" s="15"/>
      <c r="H12" s="15"/>
      <c r="I12" s="15"/>
      <c r="J12" s="15"/>
      <c r="K12" s="15"/>
      <c r="L12" s="15"/>
      <c r="M12" s="15"/>
      <c r="N12" s="15"/>
      <c r="O12" s="15"/>
      <c r="P12" s="2"/>
    </row>
    <row r="13" spans="1:16" hidden="1" x14ac:dyDescent="0.3">
      <c r="A13" s="8"/>
      <c r="B13" s="2"/>
      <c r="C13" s="8"/>
      <c r="D13" s="15"/>
      <c r="E13" s="15"/>
      <c r="F13" s="15"/>
      <c r="G13" s="15"/>
      <c r="H13" s="15"/>
      <c r="I13" s="15"/>
      <c r="J13" s="15"/>
      <c r="K13" s="15"/>
      <c r="L13" s="15"/>
      <c r="M13" s="15"/>
      <c r="N13" s="15"/>
      <c r="O13" s="15"/>
      <c r="P13" s="2"/>
    </row>
    <row r="14" spans="1:16" x14ac:dyDescent="0.3">
      <c r="A14" s="8">
        <v>4</v>
      </c>
      <c r="B14" s="2" t="s">
        <v>50</v>
      </c>
      <c r="C14" s="8" t="s">
        <v>24</v>
      </c>
      <c r="D14" s="14">
        <v>25101844.505918302</v>
      </c>
      <c r="E14" s="14">
        <v>17879887.201779999</v>
      </c>
      <c r="F14" s="14">
        <v>17559759.671609998</v>
      </c>
      <c r="G14" s="14"/>
      <c r="H14" s="14"/>
      <c r="I14" s="14"/>
      <c r="J14" s="14"/>
      <c r="K14" s="14"/>
      <c r="L14" s="14"/>
      <c r="M14" s="14"/>
      <c r="N14" s="14"/>
      <c r="O14" s="14"/>
      <c r="P14" s="40"/>
    </row>
    <row r="15" spans="1:16" x14ac:dyDescent="0.3">
      <c r="A15" s="8">
        <v>5</v>
      </c>
      <c r="B15" s="2" t="s">
        <v>51</v>
      </c>
      <c r="C15" s="8" t="s">
        <v>24</v>
      </c>
      <c r="D15" s="14">
        <v>1761404</v>
      </c>
      <c r="E15" s="14">
        <v>1761625</v>
      </c>
      <c r="F15" s="14">
        <v>1754587</v>
      </c>
      <c r="G15" s="14"/>
      <c r="H15" s="14"/>
      <c r="I15" s="14"/>
      <c r="J15" s="14"/>
      <c r="K15" s="14"/>
      <c r="L15" s="14"/>
      <c r="M15" s="14"/>
      <c r="N15" s="14"/>
      <c r="O15" s="14"/>
      <c r="P15" s="40"/>
    </row>
    <row r="16" spans="1:16" x14ac:dyDescent="0.3">
      <c r="A16" s="8">
        <v>6</v>
      </c>
      <c r="B16" s="16" t="s">
        <v>52</v>
      </c>
      <c r="C16" s="8" t="s">
        <v>24</v>
      </c>
      <c r="D16" s="9">
        <v>273966953</v>
      </c>
      <c r="E16" s="9">
        <v>197618642</v>
      </c>
      <c r="F16" s="9">
        <v>196511929</v>
      </c>
      <c r="G16" s="9"/>
      <c r="H16" s="9"/>
      <c r="I16" s="9"/>
      <c r="J16" s="9"/>
      <c r="K16" s="9"/>
      <c r="L16" s="9"/>
      <c r="M16" s="9"/>
      <c r="N16" s="9"/>
      <c r="O16" s="9"/>
      <c r="P16" s="9"/>
    </row>
    <row r="17" spans="1:16" x14ac:dyDescent="0.3">
      <c r="A17" s="8">
        <v>7</v>
      </c>
      <c r="B17" s="2" t="s">
        <v>53</v>
      </c>
      <c r="C17" s="8" t="s">
        <v>54</v>
      </c>
      <c r="D17" s="41">
        <v>2.1080000000000002E-2</v>
      </c>
      <c r="E17" s="41">
        <v>2.1080000000000002E-2</v>
      </c>
      <c r="F17" s="41">
        <v>2.1080000000000002E-2</v>
      </c>
      <c r="G17" s="41">
        <v>2.1080000000000002E-2</v>
      </c>
      <c r="H17" s="41">
        <v>2.1080000000000002E-2</v>
      </c>
      <c r="I17" s="41">
        <v>2.1080000000000002E-2</v>
      </c>
      <c r="J17" s="41">
        <v>2.1080000000000002E-2</v>
      </c>
      <c r="K17" s="41">
        <v>2.1080000000000002E-2</v>
      </c>
      <c r="L17" s="41">
        <v>2.1080000000000002E-2</v>
      </c>
      <c r="M17" s="41">
        <v>2.1080000000000002E-2</v>
      </c>
      <c r="N17" s="41">
        <v>2.1080000000000002E-2</v>
      </c>
      <c r="O17" s="41">
        <v>2.1080000000000002E-2</v>
      </c>
      <c r="P17" s="42"/>
    </row>
    <row r="18" spans="1:16" x14ac:dyDescent="0.3">
      <c r="A18" s="8">
        <v>8</v>
      </c>
      <c r="B18" s="2" t="s">
        <v>55</v>
      </c>
      <c r="C18" s="8" t="str">
        <f>"("&amp;A16&amp;") x ("&amp;A17&amp;")"</f>
        <v>(6) x (7)</v>
      </c>
      <c r="D18" s="14">
        <f t="shared" ref="D18:O18" si="3">D16*D17</f>
        <v>5775223.3692400008</v>
      </c>
      <c r="E18" s="14">
        <f t="shared" si="3"/>
        <v>4165800.9733600002</v>
      </c>
      <c r="F18" s="14">
        <f t="shared" si="3"/>
        <v>4142471.4633200001</v>
      </c>
      <c r="G18" s="14">
        <f t="shared" si="3"/>
        <v>0</v>
      </c>
      <c r="H18" s="14">
        <f t="shared" si="3"/>
        <v>0</v>
      </c>
      <c r="I18" s="14">
        <f t="shared" si="3"/>
        <v>0</v>
      </c>
      <c r="J18" s="14">
        <f t="shared" si="3"/>
        <v>0</v>
      </c>
      <c r="K18" s="14">
        <f t="shared" si="3"/>
        <v>0</v>
      </c>
      <c r="L18" s="14">
        <f t="shared" si="3"/>
        <v>0</v>
      </c>
      <c r="M18" s="14">
        <f t="shared" si="3"/>
        <v>0</v>
      </c>
      <c r="N18" s="14">
        <f t="shared" si="3"/>
        <v>0</v>
      </c>
      <c r="O18" s="14">
        <f t="shared" si="3"/>
        <v>0</v>
      </c>
      <c r="P18" s="40"/>
    </row>
    <row r="19" spans="1:16" x14ac:dyDescent="0.3">
      <c r="A19" s="8">
        <v>9</v>
      </c>
      <c r="B19" s="2" t="s">
        <v>30</v>
      </c>
      <c r="C19" s="8" t="str">
        <f>"("&amp;A14&amp;") - ("&amp;A15&amp;") -("&amp;A18&amp;")"</f>
        <v>(4) - (5) -(8)</v>
      </c>
      <c r="D19" s="14">
        <f>D14-D15-D18</f>
        <v>17565217.136678301</v>
      </c>
      <c r="E19" s="14">
        <f t="shared" ref="E19:O19" si="4">E14-E15-E18</f>
        <v>11952461.228419999</v>
      </c>
      <c r="F19" s="14">
        <f t="shared" si="4"/>
        <v>11662701.208289998</v>
      </c>
      <c r="G19" s="14">
        <f t="shared" si="4"/>
        <v>0</v>
      </c>
      <c r="H19" s="14">
        <f t="shared" si="4"/>
        <v>0</v>
      </c>
      <c r="I19" s="14">
        <f t="shared" si="4"/>
        <v>0</v>
      </c>
      <c r="J19" s="14">
        <f t="shared" si="4"/>
        <v>0</v>
      </c>
      <c r="K19" s="14">
        <f t="shared" si="4"/>
        <v>0</v>
      </c>
      <c r="L19" s="14">
        <f t="shared" si="4"/>
        <v>0</v>
      </c>
      <c r="M19" s="14">
        <f t="shared" si="4"/>
        <v>0</v>
      </c>
      <c r="N19" s="14">
        <f t="shared" si="4"/>
        <v>0</v>
      </c>
      <c r="O19" s="14">
        <f t="shared" si="4"/>
        <v>0</v>
      </c>
      <c r="P19" s="40">
        <f>SUM(D19:O19)</f>
        <v>41180379.573388293</v>
      </c>
    </row>
    <row r="20" spans="1:16" x14ac:dyDescent="0.3">
      <c r="A20" s="8"/>
      <c r="B20" s="18" t="s">
        <v>31</v>
      </c>
      <c r="C20" s="8"/>
      <c r="D20" s="43">
        <f>D19/D9</f>
        <v>84.764395710334227</v>
      </c>
      <c r="E20" s="43">
        <f t="shared" ref="E20:P20" si="5">E19/E9</f>
        <v>57.671706771628465</v>
      </c>
      <c r="F20" s="43">
        <f t="shared" si="5"/>
        <v>56.499313097877156</v>
      </c>
      <c r="G20" s="43" t="e">
        <f t="shared" si="5"/>
        <v>#DIV/0!</v>
      </c>
      <c r="H20" s="43" t="e">
        <f t="shared" si="5"/>
        <v>#DIV/0!</v>
      </c>
      <c r="I20" s="43" t="e">
        <f t="shared" si="5"/>
        <v>#DIV/0!</v>
      </c>
      <c r="J20" s="43" t="e">
        <f t="shared" si="5"/>
        <v>#DIV/0!</v>
      </c>
      <c r="K20" s="43" t="e">
        <f t="shared" si="5"/>
        <v>#DIV/0!</v>
      </c>
      <c r="L20" s="43" t="e">
        <f t="shared" si="5"/>
        <v>#DIV/0!</v>
      </c>
      <c r="M20" s="43" t="e">
        <f t="shared" si="5"/>
        <v>#DIV/0!</v>
      </c>
      <c r="N20" s="43" t="e">
        <f t="shared" si="5"/>
        <v>#DIV/0!</v>
      </c>
      <c r="O20" s="43" t="e">
        <f t="shared" si="5"/>
        <v>#DIV/0!</v>
      </c>
      <c r="P20" s="43">
        <f t="shared" si="5"/>
        <v>66.324118005895173</v>
      </c>
    </row>
    <row r="21" spans="1:16" x14ac:dyDescent="0.3">
      <c r="A21" s="8">
        <v>10</v>
      </c>
      <c r="B21" s="2" t="s">
        <v>32</v>
      </c>
      <c r="C21" s="8" t="str">
        <f>"("&amp;A$11&amp;") - ("&amp;A19&amp;")"</f>
        <v>(3) - (9)</v>
      </c>
      <c r="D21" s="14">
        <f>D11-D19</f>
        <v>-1234034.8885798603</v>
      </c>
      <c r="E21" s="14">
        <f t="shared" ref="E21:O21" si="6">E11-E19</f>
        <v>2542910.9079940524</v>
      </c>
      <c r="F21" s="14">
        <f t="shared" si="6"/>
        <v>1619690.6245500967</v>
      </c>
      <c r="G21" s="14">
        <f t="shared" si="6"/>
        <v>0</v>
      </c>
      <c r="H21" s="14">
        <f t="shared" si="6"/>
        <v>0</v>
      </c>
      <c r="I21" s="14">
        <f t="shared" si="6"/>
        <v>0</v>
      </c>
      <c r="J21" s="14">
        <f t="shared" si="6"/>
        <v>0</v>
      </c>
      <c r="K21" s="14">
        <f t="shared" si="6"/>
        <v>0</v>
      </c>
      <c r="L21" s="14">
        <f t="shared" si="6"/>
        <v>0</v>
      </c>
      <c r="M21" s="14">
        <f t="shared" si="6"/>
        <v>0</v>
      </c>
      <c r="N21" s="14">
        <f t="shared" si="6"/>
        <v>0</v>
      </c>
      <c r="O21" s="14">
        <f t="shared" si="6"/>
        <v>0</v>
      </c>
      <c r="P21" s="40">
        <f>SUM(D21:O21)</f>
        <v>2928566.6439642888</v>
      </c>
    </row>
    <row r="22" spans="1:16" x14ac:dyDescent="0.3">
      <c r="A22" s="8">
        <v>11</v>
      </c>
      <c r="B22" s="2" t="s">
        <v>33</v>
      </c>
      <c r="C22" s="44" t="s">
        <v>34</v>
      </c>
      <c r="D22" s="14">
        <f>D21*-0.045395</f>
        <v>56019.013767082753</v>
      </c>
      <c r="E22" s="14">
        <f>E21*-0.045395</f>
        <v>-115435.44066839</v>
      </c>
      <c r="F22" s="14">
        <f t="shared" ref="F22:N22" si="7">F21*-0.045395</f>
        <v>-73525.855901451636</v>
      </c>
      <c r="G22" s="14">
        <f t="shared" si="7"/>
        <v>0</v>
      </c>
      <c r="H22" s="14">
        <f t="shared" si="7"/>
        <v>0</v>
      </c>
      <c r="I22" s="14">
        <f t="shared" si="7"/>
        <v>0</v>
      </c>
      <c r="J22" s="14">
        <f t="shared" si="7"/>
        <v>0</v>
      </c>
      <c r="K22" s="14">
        <f t="shared" si="7"/>
        <v>0</v>
      </c>
      <c r="L22" s="14">
        <f t="shared" si="7"/>
        <v>0</v>
      </c>
      <c r="M22" s="14">
        <f t="shared" si="7"/>
        <v>0</v>
      </c>
      <c r="N22" s="14">
        <f t="shared" si="7"/>
        <v>0</v>
      </c>
      <c r="O22" s="14">
        <f>O21*-0.045395</f>
        <v>0</v>
      </c>
      <c r="P22" s="40">
        <f>SUM(D22:O22)</f>
        <v>-132942.28280275888</v>
      </c>
    </row>
    <row r="23" spans="1:16" x14ac:dyDescent="0.3">
      <c r="A23" s="8"/>
      <c r="B23" s="2"/>
      <c r="C23" s="8" t="s">
        <v>35</v>
      </c>
      <c r="D23" s="20">
        <v>3.2500000000000001E-2</v>
      </c>
      <c r="E23" s="20">
        <f>D23</f>
        <v>3.2500000000000001E-2</v>
      </c>
      <c r="F23" s="20">
        <f>E23</f>
        <v>3.2500000000000001E-2</v>
      </c>
      <c r="G23" s="20">
        <v>0</v>
      </c>
      <c r="H23" s="20">
        <f t="shared" ref="H23:O23" si="8">G23</f>
        <v>0</v>
      </c>
      <c r="I23" s="20">
        <f t="shared" si="8"/>
        <v>0</v>
      </c>
      <c r="J23" s="20">
        <f t="shared" si="8"/>
        <v>0</v>
      </c>
      <c r="K23" s="20">
        <f t="shared" si="8"/>
        <v>0</v>
      </c>
      <c r="L23" s="20">
        <f t="shared" si="8"/>
        <v>0</v>
      </c>
      <c r="M23" s="20">
        <f t="shared" si="8"/>
        <v>0</v>
      </c>
      <c r="N23" s="20">
        <f t="shared" si="8"/>
        <v>0</v>
      </c>
      <c r="O23" s="20">
        <f t="shared" si="8"/>
        <v>0</v>
      </c>
      <c r="P23" s="40"/>
    </row>
    <row r="24" spans="1:16" x14ac:dyDescent="0.3">
      <c r="A24" s="8">
        <v>12</v>
      </c>
      <c r="B24" s="2" t="s">
        <v>36</v>
      </c>
      <c r="C24" s="45" t="s">
        <v>42</v>
      </c>
      <c r="D24" s="21">
        <f>(D21+D22)/2*D23/12</f>
        <v>-1595.2298304756366</v>
      </c>
      <c r="E24" s="21">
        <f>(D27+(E21+E22)/2)*0.0325/12</f>
        <v>92.426286928023728</v>
      </c>
      <c r="F24" s="21">
        <f>(E27+(F21+F22)/2)*F23/12</f>
        <v>5473.6477610036627</v>
      </c>
      <c r="G24" s="21">
        <f t="shared" ref="G24:O24" si="9">(F27+(G21+G22)/2)*G23/12</f>
        <v>0</v>
      </c>
      <c r="H24" s="21">
        <f t="shared" si="9"/>
        <v>0</v>
      </c>
      <c r="I24" s="21">
        <f t="shared" si="9"/>
        <v>0</v>
      </c>
      <c r="J24" s="21">
        <f t="shared" si="9"/>
        <v>0</v>
      </c>
      <c r="K24" s="21">
        <f t="shared" si="9"/>
        <v>0</v>
      </c>
      <c r="L24" s="21">
        <f t="shared" si="9"/>
        <v>0</v>
      </c>
      <c r="M24" s="21">
        <f t="shared" si="9"/>
        <v>0</v>
      </c>
      <c r="N24" s="21">
        <f t="shared" si="9"/>
        <v>0</v>
      </c>
      <c r="O24" s="21">
        <f t="shared" si="9"/>
        <v>0</v>
      </c>
      <c r="P24" s="40">
        <f>SUM(D24:O24)</f>
        <v>3970.8442174560496</v>
      </c>
    </row>
    <row r="25" spans="1:16" x14ac:dyDescent="0.3">
      <c r="A25" s="3"/>
      <c r="B25" s="22" t="s">
        <v>38</v>
      </c>
      <c r="C25" s="3"/>
      <c r="D25" s="23">
        <f>D21+D22+D24</f>
        <v>-1179611.1046432531</v>
      </c>
      <c r="E25" s="23">
        <f t="shared" ref="E25:P25" si="10">E21+E22+E24</f>
        <v>2427567.8936125902</v>
      </c>
      <c r="F25" s="23">
        <f t="shared" si="10"/>
        <v>1551638.4164096487</v>
      </c>
      <c r="G25" s="23">
        <f t="shared" si="10"/>
        <v>0</v>
      </c>
      <c r="H25" s="23">
        <f t="shared" si="10"/>
        <v>0</v>
      </c>
      <c r="I25" s="23">
        <f t="shared" si="10"/>
        <v>0</v>
      </c>
      <c r="J25" s="23">
        <f t="shared" si="10"/>
        <v>0</v>
      </c>
      <c r="K25" s="23">
        <f t="shared" si="10"/>
        <v>0</v>
      </c>
      <c r="L25" s="23">
        <f t="shared" si="10"/>
        <v>0</v>
      </c>
      <c r="M25" s="23">
        <f t="shared" si="10"/>
        <v>0</v>
      </c>
      <c r="N25" s="23">
        <f t="shared" si="10"/>
        <v>0</v>
      </c>
      <c r="O25" s="23">
        <f t="shared" si="10"/>
        <v>0</v>
      </c>
      <c r="P25" s="23">
        <f t="shared" si="10"/>
        <v>2799595.205378986</v>
      </c>
    </row>
    <row r="26" spans="1:16" x14ac:dyDescent="0.3">
      <c r="A26" s="8"/>
      <c r="B26" s="2"/>
      <c r="C26" s="8"/>
      <c r="D26" s="15"/>
      <c r="E26" s="15"/>
      <c r="F26" s="15"/>
      <c r="G26" s="15"/>
      <c r="H26" s="15"/>
      <c r="I26" s="15"/>
      <c r="J26" s="15"/>
      <c r="K26" s="15"/>
      <c r="L26" s="15"/>
      <c r="M26" s="15"/>
      <c r="N26" s="15"/>
      <c r="O26" s="15"/>
      <c r="P26" s="40"/>
    </row>
    <row r="27" spans="1:16" x14ac:dyDescent="0.3">
      <c r="A27" s="8">
        <v>13</v>
      </c>
      <c r="B27" s="2" t="s">
        <v>39</v>
      </c>
      <c r="C27" s="8" t="str">
        <f>"Σ(("&amp;A$21&amp;") ~ ("&amp;A24&amp;"))"</f>
        <v>Σ((10) ~ (12))</v>
      </c>
      <c r="D27" s="14">
        <f>D21+D22+D24</f>
        <v>-1179611.1046432531</v>
      </c>
      <c r="E27" s="14">
        <f>D27+E21+E22+E24</f>
        <v>1247956.7889693375</v>
      </c>
      <c r="F27" s="14">
        <f>E27+F21+F22+F24</f>
        <v>2799595.205378986</v>
      </c>
      <c r="G27" s="14">
        <f t="shared" ref="G27:O27" si="11">F27+G21+G22+G24</f>
        <v>2799595.205378986</v>
      </c>
      <c r="H27" s="14">
        <f t="shared" si="11"/>
        <v>2799595.205378986</v>
      </c>
      <c r="I27" s="14">
        <f t="shared" si="11"/>
        <v>2799595.205378986</v>
      </c>
      <c r="J27" s="14">
        <f t="shared" si="11"/>
        <v>2799595.205378986</v>
      </c>
      <c r="K27" s="14">
        <f t="shared" si="11"/>
        <v>2799595.205378986</v>
      </c>
      <c r="L27" s="14">
        <f t="shared" si="11"/>
        <v>2799595.205378986</v>
      </c>
      <c r="M27" s="14">
        <f t="shared" si="11"/>
        <v>2799595.205378986</v>
      </c>
      <c r="N27" s="14">
        <f t="shared" si="11"/>
        <v>2799595.205378986</v>
      </c>
      <c r="O27" s="24">
        <f t="shared" si="11"/>
        <v>2799595.205378986</v>
      </c>
      <c r="P27" s="40"/>
    </row>
    <row r="28" spans="1:16" x14ac:dyDescent="0.3">
      <c r="A28" s="8"/>
      <c r="B28" s="2"/>
      <c r="C28" s="8"/>
      <c r="D28" s="15"/>
      <c r="E28" s="15"/>
      <c r="F28" s="15"/>
      <c r="G28" s="15"/>
      <c r="H28" s="15"/>
      <c r="I28" s="15"/>
      <c r="J28" s="15"/>
      <c r="K28" s="15"/>
      <c r="L28" s="15"/>
      <c r="M28" s="15"/>
      <c r="N28" s="15"/>
      <c r="O28" s="15"/>
      <c r="P28" s="40"/>
    </row>
    <row r="29" spans="1:16" ht="1.2" customHeight="1" x14ac:dyDescent="0.3">
      <c r="A29" s="8"/>
      <c r="B29" s="2"/>
      <c r="C29" s="8"/>
      <c r="D29" s="14"/>
      <c r="E29" s="14"/>
      <c r="F29" s="14"/>
      <c r="G29" s="14"/>
      <c r="H29" s="28"/>
      <c r="I29" s="14"/>
      <c r="J29" s="14"/>
      <c r="K29" s="14"/>
      <c r="L29" s="14"/>
      <c r="M29" s="14"/>
      <c r="N29" s="14"/>
      <c r="O29" s="14"/>
      <c r="P29" s="40"/>
    </row>
    <row r="30" spans="1:16" x14ac:dyDescent="0.3">
      <c r="A30" s="8"/>
      <c r="B30" s="2"/>
      <c r="C30" s="8"/>
      <c r="D30" s="14"/>
      <c r="E30" s="14"/>
      <c r="F30" s="14"/>
      <c r="G30" s="14"/>
      <c r="H30" s="14"/>
      <c r="I30" s="14"/>
      <c r="J30" s="14"/>
      <c r="K30" s="14"/>
      <c r="L30" s="14"/>
      <c r="M30" s="14"/>
      <c r="N30" s="14"/>
      <c r="O30" s="14"/>
      <c r="P30" s="40"/>
    </row>
    <row r="31" spans="1:16" x14ac:dyDescent="0.3">
      <c r="A31" s="8"/>
      <c r="B31" s="3" t="s">
        <v>40</v>
      </c>
      <c r="C31" s="8"/>
      <c r="D31" s="14"/>
      <c r="E31" s="14"/>
      <c r="F31" s="14"/>
      <c r="G31" s="14"/>
      <c r="H31" s="14"/>
      <c r="I31" s="14"/>
      <c r="J31" s="14"/>
      <c r="K31" s="14"/>
      <c r="L31" s="14"/>
      <c r="M31" s="14"/>
      <c r="N31" s="14"/>
      <c r="O31" s="14"/>
      <c r="P31" s="40"/>
    </row>
    <row r="32" spans="1:16" x14ac:dyDescent="0.3">
      <c r="A32" s="8">
        <v>14</v>
      </c>
      <c r="B32" s="2" t="s">
        <v>23</v>
      </c>
      <c r="C32" s="8" t="s">
        <v>24</v>
      </c>
      <c r="D32" s="9">
        <v>35059</v>
      </c>
      <c r="E32" s="9">
        <v>35579</v>
      </c>
      <c r="F32" s="9">
        <v>35140</v>
      </c>
      <c r="G32" s="9"/>
      <c r="H32" s="9"/>
      <c r="I32" s="9"/>
      <c r="J32" s="9"/>
      <c r="K32" s="9"/>
      <c r="L32" s="9"/>
      <c r="M32" s="9"/>
      <c r="N32" s="9"/>
      <c r="O32" s="9"/>
      <c r="P32" s="34">
        <f>SUM(D32:O32)</f>
        <v>105778</v>
      </c>
    </row>
    <row r="33" spans="1:16" x14ac:dyDescent="0.3">
      <c r="A33" s="35">
        <f t="shared" si="1"/>
        <v>15</v>
      </c>
      <c r="B33" s="36" t="s">
        <v>25</v>
      </c>
      <c r="C33" s="8" t="s">
        <v>56</v>
      </c>
      <c r="D33" s="37">
        <v>356.03329356425502</v>
      </c>
      <c r="E33" s="37">
        <v>334.3876932182697</v>
      </c>
      <c r="F33" s="37">
        <v>338.63118768530791</v>
      </c>
      <c r="G33" s="38">
        <v>307.26842558580978</v>
      </c>
      <c r="H33" s="38">
        <v>328.68375663236225</v>
      </c>
      <c r="I33" s="38">
        <v>343.68956027474104</v>
      </c>
      <c r="J33" s="38">
        <v>382.86485339177131</v>
      </c>
      <c r="K33" s="38">
        <v>405.75316740997278</v>
      </c>
      <c r="L33" s="38">
        <v>347.12546291923007</v>
      </c>
      <c r="M33" s="38">
        <v>347.28709927511954</v>
      </c>
      <c r="N33" s="38">
        <v>341.2180856492738</v>
      </c>
      <c r="O33" s="38">
        <v>376.397414393887</v>
      </c>
      <c r="P33" s="12">
        <f>P34/P32</f>
        <v>342.97160951562472</v>
      </c>
    </row>
    <row r="34" spans="1:16" x14ac:dyDescent="0.3">
      <c r="A34" s="8">
        <f t="shared" si="1"/>
        <v>16</v>
      </c>
      <c r="B34" s="2" t="s">
        <v>27</v>
      </c>
      <c r="C34" s="8" t="str">
        <f>"("&amp;A32&amp;") x ("&amp;A33&amp;")"</f>
        <v>(14) x (15)</v>
      </c>
      <c r="D34" s="14">
        <f t="shared" ref="D34:O34" si="12">D32*D33</f>
        <v>12482171.239069216</v>
      </c>
      <c r="E34" s="14">
        <f t="shared" si="12"/>
        <v>11897179.737012818</v>
      </c>
      <c r="F34" s="14">
        <f t="shared" si="12"/>
        <v>11899499.935261719</v>
      </c>
      <c r="G34" s="14">
        <f t="shared" si="12"/>
        <v>0</v>
      </c>
      <c r="H34" s="14">
        <f t="shared" si="12"/>
        <v>0</v>
      </c>
      <c r="I34" s="14">
        <f t="shared" si="12"/>
        <v>0</v>
      </c>
      <c r="J34" s="14">
        <f t="shared" si="12"/>
        <v>0</v>
      </c>
      <c r="K34" s="14">
        <f t="shared" si="12"/>
        <v>0</v>
      </c>
      <c r="L34" s="14">
        <f t="shared" si="12"/>
        <v>0</v>
      </c>
      <c r="M34" s="14">
        <f t="shared" si="12"/>
        <v>0</v>
      </c>
      <c r="N34" s="14">
        <f t="shared" si="12"/>
        <v>0</v>
      </c>
      <c r="O34" s="14">
        <f t="shared" si="12"/>
        <v>0</v>
      </c>
      <c r="P34" s="40">
        <f>SUM(D34:O34)</f>
        <v>36278850.911343753</v>
      </c>
    </row>
    <row r="35" spans="1:16" x14ac:dyDescent="0.3">
      <c r="A35" s="8"/>
      <c r="B35" s="2"/>
      <c r="C35" s="8"/>
      <c r="D35" s="15"/>
      <c r="E35" s="15"/>
      <c r="F35" s="15"/>
      <c r="G35" s="15"/>
      <c r="H35" s="15"/>
      <c r="I35" s="14"/>
      <c r="J35" s="15"/>
      <c r="K35" s="15"/>
      <c r="L35" s="15"/>
      <c r="M35" s="15"/>
      <c r="N35" s="15"/>
      <c r="O35" s="15"/>
      <c r="P35" s="2"/>
    </row>
    <row r="36" spans="1:16" hidden="1" x14ac:dyDescent="0.3">
      <c r="A36" s="8"/>
      <c r="B36" s="2"/>
      <c r="C36" s="8"/>
      <c r="D36" s="15"/>
      <c r="E36" s="15"/>
      <c r="F36" s="15"/>
      <c r="G36" s="15"/>
      <c r="H36" s="14"/>
      <c r="I36" s="15"/>
      <c r="J36" s="15"/>
      <c r="K36" s="15"/>
      <c r="L36" s="15"/>
      <c r="M36" s="15"/>
      <c r="N36" s="15"/>
      <c r="O36" s="15"/>
      <c r="P36" s="2"/>
    </row>
    <row r="37" spans="1:16" x14ac:dyDescent="0.3">
      <c r="A37" s="8">
        <v>17</v>
      </c>
      <c r="B37" s="2" t="s">
        <v>50</v>
      </c>
      <c r="C37" s="8" t="s">
        <v>24</v>
      </c>
      <c r="D37" s="14">
        <v>16258940.32929723</v>
      </c>
      <c r="E37" s="14">
        <v>17169122.107000001</v>
      </c>
      <c r="F37" s="14">
        <v>17145796.684179999</v>
      </c>
      <c r="G37" s="14"/>
      <c r="H37" s="14"/>
      <c r="I37" s="14"/>
      <c r="J37" s="14"/>
      <c r="K37" s="14"/>
      <c r="L37" s="14"/>
      <c r="M37" s="14"/>
      <c r="N37" s="14"/>
      <c r="O37" s="14"/>
      <c r="P37" s="2"/>
    </row>
    <row r="38" spans="1:16" x14ac:dyDescent="0.3">
      <c r="A38" s="8">
        <f t="shared" si="1"/>
        <v>18</v>
      </c>
      <c r="B38" s="2" t="s">
        <v>51</v>
      </c>
      <c r="C38" s="8" t="s">
        <v>24</v>
      </c>
      <c r="D38" s="14">
        <v>1590724</v>
      </c>
      <c r="E38" s="14">
        <v>1612616</v>
      </c>
      <c r="F38" s="14">
        <v>1612908</v>
      </c>
      <c r="G38" s="14"/>
      <c r="H38" s="14"/>
      <c r="I38" s="14"/>
      <c r="J38" s="14"/>
      <c r="K38" s="14"/>
      <c r="L38" s="14"/>
      <c r="M38" s="14"/>
      <c r="N38" s="14"/>
      <c r="O38" s="14"/>
      <c r="P38" s="2"/>
    </row>
    <row r="39" spans="1:16" x14ac:dyDescent="0.3">
      <c r="A39" s="8">
        <f t="shared" si="1"/>
        <v>19</v>
      </c>
      <c r="B39" s="16" t="s">
        <v>57</v>
      </c>
      <c r="C39" s="8" t="s">
        <v>24</v>
      </c>
      <c r="D39" s="9">
        <v>162655588</v>
      </c>
      <c r="E39" s="9">
        <v>168483376</v>
      </c>
      <c r="F39" s="9">
        <v>171828336</v>
      </c>
      <c r="G39" s="9"/>
      <c r="H39" s="9"/>
      <c r="I39" s="9"/>
      <c r="J39" s="9"/>
      <c r="K39" s="9"/>
      <c r="L39" s="9"/>
      <c r="M39" s="9"/>
      <c r="N39" s="9"/>
      <c r="O39" s="9"/>
      <c r="P39" s="2"/>
    </row>
    <row r="40" spans="1:16" x14ac:dyDescent="0.3">
      <c r="A40" s="8">
        <f t="shared" si="1"/>
        <v>20</v>
      </c>
      <c r="B40" s="2" t="s">
        <v>53</v>
      </c>
      <c r="C40" s="8" t="s">
        <v>54</v>
      </c>
      <c r="D40" s="41">
        <v>2.1080000000000002E-2</v>
      </c>
      <c r="E40" s="41">
        <v>2.1080000000000002E-2</v>
      </c>
      <c r="F40" s="41">
        <v>2.1080000000000002E-2</v>
      </c>
      <c r="G40" s="41">
        <v>2.1080000000000002E-2</v>
      </c>
      <c r="H40" s="41">
        <v>2.1080000000000002E-2</v>
      </c>
      <c r="I40" s="41">
        <v>2.1080000000000002E-2</v>
      </c>
      <c r="J40" s="41">
        <v>2.1080000000000002E-2</v>
      </c>
      <c r="K40" s="41">
        <v>2.1080000000000002E-2</v>
      </c>
      <c r="L40" s="41">
        <v>2.1080000000000002E-2</v>
      </c>
      <c r="M40" s="41">
        <v>2.1080000000000002E-2</v>
      </c>
      <c r="N40" s="41">
        <v>2.1080000000000002E-2</v>
      </c>
      <c r="O40" s="41">
        <v>2.1080000000000002E-2</v>
      </c>
      <c r="P40" s="42"/>
    </row>
    <row r="41" spans="1:16" x14ac:dyDescent="0.3">
      <c r="A41" s="8">
        <f t="shared" si="1"/>
        <v>21</v>
      </c>
      <c r="B41" s="2" t="s">
        <v>55</v>
      </c>
      <c r="C41" s="8" t="str">
        <f>"("&amp;A39&amp;") x ("&amp;A40&amp;")"</f>
        <v>(19) x (20)</v>
      </c>
      <c r="D41" s="14">
        <f t="shared" ref="D41:O41" si="13">D39*D40</f>
        <v>3428779.7950400002</v>
      </c>
      <c r="E41" s="14">
        <f t="shared" si="13"/>
        <v>3551629.5660800003</v>
      </c>
      <c r="F41" s="14">
        <f t="shared" si="13"/>
        <v>3622141.3228800003</v>
      </c>
      <c r="G41" s="14">
        <f t="shared" si="13"/>
        <v>0</v>
      </c>
      <c r="H41" s="14">
        <f t="shared" si="13"/>
        <v>0</v>
      </c>
      <c r="I41" s="14">
        <f t="shared" si="13"/>
        <v>0</v>
      </c>
      <c r="J41" s="14">
        <f t="shared" si="13"/>
        <v>0</v>
      </c>
      <c r="K41" s="14">
        <f t="shared" si="13"/>
        <v>0</v>
      </c>
      <c r="L41" s="14">
        <f t="shared" si="13"/>
        <v>0</v>
      </c>
      <c r="M41" s="14">
        <f t="shared" si="13"/>
        <v>0</v>
      </c>
      <c r="N41" s="14">
        <f t="shared" si="13"/>
        <v>0</v>
      </c>
      <c r="O41" s="14">
        <f t="shared" si="13"/>
        <v>0</v>
      </c>
      <c r="P41" s="40"/>
    </row>
    <row r="42" spans="1:16" x14ac:dyDescent="0.3">
      <c r="A42" s="8">
        <f t="shared" si="1"/>
        <v>22</v>
      </c>
      <c r="B42" s="2" t="s">
        <v>30</v>
      </c>
      <c r="C42" s="8" t="str">
        <f>"("&amp;A37&amp;") - ("&amp;A38&amp;") -("&amp;A41&amp;")"</f>
        <v>(17) - (18) -(21)</v>
      </c>
      <c r="D42" s="14">
        <f>D37-D38-D41</f>
        <v>11239436.534257229</v>
      </c>
      <c r="E42" s="14">
        <f t="shared" ref="E42:O42" si="14">E37-E38-E41</f>
        <v>12004876.540920001</v>
      </c>
      <c r="F42" s="14">
        <f t="shared" si="14"/>
        <v>11910747.361299999</v>
      </c>
      <c r="G42" s="14">
        <f t="shared" si="14"/>
        <v>0</v>
      </c>
      <c r="H42" s="14">
        <f t="shared" si="14"/>
        <v>0</v>
      </c>
      <c r="I42" s="14">
        <f t="shared" si="14"/>
        <v>0</v>
      </c>
      <c r="J42" s="14">
        <f t="shared" si="14"/>
        <v>0</v>
      </c>
      <c r="K42" s="14">
        <f t="shared" si="14"/>
        <v>0</v>
      </c>
      <c r="L42" s="14">
        <f t="shared" si="14"/>
        <v>0</v>
      </c>
      <c r="M42" s="14">
        <f t="shared" si="14"/>
        <v>0</v>
      </c>
      <c r="N42" s="14">
        <f t="shared" si="14"/>
        <v>0</v>
      </c>
      <c r="O42" s="14">
        <f t="shared" si="14"/>
        <v>0</v>
      </c>
      <c r="P42" s="40">
        <f>SUM(D42:O42)</f>
        <v>35155060.436477229</v>
      </c>
    </row>
    <row r="43" spans="1:16" x14ac:dyDescent="0.3">
      <c r="A43" s="8"/>
      <c r="B43" s="18" t="s">
        <v>41</v>
      </c>
      <c r="C43" s="8"/>
      <c r="D43" s="12">
        <f>D42/D32</f>
        <v>320.5863411465595</v>
      </c>
      <c r="E43" s="12">
        <f>E42/E32</f>
        <v>337.41466991539954</v>
      </c>
      <c r="F43" s="12">
        <f t="shared" ref="F43:P43" si="15">F42/F32</f>
        <v>338.95126241605004</v>
      </c>
      <c r="G43" s="12" t="e">
        <f t="shared" si="15"/>
        <v>#DIV/0!</v>
      </c>
      <c r="H43" s="12" t="e">
        <f t="shared" si="15"/>
        <v>#DIV/0!</v>
      </c>
      <c r="I43" s="12" t="e">
        <f t="shared" si="15"/>
        <v>#DIV/0!</v>
      </c>
      <c r="J43" s="12" t="e">
        <f t="shared" si="15"/>
        <v>#DIV/0!</v>
      </c>
      <c r="K43" s="12" t="e">
        <f t="shared" si="15"/>
        <v>#DIV/0!</v>
      </c>
      <c r="L43" s="12" t="e">
        <f t="shared" si="15"/>
        <v>#DIV/0!</v>
      </c>
      <c r="M43" s="12" t="e">
        <f t="shared" si="15"/>
        <v>#DIV/0!</v>
      </c>
      <c r="N43" s="12" t="e">
        <f t="shared" si="15"/>
        <v>#DIV/0!</v>
      </c>
      <c r="O43" s="12" t="e">
        <f t="shared" si="15"/>
        <v>#DIV/0!</v>
      </c>
      <c r="P43" s="12">
        <f t="shared" si="15"/>
        <v>332.34756221971702</v>
      </c>
    </row>
    <row r="44" spans="1:16" x14ac:dyDescent="0.3">
      <c r="A44" s="8">
        <v>23</v>
      </c>
      <c r="B44" s="2" t="s">
        <v>32</v>
      </c>
      <c r="C44" s="8" t="str">
        <f>"("&amp;A$34&amp;") - ("&amp;A42&amp;")"</f>
        <v>(16) - (22)</v>
      </c>
      <c r="D44" s="14">
        <f>D34-D42</f>
        <v>1242734.7048119865</v>
      </c>
      <c r="E44" s="14">
        <f t="shared" ref="E44:O44" si="16">E34-E42</f>
        <v>-107696.80390718207</v>
      </c>
      <c r="F44" s="14">
        <f t="shared" si="16"/>
        <v>-11247.426038280129</v>
      </c>
      <c r="G44" s="14">
        <f t="shared" si="16"/>
        <v>0</v>
      </c>
      <c r="H44" s="14">
        <f t="shared" si="16"/>
        <v>0</v>
      </c>
      <c r="I44" s="14">
        <f t="shared" si="16"/>
        <v>0</v>
      </c>
      <c r="J44" s="14">
        <f t="shared" si="16"/>
        <v>0</v>
      </c>
      <c r="K44" s="14">
        <f t="shared" si="16"/>
        <v>0</v>
      </c>
      <c r="L44" s="14">
        <f t="shared" si="16"/>
        <v>0</v>
      </c>
      <c r="M44" s="14">
        <f t="shared" si="16"/>
        <v>0</v>
      </c>
      <c r="N44" s="14">
        <f t="shared" si="16"/>
        <v>0</v>
      </c>
      <c r="O44" s="14">
        <f t="shared" si="16"/>
        <v>0</v>
      </c>
      <c r="P44" s="40">
        <f>SUM(D44:O44)</f>
        <v>1123790.4748665243</v>
      </c>
    </row>
    <row r="45" spans="1:16" x14ac:dyDescent="0.3">
      <c r="A45" s="8">
        <v>24</v>
      </c>
      <c r="B45" s="2" t="s">
        <v>33</v>
      </c>
      <c r="C45" s="44" t="s">
        <v>34</v>
      </c>
      <c r="D45" s="14">
        <f>D44*-0.045395</f>
        <v>-56413.941924940125</v>
      </c>
      <c r="E45" s="14">
        <f>E44*-0.045395</f>
        <v>4888.8964133665295</v>
      </c>
      <c r="F45" s="14">
        <f t="shared" ref="F45:N45" si="17">F44*-0.045395</f>
        <v>510.57690500772645</v>
      </c>
      <c r="G45" s="14">
        <f t="shared" si="17"/>
        <v>0</v>
      </c>
      <c r="H45" s="14">
        <f t="shared" si="17"/>
        <v>0</v>
      </c>
      <c r="I45" s="14">
        <f t="shared" si="17"/>
        <v>0</v>
      </c>
      <c r="J45" s="14">
        <f t="shared" si="17"/>
        <v>0</v>
      </c>
      <c r="K45" s="14">
        <f t="shared" si="17"/>
        <v>0</v>
      </c>
      <c r="L45" s="14">
        <f t="shared" si="17"/>
        <v>0</v>
      </c>
      <c r="M45" s="14">
        <f t="shared" si="17"/>
        <v>0</v>
      </c>
      <c r="N45" s="14">
        <f t="shared" si="17"/>
        <v>0</v>
      </c>
      <c r="O45" s="14">
        <f>O44*-0.045395</f>
        <v>0</v>
      </c>
      <c r="P45" s="40">
        <f>SUM(D45:O45)</f>
        <v>-51014.468606565868</v>
      </c>
    </row>
    <row r="46" spans="1:16" x14ac:dyDescent="0.3">
      <c r="A46" s="8"/>
      <c r="B46" s="2"/>
      <c r="C46" s="8" t="s">
        <v>35</v>
      </c>
      <c r="D46" s="20">
        <f>D23</f>
        <v>3.2500000000000001E-2</v>
      </c>
      <c r="E46" s="20">
        <f>D46</f>
        <v>3.2500000000000001E-2</v>
      </c>
      <c r="F46" s="20">
        <f>E46</f>
        <v>3.2500000000000001E-2</v>
      </c>
      <c r="G46" s="20">
        <v>0</v>
      </c>
      <c r="H46" s="20">
        <f t="shared" ref="H46:O46" si="18">G46</f>
        <v>0</v>
      </c>
      <c r="I46" s="20">
        <f t="shared" si="18"/>
        <v>0</v>
      </c>
      <c r="J46" s="20">
        <f t="shared" si="18"/>
        <v>0</v>
      </c>
      <c r="K46" s="20">
        <f t="shared" si="18"/>
        <v>0</v>
      </c>
      <c r="L46" s="20">
        <f t="shared" si="18"/>
        <v>0</v>
      </c>
      <c r="M46" s="20">
        <f t="shared" si="18"/>
        <v>0</v>
      </c>
      <c r="N46" s="20">
        <f t="shared" si="18"/>
        <v>0</v>
      </c>
      <c r="O46" s="20">
        <f t="shared" si="18"/>
        <v>0</v>
      </c>
      <c r="P46" s="40"/>
    </row>
    <row r="47" spans="1:16" x14ac:dyDescent="0.3">
      <c r="A47" s="8">
        <v>25</v>
      </c>
      <c r="B47" s="2" t="s">
        <v>36</v>
      </c>
      <c r="C47" s="8" t="s">
        <v>42</v>
      </c>
      <c r="D47" s="21">
        <f>(D44+D45)/2*D46/12</f>
        <v>1606.476033076209</v>
      </c>
      <c r="E47" s="21">
        <f>(D50+(E44+E45)/2)*E46/12</f>
        <v>3078.0838973441237</v>
      </c>
      <c r="F47" s="21">
        <f t="shared" ref="F47:O47" si="19">(E50+(F44+F45)/2)*F46/12</f>
        <v>2932.6618499669162</v>
      </c>
      <c r="G47" s="21">
        <f t="shared" si="19"/>
        <v>0</v>
      </c>
      <c r="H47" s="21">
        <f t="shared" si="19"/>
        <v>0</v>
      </c>
      <c r="I47" s="21">
        <f t="shared" si="19"/>
        <v>0</v>
      </c>
      <c r="J47" s="21">
        <f t="shared" si="19"/>
        <v>0</v>
      </c>
      <c r="K47" s="21">
        <f t="shared" si="19"/>
        <v>0</v>
      </c>
      <c r="L47" s="21">
        <f t="shared" si="19"/>
        <v>0</v>
      </c>
      <c r="M47" s="21">
        <f t="shared" si="19"/>
        <v>0</v>
      </c>
      <c r="N47" s="21">
        <f t="shared" si="19"/>
        <v>0</v>
      </c>
      <c r="O47" s="21">
        <f t="shared" si="19"/>
        <v>0</v>
      </c>
      <c r="P47" s="40">
        <f>SUM(D47:O47)</f>
        <v>7617.2217803872481</v>
      </c>
    </row>
    <row r="48" spans="1:16" x14ac:dyDescent="0.3">
      <c r="A48" s="8"/>
      <c r="B48" s="22" t="s">
        <v>43</v>
      </c>
      <c r="C48" s="8"/>
      <c r="D48" s="23">
        <f>D44+D45+D47</f>
        <v>1187927.2389201226</v>
      </c>
      <c r="E48" s="23">
        <f t="shared" ref="E48:P48" si="20">E44+E45+E47</f>
        <v>-99729.823596471411</v>
      </c>
      <c r="F48" s="23">
        <f t="shared" si="20"/>
        <v>-7804.1872833054858</v>
      </c>
      <c r="G48" s="23">
        <f t="shared" si="20"/>
        <v>0</v>
      </c>
      <c r="H48" s="23">
        <f t="shared" si="20"/>
        <v>0</v>
      </c>
      <c r="I48" s="23">
        <f t="shared" si="20"/>
        <v>0</v>
      </c>
      <c r="J48" s="23">
        <f t="shared" si="20"/>
        <v>0</v>
      </c>
      <c r="K48" s="23">
        <f t="shared" si="20"/>
        <v>0</v>
      </c>
      <c r="L48" s="23">
        <f t="shared" si="20"/>
        <v>0</v>
      </c>
      <c r="M48" s="23">
        <f t="shared" si="20"/>
        <v>0</v>
      </c>
      <c r="N48" s="23">
        <f t="shared" si="20"/>
        <v>0</v>
      </c>
      <c r="O48" s="23">
        <f t="shared" si="20"/>
        <v>0</v>
      </c>
      <c r="P48" s="23">
        <f t="shared" si="20"/>
        <v>1080393.2280403457</v>
      </c>
    </row>
    <row r="49" spans="1:16" x14ac:dyDescent="0.3">
      <c r="A49" s="8"/>
      <c r="B49" s="2"/>
      <c r="C49" s="8"/>
      <c r="D49" s="15"/>
      <c r="E49" s="15"/>
      <c r="F49" s="15"/>
      <c r="G49" s="15"/>
      <c r="H49" s="15"/>
      <c r="I49" s="15"/>
      <c r="J49" s="15"/>
      <c r="K49" s="15"/>
      <c r="L49" s="15"/>
      <c r="M49" s="15"/>
      <c r="N49" s="15"/>
      <c r="O49" s="15"/>
      <c r="P49" s="40"/>
    </row>
    <row r="50" spans="1:16" x14ac:dyDescent="0.3">
      <c r="A50" s="8">
        <v>26</v>
      </c>
      <c r="B50" s="2" t="s">
        <v>44</v>
      </c>
      <c r="C50" s="8" t="str">
        <f>"Σ(("&amp;A$44&amp;") ~ ("&amp;A47&amp;"))"</f>
        <v>Σ((23) ~ (25))</v>
      </c>
      <c r="D50" s="14">
        <f>D44+D45+D47</f>
        <v>1187927.2389201226</v>
      </c>
      <c r="E50" s="14">
        <f>D50+E44+E45+E47</f>
        <v>1088197.4153236512</v>
      </c>
      <c r="F50" s="14">
        <f t="shared" ref="F50:N50" si="21">E50+F44+F45+F47</f>
        <v>1080393.2280403457</v>
      </c>
      <c r="G50" s="14">
        <f t="shared" si="21"/>
        <v>1080393.2280403457</v>
      </c>
      <c r="H50" s="14">
        <f t="shared" si="21"/>
        <v>1080393.2280403457</v>
      </c>
      <c r="I50" s="14">
        <f t="shared" si="21"/>
        <v>1080393.2280403457</v>
      </c>
      <c r="J50" s="14">
        <f t="shared" si="21"/>
        <v>1080393.2280403457</v>
      </c>
      <c r="K50" s="14">
        <f t="shared" si="21"/>
        <v>1080393.2280403457</v>
      </c>
      <c r="L50" s="14">
        <f t="shared" si="21"/>
        <v>1080393.2280403457</v>
      </c>
      <c r="M50" s="14">
        <f t="shared" si="21"/>
        <v>1080393.2280403457</v>
      </c>
      <c r="N50" s="14">
        <f t="shared" si="21"/>
        <v>1080393.2280403457</v>
      </c>
      <c r="O50" s="24">
        <f>N50+O44+O45+O47</f>
        <v>1080393.2280403457</v>
      </c>
      <c r="P50" s="40"/>
    </row>
    <row r="51" spans="1:16" x14ac:dyDescent="0.3">
      <c r="A51" s="8"/>
      <c r="B51" s="2"/>
      <c r="C51" s="8"/>
      <c r="D51" s="14"/>
      <c r="E51" s="14"/>
      <c r="F51" s="14"/>
      <c r="G51" s="14"/>
      <c r="H51" s="14"/>
      <c r="I51" s="14"/>
      <c r="J51" s="14"/>
      <c r="K51" s="14"/>
      <c r="L51" s="14"/>
      <c r="M51" s="14"/>
      <c r="N51" s="14"/>
      <c r="O51" s="46"/>
      <c r="P51" s="40"/>
    </row>
    <row r="52" spans="1:16" hidden="1" x14ac:dyDescent="0.3">
      <c r="A52" s="8"/>
      <c r="B52" s="2"/>
      <c r="C52" s="2"/>
      <c r="D52" s="2"/>
      <c r="E52" s="2"/>
      <c r="F52" s="2"/>
      <c r="G52" s="2"/>
      <c r="H52" s="2"/>
      <c r="I52" s="2"/>
      <c r="J52" s="2"/>
      <c r="K52" s="2"/>
      <c r="L52" s="2"/>
      <c r="M52" s="2"/>
      <c r="N52" s="2"/>
      <c r="O52" s="2"/>
      <c r="P52" s="2"/>
    </row>
    <row r="53" spans="1:16" x14ac:dyDescent="0.3">
      <c r="A53" s="8">
        <v>25</v>
      </c>
      <c r="B53" s="2" t="s">
        <v>58</v>
      </c>
      <c r="C53" s="8" t="str">
        <f>"("&amp;A$27&amp;") + ("&amp;A50&amp;")"</f>
        <v>(13) + (26)</v>
      </c>
      <c r="D53" s="40">
        <f>D27+D50</f>
        <v>8316.134276869474</v>
      </c>
      <c r="E53" s="40">
        <f t="shared" ref="E53:O53" si="22">E27+E50</f>
        <v>2336154.2042929884</v>
      </c>
      <c r="F53" s="40">
        <f t="shared" si="22"/>
        <v>3879988.4334193319</v>
      </c>
      <c r="G53" s="40">
        <f t="shared" si="22"/>
        <v>3879988.4334193319</v>
      </c>
      <c r="H53" s="40">
        <f t="shared" si="22"/>
        <v>3879988.4334193319</v>
      </c>
      <c r="I53" s="40">
        <f t="shared" si="22"/>
        <v>3879988.4334193319</v>
      </c>
      <c r="J53" s="40">
        <f t="shared" si="22"/>
        <v>3879988.4334193319</v>
      </c>
      <c r="K53" s="40">
        <f t="shared" si="22"/>
        <v>3879988.4334193319</v>
      </c>
      <c r="L53" s="40">
        <f t="shared" si="22"/>
        <v>3879988.4334193319</v>
      </c>
      <c r="M53" s="40">
        <f t="shared" si="22"/>
        <v>3879988.4334193319</v>
      </c>
      <c r="N53" s="40">
        <f t="shared" si="22"/>
        <v>3879988.4334193319</v>
      </c>
      <c r="O53" s="47">
        <f t="shared" si="22"/>
        <v>3879988.4334193319</v>
      </c>
      <c r="P53" s="2"/>
    </row>
  </sheetData>
  <mergeCells count="3">
    <mergeCell ref="A1:P1"/>
    <mergeCell ref="A2:P2"/>
    <mergeCell ref="A3:P3"/>
  </mergeCells>
  <pageMargins left="0.7" right="0.56000000000000005" top="1.08"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topLeftCell="A14" zoomScaleNormal="100" workbookViewId="0">
      <selection activeCell="L17" sqref="L17:U20"/>
    </sheetView>
  </sheetViews>
  <sheetFormatPr defaultRowHeight="14.4" x14ac:dyDescent="0.3"/>
  <cols>
    <col min="1" max="1" width="7.21875" customWidth="1"/>
    <col min="2" max="2" width="37.88671875" customWidth="1"/>
    <col min="3" max="3" width="15" customWidth="1"/>
    <col min="4" max="4" width="11.5546875" customWidth="1"/>
    <col min="5" max="5" width="11.33203125" customWidth="1"/>
    <col min="6" max="6" width="11.77734375" customWidth="1"/>
    <col min="7" max="15" width="0" hidden="1" customWidth="1"/>
    <col min="16" max="16" width="13.21875" customWidth="1"/>
  </cols>
  <sheetData>
    <row r="1" spans="1:16" ht="15.6" x14ac:dyDescent="0.3">
      <c r="A1" s="79" t="s">
        <v>0</v>
      </c>
      <c r="B1" s="79"/>
      <c r="C1" s="79"/>
      <c r="D1" s="79"/>
      <c r="E1" s="79"/>
      <c r="F1" s="79"/>
      <c r="G1" s="79"/>
      <c r="H1" s="79"/>
      <c r="I1" s="79"/>
      <c r="J1" s="79"/>
      <c r="K1" s="79"/>
      <c r="L1" s="79"/>
      <c r="M1" s="79"/>
      <c r="N1" s="79"/>
      <c r="O1" s="79"/>
      <c r="P1" s="79"/>
    </row>
    <row r="2" spans="1:16" ht="17.399999999999999" x14ac:dyDescent="0.3">
      <c r="A2" s="80" t="s">
        <v>1</v>
      </c>
      <c r="B2" s="80"/>
      <c r="C2" s="80"/>
      <c r="D2" s="80"/>
      <c r="E2" s="80"/>
      <c r="F2" s="80"/>
      <c r="G2" s="80"/>
      <c r="H2" s="80"/>
      <c r="I2" s="80"/>
      <c r="J2" s="80"/>
      <c r="K2" s="80"/>
      <c r="L2" s="80"/>
      <c r="M2" s="80"/>
      <c r="N2" s="80"/>
      <c r="O2" s="80"/>
      <c r="P2" s="80"/>
    </row>
    <row r="3" spans="1:16" ht="15.6" x14ac:dyDescent="0.3">
      <c r="A3" s="81" t="s">
        <v>2</v>
      </c>
      <c r="B3" s="81"/>
      <c r="C3" s="81"/>
      <c r="D3" s="81"/>
      <c r="E3" s="81"/>
      <c r="F3" s="81"/>
      <c r="G3" s="81"/>
      <c r="H3" s="81"/>
      <c r="I3" s="81"/>
      <c r="J3" s="81"/>
      <c r="K3" s="81"/>
      <c r="L3" s="81"/>
      <c r="M3" s="81"/>
      <c r="N3" s="81"/>
      <c r="O3" s="81"/>
      <c r="P3" s="81"/>
    </row>
    <row r="4" spans="1:16" ht="15.6" x14ac:dyDescent="0.3">
      <c r="A4" s="30"/>
      <c r="B4" s="29"/>
      <c r="C4" s="29"/>
      <c r="D4" s="29"/>
      <c r="E4" s="29"/>
      <c r="F4" s="29"/>
      <c r="G4" s="29"/>
      <c r="H4" s="29"/>
      <c r="I4" s="29"/>
      <c r="J4" s="29"/>
      <c r="K4" s="29"/>
      <c r="L4" s="29"/>
      <c r="M4" s="29"/>
      <c r="N4" s="29"/>
      <c r="O4" s="29"/>
      <c r="P4" s="1"/>
    </row>
    <row r="5" spans="1:16" x14ac:dyDescent="0.3">
      <c r="A5" s="2"/>
      <c r="B5" s="2"/>
      <c r="C5" s="2"/>
      <c r="D5" s="3" t="s">
        <v>3</v>
      </c>
      <c r="E5" s="3" t="s">
        <v>3</v>
      </c>
      <c r="F5" s="2"/>
      <c r="G5" s="2"/>
      <c r="H5" s="2"/>
      <c r="I5" s="2"/>
      <c r="J5" s="2"/>
      <c r="K5" s="2"/>
      <c r="L5" s="2"/>
      <c r="M5" s="2"/>
      <c r="N5" s="2"/>
      <c r="O5" s="2"/>
      <c r="P5" s="77" t="s">
        <v>46</v>
      </c>
    </row>
    <row r="6" spans="1:16" ht="26.4" x14ac:dyDescent="0.3">
      <c r="A6" s="4" t="s">
        <v>4</v>
      </c>
      <c r="B6" s="5"/>
      <c r="C6" s="6" t="s">
        <v>5</v>
      </c>
      <c r="D6" s="7">
        <v>42005</v>
      </c>
      <c r="E6" s="7">
        <f t="shared" ref="E6:O6" si="0">EDATE(D6,1)</f>
        <v>42036</v>
      </c>
      <c r="F6" s="7">
        <f t="shared" si="0"/>
        <v>42064</v>
      </c>
      <c r="G6" s="7">
        <f t="shared" si="0"/>
        <v>42095</v>
      </c>
      <c r="H6" s="7">
        <f t="shared" si="0"/>
        <v>42125</v>
      </c>
      <c r="I6" s="7">
        <f t="shared" si="0"/>
        <v>42156</v>
      </c>
      <c r="J6" s="7">
        <f t="shared" si="0"/>
        <v>42186</v>
      </c>
      <c r="K6" s="7">
        <f t="shared" si="0"/>
        <v>42217</v>
      </c>
      <c r="L6" s="7">
        <f t="shared" si="0"/>
        <v>42248</v>
      </c>
      <c r="M6" s="7">
        <f t="shared" si="0"/>
        <v>42278</v>
      </c>
      <c r="N6" s="7">
        <f t="shared" si="0"/>
        <v>42309</v>
      </c>
      <c r="O6" s="7">
        <f t="shared" si="0"/>
        <v>42339</v>
      </c>
      <c r="P6" s="7" t="s">
        <v>6</v>
      </c>
    </row>
    <row r="7" spans="1:16" x14ac:dyDescent="0.3">
      <c r="A7" s="8"/>
      <c r="B7" s="8" t="s">
        <v>7</v>
      </c>
      <c r="C7" s="8" t="s">
        <v>8</v>
      </c>
      <c r="D7" s="8" t="s">
        <v>9</v>
      </c>
      <c r="E7" s="8" t="s">
        <v>10</v>
      </c>
      <c r="F7" s="8" t="s">
        <v>11</v>
      </c>
      <c r="G7" s="8" t="s">
        <v>12</v>
      </c>
      <c r="H7" s="8" t="s">
        <v>13</v>
      </c>
      <c r="I7" s="8" t="s">
        <v>14</v>
      </c>
      <c r="J7" s="8" t="s">
        <v>15</v>
      </c>
      <c r="K7" s="8" t="s">
        <v>16</v>
      </c>
      <c r="L7" s="8" t="s">
        <v>17</v>
      </c>
      <c r="M7" s="8" t="s">
        <v>18</v>
      </c>
      <c r="N7" s="8" t="s">
        <v>19</v>
      </c>
      <c r="O7" s="8" t="s">
        <v>20</v>
      </c>
      <c r="P7" s="8" t="s">
        <v>21</v>
      </c>
    </row>
    <row r="8" spans="1:16" x14ac:dyDescent="0.3">
      <c r="A8" s="8"/>
      <c r="B8" s="3" t="s">
        <v>22</v>
      </c>
      <c r="C8" s="8"/>
      <c r="D8" s="8"/>
      <c r="E8" s="8"/>
      <c r="F8" s="8"/>
      <c r="G8" s="8"/>
      <c r="H8" s="8"/>
      <c r="I8" s="8"/>
      <c r="J8" s="8"/>
      <c r="K8" s="8"/>
      <c r="L8" s="8"/>
      <c r="M8" s="8"/>
      <c r="N8" s="8"/>
      <c r="O8" s="8"/>
      <c r="P8" s="1"/>
    </row>
    <row r="9" spans="1:16" x14ac:dyDescent="0.3">
      <c r="A9" s="8">
        <v>1</v>
      </c>
      <c r="B9" s="2" t="s">
        <v>23</v>
      </c>
      <c r="C9" s="8" t="s">
        <v>24</v>
      </c>
      <c r="D9" s="9">
        <v>150806</v>
      </c>
      <c r="E9" s="9">
        <v>150842</v>
      </c>
      <c r="F9" s="9">
        <v>150516</v>
      </c>
      <c r="G9" s="9"/>
      <c r="H9" s="9"/>
      <c r="I9" s="9"/>
      <c r="J9" s="9"/>
      <c r="K9" s="9"/>
      <c r="L9" s="9"/>
      <c r="M9" s="9"/>
      <c r="N9" s="9"/>
      <c r="O9" s="9"/>
      <c r="P9" s="9"/>
    </row>
    <row r="10" spans="1:16" x14ac:dyDescent="0.3">
      <c r="A10" s="10">
        <f t="shared" ref="A10:A11" si="1">A9+1</f>
        <v>2</v>
      </c>
      <c r="B10" s="11" t="s">
        <v>25</v>
      </c>
      <c r="C10" s="8" t="s">
        <v>26</v>
      </c>
      <c r="D10" s="12">
        <v>48.137706084246098</v>
      </c>
      <c r="E10" s="12">
        <v>40.073388678350121</v>
      </c>
      <c r="F10" s="13">
        <v>34.218369443102773</v>
      </c>
      <c r="G10" s="13">
        <v>22.042735795876393</v>
      </c>
      <c r="H10" s="13">
        <v>12.281032305897392</v>
      </c>
      <c r="I10" s="13">
        <v>8.0888741834433677</v>
      </c>
      <c r="J10" s="13">
        <v>5.8833305156034115</v>
      </c>
      <c r="K10" s="13">
        <v>5.3354769369810153</v>
      </c>
      <c r="L10" s="13">
        <v>6.9655167030544396</v>
      </c>
      <c r="M10" s="13">
        <v>16.602087047119149</v>
      </c>
      <c r="N10" s="13">
        <v>33.14327239241473</v>
      </c>
      <c r="O10" s="13">
        <v>47.508209913911003</v>
      </c>
      <c r="P10" s="12"/>
    </row>
    <row r="11" spans="1:16" x14ac:dyDescent="0.3">
      <c r="A11" s="8">
        <f t="shared" si="1"/>
        <v>3</v>
      </c>
      <c r="B11" s="2" t="s">
        <v>27</v>
      </c>
      <c r="C11" s="8" t="str">
        <f>"("&amp;A9&amp;") x ("&amp;A10&amp;")"</f>
        <v>(1) x (2)</v>
      </c>
      <c r="D11" s="14">
        <f t="shared" ref="D11:O11" si="2">D9*D10</f>
        <v>7259454.9037408167</v>
      </c>
      <c r="E11" s="14">
        <f t="shared" si="2"/>
        <v>6044750.0950196888</v>
      </c>
      <c r="F11" s="14">
        <f t="shared" si="2"/>
        <v>5150412.0950980568</v>
      </c>
      <c r="G11" s="14">
        <f t="shared" si="2"/>
        <v>0</v>
      </c>
      <c r="H11" s="14">
        <f t="shared" si="2"/>
        <v>0</v>
      </c>
      <c r="I11" s="14">
        <f t="shared" si="2"/>
        <v>0</v>
      </c>
      <c r="J11" s="14">
        <f t="shared" si="2"/>
        <v>0</v>
      </c>
      <c r="K11" s="14">
        <f t="shared" si="2"/>
        <v>0</v>
      </c>
      <c r="L11" s="14">
        <f t="shared" si="2"/>
        <v>0</v>
      </c>
      <c r="M11" s="14">
        <f t="shared" si="2"/>
        <v>0</v>
      </c>
      <c r="N11" s="14">
        <f t="shared" si="2"/>
        <v>0</v>
      </c>
      <c r="O11" s="14">
        <f t="shared" si="2"/>
        <v>0</v>
      </c>
      <c r="P11" s="14">
        <f>SUM(D11:O11)</f>
        <v>18454617.093858562</v>
      </c>
    </row>
    <row r="12" spans="1:16" x14ac:dyDescent="0.3">
      <c r="A12" s="8"/>
      <c r="B12" s="2"/>
      <c r="C12" s="8"/>
      <c r="D12" s="15"/>
      <c r="E12" s="15"/>
      <c r="F12" s="15"/>
      <c r="G12" s="15"/>
      <c r="H12" s="15"/>
      <c r="I12" s="15"/>
      <c r="J12" s="15"/>
      <c r="K12" s="15"/>
      <c r="L12" s="15"/>
      <c r="M12" s="15"/>
      <c r="N12" s="15"/>
      <c r="O12" s="15"/>
      <c r="P12" s="15"/>
    </row>
    <row r="13" spans="1:16" x14ac:dyDescent="0.3">
      <c r="A13" s="8">
        <v>4</v>
      </c>
      <c r="B13" s="16" t="s">
        <v>28</v>
      </c>
      <c r="C13" s="8" t="s">
        <v>24</v>
      </c>
      <c r="D13" s="17">
        <v>9163508.7650715783</v>
      </c>
      <c r="E13" s="17">
        <v>5564097.0273399986</v>
      </c>
      <c r="F13" s="17">
        <v>5529315.9960999992</v>
      </c>
      <c r="G13" s="17"/>
      <c r="H13" s="17"/>
      <c r="I13" s="17"/>
      <c r="J13" s="17"/>
      <c r="K13" s="17"/>
      <c r="L13" s="17"/>
      <c r="M13" s="17"/>
      <c r="N13" s="17"/>
      <c r="O13" s="17"/>
      <c r="P13" s="17"/>
    </row>
    <row r="14" spans="1:16" x14ac:dyDescent="0.3">
      <c r="A14" s="8">
        <v>5</v>
      </c>
      <c r="B14" s="2" t="s">
        <v>29</v>
      </c>
      <c r="C14" s="8" t="s">
        <v>24</v>
      </c>
      <c r="D14" s="17">
        <v>1357254</v>
      </c>
      <c r="E14" s="17">
        <v>1357578</v>
      </c>
      <c r="F14" s="17">
        <v>1354644</v>
      </c>
      <c r="G14" s="17"/>
      <c r="H14" s="17"/>
      <c r="I14" s="17"/>
      <c r="J14" s="17"/>
      <c r="K14" s="17"/>
      <c r="L14" s="17"/>
      <c r="M14" s="17"/>
      <c r="N14" s="17"/>
      <c r="O14" s="17"/>
      <c r="P14" s="17"/>
    </row>
    <row r="15" spans="1:16" x14ac:dyDescent="0.3">
      <c r="A15" s="8">
        <v>6</v>
      </c>
      <c r="B15" s="2" t="s">
        <v>30</v>
      </c>
      <c r="C15" s="8" t="str">
        <f>"("&amp;A13&amp;") - ("&amp;A14&amp;")"</f>
        <v>(4) - (5)</v>
      </c>
      <c r="D15" s="14">
        <f>D13-D14</f>
        <v>7806254.7650715783</v>
      </c>
      <c r="E15" s="14">
        <f t="shared" ref="E15:O15" si="3">E13-E14</f>
        <v>4206519.0273399986</v>
      </c>
      <c r="F15" s="14">
        <f t="shared" si="3"/>
        <v>4174671.9960999992</v>
      </c>
      <c r="G15" s="14">
        <f t="shared" si="3"/>
        <v>0</v>
      </c>
      <c r="H15" s="14">
        <f t="shared" si="3"/>
        <v>0</v>
      </c>
      <c r="I15" s="14">
        <f t="shared" si="3"/>
        <v>0</v>
      </c>
      <c r="J15" s="14">
        <f t="shared" si="3"/>
        <v>0</v>
      </c>
      <c r="K15" s="14">
        <f t="shared" si="3"/>
        <v>0</v>
      </c>
      <c r="L15" s="14">
        <f t="shared" si="3"/>
        <v>0</v>
      </c>
      <c r="M15" s="14">
        <f t="shared" si="3"/>
        <v>0</v>
      </c>
      <c r="N15" s="14">
        <f t="shared" si="3"/>
        <v>0</v>
      </c>
      <c r="O15" s="14">
        <f t="shared" si="3"/>
        <v>0</v>
      </c>
      <c r="P15" s="14">
        <f>SUM(D15:O15)</f>
        <v>16187445.788511576</v>
      </c>
    </row>
    <row r="16" spans="1:16" x14ac:dyDescent="0.3">
      <c r="A16" s="8"/>
      <c r="B16" s="18" t="s">
        <v>31</v>
      </c>
      <c r="C16" s="8"/>
      <c r="D16" s="12">
        <f>D15/D9</f>
        <v>51.76355559507963</v>
      </c>
      <c r="E16" s="12">
        <f>E15/E9</f>
        <v>27.88692159570941</v>
      </c>
      <c r="F16" s="12">
        <f>F15/F9</f>
        <v>27.735735709824862</v>
      </c>
      <c r="G16" s="2"/>
      <c r="H16" s="2"/>
      <c r="I16" s="2"/>
      <c r="J16" s="2"/>
      <c r="K16" s="2"/>
      <c r="L16" s="2"/>
      <c r="M16" s="2"/>
      <c r="N16" s="2"/>
      <c r="O16" s="2"/>
      <c r="P16" s="12"/>
    </row>
    <row r="17" spans="1:16" x14ac:dyDescent="0.3">
      <c r="A17" s="8">
        <v>7</v>
      </c>
      <c r="B17" s="2" t="s">
        <v>32</v>
      </c>
      <c r="C17" s="8" t="str">
        <f>"("&amp;A$11&amp;") - ("&amp;A15&amp;")"</f>
        <v>(3) - (6)</v>
      </c>
      <c r="D17" s="14">
        <f t="shared" ref="D17:O17" si="4">D11-D15</f>
        <v>-546799.86133076157</v>
      </c>
      <c r="E17" s="14">
        <f t="shared" si="4"/>
        <v>1838231.0676796902</v>
      </c>
      <c r="F17" s="14">
        <f t="shared" si="4"/>
        <v>975740.09899805766</v>
      </c>
      <c r="G17" s="14">
        <f t="shared" si="4"/>
        <v>0</v>
      </c>
      <c r="H17" s="14">
        <f t="shared" si="4"/>
        <v>0</v>
      </c>
      <c r="I17" s="14">
        <f t="shared" si="4"/>
        <v>0</v>
      </c>
      <c r="J17" s="14">
        <f t="shared" si="4"/>
        <v>0</v>
      </c>
      <c r="K17" s="14">
        <f t="shared" si="4"/>
        <v>0</v>
      </c>
      <c r="L17" s="14">
        <f t="shared" si="4"/>
        <v>0</v>
      </c>
      <c r="M17" s="14">
        <f t="shared" si="4"/>
        <v>0</v>
      </c>
      <c r="N17" s="14">
        <f t="shared" si="4"/>
        <v>0</v>
      </c>
      <c r="O17" s="14">
        <f t="shared" si="4"/>
        <v>0</v>
      </c>
      <c r="P17" s="14">
        <f t="shared" ref="P17:P20" si="5">SUM(D17:O17)</f>
        <v>2267171.3053469863</v>
      </c>
    </row>
    <row r="18" spans="1:16" x14ac:dyDescent="0.3">
      <c r="A18" s="8">
        <v>8</v>
      </c>
      <c r="B18" s="2" t="s">
        <v>33</v>
      </c>
      <c r="C18" s="8" t="s">
        <v>34</v>
      </c>
      <c r="D18" s="14">
        <f>D17*-0.044797</f>
        <v>24494.993388034123</v>
      </c>
      <c r="E18" s="14">
        <f t="shared" ref="E18:O18" si="6">E17*-0.044797</f>
        <v>-82347.237138847078</v>
      </c>
      <c r="F18" s="14">
        <f t="shared" si="6"/>
        <v>-43710.229214815983</v>
      </c>
      <c r="G18" s="14">
        <f t="shared" si="6"/>
        <v>0</v>
      </c>
      <c r="H18" s="14">
        <f t="shared" si="6"/>
        <v>0</v>
      </c>
      <c r="I18" s="14">
        <f t="shared" si="6"/>
        <v>0</v>
      </c>
      <c r="J18" s="14">
        <f t="shared" si="6"/>
        <v>0</v>
      </c>
      <c r="K18" s="14">
        <f t="shared" si="6"/>
        <v>0</v>
      </c>
      <c r="L18" s="14">
        <f t="shared" si="6"/>
        <v>0</v>
      </c>
      <c r="M18" s="14">
        <f t="shared" si="6"/>
        <v>0</v>
      </c>
      <c r="N18" s="14">
        <f t="shared" si="6"/>
        <v>0</v>
      </c>
      <c r="O18" s="14">
        <f t="shared" si="6"/>
        <v>0</v>
      </c>
      <c r="P18" s="14">
        <f t="shared" si="5"/>
        <v>-101562.47296562893</v>
      </c>
    </row>
    <row r="19" spans="1:16" x14ac:dyDescent="0.3">
      <c r="A19" s="8"/>
      <c r="B19" s="2"/>
      <c r="C19" s="19" t="s">
        <v>35</v>
      </c>
      <c r="D19" s="20">
        <v>3.2500000000000001E-2</v>
      </c>
      <c r="E19" s="20">
        <f>D19</f>
        <v>3.2500000000000001E-2</v>
      </c>
      <c r="F19" s="20">
        <f>E19</f>
        <v>3.2500000000000001E-2</v>
      </c>
      <c r="G19" s="20">
        <v>0</v>
      </c>
      <c r="H19" s="20">
        <f>G19</f>
        <v>0</v>
      </c>
      <c r="I19" s="20">
        <f t="shared" ref="I19:O19" si="7">H19</f>
        <v>0</v>
      </c>
      <c r="J19" s="20">
        <f t="shared" si="7"/>
        <v>0</v>
      </c>
      <c r="K19" s="20">
        <f t="shared" si="7"/>
        <v>0</v>
      </c>
      <c r="L19" s="20">
        <f t="shared" si="7"/>
        <v>0</v>
      </c>
      <c r="M19" s="20">
        <f t="shared" si="7"/>
        <v>0</v>
      </c>
      <c r="N19" s="20">
        <f t="shared" si="7"/>
        <v>0</v>
      </c>
      <c r="O19" s="20">
        <f t="shared" si="7"/>
        <v>0</v>
      </c>
      <c r="P19" s="20"/>
    </row>
    <row r="20" spans="1:16" x14ac:dyDescent="0.3">
      <c r="A20" s="8">
        <v>9</v>
      </c>
      <c r="B20" s="2" t="s">
        <v>36</v>
      </c>
      <c r="C20" s="19" t="s">
        <v>37</v>
      </c>
      <c r="D20" s="21">
        <f>(D17+D18)/2*D19/12</f>
        <v>-707.28784200577684</v>
      </c>
      <c r="E20" s="21">
        <f>(D23+(E17+E18)/2)*E19/12</f>
        <v>961.2680986070726</v>
      </c>
      <c r="F20" s="21">
        <f>(E23+(F17+F18)/2)*F19/12</f>
        <v>4603.7546688963312</v>
      </c>
      <c r="G20" s="21">
        <f t="shared" ref="G20:O20" si="8">(F23+(G17+G18)/2)*G19/12</f>
        <v>0</v>
      </c>
      <c r="H20" s="21">
        <f t="shared" si="8"/>
        <v>0</v>
      </c>
      <c r="I20" s="21">
        <f t="shared" si="8"/>
        <v>0</v>
      </c>
      <c r="J20" s="21">
        <f t="shared" si="8"/>
        <v>0</v>
      </c>
      <c r="K20" s="21">
        <f t="shared" si="8"/>
        <v>0</v>
      </c>
      <c r="L20" s="21">
        <f t="shared" si="8"/>
        <v>0</v>
      </c>
      <c r="M20" s="21">
        <f t="shared" si="8"/>
        <v>0</v>
      </c>
      <c r="N20" s="21">
        <f t="shared" si="8"/>
        <v>0</v>
      </c>
      <c r="O20" s="21">
        <f t="shared" si="8"/>
        <v>0</v>
      </c>
      <c r="P20" s="21">
        <f t="shared" si="5"/>
        <v>4857.734925497627</v>
      </c>
    </row>
    <row r="21" spans="1:16" x14ac:dyDescent="0.3">
      <c r="A21" s="8"/>
      <c r="B21" s="22" t="s">
        <v>38</v>
      </c>
      <c r="C21" s="19"/>
      <c r="D21" s="23">
        <f>D17+D18+D20</f>
        <v>-523012.15578473324</v>
      </c>
      <c r="E21" s="23">
        <f t="shared" ref="E21:P21" si="9">E17+E18+E20</f>
        <v>1756845.09863945</v>
      </c>
      <c r="F21" s="23">
        <f t="shared" si="9"/>
        <v>936633.62445213797</v>
      </c>
      <c r="G21" s="23">
        <f t="shared" si="9"/>
        <v>0</v>
      </c>
      <c r="H21" s="23">
        <f t="shared" si="9"/>
        <v>0</v>
      </c>
      <c r="I21" s="23">
        <f t="shared" si="9"/>
        <v>0</v>
      </c>
      <c r="J21" s="23">
        <f t="shared" si="9"/>
        <v>0</v>
      </c>
      <c r="K21" s="23">
        <f t="shared" si="9"/>
        <v>0</v>
      </c>
      <c r="L21" s="23">
        <f t="shared" si="9"/>
        <v>0</v>
      </c>
      <c r="M21" s="23">
        <f t="shared" si="9"/>
        <v>0</v>
      </c>
      <c r="N21" s="23">
        <f t="shared" si="9"/>
        <v>0</v>
      </c>
      <c r="O21" s="23">
        <f t="shared" si="9"/>
        <v>0</v>
      </c>
      <c r="P21" s="23">
        <f t="shared" si="9"/>
        <v>2170466.5673068552</v>
      </c>
    </row>
    <row r="22" spans="1:16" x14ac:dyDescent="0.3">
      <c r="A22" s="8"/>
      <c r="B22" s="2"/>
      <c r="C22" s="8"/>
      <c r="D22" s="15"/>
      <c r="E22" s="15"/>
      <c r="F22" s="15"/>
      <c r="G22" s="15"/>
      <c r="H22" s="15"/>
      <c r="I22" s="15"/>
      <c r="J22" s="15"/>
      <c r="K22" s="15"/>
      <c r="L22" s="15"/>
      <c r="M22" s="15"/>
      <c r="N22" s="15"/>
      <c r="O22" s="15"/>
      <c r="P22" s="1"/>
    </row>
    <row r="23" spans="1:16" x14ac:dyDescent="0.3">
      <c r="A23" s="8">
        <v>10</v>
      </c>
      <c r="B23" s="2" t="s">
        <v>39</v>
      </c>
      <c r="C23" s="8" t="str">
        <f>"Σ(("&amp;A$17&amp;") + ("&amp;A20&amp;"))"</f>
        <v>Σ((7) + (9))</v>
      </c>
      <c r="D23" s="14">
        <f>D17+D18+D20</f>
        <v>-523012.15578473324</v>
      </c>
      <c r="E23" s="14">
        <f>D23+E17+E18+E20</f>
        <v>1233832.9428547169</v>
      </c>
      <c r="F23" s="14">
        <f t="shared" ref="F23:N23" si="10">E23+F17+F18+F20</f>
        <v>2170466.5673068552</v>
      </c>
      <c r="G23" s="14">
        <f t="shared" si="10"/>
        <v>2170466.5673068552</v>
      </c>
      <c r="H23" s="14">
        <f t="shared" si="10"/>
        <v>2170466.5673068552</v>
      </c>
      <c r="I23" s="14">
        <f t="shared" si="10"/>
        <v>2170466.5673068552</v>
      </c>
      <c r="J23" s="14">
        <f t="shared" si="10"/>
        <v>2170466.5673068552</v>
      </c>
      <c r="K23" s="14">
        <f t="shared" si="10"/>
        <v>2170466.5673068552</v>
      </c>
      <c r="L23" s="14">
        <f t="shared" si="10"/>
        <v>2170466.5673068552</v>
      </c>
      <c r="M23" s="14">
        <f t="shared" si="10"/>
        <v>2170466.5673068552</v>
      </c>
      <c r="N23" s="14">
        <f t="shared" si="10"/>
        <v>2170466.5673068552</v>
      </c>
      <c r="O23" s="24">
        <f>N23+O17+O18+O20</f>
        <v>2170466.5673068552</v>
      </c>
      <c r="P23" s="1"/>
    </row>
    <row r="24" spans="1:16" x14ac:dyDescent="0.3">
      <c r="A24" s="8"/>
      <c r="B24" s="2"/>
      <c r="C24" s="8"/>
      <c r="D24" s="15"/>
      <c r="E24" s="15"/>
      <c r="F24" s="15"/>
      <c r="G24" s="15"/>
      <c r="H24" s="15"/>
      <c r="I24" s="15"/>
      <c r="J24" s="15"/>
      <c r="K24" s="15"/>
      <c r="L24" s="15"/>
      <c r="M24" s="15"/>
      <c r="N24" s="15"/>
      <c r="O24" s="15"/>
      <c r="P24" s="1"/>
    </row>
    <row r="25" spans="1:16" x14ac:dyDescent="0.3">
      <c r="A25" s="8"/>
      <c r="B25" s="2"/>
      <c r="C25" s="8"/>
      <c r="D25" s="14"/>
      <c r="E25" s="14"/>
      <c r="F25" s="14"/>
      <c r="G25" s="14"/>
      <c r="H25" s="14"/>
      <c r="I25" s="14"/>
      <c r="J25" s="14"/>
      <c r="K25" s="14"/>
      <c r="L25" s="14"/>
      <c r="M25" s="14"/>
      <c r="N25" s="14"/>
      <c r="O25" s="14"/>
      <c r="P25" s="1"/>
    </row>
    <row r="26" spans="1:16" x14ac:dyDescent="0.3">
      <c r="A26" s="8"/>
      <c r="B26" s="2"/>
      <c r="C26" s="8"/>
      <c r="D26" s="14"/>
      <c r="E26" s="14"/>
      <c r="F26" s="14"/>
      <c r="G26" s="14"/>
      <c r="H26" s="14"/>
      <c r="I26" s="14"/>
      <c r="J26" s="14"/>
      <c r="K26" s="14"/>
      <c r="L26" s="14"/>
      <c r="M26" s="14"/>
      <c r="N26" s="14"/>
      <c r="O26" s="14"/>
      <c r="P26" s="1"/>
    </row>
    <row r="27" spans="1:16" x14ac:dyDescent="0.3">
      <c r="A27" s="8"/>
      <c r="B27" s="3" t="s">
        <v>40</v>
      </c>
      <c r="C27" s="8"/>
      <c r="D27" s="8"/>
      <c r="E27" s="8"/>
      <c r="F27" s="8"/>
      <c r="G27" s="8"/>
      <c r="H27" s="8"/>
      <c r="I27" s="8"/>
      <c r="J27" s="8"/>
      <c r="K27" s="8"/>
      <c r="L27" s="8"/>
      <c r="M27" s="8"/>
      <c r="N27" s="8"/>
      <c r="O27" s="8"/>
      <c r="P27" s="1"/>
    </row>
    <row r="28" spans="1:16" x14ac:dyDescent="0.3">
      <c r="A28" s="8">
        <v>11</v>
      </c>
      <c r="B28" s="2" t="s">
        <v>23</v>
      </c>
      <c r="C28" s="8" t="s">
        <v>24</v>
      </c>
      <c r="D28" s="9">
        <v>2622</v>
      </c>
      <c r="E28" s="9">
        <v>2634</v>
      </c>
      <c r="F28" s="9">
        <v>2688</v>
      </c>
      <c r="G28" s="9"/>
      <c r="H28" s="9"/>
      <c r="I28" s="9"/>
      <c r="J28" s="9"/>
      <c r="K28" s="9"/>
      <c r="L28" s="9"/>
      <c r="M28" s="9"/>
      <c r="N28" s="9"/>
      <c r="O28" s="9"/>
      <c r="P28" s="9"/>
    </row>
    <row r="29" spans="1:16" x14ac:dyDescent="0.3">
      <c r="A29" s="10">
        <v>12</v>
      </c>
      <c r="B29" s="11" t="s">
        <v>25</v>
      </c>
      <c r="C29" s="8" t="s">
        <v>26</v>
      </c>
      <c r="D29" s="25">
        <v>642.23525919067015</v>
      </c>
      <c r="E29" s="25">
        <v>547.49948301856114</v>
      </c>
      <c r="F29" s="13">
        <v>491.15466582936881</v>
      </c>
      <c r="G29" s="13">
        <v>334.58697461438828</v>
      </c>
      <c r="H29" s="13">
        <v>208.08129936813936</v>
      </c>
      <c r="I29" s="13">
        <v>166.52662349562945</v>
      </c>
      <c r="J29" s="13">
        <v>142.14700255957811</v>
      </c>
      <c r="K29" s="13">
        <v>156.16362568722522</v>
      </c>
      <c r="L29" s="13">
        <v>211.98631991522504</v>
      </c>
      <c r="M29" s="13">
        <v>390.54187068635031</v>
      </c>
      <c r="N29" s="13">
        <v>557.50859652134125</v>
      </c>
      <c r="O29" s="13">
        <v>660.89827911352268</v>
      </c>
      <c r="P29" s="25"/>
    </row>
    <row r="30" spans="1:16" x14ac:dyDescent="0.3">
      <c r="A30" s="8">
        <v>13</v>
      </c>
      <c r="B30" s="2" t="s">
        <v>27</v>
      </c>
      <c r="C30" s="8" t="str">
        <f>"("&amp;A28&amp;") x ("&amp;A29&amp;")"</f>
        <v>(11) x (12)</v>
      </c>
      <c r="D30" s="14">
        <f t="shared" ref="D30:O30" si="11">D28*D29</f>
        <v>1683940.8495979372</v>
      </c>
      <c r="E30" s="14">
        <f t="shared" si="11"/>
        <v>1442113.6382708901</v>
      </c>
      <c r="F30" s="14">
        <f t="shared" si="11"/>
        <v>1320223.7417493435</v>
      </c>
      <c r="G30" s="14">
        <f t="shared" si="11"/>
        <v>0</v>
      </c>
      <c r="H30" s="14">
        <f t="shared" si="11"/>
        <v>0</v>
      </c>
      <c r="I30" s="14">
        <f t="shared" si="11"/>
        <v>0</v>
      </c>
      <c r="J30" s="14">
        <f t="shared" si="11"/>
        <v>0</v>
      </c>
      <c r="K30" s="14">
        <f t="shared" si="11"/>
        <v>0</v>
      </c>
      <c r="L30" s="14">
        <f t="shared" si="11"/>
        <v>0</v>
      </c>
      <c r="M30" s="14">
        <f t="shared" si="11"/>
        <v>0</v>
      </c>
      <c r="N30" s="14">
        <f t="shared" si="11"/>
        <v>0</v>
      </c>
      <c r="O30" s="14">
        <f t="shared" si="11"/>
        <v>0</v>
      </c>
      <c r="P30" s="14">
        <f>SUM(D30:O30)</f>
        <v>4446278.2296181712</v>
      </c>
    </row>
    <row r="31" spans="1:16" x14ac:dyDescent="0.3">
      <c r="A31" s="8"/>
      <c r="B31" s="2"/>
      <c r="C31" s="8"/>
      <c r="D31" s="15"/>
      <c r="E31" s="15"/>
      <c r="F31" s="15"/>
      <c r="G31" s="15"/>
      <c r="H31" s="15"/>
      <c r="I31" s="15"/>
      <c r="J31" s="15"/>
      <c r="K31" s="15"/>
      <c r="L31" s="15"/>
      <c r="M31" s="15"/>
      <c r="N31" s="15"/>
      <c r="O31" s="15"/>
      <c r="P31" s="15"/>
    </row>
    <row r="32" spans="1:16" x14ac:dyDescent="0.3">
      <c r="A32" s="8">
        <v>14</v>
      </c>
      <c r="B32" s="16" t="s">
        <v>28</v>
      </c>
      <c r="C32" s="8" t="s">
        <v>24</v>
      </c>
      <c r="D32" s="17">
        <v>1739453.4398748712</v>
      </c>
      <c r="E32" s="17">
        <v>1533381.22603</v>
      </c>
      <c r="F32" s="17">
        <v>1343015.4651600004</v>
      </c>
      <c r="G32" s="17"/>
      <c r="H32" s="17"/>
      <c r="I32" s="17"/>
      <c r="J32" s="17"/>
      <c r="K32" s="17"/>
      <c r="L32" s="17"/>
      <c r="M32" s="17"/>
      <c r="N32" s="17"/>
      <c r="O32" s="17"/>
      <c r="P32" s="17"/>
    </row>
    <row r="33" spans="1:16" x14ac:dyDescent="0.3">
      <c r="A33" s="8">
        <v>15</v>
      </c>
      <c r="B33" s="2" t="s">
        <v>29</v>
      </c>
      <c r="C33" s="8" t="s">
        <v>24</v>
      </c>
      <c r="D33" s="17">
        <v>231552.08000000002</v>
      </c>
      <c r="E33" s="17">
        <v>232468.36000000002</v>
      </c>
      <c r="F33" s="17">
        <v>237296.72</v>
      </c>
      <c r="G33" s="17"/>
      <c r="H33" s="17"/>
      <c r="I33" s="17"/>
      <c r="J33" s="17"/>
      <c r="K33" s="17"/>
      <c r="L33" s="17"/>
      <c r="M33" s="17"/>
      <c r="N33" s="17"/>
      <c r="O33" s="17"/>
      <c r="P33" s="17"/>
    </row>
    <row r="34" spans="1:16" x14ac:dyDescent="0.3">
      <c r="A34" s="8">
        <v>16</v>
      </c>
      <c r="B34" s="2" t="s">
        <v>30</v>
      </c>
      <c r="C34" s="8" t="str">
        <f>"("&amp;A32&amp;") - ("&amp;A33&amp;")"</f>
        <v>(14) - (15)</v>
      </c>
      <c r="D34" s="14">
        <f t="shared" ref="D34:O34" si="12">D32-D33</f>
        <v>1507901.3598748711</v>
      </c>
      <c r="E34" s="14">
        <f t="shared" si="12"/>
        <v>1300912.8660299999</v>
      </c>
      <c r="F34" s="14">
        <f t="shared" si="12"/>
        <v>1105718.7451600004</v>
      </c>
      <c r="G34" s="14">
        <f t="shared" si="12"/>
        <v>0</v>
      </c>
      <c r="H34" s="14">
        <f t="shared" si="12"/>
        <v>0</v>
      </c>
      <c r="I34" s="14">
        <f t="shared" si="12"/>
        <v>0</v>
      </c>
      <c r="J34" s="14">
        <f t="shared" si="12"/>
        <v>0</v>
      </c>
      <c r="K34" s="14">
        <f t="shared" si="12"/>
        <v>0</v>
      </c>
      <c r="L34" s="14">
        <f t="shared" si="12"/>
        <v>0</v>
      </c>
      <c r="M34" s="14">
        <f t="shared" si="12"/>
        <v>0</v>
      </c>
      <c r="N34" s="14">
        <f t="shared" si="12"/>
        <v>0</v>
      </c>
      <c r="O34" s="14">
        <f t="shared" si="12"/>
        <v>0</v>
      </c>
      <c r="P34" s="14">
        <f>SUM(D34:O34)</f>
        <v>3914532.9710648712</v>
      </c>
    </row>
    <row r="35" spans="1:16" x14ac:dyDescent="0.3">
      <c r="A35" s="8"/>
      <c r="B35" s="18" t="s">
        <v>41</v>
      </c>
      <c r="C35" s="8"/>
      <c r="D35" s="25">
        <f>D34/D28</f>
        <v>575.09586570361216</v>
      </c>
      <c r="E35" s="25">
        <f>E34/E28</f>
        <v>493.89250798405465</v>
      </c>
      <c r="F35" s="25">
        <f>F34/F28</f>
        <v>411.35369983630966</v>
      </c>
      <c r="G35" s="2"/>
      <c r="H35" s="2"/>
      <c r="I35" s="2"/>
      <c r="J35" s="2"/>
      <c r="K35" s="2"/>
      <c r="L35" s="2"/>
      <c r="M35" s="2"/>
      <c r="N35" s="2"/>
      <c r="O35" s="2"/>
      <c r="P35" s="25"/>
    </row>
    <row r="36" spans="1:16" x14ac:dyDescent="0.3">
      <c r="A36" s="8">
        <v>17</v>
      </c>
      <c r="B36" s="2" t="s">
        <v>32</v>
      </c>
      <c r="C36" s="8" t="str">
        <f>"("&amp;A30&amp;") - ("&amp;A34&amp;")"</f>
        <v>(13) - (16)</v>
      </c>
      <c r="D36" s="14">
        <f t="shared" ref="D36:O36" si="13">D30-D34</f>
        <v>176039.4897230661</v>
      </c>
      <c r="E36" s="14">
        <f t="shared" si="13"/>
        <v>141200.77224089019</v>
      </c>
      <c r="F36" s="14">
        <f t="shared" si="13"/>
        <v>214504.99658934306</v>
      </c>
      <c r="G36" s="14">
        <f t="shared" si="13"/>
        <v>0</v>
      </c>
      <c r="H36" s="14">
        <f t="shared" si="13"/>
        <v>0</v>
      </c>
      <c r="I36" s="14">
        <f t="shared" si="13"/>
        <v>0</v>
      </c>
      <c r="J36" s="14">
        <f t="shared" si="13"/>
        <v>0</v>
      </c>
      <c r="K36" s="14">
        <f t="shared" si="13"/>
        <v>0</v>
      </c>
      <c r="L36" s="14">
        <f t="shared" si="13"/>
        <v>0</v>
      </c>
      <c r="M36" s="14">
        <f t="shared" si="13"/>
        <v>0</v>
      </c>
      <c r="N36" s="14">
        <f t="shared" si="13"/>
        <v>0</v>
      </c>
      <c r="O36" s="14">
        <f t="shared" si="13"/>
        <v>0</v>
      </c>
      <c r="P36" s="14">
        <f t="shared" ref="P36:P39" si="14">SUM(D36:O36)</f>
        <v>531745.25855329935</v>
      </c>
    </row>
    <row r="37" spans="1:16" x14ac:dyDescent="0.3">
      <c r="A37" s="8">
        <v>18</v>
      </c>
      <c r="B37" s="2" t="s">
        <v>33</v>
      </c>
      <c r="C37" s="8" t="s">
        <v>34</v>
      </c>
      <c r="D37" s="14">
        <f>D36*-0.044797</f>
        <v>-7886.0410211241915</v>
      </c>
      <c r="E37" s="14">
        <f t="shared" ref="E37:O37" si="15">E36*-0.044797</f>
        <v>-6325.3709940751578</v>
      </c>
      <c r="F37" s="14">
        <f t="shared" si="15"/>
        <v>-9609.1803322127998</v>
      </c>
      <c r="G37" s="14">
        <f t="shared" si="15"/>
        <v>0</v>
      </c>
      <c r="H37" s="14">
        <f t="shared" si="15"/>
        <v>0</v>
      </c>
      <c r="I37" s="14">
        <f t="shared" si="15"/>
        <v>0</v>
      </c>
      <c r="J37" s="14">
        <f t="shared" si="15"/>
        <v>0</v>
      </c>
      <c r="K37" s="14">
        <f t="shared" si="15"/>
        <v>0</v>
      </c>
      <c r="L37" s="14">
        <f t="shared" si="15"/>
        <v>0</v>
      </c>
      <c r="M37" s="14">
        <f t="shared" si="15"/>
        <v>0</v>
      </c>
      <c r="N37" s="14">
        <f t="shared" si="15"/>
        <v>0</v>
      </c>
      <c r="O37" s="14">
        <f t="shared" si="15"/>
        <v>0</v>
      </c>
      <c r="P37" s="14">
        <f t="shared" si="14"/>
        <v>-23820.592347412148</v>
      </c>
    </row>
    <row r="38" spans="1:16" x14ac:dyDescent="0.3">
      <c r="A38" s="8"/>
      <c r="B38" s="2"/>
      <c r="C38" s="8" t="s">
        <v>35</v>
      </c>
      <c r="D38" s="20">
        <v>3.2500000000000001E-2</v>
      </c>
      <c r="E38" s="20">
        <f>D38</f>
        <v>3.2500000000000001E-2</v>
      </c>
      <c r="F38" s="20">
        <f>E38</f>
        <v>3.2500000000000001E-2</v>
      </c>
      <c r="G38" s="20">
        <v>0</v>
      </c>
      <c r="H38" s="20">
        <f>G38</f>
        <v>0</v>
      </c>
      <c r="I38" s="20">
        <f t="shared" ref="I38:O38" si="16">H38</f>
        <v>0</v>
      </c>
      <c r="J38" s="20">
        <f t="shared" si="16"/>
        <v>0</v>
      </c>
      <c r="K38" s="20">
        <f t="shared" si="16"/>
        <v>0</v>
      </c>
      <c r="L38" s="20">
        <f t="shared" si="16"/>
        <v>0</v>
      </c>
      <c r="M38" s="20">
        <f t="shared" si="16"/>
        <v>0</v>
      </c>
      <c r="N38" s="20">
        <f t="shared" si="16"/>
        <v>0</v>
      </c>
      <c r="O38" s="20">
        <f t="shared" si="16"/>
        <v>0</v>
      </c>
      <c r="P38" s="20"/>
    </row>
    <row r="39" spans="1:16" x14ac:dyDescent="0.3">
      <c r="A39" s="8">
        <v>19</v>
      </c>
      <c r="B39" s="2" t="s">
        <v>36</v>
      </c>
      <c r="C39" s="8" t="s">
        <v>42</v>
      </c>
      <c r="D39" s="21">
        <f>(D36+D37)/2*D38/12</f>
        <v>227.70779511721301</v>
      </c>
      <c r="E39" s="21">
        <f>(D42+(E36+E37)/2)*E38/12</f>
        <v>638.6760713679306</v>
      </c>
      <c r="F39" s="21">
        <f>(E42+(F36+F37)/2)*F38/12</f>
        <v>1100.5126760978112</v>
      </c>
      <c r="G39" s="21">
        <f t="shared" ref="G39:O39" si="17">(F42+(G36+G37)/2)*G38/12</f>
        <v>0</v>
      </c>
      <c r="H39" s="21">
        <f t="shared" si="17"/>
        <v>0</v>
      </c>
      <c r="I39" s="21">
        <f t="shared" si="17"/>
        <v>0</v>
      </c>
      <c r="J39" s="21">
        <f t="shared" si="17"/>
        <v>0</v>
      </c>
      <c r="K39" s="21">
        <f t="shared" si="17"/>
        <v>0</v>
      </c>
      <c r="L39" s="21">
        <f t="shared" si="17"/>
        <v>0</v>
      </c>
      <c r="M39" s="21">
        <f t="shared" si="17"/>
        <v>0</v>
      </c>
      <c r="N39" s="21">
        <f t="shared" si="17"/>
        <v>0</v>
      </c>
      <c r="O39" s="21">
        <f t="shared" si="17"/>
        <v>0</v>
      </c>
      <c r="P39" s="21">
        <f t="shared" si="14"/>
        <v>1966.8965425829547</v>
      </c>
    </row>
    <row r="40" spans="1:16" x14ac:dyDescent="0.3">
      <c r="A40" s="8"/>
      <c r="B40" s="22" t="s">
        <v>43</v>
      </c>
      <c r="C40" s="8"/>
      <c r="D40" s="26">
        <f>D36+D37+D39</f>
        <v>168381.15649705913</v>
      </c>
      <c r="E40" s="26">
        <f t="shared" ref="E40:P40" si="18">E36+E37+E39</f>
        <v>135514.07731818297</v>
      </c>
      <c r="F40" s="26">
        <f t="shared" si="18"/>
        <v>205996.32893322807</v>
      </c>
      <c r="G40" s="26">
        <f t="shared" si="18"/>
        <v>0</v>
      </c>
      <c r="H40" s="26">
        <f t="shared" si="18"/>
        <v>0</v>
      </c>
      <c r="I40" s="26">
        <f t="shared" si="18"/>
        <v>0</v>
      </c>
      <c r="J40" s="26">
        <f t="shared" si="18"/>
        <v>0</v>
      </c>
      <c r="K40" s="26">
        <f t="shared" si="18"/>
        <v>0</v>
      </c>
      <c r="L40" s="26">
        <f t="shared" si="18"/>
        <v>0</v>
      </c>
      <c r="M40" s="26">
        <f t="shared" si="18"/>
        <v>0</v>
      </c>
      <c r="N40" s="26">
        <f t="shared" si="18"/>
        <v>0</v>
      </c>
      <c r="O40" s="26">
        <f t="shared" si="18"/>
        <v>0</v>
      </c>
      <c r="P40" s="26">
        <f t="shared" si="18"/>
        <v>509891.56274847017</v>
      </c>
    </row>
    <row r="41" spans="1:16" x14ac:dyDescent="0.3">
      <c r="A41" s="8"/>
      <c r="B41" s="2"/>
      <c r="C41" s="8"/>
      <c r="D41" s="15"/>
      <c r="E41" s="15"/>
      <c r="F41" s="15"/>
      <c r="G41" s="15"/>
      <c r="H41" s="15"/>
      <c r="I41" s="15"/>
      <c r="J41" s="15"/>
      <c r="K41" s="15"/>
      <c r="L41" s="15"/>
      <c r="M41" s="15"/>
      <c r="N41" s="15"/>
      <c r="O41" s="15"/>
      <c r="P41" s="1"/>
    </row>
    <row r="42" spans="1:16" x14ac:dyDescent="0.3">
      <c r="A42" s="8">
        <v>20</v>
      </c>
      <c r="B42" s="2" t="s">
        <v>44</v>
      </c>
      <c r="C42" s="8" t="str">
        <f>"Σ(("&amp;A36&amp;") + ("&amp;A39&amp;"))"</f>
        <v>Σ((17) + (19))</v>
      </c>
      <c r="D42" s="14">
        <f>D36+D37+D39</f>
        <v>168381.15649705913</v>
      </c>
      <c r="E42" s="14">
        <f>D42+E36+E37+E39</f>
        <v>303895.23381524213</v>
      </c>
      <c r="F42" s="14">
        <f t="shared" ref="F42:O42" si="19">E42+F36+F37+F39</f>
        <v>509891.56274847017</v>
      </c>
      <c r="G42" s="14">
        <f t="shared" si="19"/>
        <v>509891.56274847017</v>
      </c>
      <c r="H42" s="14">
        <f t="shared" si="19"/>
        <v>509891.56274847017</v>
      </c>
      <c r="I42" s="14">
        <f t="shared" si="19"/>
        <v>509891.56274847017</v>
      </c>
      <c r="J42" s="14">
        <f t="shared" si="19"/>
        <v>509891.56274847017</v>
      </c>
      <c r="K42" s="14">
        <f t="shared" si="19"/>
        <v>509891.56274847017</v>
      </c>
      <c r="L42" s="14">
        <f t="shared" si="19"/>
        <v>509891.56274847017</v>
      </c>
      <c r="M42" s="14">
        <f t="shared" si="19"/>
        <v>509891.56274847017</v>
      </c>
      <c r="N42" s="14">
        <f t="shared" si="19"/>
        <v>509891.56274847017</v>
      </c>
      <c r="O42" s="24">
        <f t="shared" si="19"/>
        <v>509891.56274847017</v>
      </c>
      <c r="P42" s="1"/>
    </row>
    <row r="43" spans="1:16" x14ac:dyDescent="0.3">
      <c r="A43" s="8"/>
      <c r="B43" s="2"/>
      <c r="C43" s="2"/>
      <c r="D43" s="2"/>
      <c r="E43" s="2"/>
      <c r="F43" s="2"/>
      <c r="G43" s="2"/>
      <c r="H43" s="2"/>
      <c r="I43" s="2"/>
      <c r="J43" s="2"/>
      <c r="K43" s="2"/>
      <c r="L43" s="2"/>
      <c r="M43" s="2"/>
      <c r="N43" s="2"/>
      <c r="O43" s="27"/>
    </row>
    <row r="44" spans="1:16" x14ac:dyDescent="0.3">
      <c r="A44" s="8">
        <v>21</v>
      </c>
      <c r="B44" s="2" t="s">
        <v>45</v>
      </c>
      <c r="C44" s="8" t="str">
        <f>"("&amp;A23&amp;") + ("&amp;A42&amp;")"</f>
        <v>(10) + (20)</v>
      </c>
      <c r="D44" s="14">
        <f>D23+D42</f>
        <v>-354630.99928767409</v>
      </c>
      <c r="E44" s="14">
        <f t="shared" ref="E44:O44" si="20">E23+E42</f>
        <v>1537728.176669959</v>
      </c>
      <c r="F44" s="14">
        <f t="shared" si="20"/>
        <v>2680358.1300553256</v>
      </c>
      <c r="G44" s="14">
        <f t="shared" si="20"/>
        <v>2680358.1300553256</v>
      </c>
      <c r="H44" s="14">
        <f t="shared" si="20"/>
        <v>2680358.1300553256</v>
      </c>
      <c r="I44" s="14">
        <f t="shared" si="20"/>
        <v>2680358.1300553256</v>
      </c>
      <c r="J44" s="14">
        <f t="shared" si="20"/>
        <v>2680358.1300553256</v>
      </c>
      <c r="K44" s="14">
        <f t="shared" si="20"/>
        <v>2680358.1300553256</v>
      </c>
      <c r="L44" s="14">
        <f t="shared" si="20"/>
        <v>2680358.1300553256</v>
      </c>
      <c r="M44" s="14">
        <f t="shared" si="20"/>
        <v>2680358.1300553256</v>
      </c>
      <c r="N44" s="14">
        <f t="shared" si="20"/>
        <v>2680358.1300553256</v>
      </c>
      <c r="O44" s="24">
        <f t="shared" si="20"/>
        <v>2680358.1300553256</v>
      </c>
    </row>
    <row r="45" spans="1:16" x14ac:dyDescent="0.3">
      <c r="A45" s="28"/>
      <c r="B45" s="28"/>
      <c r="C45" s="28"/>
      <c r="D45" s="28"/>
      <c r="E45" s="28"/>
      <c r="F45" s="28"/>
      <c r="G45" s="28"/>
      <c r="H45" s="28"/>
      <c r="I45" s="28"/>
      <c r="J45" s="28"/>
      <c r="K45" s="28"/>
      <c r="L45" s="28"/>
      <c r="M45" s="28"/>
      <c r="N45" s="28"/>
      <c r="O45" s="28"/>
      <c r="P45" s="1"/>
    </row>
  </sheetData>
  <mergeCells count="3">
    <mergeCell ref="A1:P1"/>
    <mergeCell ref="A2:P2"/>
    <mergeCell ref="A3:P3"/>
  </mergeCells>
  <pageMargins left="0.7" right="0.57999999999999996" top="1.08"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tabSelected="1" topLeftCell="A69" zoomScaleNormal="100" workbookViewId="0">
      <selection activeCell="L17" sqref="L17:U20"/>
    </sheetView>
  </sheetViews>
  <sheetFormatPr defaultRowHeight="14.4" x14ac:dyDescent="0.3"/>
  <cols>
    <col min="1" max="1" width="7.33203125" customWidth="1"/>
    <col min="2" max="2" width="34.88671875" customWidth="1"/>
    <col min="3" max="3" width="6.21875" customWidth="1"/>
    <col min="4" max="4" width="9.44140625" customWidth="1"/>
    <col min="5" max="5" width="12.21875" customWidth="1"/>
    <col min="6" max="6" width="13.5546875" customWidth="1"/>
    <col min="7" max="7" width="13.44140625" customWidth="1"/>
    <col min="10" max="10" width="13.21875" bestFit="1" customWidth="1"/>
    <col min="11" max="11" width="12.21875" customWidth="1"/>
    <col min="12" max="12" width="11.109375" bestFit="1" customWidth="1"/>
    <col min="13" max="14" width="11.44140625" customWidth="1"/>
  </cols>
  <sheetData>
    <row r="1" spans="1:8" ht="15.6" x14ac:dyDescent="0.3">
      <c r="A1" s="82" t="s">
        <v>59</v>
      </c>
      <c r="B1" s="82"/>
      <c r="C1" s="82"/>
      <c r="D1" s="82"/>
      <c r="E1" s="82"/>
      <c r="F1" s="82"/>
      <c r="G1" s="82"/>
      <c r="H1" s="82"/>
    </row>
    <row r="3" spans="1:8" x14ac:dyDescent="0.3">
      <c r="A3" s="48" t="s">
        <v>60</v>
      </c>
      <c r="B3" s="48"/>
      <c r="C3" s="48"/>
      <c r="D3" s="48"/>
      <c r="E3" s="48"/>
      <c r="F3" s="48"/>
      <c r="G3" s="48"/>
    </row>
    <row r="5" spans="1:8" x14ac:dyDescent="0.3">
      <c r="A5" s="49" t="s">
        <v>61</v>
      </c>
      <c r="B5" s="50"/>
      <c r="C5" s="64" t="s">
        <v>86</v>
      </c>
      <c r="D5" s="50"/>
      <c r="E5" s="50"/>
      <c r="F5" s="50"/>
      <c r="G5" s="50"/>
    </row>
    <row r="6" spans="1:8" x14ac:dyDescent="0.3">
      <c r="A6" s="51"/>
      <c r="B6" s="51"/>
      <c r="C6" s="51"/>
      <c r="D6" s="51"/>
      <c r="E6" s="51"/>
      <c r="F6" s="51"/>
      <c r="G6" s="51"/>
    </row>
    <row r="7" spans="1:8" ht="27" x14ac:dyDescent="0.3">
      <c r="A7" s="62" t="s">
        <v>62</v>
      </c>
      <c r="B7" s="63" t="s">
        <v>63</v>
      </c>
      <c r="C7" s="72" t="s">
        <v>64</v>
      </c>
      <c r="D7" s="62" t="s">
        <v>65</v>
      </c>
      <c r="E7" s="62" t="s">
        <v>66</v>
      </c>
      <c r="F7" s="62" t="s">
        <v>67</v>
      </c>
      <c r="G7" s="62" t="s">
        <v>68</v>
      </c>
    </row>
    <row r="8" spans="1:8" ht="14.4" customHeight="1" x14ac:dyDescent="0.3">
      <c r="A8" s="53" t="s">
        <v>69</v>
      </c>
      <c r="B8" s="52" t="s">
        <v>70</v>
      </c>
      <c r="C8" s="54" t="s">
        <v>71</v>
      </c>
      <c r="D8" s="55" t="s">
        <v>72</v>
      </c>
      <c r="E8" s="56">
        <v>0</v>
      </c>
      <c r="F8" s="57">
        <v>-1278653.58</v>
      </c>
      <c r="G8" s="56">
        <v>-1278653.58</v>
      </c>
    </row>
    <row r="9" spans="1:8" x14ac:dyDescent="0.3">
      <c r="A9" s="58"/>
      <c r="B9" s="52" t="s">
        <v>70</v>
      </c>
      <c r="C9" s="59"/>
      <c r="D9" s="55" t="s">
        <v>73</v>
      </c>
      <c r="E9" s="56">
        <v>-1278653.58</v>
      </c>
      <c r="F9" s="57">
        <v>2858255.9</v>
      </c>
      <c r="G9" s="56">
        <v>1579602.32</v>
      </c>
    </row>
    <row r="10" spans="1:8" x14ac:dyDescent="0.3">
      <c r="A10" s="58"/>
      <c r="B10" s="52" t="s">
        <v>70</v>
      </c>
      <c r="C10" s="60"/>
      <c r="D10" s="55" t="s">
        <v>74</v>
      </c>
      <c r="E10" s="56">
        <v>1579602.32</v>
      </c>
      <c r="F10" s="57">
        <v>1219992.8999999999</v>
      </c>
      <c r="G10" s="56">
        <v>2799595.2199999997</v>
      </c>
    </row>
    <row r="11" spans="1:8" x14ac:dyDescent="0.3">
      <c r="A11" s="58"/>
      <c r="B11" s="65"/>
      <c r="C11" s="65" t="s">
        <v>111</v>
      </c>
      <c r="D11" s="65"/>
      <c r="E11" s="66"/>
      <c r="F11" s="67" t="s">
        <v>89</v>
      </c>
      <c r="G11" s="66"/>
    </row>
    <row r="12" spans="1:8" x14ac:dyDescent="0.3">
      <c r="A12" s="58"/>
      <c r="B12" s="52" t="s">
        <v>70</v>
      </c>
      <c r="C12" s="54" t="s">
        <v>75</v>
      </c>
      <c r="D12" s="55" t="s">
        <v>72</v>
      </c>
      <c r="E12" s="56">
        <v>0</v>
      </c>
      <c r="F12" s="57">
        <v>-546785.79</v>
      </c>
      <c r="G12" s="56">
        <v>-546785.79</v>
      </c>
    </row>
    <row r="13" spans="1:8" x14ac:dyDescent="0.3">
      <c r="A13" s="58"/>
      <c r="B13" s="52" t="s">
        <v>70</v>
      </c>
      <c r="C13" s="59"/>
      <c r="D13" s="55" t="s">
        <v>73</v>
      </c>
      <c r="E13" s="56">
        <v>-546785.79</v>
      </c>
      <c r="F13" s="57">
        <v>1662286.7000000002</v>
      </c>
      <c r="G13" s="56">
        <v>1115500.9099999999</v>
      </c>
    </row>
    <row r="14" spans="1:8" x14ac:dyDescent="0.3">
      <c r="A14" s="58"/>
      <c r="B14" s="52" t="s">
        <v>70</v>
      </c>
      <c r="C14" s="60"/>
      <c r="D14" s="55" t="s">
        <v>74</v>
      </c>
      <c r="E14" s="56">
        <v>1115500.9099999999</v>
      </c>
      <c r="F14" s="57">
        <v>1054965.6499999999</v>
      </c>
      <c r="G14" s="56">
        <v>2170466.56</v>
      </c>
    </row>
    <row r="15" spans="1:8" x14ac:dyDescent="0.3">
      <c r="A15" s="61"/>
      <c r="B15" s="65"/>
      <c r="C15" s="65" t="s">
        <v>112</v>
      </c>
      <c r="D15" s="65"/>
      <c r="E15" s="66"/>
      <c r="F15" s="67" t="s">
        <v>90</v>
      </c>
      <c r="G15" s="66"/>
    </row>
    <row r="16" spans="1:8" ht="14.4" customHeight="1" x14ac:dyDescent="0.3">
      <c r="A16" s="65"/>
      <c r="B16" s="68" t="s">
        <v>93</v>
      </c>
      <c r="C16" s="65"/>
      <c r="D16" s="65"/>
      <c r="E16" s="66"/>
      <c r="F16" s="67" t="s">
        <v>76</v>
      </c>
      <c r="G16" s="66"/>
    </row>
    <row r="17" spans="1:7" ht="14.4" customHeight="1" x14ac:dyDescent="0.3">
      <c r="A17" s="53" t="s">
        <v>77</v>
      </c>
      <c r="B17" s="52" t="s">
        <v>78</v>
      </c>
      <c r="C17" s="54" t="s">
        <v>71</v>
      </c>
      <c r="D17" s="55" t="s">
        <v>72</v>
      </c>
      <c r="E17" s="56">
        <v>0</v>
      </c>
      <c r="F17" s="57">
        <v>187190.44</v>
      </c>
      <c r="G17" s="56">
        <v>187190.44</v>
      </c>
    </row>
    <row r="18" spans="1:7" x14ac:dyDescent="0.3">
      <c r="A18" s="58"/>
      <c r="B18" s="52" t="s">
        <v>78</v>
      </c>
      <c r="C18" s="59"/>
      <c r="D18" s="55" t="s">
        <v>73</v>
      </c>
      <c r="E18" s="56">
        <v>187190.44</v>
      </c>
      <c r="F18" s="57">
        <v>941210.87</v>
      </c>
      <c r="G18" s="56">
        <v>1128401.31</v>
      </c>
    </row>
    <row r="19" spans="1:7" x14ac:dyDescent="0.3">
      <c r="A19" s="58"/>
      <c r="B19" s="52" t="s">
        <v>78</v>
      </c>
      <c r="C19" s="60"/>
      <c r="D19" s="55" t="s">
        <v>74</v>
      </c>
      <c r="E19" s="56">
        <v>1128401.31</v>
      </c>
      <c r="F19" s="57">
        <v>-48008.090000000004</v>
      </c>
      <c r="G19" s="56">
        <v>1080393.22</v>
      </c>
    </row>
    <row r="20" spans="1:7" x14ac:dyDescent="0.3">
      <c r="A20" s="58"/>
      <c r="B20" s="65"/>
      <c r="C20" s="65" t="s">
        <v>111</v>
      </c>
      <c r="D20" s="65"/>
      <c r="E20" s="66"/>
      <c r="F20" s="67" t="s">
        <v>91</v>
      </c>
      <c r="G20" s="66"/>
    </row>
    <row r="21" spans="1:7" x14ac:dyDescent="0.3">
      <c r="A21" s="58"/>
      <c r="B21" s="52" t="s">
        <v>78</v>
      </c>
      <c r="C21" s="54" t="s">
        <v>75</v>
      </c>
      <c r="D21" s="55" t="s">
        <v>72</v>
      </c>
      <c r="E21" s="56">
        <v>0</v>
      </c>
      <c r="F21" s="57">
        <v>147535.39000000001</v>
      </c>
      <c r="G21" s="56">
        <v>147535.39000000001</v>
      </c>
    </row>
    <row r="22" spans="1:7" x14ac:dyDescent="0.3">
      <c r="A22" s="58"/>
      <c r="B22" s="52" t="s">
        <v>78</v>
      </c>
      <c r="C22" s="59"/>
      <c r="D22" s="55" t="s">
        <v>73</v>
      </c>
      <c r="E22" s="56">
        <v>147535.39000000001</v>
      </c>
      <c r="F22" s="57">
        <v>171655.84</v>
      </c>
      <c r="G22" s="56">
        <v>319191.23</v>
      </c>
    </row>
    <row r="23" spans="1:7" x14ac:dyDescent="0.3">
      <c r="A23" s="58"/>
      <c r="B23" s="52" t="s">
        <v>78</v>
      </c>
      <c r="C23" s="60"/>
      <c r="D23" s="55" t="s">
        <v>74</v>
      </c>
      <c r="E23" s="56">
        <v>319191.23</v>
      </c>
      <c r="F23" s="57">
        <v>190700.34</v>
      </c>
      <c r="G23" s="56">
        <v>509891.57</v>
      </c>
    </row>
    <row r="24" spans="1:7" x14ac:dyDescent="0.3">
      <c r="A24" s="61"/>
      <c r="B24" s="65"/>
      <c r="C24" s="65" t="s">
        <v>112</v>
      </c>
      <c r="D24" s="65"/>
      <c r="E24" s="66"/>
      <c r="F24" s="67" t="s">
        <v>92</v>
      </c>
      <c r="G24" s="66"/>
    </row>
    <row r="25" spans="1:7" x14ac:dyDescent="0.3">
      <c r="A25" s="65"/>
      <c r="B25" s="68" t="s">
        <v>110</v>
      </c>
      <c r="C25" s="65"/>
      <c r="D25" s="65"/>
      <c r="E25" s="66"/>
      <c r="F25" s="67" t="s">
        <v>79</v>
      </c>
      <c r="G25" s="66"/>
    </row>
    <row r="26" spans="1:7" x14ac:dyDescent="0.3">
      <c r="A26" s="69"/>
      <c r="B26" s="69"/>
      <c r="C26" s="69"/>
      <c r="D26" s="69"/>
      <c r="E26" s="70"/>
      <c r="F26" s="71"/>
      <c r="G26" s="70"/>
    </row>
    <row r="27" spans="1:7" x14ac:dyDescent="0.3">
      <c r="A27" s="50" t="s">
        <v>60</v>
      </c>
      <c r="B27" s="50"/>
      <c r="C27" s="50"/>
      <c r="D27" s="50"/>
      <c r="E27" s="50"/>
      <c r="F27" s="50"/>
      <c r="G27" s="50"/>
    </row>
    <row r="28" spans="1:7" x14ac:dyDescent="0.3">
      <c r="A28" s="51"/>
      <c r="B28" s="51"/>
      <c r="C28" s="51"/>
      <c r="D28" s="51"/>
      <c r="E28" s="51"/>
      <c r="F28" s="51"/>
      <c r="G28" s="51"/>
    </row>
    <row r="29" spans="1:7" x14ac:dyDescent="0.3">
      <c r="A29" s="49" t="s">
        <v>61</v>
      </c>
      <c r="B29" s="50"/>
      <c r="C29" s="64" t="s">
        <v>87</v>
      </c>
      <c r="D29" s="50"/>
      <c r="E29" s="50"/>
      <c r="F29" s="50"/>
      <c r="G29" s="50"/>
    </row>
    <row r="30" spans="1:7" x14ac:dyDescent="0.3">
      <c r="A30" s="51"/>
      <c r="B30" s="51"/>
      <c r="C30" s="51"/>
      <c r="D30" s="51"/>
      <c r="E30" s="51"/>
      <c r="F30" s="51"/>
      <c r="G30" s="51"/>
    </row>
    <row r="31" spans="1:7" ht="27" x14ac:dyDescent="0.3">
      <c r="A31" s="62" t="s">
        <v>62</v>
      </c>
      <c r="B31" s="63" t="s">
        <v>63</v>
      </c>
      <c r="C31" s="72" t="s">
        <v>64</v>
      </c>
      <c r="D31" s="62" t="s">
        <v>65</v>
      </c>
      <c r="E31" s="62" t="s">
        <v>66</v>
      </c>
      <c r="F31" s="62" t="s">
        <v>67</v>
      </c>
      <c r="G31" s="62" t="s">
        <v>68</v>
      </c>
    </row>
    <row r="32" spans="1:7" ht="14.4" customHeight="1" x14ac:dyDescent="0.3">
      <c r="A32" s="53" t="s">
        <v>80</v>
      </c>
      <c r="B32" s="52" t="s">
        <v>81</v>
      </c>
      <c r="C32" s="54" t="s">
        <v>75</v>
      </c>
      <c r="D32" s="55" t="s">
        <v>72</v>
      </c>
      <c r="E32" s="56">
        <v>5459.88</v>
      </c>
      <c r="F32" s="57">
        <v>0</v>
      </c>
      <c r="G32" s="56">
        <v>5459.88</v>
      </c>
    </row>
    <row r="33" spans="1:13" x14ac:dyDescent="0.3">
      <c r="A33" s="58"/>
      <c r="B33" s="52" t="s">
        <v>81</v>
      </c>
      <c r="C33" s="59"/>
      <c r="D33" s="55" t="s">
        <v>73</v>
      </c>
      <c r="E33" s="56">
        <v>5459.88</v>
      </c>
      <c r="F33" s="57">
        <v>29.62</v>
      </c>
      <c r="G33" s="56">
        <v>5489.5</v>
      </c>
    </row>
    <row r="34" spans="1:13" x14ac:dyDescent="0.3">
      <c r="A34" s="58"/>
      <c r="B34" s="52" t="s">
        <v>81</v>
      </c>
      <c r="C34" s="60"/>
      <c r="D34" s="55" t="s">
        <v>74</v>
      </c>
      <c r="E34" s="56">
        <v>5489.5</v>
      </c>
      <c r="F34" s="57">
        <v>14.870000000000001</v>
      </c>
      <c r="G34" s="56">
        <v>5504.37</v>
      </c>
    </row>
    <row r="35" spans="1:13" x14ac:dyDescent="0.3">
      <c r="A35" s="61"/>
      <c r="B35" s="65"/>
      <c r="C35" s="65" t="s">
        <v>112</v>
      </c>
      <c r="D35" s="65"/>
      <c r="E35" s="66"/>
      <c r="F35" s="67" t="s">
        <v>82</v>
      </c>
      <c r="G35" s="66"/>
    </row>
    <row r="37" spans="1:13" x14ac:dyDescent="0.3">
      <c r="A37" s="50" t="s">
        <v>60</v>
      </c>
      <c r="B37" s="50"/>
      <c r="C37" s="50"/>
      <c r="D37" s="50"/>
      <c r="E37" s="50"/>
      <c r="F37" s="50"/>
      <c r="G37" s="50"/>
    </row>
    <row r="38" spans="1:13" x14ac:dyDescent="0.3">
      <c r="A38" s="51"/>
      <c r="B38" s="51"/>
      <c r="C38" s="51"/>
      <c r="D38" s="51"/>
      <c r="E38" s="51"/>
      <c r="F38" s="51"/>
      <c r="G38" s="51"/>
    </row>
    <row r="39" spans="1:13" x14ac:dyDescent="0.3">
      <c r="A39" s="49" t="s">
        <v>61</v>
      </c>
      <c r="B39" s="50"/>
      <c r="C39" s="64" t="s">
        <v>88</v>
      </c>
      <c r="D39" s="50"/>
      <c r="E39" s="50"/>
      <c r="F39" s="50"/>
      <c r="G39" s="50"/>
    </row>
    <row r="40" spans="1:13" x14ac:dyDescent="0.3">
      <c r="A40" s="51"/>
      <c r="B40" s="51"/>
      <c r="C40" s="51"/>
      <c r="D40" s="51"/>
      <c r="E40" s="51"/>
      <c r="F40" s="51"/>
      <c r="G40" s="51"/>
    </row>
    <row r="41" spans="1:13" ht="27" x14ac:dyDescent="0.3">
      <c r="A41" s="62" t="s">
        <v>62</v>
      </c>
      <c r="B41" s="63" t="s">
        <v>63</v>
      </c>
      <c r="C41" s="72" t="s">
        <v>64</v>
      </c>
      <c r="D41" s="62" t="s">
        <v>65</v>
      </c>
      <c r="E41" s="62" t="s">
        <v>66</v>
      </c>
      <c r="F41" s="62" t="s">
        <v>67</v>
      </c>
      <c r="G41" s="62" t="s">
        <v>68</v>
      </c>
      <c r="J41" s="74" t="s">
        <v>124</v>
      </c>
    </row>
    <row r="42" spans="1:13" x14ac:dyDescent="0.3">
      <c r="A42" s="53" t="s">
        <v>83</v>
      </c>
      <c r="B42" s="52" t="s">
        <v>84</v>
      </c>
      <c r="C42" s="49" t="s">
        <v>71</v>
      </c>
      <c r="D42" s="55" t="s">
        <v>74</v>
      </c>
      <c r="E42" s="56">
        <v>0</v>
      </c>
      <c r="F42" s="57">
        <v>-1357995.95</v>
      </c>
      <c r="G42" s="56">
        <v>-1357995.95</v>
      </c>
      <c r="J42" s="73">
        <f>(G10+G19)*-0.35</f>
        <v>-1357995.9539999997</v>
      </c>
    </row>
    <row r="43" spans="1:13" x14ac:dyDescent="0.3">
      <c r="A43" s="58"/>
      <c r="B43" s="65"/>
      <c r="C43" s="65" t="s">
        <v>111</v>
      </c>
      <c r="D43" s="65"/>
      <c r="E43" s="66"/>
      <c r="F43" s="67" t="s">
        <v>94</v>
      </c>
      <c r="G43" s="66"/>
      <c r="L43" t="s">
        <v>125</v>
      </c>
    </row>
    <row r="44" spans="1:13" x14ac:dyDescent="0.3">
      <c r="A44" s="58"/>
      <c r="B44" s="52" t="s">
        <v>84</v>
      </c>
      <c r="C44" s="54" t="s">
        <v>75</v>
      </c>
      <c r="D44" s="55" t="s">
        <v>72</v>
      </c>
      <c r="E44" s="56">
        <v>-1862.01</v>
      </c>
      <c r="F44" s="57">
        <v>191375.03</v>
      </c>
      <c r="G44" s="56">
        <v>189513.02</v>
      </c>
      <c r="J44" s="73">
        <f>(G12+G21+G32)*-0.35</f>
        <v>137826.682</v>
      </c>
      <c r="K44" s="75">
        <f>G44-J44</f>
        <v>51686.337999999989</v>
      </c>
      <c r="L44" s="75">
        <f>K44/0.35</f>
        <v>147675.25142857141</v>
      </c>
      <c r="M44" s="75">
        <f>L44-G21</f>
        <v>139.8614285713993</v>
      </c>
    </row>
    <row r="45" spans="1:13" x14ac:dyDescent="0.3">
      <c r="A45" s="58"/>
      <c r="B45" s="52" t="s">
        <v>84</v>
      </c>
      <c r="C45" s="59"/>
      <c r="D45" s="55" t="s">
        <v>73</v>
      </c>
      <c r="E45" s="56">
        <v>189513.02</v>
      </c>
      <c r="F45" s="57">
        <v>-581810.71</v>
      </c>
      <c r="G45" s="56">
        <v>-392297.69</v>
      </c>
      <c r="J45" s="73">
        <f t="shared" ref="J45:J46" si="0">(G13+G22+G33)*-0.35</f>
        <v>-504063.57399999991</v>
      </c>
      <c r="K45" s="75">
        <f t="shared" ref="K45:K46" si="1">G45-J45</f>
        <v>111765.8839999999</v>
      </c>
      <c r="L45" s="75">
        <f t="shared" ref="L45:L46" si="2">K45/0.35</f>
        <v>319331.09714285686</v>
      </c>
      <c r="M45" s="75">
        <f t="shared" ref="M45:M46" si="3">L45-G22</f>
        <v>139.86714285687776</v>
      </c>
    </row>
    <row r="46" spans="1:13" x14ac:dyDescent="0.3">
      <c r="A46" s="58"/>
      <c r="B46" s="52" t="s">
        <v>84</v>
      </c>
      <c r="C46" s="60"/>
      <c r="D46" s="55" t="s">
        <v>74</v>
      </c>
      <c r="E46" s="56">
        <v>-392297.69</v>
      </c>
      <c r="F46" s="57">
        <v>-324271.37</v>
      </c>
      <c r="G46" s="56">
        <v>-716569.06</v>
      </c>
      <c r="J46" s="73">
        <f t="shared" si="0"/>
        <v>-940051.87499999988</v>
      </c>
      <c r="K46" s="75">
        <f t="shared" si="1"/>
        <v>223482.81499999983</v>
      </c>
      <c r="L46" s="75">
        <f t="shared" si="2"/>
        <v>638522.32857142808</v>
      </c>
      <c r="M46" s="75">
        <f t="shared" si="3"/>
        <v>128630.75857142807</v>
      </c>
    </row>
    <row r="47" spans="1:13" x14ac:dyDescent="0.3">
      <c r="A47" s="61"/>
      <c r="B47" s="65"/>
      <c r="C47" s="65" t="s">
        <v>112</v>
      </c>
      <c r="D47" s="65"/>
      <c r="E47" s="66"/>
      <c r="F47" s="67" t="s">
        <v>95</v>
      </c>
      <c r="G47" s="66"/>
    </row>
    <row r="48" spans="1:13" x14ac:dyDescent="0.3">
      <c r="A48" s="65"/>
      <c r="B48" s="65" t="s">
        <v>96</v>
      </c>
      <c r="C48" s="65"/>
      <c r="D48" s="65"/>
      <c r="E48" s="66"/>
      <c r="F48" s="67" t="s">
        <v>85</v>
      </c>
      <c r="G48" s="66"/>
    </row>
    <row r="51" spans="1:8" ht="15.6" x14ac:dyDescent="0.3">
      <c r="A51" s="82" t="s">
        <v>97</v>
      </c>
      <c r="B51" s="82"/>
      <c r="C51" s="82"/>
      <c r="D51" s="82"/>
      <c r="E51" s="82"/>
      <c r="F51" s="82"/>
      <c r="G51" s="82"/>
      <c r="H51" s="82"/>
    </row>
    <row r="53" spans="1:8" x14ac:dyDescent="0.3">
      <c r="A53" s="50" t="s">
        <v>60</v>
      </c>
      <c r="B53" s="50"/>
      <c r="C53" s="50"/>
      <c r="D53" s="50"/>
      <c r="E53" s="50"/>
      <c r="F53" s="50"/>
      <c r="G53" s="50"/>
    </row>
    <row r="54" spans="1:8" x14ac:dyDescent="0.3">
      <c r="A54" s="51"/>
      <c r="B54" s="51"/>
      <c r="C54" s="51"/>
      <c r="D54" s="51"/>
      <c r="E54" s="51"/>
      <c r="F54" s="51"/>
      <c r="G54" s="51"/>
    </row>
    <row r="55" spans="1:8" x14ac:dyDescent="0.3">
      <c r="A55" s="49" t="s">
        <v>61</v>
      </c>
      <c r="B55" s="50"/>
      <c r="C55" s="64" t="s">
        <v>113</v>
      </c>
      <c r="D55" s="50"/>
      <c r="E55" s="50"/>
      <c r="F55" s="50"/>
      <c r="G55" s="50"/>
    </row>
    <row r="56" spans="1:8" x14ac:dyDescent="0.3">
      <c r="A56" s="51"/>
      <c r="B56" s="51"/>
      <c r="C56" s="51"/>
      <c r="D56" s="51"/>
      <c r="E56" s="51"/>
      <c r="F56" s="51"/>
      <c r="G56" s="51"/>
    </row>
    <row r="57" spans="1:8" ht="27" x14ac:dyDescent="0.3">
      <c r="A57" s="62" t="s">
        <v>62</v>
      </c>
      <c r="B57" s="63" t="s">
        <v>63</v>
      </c>
      <c r="C57" s="72" t="s">
        <v>64</v>
      </c>
      <c r="D57" s="62" t="s">
        <v>65</v>
      </c>
      <c r="E57" s="62" t="s">
        <v>66</v>
      </c>
      <c r="F57" s="62" t="s">
        <v>67</v>
      </c>
      <c r="G57" s="62" t="s">
        <v>68</v>
      </c>
    </row>
    <row r="58" spans="1:8" x14ac:dyDescent="0.3">
      <c r="A58" s="53" t="s">
        <v>98</v>
      </c>
      <c r="B58" s="52" t="s">
        <v>99</v>
      </c>
      <c r="C58" s="54" t="s">
        <v>71</v>
      </c>
      <c r="D58" s="55" t="s">
        <v>72</v>
      </c>
      <c r="E58" s="56">
        <v>0</v>
      </c>
      <c r="F58" s="57">
        <v>0</v>
      </c>
      <c r="G58" s="56">
        <v>0</v>
      </c>
    </row>
    <row r="59" spans="1:8" x14ac:dyDescent="0.3">
      <c r="A59" s="58"/>
      <c r="B59" s="52" t="s">
        <v>99</v>
      </c>
      <c r="C59" s="59"/>
      <c r="D59" s="55" t="s">
        <v>73</v>
      </c>
      <c r="E59" s="56">
        <v>0</v>
      </c>
      <c r="F59" s="57">
        <v>-2758672.5</v>
      </c>
      <c r="G59" s="56">
        <v>-2758672.5</v>
      </c>
    </row>
    <row r="60" spans="1:8" x14ac:dyDescent="0.3">
      <c r="A60" s="58"/>
      <c r="B60" s="52" t="s">
        <v>99</v>
      </c>
      <c r="C60" s="60"/>
      <c r="D60" s="55" t="s">
        <v>74</v>
      </c>
      <c r="E60" s="56">
        <v>-2758672.5</v>
      </c>
      <c r="F60" s="57">
        <v>-1214967.74</v>
      </c>
      <c r="G60" s="56">
        <v>-3973640.24</v>
      </c>
    </row>
    <row r="61" spans="1:8" x14ac:dyDescent="0.3">
      <c r="A61" s="58"/>
      <c r="B61" s="65"/>
      <c r="C61" s="65" t="s">
        <v>111</v>
      </c>
      <c r="D61" s="65"/>
      <c r="E61" s="66"/>
      <c r="F61" s="67" t="s">
        <v>100</v>
      </c>
      <c r="G61" s="66"/>
    </row>
    <row r="62" spans="1:8" x14ac:dyDescent="0.3">
      <c r="A62" s="58"/>
      <c r="B62" s="52" t="s">
        <v>99</v>
      </c>
      <c r="C62" s="54" t="s">
        <v>75</v>
      </c>
      <c r="D62" s="55" t="s">
        <v>72</v>
      </c>
      <c r="E62" s="56">
        <v>0</v>
      </c>
      <c r="F62" s="57">
        <v>0</v>
      </c>
      <c r="G62" s="56">
        <v>0</v>
      </c>
    </row>
    <row r="63" spans="1:8" x14ac:dyDescent="0.3">
      <c r="A63" s="58"/>
      <c r="B63" s="52" t="s">
        <v>99</v>
      </c>
      <c r="C63" s="59"/>
      <c r="D63" s="55" t="s">
        <v>73</v>
      </c>
      <c r="E63" s="56">
        <v>0</v>
      </c>
      <c r="F63" s="57">
        <v>-1637711.83</v>
      </c>
      <c r="G63" s="56">
        <v>-1637711.83</v>
      </c>
    </row>
    <row r="64" spans="1:8" x14ac:dyDescent="0.3">
      <c r="A64" s="58"/>
      <c r="B64" s="52" t="s">
        <v>99</v>
      </c>
      <c r="C64" s="60"/>
      <c r="D64" s="55" t="s">
        <v>74</v>
      </c>
      <c r="E64" s="56">
        <v>-1637711.83</v>
      </c>
      <c r="F64" s="57">
        <v>-1050201.8700000001</v>
      </c>
      <c r="G64" s="56">
        <v>-2687913.7</v>
      </c>
    </row>
    <row r="65" spans="1:7" x14ac:dyDescent="0.3">
      <c r="A65" s="61"/>
      <c r="B65" s="65"/>
      <c r="C65" s="65" t="s">
        <v>112</v>
      </c>
      <c r="D65" s="65"/>
      <c r="E65" s="66"/>
      <c r="F65" s="67" t="s">
        <v>101</v>
      </c>
      <c r="G65" s="66"/>
    </row>
    <row r="66" spans="1:7" x14ac:dyDescent="0.3">
      <c r="A66" s="65"/>
      <c r="B66" s="65" t="s">
        <v>108</v>
      </c>
      <c r="C66" s="65"/>
      <c r="D66" s="65"/>
      <c r="E66" s="66"/>
      <c r="F66" s="67" t="s">
        <v>102</v>
      </c>
      <c r="G66" s="66"/>
    </row>
    <row r="67" spans="1:7" x14ac:dyDescent="0.3">
      <c r="A67" s="53" t="s">
        <v>103</v>
      </c>
      <c r="B67" s="52" t="s">
        <v>104</v>
      </c>
      <c r="C67" s="54" t="s">
        <v>71</v>
      </c>
      <c r="D67" s="55" t="s">
        <v>72</v>
      </c>
      <c r="E67" s="56">
        <v>0</v>
      </c>
      <c r="F67" s="57">
        <v>-186937.30000000002</v>
      </c>
      <c r="G67" s="56">
        <v>-186937.30000000002</v>
      </c>
    </row>
    <row r="68" spans="1:7" x14ac:dyDescent="0.3">
      <c r="A68" s="58"/>
      <c r="B68" s="52" t="s">
        <v>104</v>
      </c>
      <c r="C68" s="59"/>
      <c r="D68" s="55" t="s">
        <v>73</v>
      </c>
      <c r="E68" s="56">
        <v>-186937.30000000002</v>
      </c>
      <c r="F68" s="57">
        <v>-999383.46</v>
      </c>
      <c r="G68" s="56">
        <v>-1186320.76</v>
      </c>
    </row>
    <row r="69" spans="1:7" x14ac:dyDescent="0.3">
      <c r="A69" s="58"/>
      <c r="B69" s="52" t="s">
        <v>104</v>
      </c>
      <c r="C69" s="60"/>
      <c r="D69" s="55" t="s">
        <v>74</v>
      </c>
      <c r="E69" s="56">
        <v>-1186320.76</v>
      </c>
      <c r="F69" s="57">
        <v>0</v>
      </c>
      <c r="G69" s="56">
        <v>-1186320.76</v>
      </c>
    </row>
    <row r="70" spans="1:7" x14ac:dyDescent="0.3">
      <c r="A70" s="58"/>
      <c r="B70" s="65"/>
      <c r="C70" s="65" t="s">
        <v>111</v>
      </c>
      <c r="D70" s="65"/>
      <c r="E70" s="66"/>
      <c r="F70" s="67" t="s">
        <v>105</v>
      </c>
      <c r="G70" s="66"/>
    </row>
    <row r="71" spans="1:7" x14ac:dyDescent="0.3">
      <c r="A71" s="58"/>
      <c r="B71" s="52" t="s">
        <v>104</v>
      </c>
      <c r="C71" s="54" t="s">
        <v>75</v>
      </c>
      <c r="D71" s="55" t="s">
        <v>72</v>
      </c>
      <c r="E71" s="56">
        <v>0</v>
      </c>
      <c r="F71" s="57">
        <v>-147335.87</v>
      </c>
      <c r="G71" s="56">
        <v>-147335.87</v>
      </c>
    </row>
    <row r="72" spans="1:7" x14ac:dyDescent="0.3">
      <c r="A72" s="58"/>
      <c r="B72" s="52" t="s">
        <v>104</v>
      </c>
      <c r="C72" s="59"/>
      <c r="D72" s="55" t="s">
        <v>73</v>
      </c>
      <c r="E72" s="56">
        <v>-147335.87</v>
      </c>
      <c r="F72" s="57">
        <v>-170968.29</v>
      </c>
      <c r="G72" s="56">
        <v>-318304.16000000003</v>
      </c>
    </row>
    <row r="73" spans="1:7" x14ac:dyDescent="0.3">
      <c r="A73" s="58"/>
      <c r="B73" s="52" t="s">
        <v>104</v>
      </c>
      <c r="C73" s="60"/>
      <c r="D73" s="55" t="s">
        <v>74</v>
      </c>
      <c r="E73" s="56">
        <v>-318304.16000000003</v>
      </c>
      <c r="F73" s="57">
        <v>-189620.51</v>
      </c>
      <c r="G73" s="56">
        <v>-507924.67</v>
      </c>
    </row>
    <row r="74" spans="1:7" x14ac:dyDescent="0.3">
      <c r="A74" s="61"/>
      <c r="B74" s="65"/>
      <c r="C74" s="65" t="s">
        <v>112</v>
      </c>
      <c r="D74" s="65"/>
      <c r="E74" s="66"/>
      <c r="F74" s="67" t="s">
        <v>106</v>
      </c>
      <c r="G74" s="66"/>
    </row>
    <row r="75" spans="1:7" x14ac:dyDescent="0.3">
      <c r="A75" s="65"/>
      <c r="B75" s="65" t="s">
        <v>109</v>
      </c>
      <c r="C75" s="65"/>
      <c r="D75" s="65"/>
      <c r="E75" s="66"/>
      <c r="F75" s="67" t="s">
        <v>107</v>
      </c>
      <c r="G75" s="66"/>
    </row>
    <row r="77" spans="1:7" x14ac:dyDescent="0.3">
      <c r="A77" s="50" t="s">
        <v>60</v>
      </c>
      <c r="B77" s="50"/>
      <c r="C77" s="50"/>
      <c r="D77" s="50"/>
      <c r="E77" s="50"/>
      <c r="F77" s="50"/>
      <c r="G77" s="50"/>
    </row>
    <row r="78" spans="1:7" x14ac:dyDescent="0.3">
      <c r="A78" s="51"/>
      <c r="B78" s="51"/>
      <c r="C78" s="51"/>
      <c r="D78" s="51"/>
      <c r="E78" s="51"/>
      <c r="F78" s="51"/>
      <c r="G78" s="51"/>
    </row>
    <row r="79" spans="1:7" x14ac:dyDescent="0.3">
      <c r="A79" s="49" t="s">
        <v>61</v>
      </c>
      <c r="B79" s="50"/>
      <c r="C79" s="64" t="s">
        <v>123</v>
      </c>
      <c r="D79" s="50"/>
      <c r="E79" s="50"/>
      <c r="F79" s="50"/>
      <c r="G79" s="50"/>
    </row>
    <row r="80" spans="1:7" x14ac:dyDescent="0.3">
      <c r="A80" s="51"/>
      <c r="B80" s="51"/>
      <c r="C80" s="51"/>
      <c r="D80" s="51"/>
      <c r="E80" s="51"/>
      <c r="F80" s="51"/>
      <c r="G80" s="51"/>
    </row>
    <row r="81" spans="1:7" ht="27" x14ac:dyDescent="0.3">
      <c r="A81" s="62" t="s">
        <v>62</v>
      </c>
      <c r="B81" s="63" t="s">
        <v>63</v>
      </c>
      <c r="C81" s="72" t="s">
        <v>64</v>
      </c>
      <c r="D81" s="62" t="s">
        <v>65</v>
      </c>
      <c r="E81" s="62" t="s">
        <v>66</v>
      </c>
      <c r="F81" s="62" t="s">
        <v>67</v>
      </c>
      <c r="G81" s="62" t="s">
        <v>68</v>
      </c>
    </row>
    <row r="82" spans="1:7" x14ac:dyDescent="0.3">
      <c r="A82" s="53" t="s">
        <v>114</v>
      </c>
      <c r="B82" s="52" t="s">
        <v>115</v>
      </c>
      <c r="C82" s="54" t="s">
        <v>71</v>
      </c>
      <c r="D82" s="55" t="s">
        <v>72</v>
      </c>
      <c r="E82" s="56">
        <v>0</v>
      </c>
      <c r="F82" s="57">
        <v>1276924.4100000001</v>
      </c>
      <c r="G82" s="56">
        <v>1276924.4100000001</v>
      </c>
    </row>
    <row r="83" spans="1:7" x14ac:dyDescent="0.3">
      <c r="A83" s="58"/>
      <c r="B83" s="52" t="s">
        <v>115</v>
      </c>
      <c r="C83" s="59"/>
      <c r="D83" s="55" t="s">
        <v>73</v>
      </c>
      <c r="E83" s="56">
        <v>1276924.4100000001</v>
      </c>
      <c r="F83" s="57">
        <v>-98908.540000000008</v>
      </c>
      <c r="G83" s="56">
        <v>1178015.8700000001</v>
      </c>
    </row>
    <row r="84" spans="1:7" x14ac:dyDescent="0.3">
      <c r="A84" s="58"/>
      <c r="B84" s="52" t="s">
        <v>115</v>
      </c>
      <c r="C84" s="60"/>
      <c r="D84" s="55" t="s">
        <v>74</v>
      </c>
      <c r="E84" s="56">
        <v>1178015.8700000001</v>
      </c>
      <c r="F84" s="57">
        <v>0</v>
      </c>
      <c r="G84" s="56">
        <v>1178015.8700000001</v>
      </c>
    </row>
    <row r="85" spans="1:7" x14ac:dyDescent="0.3">
      <c r="A85" s="58"/>
      <c r="B85" s="65"/>
      <c r="C85" s="65"/>
      <c r="D85" s="65"/>
      <c r="E85" s="66"/>
      <c r="F85" s="67" t="s">
        <v>116</v>
      </c>
      <c r="G85" s="66"/>
    </row>
    <row r="86" spans="1:7" x14ac:dyDescent="0.3">
      <c r="A86" s="58"/>
      <c r="B86" s="52" t="s">
        <v>115</v>
      </c>
      <c r="C86" s="54" t="s">
        <v>75</v>
      </c>
      <c r="D86" s="55" t="s">
        <v>72</v>
      </c>
      <c r="E86" s="56">
        <v>0</v>
      </c>
      <c r="F86" s="57">
        <v>546046.35</v>
      </c>
      <c r="G86" s="56">
        <v>546046.35</v>
      </c>
    </row>
    <row r="87" spans="1:7" x14ac:dyDescent="0.3">
      <c r="A87" s="58"/>
      <c r="B87" s="52" t="s">
        <v>115</v>
      </c>
      <c r="C87" s="59"/>
      <c r="D87" s="55" t="s">
        <v>73</v>
      </c>
      <c r="E87" s="56">
        <v>546046.35</v>
      </c>
      <c r="F87" s="57">
        <v>-23741.48</v>
      </c>
      <c r="G87" s="56">
        <v>522304.87</v>
      </c>
    </row>
    <row r="88" spans="1:7" x14ac:dyDescent="0.3">
      <c r="A88" s="58"/>
      <c r="B88" s="52" t="s">
        <v>115</v>
      </c>
      <c r="C88" s="60"/>
      <c r="D88" s="55" t="s">
        <v>74</v>
      </c>
      <c r="E88" s="56">
        <v>522304.87</v>
      </c>
      <c r="F88" s="57">
        <v>0</v>
      </c>
      <c r="G88" s="56">
        <v>522304.87</v>
      </c>
    </row>
    <row r="89" spans="1:7" x14ac:dyDescent="0.3">
      <c r="A89" s="61"/>
      <c r="B89" s="65"/>
      <c r="C89" s="65"/>
      <c r="D89" s="65"/>
      <c r="E89" s="66"/>
      <c r="F89" s="67" t="s">
        <v>117</v>
      </c>
      <c r="G89" s="66"/>
    </row>
    <row r="90" spans="1:7" x14ac:dyDescent="0.3">
      <c r="A90" s="65"/>
      <c r="B90" s="65"/>
      <c r="C90" s="65"/>
      <c r="D90" s="65"/>
      <c r="E90" s="66"/>
      <c r="F90" s="67" t="s">
        <v>118</v>
      </c>
      <c r="G90" s="66"/>
    </row>
    <row r="91" spans="1:7" x14ac:dyDescent="0.3">
      <c r="A91" s="53" t="s">
        <v>119</v>
      </c>
      <c r="B91" s="52" t="s">
        <v>120</v>
      </c>
      <c r="C91" s="54" t="s">
        <v>71</v>
      </c>
      <c r="D91" s="55" t="s">
        <v>72</v>
      </c>
      <c r="E91" s="56">
        <v>0</v>
      </c>
      <c r="F91" s="57">
        <v>0</v>
      </c>
      <c r="G91" s="56">
        <v>0</v>
      </c>
    </row>
    <row r="92" spans="1:7" x14ac:dyDescent="0.3">
      <c r="A92" s="58"/>
      <c r="B92" s="52" t="s">
        <v>120</v>
      </c>
      <c r="C92" s="59"/>
      <c r="D92" s="55" t="s">
        <v>73</v>
      </c>
      <c r="E92" s="56">
        <v>0</v>
      </c>
      <c r="F92" s="57">
        <v>62658.380000000005</v>
      </c>
      <c r="G92" s="56">
        <v>62658.380000000005</v>
      </c>
    </row>
    <row r="93" spans="1:7" x14ac:dyDescent="0.3">
      <c r="A93" s="58"/>
      <c r="B93" s="52" t="s">
        <v>120</v>
      </c>
      <c r="C93" s="60"/>
      <c r="D93" s="55" t="s">
        <v>74</v>
      </c>
      <c r="E93" s="56">
        <v>62658.380000000005</v>
      </c>
      <c r="F93" s="57">
        <v>50886.380000000005</v>
      </c>
      <c r="G93" s="56">
        <v>113544.76000000001</v>
      </c>
    </row>
    <row r="94" spans="1:7" x14ac:dyDescent="0.3">
      <c r="A94" s="58"/>
      <c r="B94" s="65"/>
      <c r="C94" s="65"/>
      <c r="D94" s="65"/>
      <c r="E94" s="66"/>
      <c r="F94" s="67" t="s">
        <v>121</v>
      </c>
      <c r="G94" s="66"/>
    </row>
    <row r="95" spans="1:7" x14ac:dyDescent="0.3">
      <c r="A95" s="58"/>
      <c r="B95" s="52" t="s">
        <v>120</v>
      </c>
      <c r="C95" s="54" t="s">
        <v>75</v>
      </c>
      <c r="D95" s="55" t="s">
        <v>72</v>
      </c>
      <c r="E95" s="56">
        <v>0</v>
      </c>
      <c r="F95" s="57">
        <v>0</v>
      </c>
      <c r="G95" s="56">
        <v>0</v>
      </c>
    </row>
    <row r="96" spans="1:7" x14ac:dyDescent="0.3">
      <c r="A96" s="58"/>
      <c r="B96" s="52" t="s">
        <v>120</v>
      </c>
      <c r="C96" s="59"/>
      <c r="D96" s="55" t="s">
        <v>73</v>
      </c>
      <c r="E96" s="56">
        <v>0</v>
      </c>
      <c r="F96" s="57">
        <v>0</v>
      </c>
      <c r="G96" s="56">
        <v>0</v>
      </c>
    </row>
    <row r="97" spans="1:7" x14ac:dyDescent="0.3">
      <c r="A97" s="58"/>
      <c r="B97" s="52" t="s">
        <v>120</v>
      </c>
      <c r="C97" s="60"/>
      <c r="D97" s="55" t="s">
        <v>74</v>
      </c>
      <c r="E97" s="56">
        <v>0</v>
      </c>
      <c r="F97" s="57">
        <v>0</v>
      </c>
      <c r="G97" s="56">
        <v>0</v>
      </c>
    </row>
    <row r="98" spans="1:7" x14ac:dyDescent="0.3">
      <c r="A98" s="61"/>
      <c r="B98" s="65"/>
      <c r="C98" s="65"/>
      <c r="D98" s="65"/>
      <c r="E98" s="66"/>
      <c r="F98" s="67" t="s">
        <v>122</v>
      </c>
      <c r="G98" s="66"/>
    </row>
    <row r="99" spans="1:7" x14ac:dyDescent="0.3">
      <c r="A99" s="65"/>
      <c r="B99" s="65"/>
      <c r="C99" s="65"/>
      <c r="D99" s="65"/>
      <c r="E99" s="66"/>
      <c r="F99" s="67" t="s">
        <v>121</v>
      </c>
      <c r="G99" s="66"/>
    </row>
  </sheetData>
  <mergeCells count="2">
    <mergeCell ref="A51:H51"/>
    <mergeCell ref="A1:H1"/>
  </mergeCells>
  <printOptions horizontalCentered="1"/>
  <pageMargins left="0.7" right="0.7" top="1.1399999999999999" bottom="0.75" header="0.5" footer="0.5"/>
  <pageSetup scale="85" orientation="portrait" r:id="rId1"/>
  <headerFooter>
    <oddHeader>&amp;CAvista Corporation Decoupling Mechanism
Washington Jurisdiction
Quarterly Report for 1st Quarter 2015</oddHeader>
    <oddFooter>&amp;Cfile: &amp;F / &amp;A&amp;RPage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election activeCell="L17" sqref="L17:U20"/>
    </sheetView>
  </sheetViews>
  <sheetFormatPr defaultRowHeight="14.4" x14ac:dyDescent="0.3"/>
  <cols>
    <col min="10" max="10" width="8.88671875" customWidth="1"/>
  </cols>
  <sheetData>
    <row r="1" spans="1:10" x14ac:dyDescent="0.3">
      <c r="A1" t="s">
        <v>126</v>
      </c>
    </row>
    <row r="3" spans="1:10" x14ac:dyDescent="0.3">
      <c r="A3" s="83" t="s">
        <v>130</v>
      </c>
      <c r="B3" s="83"/>
      <c r="C3" s="83"/>
      <c r="D3" s="83"/>
      <c r="E3" s="83"/>
      <c r="F3" s="83"/>
      <c r="G3" s="83"/>
      <c r="H3" s="83"/>
      <c r="I3" s="83"/>
      <c r="J3" s="83"/>
    </row>
    <row r="4" spans="1:10" x14ac:dyDescent="0.3">
      <c r="A4" s="83"/>
      <c r="B4" s="83"/>
      <c r="C4" s="83"/>
      <c r="D4" s="83"/>
      <c r="E4" s="83"/>
      <c r="F4" s="83"/>
      <c r="G4" s="83"/>
      <c r="H4" s="83"/>
      <c r="I4" s="83"/>
      <c r="J4" s="83"/>
    </row>
    <row r="5" spans="1:10" ht="28.2" customHeight="1" x14ac:dyDescent="0.3">
      <c r="A5" s="83"/>
      <c r="B5" s="83"/>
      <c r="C5" s="83"/>
      <c r="D5" s="83"/>
      <c r="E5" s="83"/>
      <c r="F5" s="83"/>
      <c r="G5" s="83"/>
      <c r="H5" s="83"/>
      <c r="I5" s="83"/>
      <c r="J5" s="83"/>
    </row>
    <row r="7" spans="1:10" x14ac:dyDescent="0.3">
      <c r="A7" s="84" t="s">
        <v>127</v>
      </c>
      <c r="B7" s="84"/>
      <c r="C7" s="84"/>
      <c r="D7" s="84"/>
      <c r="E7" s="84"/>
      <c r="F7" s="84"/>
      <c r="G7" s="84"/>
      <c r="H7" s="84"/>
      <c r="I7" s="84"/>
      <c r="J7" s="84"/>
    </row>
    <row r="8" spans="1:10" ht="45" customHeight="1" x14ac:dyDescent="0.3">
      <c r="A8" s="84"/>
      <c r="B8" s="84"/>
      <c r="C8" s="84"/>
      <c r="D8" s="84"/>
      <c r="E8" s="84"/>
      <c r="F8" s="84"/>
      <c r="G8" s="84"/>
      <c r="H8" s="84"/>
      <c r="I8" s="84"/>
      <c r="J8" s="84"/>
    </row>
    <row r="9" spans="1:10" ht="14.4" customHeight="1" x14ac:dyDescent="0.3">
      <c r="A9" s="78"/>
      <c r="B9" s="78"/>
      <c r="C9" s="78"/>
      <c r="D9" s="78"/>
      <c r="E9" s="78"/>
      <c r="F9" s="78"/>
      <c r="G9" s="78"/>
      <c r="H9" s="78"/>
      <c r="I9" s="78"/>
      <c r="J9" s="78"/>
    </row>
    <row r="10" spans="1:10" ht="14.4" customHeight="1" x14ac:dyDescent="0.3">
      <c r="A10" s="83" t="s">
        <v>128</v>
      </c>
      <c r="B10" s="83"/>
      <c r="C10" s="83"/>
      <c r="D10" s="83"/>
      <c r="E10" s="83"/>
      <c r="F10" s="83"/>
      <c r="G10" s="83"/>
      <c r="H10" s="83"/>
      <c r="I10" s="83"/>
      <c r="J10" s="83"/>
    </row>
    <row r="11" spans="1:10" ht="14.4" customHeight="1" x14ac:dyDescent="0.3">
      <c r="A11" s="83"/>
      <c r="B11" s="83"/>
      <c r="C11" s="83"/>
      <c r="D11" s="83"/>
      <c r="E11" s="83"/>
      <c r="F11" s="83"/>
      <c r="G11" s="83"/>
      <c r="H11" s="83"/>
      <c r="I11" s="83"/>
      <c r="J11" s="83"/>
    </row>
    <row r="13" spans="1:10" x14ac:dyDescent="0.3">
      <c r="A13" s="85" t="s">
        <v>129</v>
      </c>
      <c r="B13" s="85"/>
      <c r="C13" s="85"/>
      <c r="D13" s="85"/>
      <c r="E13" s="85"/>
      <c r="F13" s="85"/>
      <c r="G13" s="85"/>
      <c r="H13" s="85"/>
      <c r="I13" s="85"/>
      <c r="J13" s="85"/>
    </row>
    <row r="14" spans="1:10" x14ac:dyDescent="0.3">
      <c r="A14" s="85"/>
      <c r="B14" s="85"/>
      <c r="C14" s="85"/>
      <c r="D14" s="85"/>
      <c r="E14" s="85"/>
      <c r="F14" s="85"/>
      <c r="G14" s="85"/>
      <c r="H14" s="85"/>
      <c r="I14" s="85"/>
      <c r="J14" s="85"/>
    </row>
    <row r="15" spans="1:10" ht="60" customHeight="1" x14ac:dyDescent="0.3">
      <c r="A15" s="85"/>
      <c r="B15" s="85"/>
      <c r="C15" s="85"/>
      <c r="D15" s="85"/>
      <c r="E15" s="85"/>
      <c r="F15" s="85"/>
      <c r="G15" s="85"/>
      <c r="H15" s="85"/>
      <c r="I15" s="85"/>
      <c r="J15" s="85"/>
    </row>
    <row r="17" ht="14.4" customHeight="1" x14ac:dyDescent="0.3"/>
    <row r="18" ht="14.4" customHeight="1" x14ac:dyDescent="0.3"/>
  </sheetData>
  <mergeCells count="4">
    <mergeCell ref="A3:J5"/>
    <mergeCell ref="A7:J8"/>
    <mergeCell ref="A13:J15"/>
    <mergeCell ref="A10:J11"/>
  </mergeCells>
  <pageMargins left="0.7" right="0.56000000000000005" top="1.43" bottom="0.75" header="0.75" footer="0.73"/>
  <pageSetup orientation="portrait" r:id="rId1"/>
  <headerFooter>
    <oddHeader>&amp;CAvista Corporation Decoupling Mechanism
Washington Jurisdiction
Quarterly Report for 1st Quarter 2015</oddHeader>
    <oddFooter>&amp;Cfile: &amp;F / &amp;A&amp;RPage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Date1 xmlns="dc463f71-b30c-4ab2-9473-d307f9d35888">2015-05-15T07:00:00+00:00</Date1>
    <IsDocumentOrder xmlns="dc463f71-b30c-4ab2-9473-d307f9d35888" xsi:nil="true"/>
    <IsHighlyConfidential xmlns="dc463f71-b30c-4ab2-9473-d307f9d35888">false</IsHighlyConfidential>
    <CaseCompanyNames xmlns="dc463f71-b30c-4ab2-9473-d307f9d35888">Avista Corporation</CaseCompanyNames>
    <DocketNumber xmlns="dc463f71-b30c-4ab2-9473-d307f9d35888">140188</DocketNumber>
    <DelegatedOrder xmlns="dc463f71-b30c-4ab2-9473-d307f9d35888">false</DelegatedOrder>
    <Visibility xmlns="dc463f71-b30c-4ab2-9473-d307f9d35888" xsi:nil="true"/>
    <Nickname xmlns="http://schemas.microsoft.com/sharepoint/v3" xsi:nil="true"/>
    <SignificantOrder xmlns="dc463f71-b30c-4ab2-9473-d307f9d35888">false</SignificantOrd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28D2A0-E3CD-41DB-94E2-BA3C99E0D6FF}"/>
</file>

<file path=customXml/itemProps2.xml><?xml version="1.0" encoding="utf-8"?>
<ds:datastoreItem xmlns:ds="http://schemas.openxmlformats.org/officeDocument/2006/customXml" ds:itemID="{F3BFB436-F0E0-4279-89EF-98D8AC5A820C}"/>
</file>

<file path=customXml/itemProps3.xml><?xml version="1.0" encoding="utf-8"?>
<ds:datastoreItem xmlns:ds="http://schemas.openxmlformats.org/officeDocument/2006/customXml" ds:itemID="{7B467305-D1C0-43AF-8A24-1B858B3802BC}"/>
</file>

<file path=customXml/itemProps4.xml><?xml version="1.0" encoding="utf-8"?>
<ds:datastoreItem xmlns:ds="http://schemas.openxmlformats.org/officeDocument/2006/customXml" ds:itemID="{6DCB0881-269F-41CA-9A5F-C32A9C46EA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Electric Deferral</vt:lpstr>
      <vt:lpstr>Nat Gas Deferral</vt:lpstr>
      <vt:lpstr>Accounting Balances</vt:lpstr>
      <vt:lpstr>Notes</vt:lpstr>
      <vt:lpstr>'Accounting Balances'!Print_Area</vt:lpstr>
      <vt:lpstr>Notes!Print_Area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2015-05-15T15:16:27Z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