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2.xml" ContentType="application/vnd.openxmlformats-officedocument.spreadsheetml.worksheet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33.xml" ContentType="application/vnd.openxmlformats-officedocument.spreadsheetml.worksheet+xml"/>
  <Override PartName="/xl/worksheets/sheet10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ustomProperty28.bin" ContentType="application/vnd.openxmlformats-officedocument.spreadsheetml.customProperty"/>
  <Override PartName="/xl/customProperty27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ustomProperty26.bin" ContentType="application/vnd.openxmlformats-officedocument.spreadsheetml.customProperty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5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9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2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12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externalLinks/externalLink7.xml" ContentType="application/vnd.openxmlformats-officedocument.spreadsheetml.externalLink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9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externalLinks/externalLink11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20 PCORC\Compliance Filing\2020 PCORC Work Papers COMPLIANCE\"/>
    </mc:Choice>
  </mc:AlternateContent>
  <bookViews>
    <workbookView xWindow="2880" yWindow="2010" windowWidth="19275" windowHeight="8835" tabRatio="912"/>
  </bookViews>
  <sheets>
    <sheet name="Exh BDJ-8 p1-2 (Rate Impacts)" sheetId="1" r:id="rId1"/>
    <sheet name="Exh BDJ-8 p3 (Typ Res Bill)" sheetId="65" r:id="rId2"/>
    <sheet name="Controls" sheetId="64" r:id="rId3"/>
    <sheet name="Schedule_RateImpacts" sheetId="53" r:id="rId4"/>
    <sheet name="Forecast-&gt;" sheetId="60" r:id="rId5"/>
    <sheet name="TY June 2020 Proforma Rev" sheetId="56" r:id="rId6"/>
    <sheet name="F2020 Sch Level Delivered Load" sheetId="50" r:id="rId7"/>
    <sheet name="F2020 Customers" sheetId="55" r:id="rId8"/>
    <sheet name="Rider Revenue Impacts-&gt;" sheetId="15" r:id="rId9"/>
    <sheet name="Sch 95" sheetId="3" r:id="rId10"/>
    <sheet name="Sch 95a" sheetId="4" r:id="rId11"/>
    <sheet name="Sch 120" sheetId="13" r:id="rId12"/>
    <sheet name="Sch 129" sheetId="16" r:id="rId13"/>
    <sheet name="Sch 137" sheetId="19" r:id="rId14"/>
    <sheet name="Sch 139" sheetId="69" r:id="rId15"/>
    <sheet name="Sch 140" sheetId="22" r:id="rId16"/>
    <sheet name="Sch 141X" sheetId="59" r:id="rId17"/>
    <sheet name="Sch 141Y" sheetId="57" r:id="rId18"/>
    <sheet name="Sch 141Z" sheetId="66" r:id="rId19"/>
    <sheet name="Sch 142 Deferral" sheetId="24" r:id="rId20"/>
    <sheet name="Sch 194" sheetId="25" r:id="rId21"/>
    <sheet name="Compliance Eff 7-1-21=&gt;" sheetId="46" r:id="rId22"/>
    <sheet name="UE-200980 Sch 95 PCORC Complian" sheetId="5" r:id="rId23"/>
    <sheet name="Compliance Filings-&gt;" sheetId="14" r:id="rId24"/>
    <sheet name="UE-200893 Sch 95 Eff 12-01-2020" sheetId="70" r:id="rId25"/>
    <sheet name="UE-200897 Sch 95A" sheetId="12" r:id="rId26"/>
    <sheet name="UE-210140 Sch 120" sheetId="49" r:id="rId27"/>
    <sheet name="UE-200770 Sch 129" sheetId="7" r:id="rId28"/>
    <sheet name="UE-200967 Sch 137" sheetId="20" r:id="rId29"/>
    <sheet name="UE-210217 Sch 140" sheetId="48" r:id="rId30"/>
    <sheet name="UE-180899 141X" sheetId="61" r:id="rId31"/>
    <sheet name="UE-190529 Sch 141X &amp; 141Z" sheetId="67" r:id="rId32"/>
    <sheet name="UE-200661 Sch 141Y" sheetId="58" r:id="rId33"/>
    <sheet name="UE-190529-210214 Sch 142" sheetId="68" r:id="rId34"/>
    <sheet name="UE-190753 Sch 194" sheetId="62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Jun09">" BS!$AI$7:$AI$1643"</definedName>
    <definedName name="______six6" hidden="1">{#N/A,#N/A,FALSE,"CRPT";#N/A,#N/A,FALSE,"TREND";#N/A,#N/A,FALSE,"%Curve"}</definedName>
    <definedName name="______www1" hidden="1">{#N/A,#N/A,FALSE,"schA"}</definedName>
    <definedName name="_____Jun09">" BS!$AI$7:$AI$1643"</definedName>
    <definedName name="_____six6" hidden="1">{#N/A,#N/A,FALSE,"CRPT";#N/A,#N/A,FALSE,"TREND";#N/A,#N/A,FALSE,"%Curve"}</definedName>
    <definedName name="_____www1" hidden="1">{#N/A,#N/A,FALSE,"schA"}</definedName>
    <definedName name="____Jun09">" BS!$AI$7:$AI$1643"</definedName>
    <definedName name="____six6" hidden="1">{#N/A,#N/A,FALSE,"CRPT";#N/A,#N/A,FALSE,"TREND";#N/A,#N/A,FALSE,"%Curve"}</definedName>
    <definedName name="____www1" hidden="1">{#N/A,#N/A,FALSE,"schA"}</definedName>
    <definedName name="___Jun09">" BS!$AI$7:$AI$1643"</definedName>
    <definedName name="___six6" hidden="1">{#N/A,#N/A,FALSE,"CRPT";#N/A,#N/A,FALSE,"TREND";#N/A,#N/A,FALSE,"%Curve"}</definedName>
    <definedName name="___www1" hidden="1">{#N/A,#N/A,FALSE,"schA"}</definedName>
    <definedName name="__123Graph_A" hidden="1">[3]Inputs!#REF!</definedName>
    <definedName name="__123Graph_ABUDG6_DSCRPR">[4]Quant!$D$71:$O$71</definedName>
    <definedName name="__123Graph_ABUDG6_ESCRPR1">[4]Quant!$D$100:$O$100</definedName>
    <definedName name="__123Graph_B" hidden="1">[3]Inputs!#REF!</definedName>
    <definedName name="__123Graph_BBUDG6_DSCRPR">[4]Quant!$D$72:$O$72</definedName>
    <definedName name="__123Graph_BBUDG6_ESCRPR1">[4]Quant!$D$88:$O$88</definedName>
    <definedName name="__123Graph_D" hidden="1">#REF!</definedName>
    <definedName name="__123Graph_ECURRENT" hidden="1">[5]ConsolidatingPL!#REF!</definedName>
    <definedName name="__123Graph_X">[4]Quant!$D$5:$O$5</definedName>
    <definedName name="__123Graph_XBUDG6_DSCRPR">[4]Quant!$D$5:$O$5</definedName>
    <definedName name="__123Graph_XBUDG6_ESCRPR1">[4]Quant!$D$5:$O$5</definedName>
    <definedName name="__Dec03">[6]BS!$T$7:$T$3582</definedName>
    <definedName name="__Dec04">[7]BS!$AC$7:$AC$3580</definedName>
    <definedName name="__Jul04">[7]BS!$X$7:$X$3582</definedName>
    <definedName name="__Jun04">[7]BS!$W$7:$W$3582</definedName>
    <definedName name="__Jun09">" BS!$AI$7:$AI$1643"</definedName>
    <definedName name="__May04">[7]BS!$V$7:$V$3582</definedName>
    <definedName name="__Nov03">[6]BS!$S$7:$S$3582</definedName>
    <definedName name="__Nov04">[7]BS!$AB$7:$AB$3582</definedName>
    <definedName name="__Oct03">[6]BS!$R$7:$R$3582</definedName>
    <definedName name="__Oct04">[7]BS!$AA$7:$AA$3582</definedName>
    <definedName name="__Sep03">[6]BS!$Q$7:$Q$3582</definedName>
    <definedName name="__Sep04">[7]BS!$Z$7:$Z$3582</definedName>
    <definedName name="__six6" hidden="1">{#N/A,#N/A,FALSE,"CRPT";#N/A,#N/A,FALSE,"TREND";#N/A,#N/A,FALSE,"%Curve"}</definedName>
    <definedName name="__www1" hidden="1">{#N/A,#N/A,FALSE,"schA"}</definedName>
    <definedName name="_1__123Graph_ABUDG6_D_ESCRPR">[4]Quant!$D$71:$O$71</definedName>
    <definedName name="_1Price_Ta">#REF!</definedName>
    <definedName name="_2__123Graph_ABUDG6_Dtons_inv" hidden="1">[8]Quant!#REF!</definedName>
    <definedName name="_2Price_Ta">#REF!</definedName>
    <definedName name="_3__123Graph_ABUDG6_Dtons_inv" hidden="1">[9]Quant!#REF!</definedName>
    <definedName name="_3__123Graph_BBUDG6_D_ESCRPR">[4]Quant!$D$72:$O$72</definedName>
    <definedName name="_4__123Graph_ABUDG6_Dtons_inv" hidden="1">'[10]Area D 2011'!#REF!</definedName>
    <definedName name="_4__123Graph_BBUDG6_Dtons_inv">[4]Quant!$D$9:$O$9</definedName>
    <definedName name="_5__123Graph_CBUDG6_D_ESCRPR">[4]Quant!$D$100:$O$100</definedName>
    <definedName name="_6__123Graph_CBUDG6_D_ESCRPR" hidden="1">'[11]2012 Area AB BudgetSummary'!#REF!</definedName>
    <definedName name="_6__123Graph_DBUDG6_D_ESCRPR">[4]Quant!$D$88:$O$88</definedName>
    <definedName name="_7__123Graph_CBUDG6_D_ESCRPR" hidden="1">'[10]Area D 2011'!#REF!</definedName>
    <definedName name="_7__123Graph_DBUDG6_D_ESCRPR" hidden="1">'[11]2012 Area AB BudgetSummary'!#REF!</definedName>
    <definedName name="_7__123Graph_XBUDG6_D_ESCRPR">[4]Quant!$D$5:$O$5</definedName>
    <definedName name="_8__123Graph_DBUDG6_D_ESCRPR" hidden="1">'[10]Area D 2011'!#REF!</definedName>
    <definedName name="_8__123Graph_XBUDG6_Dtons_inv">[4]Quant!$D$5:$O$5</definedName>
    <definedName name="_Apr04">[7]BS!$U$7:$U$3582</definedName>
    <definedName name="_Aug04">[7]BS!$Y$7:$Y$3582</definedName>
    <definedName name="_B">'[12]Rate Design'!#REF!</definedName>
    <definedName name="_Dec03">[6]BS!$T$7:$T$3582</definedName>
    <definedName name="_Dec04">[7]BS!$AC$7:$AC$3580</definedName>
    <definedName name="_ex1" hidden="1">{#N/A,#N/A,FALSE,"Summ";#N/A,#N/A,FALSE,"General"}</definedName>
    <definedName name="_Feb04">[7]BS!$S$7:$S$3582</definedName>
    <definedName name="_Fill" hidden="1">#REF!</definedName>
    <definedName name="_Jan04">[7]BS!$R$7:$R$3582</definedName>
    <definedName name="_Jul04">[7]BS!$X$7:$X$3582</definedName>
    <definedName name="_Jun04">[7]BS!$W$7:$W$3582</definedName>
    <definedName name="_Jun09">" BS!$AI$7:$AI$1643"</definedName>
    <definedName name="_Key1" hidden="1">#REF!</definedName>
    <definedName name="_Key2" hidden="1">#REF!</definedName>
    <definedName name="_Mar04">[7]BS!$T$7:$T$3582</definedName>
    <definedName name="_May04">[7]BS!$V$7:$V$3582</definedName>
    <definedName name="_MEN2">[1]Jan!#REF!</definedName>
    <definedName name="_MEN3">[1]Jan!#REF!</definedName>
    <definedName name="_new1" hidden="1">{#N/A,#N/A,FALSE,"Summ";#N/A,#N/A,FALSE,"General"}</definedName>
    <definedName name="_Nov03">[6]BS!$S$7:$S$3582</definedName>
    <definedName name="_Nov04">[7]BS!$AB$7:$AB$3582</definedName>
    <definedName name="_Oct03">[6]BS!$R$7:$R$3582</definedName>
    <definedName name="_Oct04">[7]BS!$AA$7:$AA$3582</definedName>
    <definedName name="_Order1">255</definedName>
    <definedName name="_Order2">255</definedName>
    <definedName name="_P">#REF!</definedName>
    <definedName name="_Parse_In" hidden="1">#REF!</definedName>
    <definedName name="_PC1">[13]CLASSIFIERS!$A$7:$IV$7</definedName>
    <definedName name="_PC2">[13]CLASSIFIERS!$A$10:$IV$10</definedName>
    <definedName name="_PC3">[13]CLASSIFIERS!$A$12:$IV$12</definedName>
    <definedName name="_PC4">[13]CLASSIFIERS!$A$13:$IV$13</definedName>
    <definedName name="_Regression_Int">1</definedName>
    <definedName name="_SEC24">[13]EXTERNAL!$A$112:$IV$114</definedName>
    <definedName name="_Sep03">[14]BS!$AB$7:$AB$3420</definedName>
    <definedName name="_Sep04">[7]BS!$Z$7:$Z$3582</definedName>
    <definedName name="_six6" hidden="1">{#N/A,#N/A,FALSE,"CRPT";#N/A,#N/A,FALSE,"TREND";#N/A,#N/A,FALSE,"%Curve"}</definedName>
    <definedName name="_Sort" hidden="1">#REF!</definedName>
    <definedName name="_TOP1">[1]Jan!#REF!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cct108364">'[15]Func Study'!#REF!</definedName>
    <definedName name="Acct108364S">'[15]Func Study'!#REF!</definedName>
    <definedName name="Acct228.42TROJD">'[16]Func Study'!#REF!</definedName>
    <definedName name="Acct2281SO">'[17]Func Study'!$H$2190</definedName>
    <definedName name="Acct2283SO">'[17]Func Study'!$H$2198</definedName>
    <definedName name="Acct22842TROJD">'[16]Func Study'!#REF!</definedName>
    <definedName name="Acct228SO">'[17]Func Study'!$H$2194</definedName>
    <definedName name="Acct350">'[17]Func Study'!$H$1628</definedName>
    <definedName name="Acct352">'[17]Func Study'!$H$1635</definedName>
    <definedName name="Acct353">'[17]Func Study'!$H$1641</definedName>
    <definedName name="Acct354">'[17]Func Study'!$H$1647</definedName>
    <definedName name="Acct355">'[17]Func Study'!$H$1654</definedName>
    <definedName name="Acct356">'[17]Func Study'!$H$1660</definedName>
    <definedName name="Acct357">'[17]Func Study'!$H$1666</definedName>
    <definedName name="Acct358">'[17]Func Study'!$H$1672</definedName>
    <definedName name="Acct359">'[17]Func Study'!$H$1678</definedName>
    <definedName name="Acct360">'[17]Func Study'!$H$1698</definedName>
    <definedName name="Acct361">'[17]Func Study'!$H$1704</definedName>
    <definedName name="Acct362">'[17]Func Study'!$H$1710</definedName>
    <definedName name="Acct364">'[17]Func Study'!$H$1717</definedName>
    <definedName name="Acct365">'[17]Func Study'!$H$1724</definedName>
    <definedName name="Acct366">'[17]Func Study'!$H$1731</definedName>
    <definedName name="Acct367">'[17]Func Study'!$H$1738</definedName>
    <definedName name="Acct368">'[17]Func Study'!$H$1744</definedName>
    <definedName name="Acct369">'[17]Func Study'!$H$1751</definedName>
    <definedName name="Acct370">'[17]Func Study'!$H$1762</definedName>
    <definedName name="Acct371">'[17]Func Study'!$H$1769</definedName>
    <definedName name="Acct372">'[17]Func Study'!$H$1776</definedName>
    <definedName name="Acct372A">'[17]Func Study'!$H$1775</definedName>
    <definedName name="Acct372DP">'[17]Func Study'!$H$1773</definedName>
    <definedName name="Acct372DS">'[17]Func Study'!$H$1774</definedName>
    <definedName name="Acct373">'[17]Func Study'!$H$1782</definedName>
    <definedName name="Acct41011">'[18]Functional Study'!#REF!</definedName>
    <definedName name="Acct41011BADDEBT">'[18]Functional Study'!#REF!</definedName>
    <definedName name="Acct41011DITEXP">'[18]Functional Study'!#REF!</definedName>
    <definedName name="Acct41011S">'[18]Functional Study'!#REF!</definedName>
    <definedName name="Acct41011SE">'[18]Functional Study'!#REF!</definedName>
    <definedName name="Acct41011SG1">'[18]Functional Study'!#REF!</definedName>
    <definedName name="Acct41011SG2">'[18]Functional Study'!#REF!</definedName>
    <definedName name="ACCT41011SGCT">'[18]Functional Study'!#REF!</definedName>
    <definedName name="Acct41011SGPP">'[18]Functional Study'!#REF!</definedName>
    <definedName name="Acct41011SNP">'[18]Functional Study'!#REF!</definedName>
    <definedName name="ACCT41011SNPD">'[18]Functional Study'!#REF!</definedName>
    <definedName name="Acct41011SO">'[18]Functional Study'!#REF!</definedName>
    <definedName name="Acct41011TROJP">'[18]Functional Study'!#REF!</definedName>
    <definedName name="Acct41111">'[18]Functional Study'!#REF!</definedName>
    <definedName name="Acct41111BADDEBT">'[18]Functional Study'!#REF!</definedName>
    <definedName name="Acct41111DITEXP">'[18]Functional Study'!#REF!</definedName>
    <definedName name="Acct41111S">'[18]Functional Study'!#REF!</definedName>
    <definedName name="Acct41111SE">'[18]Functional Study'!#REF!</definedName>
    <definedName name="Acct41111SG1">'[18]Functional Study'!#REF!</definedName>
    <definedName name="Acct41111SG2">'[18]Functional Study'!#REF!</definedName>
    <definedName name="Acct41111SG3">'[18]Functional Study'!#REF!</definedName>
    <definedName name="Acct41111SGPP">'[18]Functional Study'!#REF!</definedName>
    <definedName name="Acct41111SNP">'[18]Functional Study'!#REF!</definedName>
    <definedName name="Acct41111SNTP">'[18]Functional Study'!#REF!</definedName>
    <definedName name="Acct41111SO">'[18]Functional Study'!#REF!</definedName>
    <definedName name="Acct41111TROJP">'[18]Functional Study'!#REF!</definedName>
    <definedName name="Acct411BADDEBT">'[18]Functional Study'!#REF!</definedName>
    <definedName name="Acct411DGP">'[18]Functional Study'!#REF!</definedName>
    <definedName name="Acct411DGU">'[18]Functional Study'!#REF!</definedName>
    <definedName name="Acct411DITEXP">'[18]Functional Study'!#REF!</definedName>
    <definedName name="Acct411DNPP">'[18]Functional Study'!#REF!</definedName>
    <definedName name="Acct411DNPTP">'[18]Functional Study'!#REF!</definedName>
    <definedName name="Acct411S">'[18]Functional Study'!#REF!</definedName>
    <definedName name="Acct411SE">'[18]Functional Study'!#REF!</definedName>
    <definedName name="Acct411SG">'[18]Functional Study'!#REF!</definedName>
    <definedName name="Acct411SGPP">'[18]Functional Study'!#REF!</definedName>
    <definedName name="Acct411SO">'[18]Functional Study'!#REF!</definedName>
    <definedName name="Acct411TROJP">'[18]Functional Study'!#REF!</definedName>
    <definedName name="Acct447DGU">'[16]Func Study'!#REF!</definedName>
    <definedName name="Acct448S">'[17]Func Study'!$H$274</definedName>
    <definedName name="Acct450S">'[17]Func Study'!$H$302</definedName>
    <definedName name="Acct451S">'[17]Func Study'!$H$307</definedName>
    <definedName name="Acct454S">'[17]Func Study'!$H$318</definedName>
    <definedName name="Acct456S">'[17]Func Study'!$H$325</definedName>
    <definedName name="Acct510">'[17]Func Study'!#REF!</definedName>
    <definedName name="Acct510DNPPSU">'[17]Func Study'!#REF!</definedName>
    <definedName name="ACCT510JBG">'[17]Func Study'!#REF!</definedName>
    <definedName name="ACCT510SSGCH">'[17]Func Study'!#REF!</definedName>
    <definedName name="ACCT557CAGE">'[17]Func Study'!$H$683</definedName>
    <definedName name="Acct557CT">'[17]Func Study'!$H$681</definedName>
    <definedName name="Acct580">'[17]Func Study'!$H$791</definedName>
    <definedName name="Acct581">'[17]Func Study'!$H$796</definedName>
    <definedName name="Acct582">'[17]Func Study'!$H$801</definedName>
    <definedName name="Acct583">'[17]Func Study'!$H$806</definedName>
    <definedName name="Acct584">'[17]Func Study'!$H$811</definedName>
    <definedName name="Acct585">'[17]Func Study'!$H$816</definedName>
    <definedName name="Acct586">'[17]Func Study'!$H$821</definedName>
    <definedName name="Acct587">'[17]Func Study'!$H$826</definedName>
    <definedName name="Acct588">'[17]Func Study'!$H$831</definedName>
    <definedName name="Acct589">'[17]Func Study'!$H$836</definedName>
    <definedName name="Acct590">'[17]Func Study'!$H$841</definedName>
    <definedName name="Acct591">'[17]Func Study'!$H$846</definedName>
    <definedName name="Acct592">'[17]Func Study'!$H$851</definedName>
    <definedName name="Acct593">'[17]Func Study'!$H$856</definedName>
    <definedName name="Acct594">'[17]Func Study'!$H$861</definedName>
    <definedName name="Acct595">'[17]Func Study'!$H$866</definedName>
    <definedName name="Acct596">'[17]Func Study'!$H$876</definedName>
    <definedName name="Acct597">'[17]Func Study'!$H$881</definedName>
    <definedName name="Acct598">'[17]Func Study'!$H$886</definedName>
    <definedName name="ACCT904SG">'[19]Functional Study'!#REF!</definedName>
    <definedName name="AcctAGA">'[17]Func Study'!$H$296</definedName>
    <definedName name="AcctDFAD">'[17]Func Study'!#REF!</definedName>
    <definedName name="AcctDFAP">'[17]Func Study'!#REF!</definedName>
    <definedName name="AcctDFAT">'[17]Func Study'!#REF!</definedName>
    <definedName name="AcctTable">[20]Variables!$AK$42:$AK$396</definedName>
    <definedName name="AcctTS0">'[17]Func Study'!$H$1686</definedName>
    <definedName name="Acq1Plant">'[21]Acquisition Inputs'!$C$8</definedName>
    <definedName name="Acq2Plant">'[21]Acquisition Inputs'!$C$70</definedName>
    <definedName name="ActualROR">'[16]G+T+D+R+M'!$H$61</definedName>
    <definedName name="ADJPTDCE.T">[13]INTERNAL!$A$31:$IV$33</definedName>
    <definedName name="Adjs2avg">[22]Inputs!$L$255:'[22]Inputs'!$T$505</definedName>
    <definedName name="After_Tax_Cash_Discount">'[23]Assumptions (Input)'!$D$37</definedName>
    <definedName name="afudc_flag">'[23]Assumptions (Input)'!$B$13</definedName>
    <definedName name="ANCIL">[13]EXTERNAL!$A$163:$IV$165</definedName>
    <definedName name="APR">[24]Backup!#REF!</definedName>
    <definedName name="Apr04AMA">[7]BS!$AG$7:$AG$3582</definedName>
    <definedName name="APRT">#REF!</definedName>
    <definedName name="AS2DocOpenMode">"AS2DocumentEdit"</definedName>
    <definedName name="Assessment_Rate">'[23]Assumptions (Input)'!$B$7</definedName>
    <definedName name="AUG">[24]Backup!#REF!</definedName>
    <definedName name="Aug04AMA">[7]BS!$AK$7:$AK$3582</definedName>
    <definedName name="AUGT">#REF!</definedName>
    <definedName name="Aurora_Prices">"Monthly Price Summary'!$C$4:$H$63"</definedName>
    <definedName name="AvgFactors">[20]Factors!$B$3:$P$99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g_Unb_KWHs">[25]LeadSht!$L$10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[26]ZZCOOM_M03_Q005!#REF!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[26]ZZCOOM_M03_Q005!#REF!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[26]ZZCOOM_M03_Q005!#REF!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[26]ZZCOOM_M03_Q005!#REF!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[26]ZZCOOM_M03_Q005!#REF!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[26]ZZCOOM_M03_Q005!#REF!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OK_LIFE">'[27]Lvl FCR'!$G$10</definedName>
    <definedName name="BOOKADJ">#REF!</definedName>
    <definedName name="BPAX">[13]EXTERNAL!$A$121:$IV$123</definedName>
    <definedName name="Bum" hidden="1">#REF!</definedName>
    <definedName name="Button_1">"TradeSummary_Ken_Finicle_List"</definedName>
    <definedName name="CAE.T">[13]INTERNAL!$A$34:$IV$36</definedName>
    <definedName name="CAES1.T">[13]INTERNAL!$A$37:$IV$39</definedName>
    <definedName name="cap">[28]Readings!$B$2</definedName>
    <definedName name="Capital_Inflation">'[23]Assumptions (Input)'!$B$11</definedName>
    <definedName name="CASE">[29]INPUTS!$C$8</definedName>
    <definedName name="Case_Name">'[30]KJB-6,13 Cmn Adj'!$B$8</definedName>
    <definedName name="CaseDescription">'[21]Dispatch Cases'!$C$11</definedName>
    <definedName name="CBWorkbookPriority">-2060790043</definedName>
    <definedName name="CCGT_HeatRate">[21]Assumptions!$H$23</definedName>
    <definedName name="CCGTPrice">[21]Assumptions!$H$22</definedName>
    <definedName name="Check">#REF!</definedName>
    <definedName name="CL_RT2">'[31]Transp Data'!$A$6:$C$81</definedName>
    <definedName name="Classification">'[17]Func Study'!$AB$251</definedName>
    <definedName name="Close_Date">'[23]Capital Projects(Input)'!$D$7:$D$53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Construction_OH">'[32]Virtual 49 Back-Up'!$E$54</definedName>
    <definedName name="ConversionFactor">[21]Assumptions!$I$65</definedName>
    <definedName name="COSFacVal">[17]Inputs!$R$5</definedName>
    <definedName name="CurrQtr">'[33]Inc Stmt'!$AJ$222</definedName>
    <definedName name="CUS">[13]CLASSIFIERS!$A$6:$IV$6</definedName>
    <definedName name="CUST_1">[13]EXTERNAL!$A$22:$IV$24</definedName>
    <definedName name="CUST_4">[13]EXTERNAL!$A$25:$IV$27</definedName>
    <definedName name="CUST_5">[13]EXTERNAL!$A$28:$IV$30</definedName>
    <definedName name="CUST_6">[13]EXTERNAL!$A$31:$IV$33</definedName>
    <definedName name="D108.05.T">[13]INTERNAL!$A$22:$IV$24</definedName>
    <definedName name="D108.10.T">[13]INTERNAL!$A$25:$IV$27</definedName>
    <definedName name="D361.T">[13]INTERNAL!$A$4:$IV$6</definedName>
    <definedName name="D362.T">[13]INTERNAL!$A$7:$IV$9</definedName>
    <definedName name="D364.T">[13]INTERNAL!$A$10:$IV$12</definedName>
    <definedName name="D366.T">[13]INTERNAL!$A$13:$IV$15</definedName>
    <definedName name="D368.T">[13]INTERNAL!$A$16:$IV$18</definedName>
    <definedName name="D370.T">[13]INTERNAL!$A$19:$IV$21</definedName>
    <definedName name="D372.T">[13]INTERNAL!$A$28:$IV$30</definedName>
    <definedName name="Data">'[34]Mix Variance'!$B$1:$N$31</definedName>
    <definedName name="Data.Avg">'[33]Avg Amts'!$A$5:$BP$34</definedName>
    <definedName name="Data.Qtrs.Avg">'[33]Avg Amts'!$A$5:$IV$5</definedName>
    <definedName name="data1">'[35]Mix Variance'!$O$5:$T$25</definedName>
    <definedName name="_xlnm.Database">[36]Invoice!#REF!</definedName>
    <definedName name="DATE">[37]Jan!#REF!</definedName>
    <definedName name="DebtPerc">[21]Assumptions!$I$58</definedName>
    <definedName name="DEC">[24]Backup!#REF!</definedName>
    <definedName name="Dec03AMA">[6]BS!$AJ$7:$AJ$3582</definedName>
    <definedName name="Dec04AMA">[7]BS!$AO$7:$AO$3582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">[13]CLASSIFIERS!$A$4:$IV$4</definedName>
    <definedName name="DEM_1">[13]EXTERNAL!$A$7:$IV$9</definedName>
    <definedName name="DEM_12CP">[13]EXTERNAL!$A$118:$IV$120</definedName>
    <definedName name="DEM_12NCP_P">[13]EXTERNAL!$A$187:$IV$189</definedName>
    <definedName name="DEM_12NCP_S">[13]EXTERNAL!$A$190:$IV$192</definedName>
    <definedName name="DEM_12NCP1">[13]EXTERNAL!$A$139:$IV$141</definedName>
    <definedName name="DEM_12NCP2">[13]EXTERNAL!$A$130:$IV$132</definedName>
    <definedName name="DEM_1A">[13]EXTERNAL!$A$115:$IV$117</definedName>
    <definedName name="DEM_2A">[13]EXTERNAL!$A$148:$IV$150</definedName>
    <definedName name="DEM_3A">[13]EXTERNAL!$A$199:$IV$201</definedName>
    <definedName name="DEM_3B">[13]EXTERNAL!$A$196:$IV$198</definedName>
    <definedName name="Demand">[16]Inputs!$D$8</definedName>
    <definedName name="Demand2">[38]Inputs!$D$11</definedName>
    <definedName name="DES1.T">[13]INTERNAL!$A$40:$IV$42</definedName>
    <definedName name="DES2.T">[13]INTERNAL!$A$43:$IV$45</definedName>
    <definedName name="DF_HeatRate">[21]Assumptions!$L$23</definedName>
    <definedName name="DFIT" hidden="1">{#N/A,#N/A,FALSE,"Coversheet";#N/A,#N/A,FALSE,"QA"}</definedName>
    <definedName name="DIR_40">[13]EXTERNAL!$A$193:$IV$195</definedName>
    <definedName name="DIR_449">[13]EXTERNAL!$A$127:$IV$129</definedName>
    <definedName name="DIR_449_ENERGY">[13]EXTERNAL!$A$160:$IV$162</definedName>
    <definedName name="DIR_449_HV">[13]EXTERNAL!$A$157:$IV$159</definedName>
    <definedName name="DIR_449_OATT">[13]EXTERNAL!$A$166:$IV$168</definedName>
    <definedName name="DIR_RESALE">[13]EXTERNAL!$A$124:$IV$126</definedName>
    <definedName name="DIR_RESALE_LARGE">[13]EXTERNAL!$A$154:$IV$156</definedName>
    <definedName name="DIR_RESALE_SMALL">[13]EXTERNAL!$A$151:$IV$153</definedName>
    <definedName name="DIR108.09">[13]EXTERNAL!$A$106:$IV$108</definedName>
    <definedName name="DIR235.00">[13]EXTERNAL!$A$85:$IV$87</definedName>
    <definedName name="DIR360.01">[13]EXTERNAL!$A$37:$IV$39</definedName>
    <definedName name="DIR361.01">[13]EXTERNAL!$A$40:$IV$42</definedName>
    <definedName name="DIR362.01">[13]EXTERNAL!$A$43:$IV$45</definedName>
    <definedName name="DIR364.01">[13]EXTERNAL!$A$46:$IV$48</definedName>
    <definedName name="DIR366.01">[13]EXTERNAL!$A$49:$IV$51</definedName>
    <definedName name="DIR368.03">[13]EXTERNAL!$A$55:$IV$57</definedName>
    <definedName name="DIR368.03C">[13]EXTERNAL!$A$52:$IV$54</definedName>
    <definedName name="DIR372.00">[13]EXTERNAL!$A$58:$IV$60</definedName>
    <definedName name="DIR373.00">[13]EXTERNAL!$A$61:$IV$63</definedName>
    <definedName name="DIR450.01">[13]EXTERNAL!$A$10:$IV$12</definedName>
    <definedName name="DIR450.02">[13]EXTERNAL!$A$184:$IV$186</definedName>
    <definedName name="DIR451.02">[13]EXTERNAL!$A$70:$IV$72</definedName>
    <definedName name="DIR451.03">[13]EXTERNAL!$A$136:$IV$138</definedName>
    <definedName name="DIR451.05">[13]EXTERNAL!$A$76:$IV$78</definedName>
    <definedName name="DIR451.06">[13]EXTERNAL!$A$109:$IV$111</definedName>
    <definedName name="DIR451.07">[13]EXTERNAL!$A$133:$IV$135</definedName>
    <definedName name="DIR454.04">[13]EXTERNAL!$A$73:$IV$75</definedName>
    <definedName name="DIR556.01">[13]EXTERNAL!$A$175:$IV$177</definedName>
    <definedName name="DIR565.02">[13]EXTERNAL!$A$178:$IV$180</definedName>
    <definedName name="DIR908.01">[13]EXTERNAL!$A$172:$IV$174</definedName>
    <definedName name="DIR920.01">[13]EXTERNAL!$A$181:$IV$183</definedName>
    <definedName name="Dis">'[17]Func Study'!$AB$250</definedName>
    <definedName name="DisFac">'[17]Func Dist Factor Table'!$A$11:$G$25</definedName>
    <definedName name="Dist_factor">#REF!</definedName>
    <definedName name="DistPeakMethod">[19]Inputs!#REF!</definedName>
    <definedName name="DocketNumber">'[39]JHS-19'!$AR$2</definedName>
    <definedName name="DP.T">[13]INTERNAL!$A$46:$IV$48</definedName>
    <definedName name="DUDE" hidden="1">#REF!</definedName>
    <definedName name="EBFIT.T">[13]INTERNAL!$A$88:$IV$90</definedName>
    <definedName name="ee" hidden="1">{#N/A,#N/A,FALSE,"Month ";#N/A,#N/A,FALSE,"YTD";#N/A,#N/A,FALSE,"12 mo ended"}</definedName>
    <definedName name="EffTax">[13]INPUTS!$F$31</definedName>
    <definedName name="Electric_Prices">'[40]Monthly Price Summary'!$B$4:$E$27</definedName>
    <definedName name="ElecWC_LineItems">[14]BS!$AO$7:$AO$3420</definedName>
    <definedName name="ElRBLine">[14]BS!$AP$7:$AP$3141</definedName>
    <definedName name="EndDate">[21]Assumptions!$C$11</definedName>
    <definedName name="energy">[28]Readings!$B$3</definedName>
    <definedName name="ENERGY_1">[13]EXTERNAL!$A$4:$IV$6</definedName>
    <definedName name="ENERGY_2">[13]EXTERNAL!$A$145:$IV$147</definedName>
    <definedName name="Engy">[16]Inputs!$D$9</definedName>
    <definedName name="Engy2">[38]Inputs!$D$12</definedName>
    <definedName name="EPIS.T">[13]INTERNAL!$A$49:$IV$51</definedName>
    <definedName name="error" hidden="1">{#N/A,#N/A,FALSE,"Coversheet";#N/A,#N/A,FALSE,"QA"}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101top">#REF!</definedName>
    <definedName name="f104top">#REF!</definedName>
    <definedName name="f138top">#REF!</definedName>
    <definedName name="f140top">#REF!</definedName>
    <definedName name="Factorck">'[17]COS Factor Table'!$O$15:$O$113</definedName>
    <definedName name="FactorType">[20]Variables!$AK$2:$AL$12</definedName>
    <definedName name="FACTP">#REF!</definedName>
    <definedName name="FactSum">'[17]COS Factor Table'!$A$14:$O$113</definedName>
    <definedName name="FCR">'[32]Virtual 49 Back-Up'!$B$20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>[24]Backup!#REF!</definedName>
    <definedName name="Feb04AMA">[7]BS!$AE$7:$AE$3582</definedName>
    <definedName name="FEBT">#REF!</definedName>
    <definedName name="Fed_Cap_Tax">[41]Inputs!$E$112</definedName>
    <definedName name="FedTaxRate">[21]Assumptions!$C$33</definedName>
    <definedName name="ffff" hidden="1">{#N/A,#N/A,FALSE,"Coversheet";#N/A,#N/A,FALSE,"QA"}</definedName>
    <definedName name="fffgf" hidden="1">{#N/A,#N/A,FALSE,"Coversheet";#N/A,#N/A,FALSE,"QA"}</definedName>
    <definedName name="FIT">'[42]ROR &amp; CONV FACTOR'!$J$20</definedName>
    <definedName name="FIT_Tax_Rate">'[23]Assumptions (Input)'!$B$5</definedName>
    <definedName name="FranchiseTax">[22]Variables!$D$26</definedName>
    <definedName name="FTAX">[13]INPUTS!$F$30</definedName>
    <definedName name="Func">'[17]Func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'[17]Func Study'!$AB$250</definedName>
    <definedName name="GasRBLine">[7]BS!$AS$7:$AS$3631</definedName>
    <definedName name="GasWC_LineItem">[7]BS!$AR$7:$AR$3631</definedName>
    <definedName name="GP.T">[13]INTERNAL!$A$52:$IV$54</definedName>
    <definedName name="GREATER10MW">#REF!</definedName>
    <definedName name="GTD_Percents">#REF!</definedName>
    <definedName name="HEIGHT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">{"'Sheet1'!$A$1:$J$121"}</definedName>
    <definedName name="HTML_Control" localSheetId="6">{"'Sheet1'!$A$1:$J$121"}</definedName>
    <definedName name="HTML_Control" localSheetId="16">{"'Sheet1'!$A$1:$J$121"}</definedName>
    <definedName name="HTML_Control" localSheetId="31">{"'Sheet1'!$A$1:$J$121"}</definedName>
    <definedName name="HTML_Control" localSheetId="2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[13]INTERNAL!$A$85:$IV$87</definedName>
    <definedName name="ID_0303_RVN_data">#REF!</definedName>
    <definedName name="IDcontractsRVN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NDADJ">#REF!</definedName>
    <definedName name="INPUT">[43]Summary!#REF!</definedName>
    <definedName name="Instructions">#REF!</definedName>
    <definedName name="Insurance_Rate">'[23]Assumptions (Input)'!$B$9</definedName>
    <definedName name="INTRESEXCH">[44]Sheet1!$AG$1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[24]Backup!#REF!</definedName>
    <definedName name="Jan04AMA">[7]BS!$AD$7:$AD$3582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hidden="1">{#N/A,#N/A,FALSE,"Summ";#N/A,#N/A,FALSE,"General"}</definedName>
    <definedName name="jjj">[45]Inputs!$N$18</definedName>
    <definedName name="JUL">[24]Backup!#REF!</definedName>
    <definedName name="Jul04AMA">[7]BS!$AJ$7:$AJ$3582</definedName>
    <definedName name="JULT">#REF!</definedName>
    <definedName name="JUN">[24]Backup!#REF!</definedName>
    <definedName name="Jun04AMA">[7]BS!$AI$7:$AI$3582</definedName>
    <definedName name="JUNT">#REF!</definedName>
    <definedName name="Jurisdiction">[20]Variables!$AK$15</definedName>
    <definedName name="JurisNumber">[20]Variables!$AL$15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7.01_Power_Costs">#REF!</definedName>
    <definedName name="k_7.01_Power_Costs_p2">#REF!</definedName>
    <definedName name="k_7.02_Montana">#REF!</definedName>
    <definedName name="k_7.03_Wild_Hors_Sol">#REF!</definedName>
    <definedName name="k_7.04_ASC_815">#REF!</definedName>
    <definedName name="k_7.05_storm">#REF!</definedName>
    <definedName name="k_7.06_Reg_Asset">#REF!</definedName>
    <definedName name="k_7.07_Glacier_Bat_St">#REF!</definedName>
    <definedName name="k_7.08_EIM">#REF!</definedName>
    <definedName name="k_7.09_GoldendaleCU">#REF!</definedName>
    <definedName name="k_7.10_MintFarm_CU">#REF!</definedName>
    <definedName name="k_7.11_White_River">#REF!</definedName>
    <definedName name="k_7.12_Hydro_Grants">#REF!</definedName>
    <definedName name="k_7.13_Productn_Adj">#REF!</definedName>
    <definedName name="k_A_1">#REF!</definedName>
    <definedName name="k_Docket_Number">'[30]KJB-12 Sum'!$AS$2</definedName>
    <definedName name="k_FITrate">'[30]KJB-3,11 Def'!$L$20</definedName>
    <definedName name="keep_Docket_Number">'[46]KJB-3 Sum'!$AQ$2</definedName>
    <definedName name="keep_FIT">'[46]KJB-7 Def'!$L$20</definedName>
    <definedName name="keep_KJB_3_Rate_Increase">'[46]KJB-7 Def'!$C$3</definedName>
    <definedName name="keep_KJB_4_Electric_Summary">'[46]KJB-3 Sum'!$AQ$3</definedName>
    <definedName name="keep_KJB_8_Common_Adjs">'[46]KJB-5 Cmn Adj'!$L$3</definedName>
    <definedName name="keep_KJB_9_Electric_Only">'[46]KJB-5 El Adj'!$E$3</definedName>
    <definedName name="keep_TESTYEAR">'[46]KJB-5 Cmn Adj'!$B$7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ATEPAY">[44]Sheet1!$E$3:$E$25</definedName>
    <definedName name="Levy_Rate">'[23]Assumptions (Input)'!$B$6</definedName>
    <definedName name="limcount">1</definedName>
    <definedName name="LINE.T">[13]INTERNAL!$A$55:$IV$57</definedName>
    <definedName name="Line_Ext_Credit">#REF!</definedName>
    <definedName name="LinkCos">'[17]JAM Download'!$K$4</definedName>
    <definedName name="LoadArray">'[47]Load Source Data'!$C$78:$X$89</definedName>
    <definedName name="LOG">[24]Backup!#REF!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LOSS">[24]Backup!#REF!</definedName>
    <definedName name="M9100F4_v4">[48]M9100F4!$A$1:$V$99</definedName>
    <definedName name="MACRS">'[23]MACRS RATES'!$A$3:$AT$10</definedName>
    <definedName name="MACTIT">#REF!</definedName>
    <definedName name="MAR">[24]Backup!#REF!</definedName>
    <definedName name="Mar04AMA">[7]BS!$AF$7:$AF$3582</definedName>
    <definedName name="MART">#REF!</definedName>
    <definedName name="MAY">[24]Backup!#REF!</definedName>
    <definedName name="May04AMA">[7]BS!$AH$7:$AH$3582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RGER_COST">[44]Sheet1!$AF$3:$AJ$28</definedName>
    <definedName name="Method">[16]Inputs!$C$6</definedName>
    <definedName name="Miller" hidden="1">{#N/A,#N/A,FALSE,"Expenditures";#N/A,#N/A,FALSE,"Property Placed In-Service";#N/A,#N/A,FALSE,"CWIP Balances"}</definedName>
    <definedName name="MONTH">[24]Backup!#REF!</definedName>
    <definedName name="monthlist">[49]Table!$R$2:$S$13</definedName>
    <definedName name="monthtotals">'[49]WA SBC'!$D$40:$O$40</definedName>
    <definedName name="MTD_Format">[50]Mthly!$B$11:$D$11,[50]Mthly!$B$31:$D$31</definedName>
    <definedName name="MTKWH">#REF!</definedName>
    <definedName name="MTR_YR3">[51]Variables!$E$14</definedName>
    <definedName name="MTREV">#REF!</definedName>
    <definedName name="MULT">#REF!</definedName>
    <definedName name="NCP_360">[13]EXTERNAL!$A$13:$IV$15</definedName>
    <definedName name="NCP_361">[13]EXTERNAL!$A$16:$IV$18</definedName>
    <definedName name="NCP_362">[13]EXTERNAL!$A$19:$IV$21</definedName>
    <definedName name="Net_to_Gross_Factor">[17]Inputs!$G$8</definedName>
    <definedName name="NetToGross">[22]Variables!$D$23</definedName>
    <definedName name="new" hidden="1">{#N/A,#N/A,FALSE,"Summ";#N/A,#N/A,FALSE,"General"}</definedName>
    <definedName name="NEWMO1">[1]Jan!#REF!</definedName>
    <definedName name="NEWMO2">[1]Jan!#REF!</definedName>
    <definedName name="NEWMONTH">[1]Jan!#REF!</definedName>
    <definedName name="NORMALIZE">#REF!</definedName>
    <definedName name="NOV">[24]Backup!#REF!</definedName>
    <definedName name="Nov03AMA">[6]BS!$AI$7:$AI$3582</definedName>
    <definedName name="Nov04AMA">[7]BS!$AN$7:$AN$3582</definedName>
    <definedName name="NOVT">#REF!</definedName>
    <definedName name="NPC">[19]Inputs!$N$18</definedName>
    <definedName name="NRG">[13]CLASSIFIERS!$A$5:$IV$5</definedName>
    <definedName name="NUM">#REF!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'[23]MiscItems(Input)'!$B$5:$AO$8,'[23]MiscItems(Input)'!$B$13:$AO$13,'[23]MiscItems(Input)'!$B$15:$B$17,'[23]MiscItems(Input)'!$B$17:$AO$17,'[23]MiscItems(Input)'!$B$15:$AO$15</definedName>
    <definedName name="O_M_Rate">'[32]Virtual 49 Back-Up'!$B$21</definedName>
    <definedName name="OBCLEASE">[44]Sheet1!$AF$4:$AI$23</definedName>
    <definedName name="OCT">[24]Backup!#REF!</definedName>
    <definedName name="Oct03AMA">[6]BS!$AH$7:$AH$3582</definedName>
    <definedName name="Oct04AMA">[7]BS!$AM$7:$AM$3582</definedName>
    <definedName name="OCTT">#REF!</definedName>
    <definedName name="OH">[13]CLASSIFIERS!$A$8:$IV$8</definedName>
    <definedName name="OH_NCP">[13]EXTERNAL!$A$79:$IV$81</definedName>
    <definedName name="OH_SVC">[13]EXTERNAL!$A$142:$IV$144</definedName>
    <definedName name="OH_TFMR">[13]EXTERNAL!$A$97:$IV$99</definedName>
    <definedName name="OH_TFMRC">[13]EXTERNAL!$A$94:$IV$96</definedName>
    <definedName name="ONE">[1]Jan!#REF!</definedName>
    <definedName name="option">'[52]Dist Misc'!$F$120</definedName>
    <definedName name="OthRCF">[29]INPUTS!$F$41</definedName>
    <definedName name="OthUnc">[13]INPUTS!$F$36</definedName>
    <definedName name="outlookdata">'[53]pivoted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[54]TransInvest!#REF!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[16]Inputs!$T$5</definedName>
    <definedName name="Percent_debt">[41]Inputs!$E$129</definedName>
    <definedName name="Plant_Input">'[23]Plant(Input)'!$B$7:$AP$9,'[23]Plant(Input)'!$B$11,'[23]Plant(Input)'!$B$15:$AP$15,'[23]Plant(Input)'!$B$18,'[23]Plant(Input)'!$B$20:$AP$20</definedName>
    <definedName name="PMAC">[24]Backup!#REF!</definedName>
    <definedName name="POWER.T">[13]INTERNAL!$A$58:$IV$60</definedName>
    <definedName name="PP.T">[13]INTERNAL!$A$61:$IV$63</definedName>
    <definedName name="PRESENT">#REF!</definedName>
    <definedName name="PreTaxDebtCost">[21]Assumptions!$I$56</definedName>
    <definedName name="PreTaxWACC">[21]Assumptions!$I$62</definedName>
    <definedName name="PRICCHNG">#REF!</definedName>
    <definedName name="Prices_Aurora">'[40]Monthly Price Summary'!$C$4:$H$63</definedName>
    <definedName name="_xlnm.Print_Area" localSheetId="2">Controls!$A$1:$B$14</definedName>
    <definedName name="_xlnm.Print_Area" localSheetId="0">'Exh BDJ-8 p1-2 (Rate Impacts)'!$A$1:$AB$34</definedName>
    <definedName name="_xlnm.Print_Area" localSheetId="1">'Exh BDJ-8 p3 (Typ Res Bill)'!$A$1:$N$59</definedName>
    <definedName name="_xlnm.Print_Area" localSheetId="7">'F2020 Customers'!$A$1:$J$43</definedName>
    <definedName name="_xlnm.Print_Area" localSheetId="6">'F2020 Sch Level Delivered Load'!$A$1:$BL$51</definedName>
    <definedName name="_xlnm.Print_Area" localSheetId="11">'Sch 120'!$A$1:$H$35</definedName>
    <definedName name="_xlnm.Print_Area" localSheetId="12">'Sch 129'!$A$1:$F$35</definedName>
    <definedName name="_xlnm.Print_Area" localSheetId="13">'Sch 137'!$A$1:$F$35</definedName>
    <definedName name="_xlnm.Print_Area" localSheetId="14">'Sch 139'!$A$1:$F$35</definedName>
    <definedName name="_xlnm.Print_Area" localSheetId="15">'Sch 140'!$A$1:$F$35</definedName>
    <definedName name="_xlnm.Print_Area" localSheetId="16">'Sch 141X'!$A$1:$G$35</definedName>
    <definedName name="_xlnm.Print_Area" localSheetId="17">'Sch 141Y'!$A$1:$F$35</definedName>
    <definedName name="_xlnm.Print_Area" localSheetId="18">'Sch 141Z'!$A$1:$G$35</definedName>
    <definedName name="_xlnm.Print_Area" localSheetId="19">'Sch 142 Deferral'!$A$1:$I$35</definedName>
    <definedName name="_xlnm.Print_Area" localSheetId="20">'Sch 194'!$A$1:$F$38</definedName>
    <definedName name="_xlnm.Print_Area" localSheetId="9">'Sch 95'!$A$1:$I$35</definedName>
    <definedName name="_xlnm.Print_Area" localSheetId="10">'Sch 95a'!$A$1:$G$36</definedName>
    <definedName name="_xlnm.Print_Area" localSheetId="3">Schedule_RateImpacts!$A$1:$AB$39</definedName>
    <definedName name="_xlnm.Print_Area" localSheetId="5">'TY June 2020 Proforma Rev'!$A$1:$G$41</definedName>
    <definedName name="_xlnm.Print_Area" localSheetId="30">'UE-180899 141X'!$A$1:$AA$51</definedName>
    <definedName name="_xlnm.Print_Area" localSheetId="31">'UE-190529 Sch 141X &amp; 141Z'!$A$1:$S$46</definedName>
    <definedName name="_xlnm.Print_Area" localSheetId="33">'UE-190529-210214 Sch 142'!$A$1:$O$30</definedName>
    <definedName name="_xlnm.Print_Area" localSheetId="34">'UE-190753 Sch 194'!$A$1:$D$26</definedName>
    <definedName name="_xlnm.Print_Area" localSheetId="32">'UE-200661 Sch 141Y'!$A$1:$H$35</definedName>
    <definedName name="_xlnm.Print_Area" localSheetId="27">'UE-200770 Sch 129'!$A$1:$L$44</definedName>
    <definedName name="_xlnm.Print_Area" localSheetId="24">'UE-200893 Sch 95 Eff 12-01-2020'!$A$1:$N$35</definedName>
    <definedName name="_xlnm.Print_Area" localSheetId="25">'UE-200897 Sch 95A'!$A$1:$K$38</definedName>
    <definedName name="_xlnm.Print_Area" localSheetId="28">'UE-200967 Sch 137'!$A$1:$K$38</definedName>
    <definedName name="_xlnm.Print_Area" localSheetId="22">'UE-200980 Sch 95 PCORC Complian'!$A$1:$L$32</definedName>
    <definedName name="_xlnm.Print_Area" localSheetId="26">'UE-210140 Sch 120'!$A$1:$K$36</definedName>
    <definedName name="_xlnm.Print_Area" localSheetId="29">'UE-210217 Sch 140'!$A$1:$I$35</definedName>
    <definedName name="Print_Area_Reset">OFFSET(Full_Print,0,0,Last_Row)</definedName>
    <definedName name="_xlnm.Print_Titles" localSheetId="0">'Exh BDJ-8 p1-2 (Rate Impacts)'!$A:$B</definedName>
    <definedName name="_xlnm.Print_Titles" localSheetId="6">'F2020 Sch Level Delivered Load'!$A:$B,'F2020 Sch Level Delivered Load'!$1:$6</definedName>
    <definedName name="_xlnm.Print_Titles" localSheetId="3">Schedule_RateImpacts!$A:$B</definedName>
    <definedName name="Prior_Month">[25]Sch_120!$I$21</definedName>
    <definedName name="PROFORMA">[13]EXTERNAL!$A$67:$IV$69</definedName>
    <definedName name="PROFORMA_RETAIL">[13]EXTERNAL!$A$91:$IV$93</definedName>
    <definedName name="PROFORMA_RETAIL_TAX">[13]EXTERNAL!$A$169:$IV$171</definedName>
    <definedName name="Prov_Cap_Tax">[41]Inputs!$E$111</definedName>
    <definedName name="PTABLES">#REF!</definedName>
    <definedName name="PTDGP.T">[13]INTERNAL!$A$64:$IV$66</definedName>
    <definedName name="PTDMOD">#REF!</definedName>
    <definedName name="PTDP.T">[13]INTERNAL!$A$67:$IV$69</definedName>
    <definedName name="PTDROLL">#REF!</definedName>
    <definedName name="PTMOD">#REF!</definedName>
    <definedName name="PTROLL">#REF!</definedName>
    <definedName name="PWORKBACK">#REF!</definedName>
    <definedName name="q" hidden="1">{#N/A,#N/A,FALSE,"Coversheet";#N/A,#N/A,FALSE,"QA"}</definedName>
    <definedName name="qqq" hidden="1">{#N/A,#N/A,FALSE,"schA"}</definedName>
    <definedName name="QTD_Format">[55]QTD!$B$11:$D$11,[55]QTD!$B$35:$D$35</definedName>
    <definedName name="Query1">#REF!</definedName>
    <definedName name="RATE2">'[31]Transp Data'!$A$8:$I$112</definedName>
    <definedName name="Rates">[56]Codes!$A$1:$C$500</definedName>
    <definedName name="RB.T">[13]INTERNAL!$A$70:$IV$72</definedName>
    <definedName name="RC_ADJ">#REF!</definedName>
    <definedName name="Requlated_scenario">'[23]Assumptions (Input)'!$B$12</definedName>
    <definedName name="RESADJ">#REF!</definedName>
    <definedName name="ResExchCrRate">[25]Sch_194!$M$31</definedName>
    <definedName name="RESID">[13]EXTERNAL!$A$88:$IV$90</definedName>
    <definedName name="resource_lookup">'[57]#REF'!$B$3:$C$112</definedName>
    <definedName name="ResourceSupplier">[22]Variables!$D$28</definedName>
    <definedName name="ResRCF">[29]INPUTS!$F$39</definedName>
    <definedName name="ResUnc">[13]INPUTS!$F$34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[56]Codes!$F$2:$G$10</definedName>
    <definedName name="Revenue_by_month_take_2">#REF!</definedName>
    <definedName name="revenue_flag">'[23]Assumptions (Input)'!$C$12</definedName>
    <definedName name="Revenue_Taxes">'[23]Assumptions (Input)'!$B$8</definedName>
    <definedName name="RevenueCheck">#REF!</definedName>
    <definedName name="REVFAC1.T">[13]INTERNAL!$A$73:$IV$75</definedName>
    <definedName name="RevReqSettle">#REF!</definedName>
    <definedName name="REVVSTRS">#REF!</definedName>
    <definedName name="RISFORM">#REF!</definedName>
    <definedName name="ROD">[13]INPUTS!$F$25</definedName>
    <definedName name="ROR">[29]INPUTS!$F$24</definedName>
    <definedName name="SAPBEXhrIndnt">"Wide"</definedName>
    <definedName name="SAPsysID">"708C5W7SBKP804JT78WJ0JNKI"</definedName>
    <definedName name="SAPwbID">"ARS"</definedName>
    <definedName name="SBRCF">[29]INPUTS!$F$40</definedName>
    <definedName name="SbUnc">[13]INPUTS!$F$35</definedName>
    <definedName name="SCH33CUSTS">#REF!</definedName>
    <definedName name="SCH48ADJ">#REF!</definedName>
    <definedName name="SCH98NOR">#REF!</definedName>
    <definedName name="SCHED47">#REF!</definedName>
    <definedName name="Schedule">[19]Inputs!$N$14</definedName>
    <definedName name="sdlfhsdlhfkl" hidden="1">{#N/A,#N/A,FALSE,"Summ";#N/A,#N/A,FALSE,"General"}</definedName>
    <definedName name="se">#REF!</definedName>
    <definedName name="SECOND">[1]Jan!#REF!</definedName>
    <definedName name="SEP">[24]Backup!#REF!</definedName>
    <definedName name="Sep03AMA">[14]BS!$AN$7:$AN$3420</definedName>
    <definedName name="Sep04AMA">[7]BS!$AL$7:$AL$3582</definedName>
    <definedName name="SEPT">#REF!</definedName>
    <definedName name="SERVICES_3">#REF!</definedName>
    <definedName name="seven" hidden="1">{#N/A,#N/A,FALSE,"CRPT";#N/A,#N/A,FALSE,"TREND";#N/A,#N/A,FALSE,"%Curve"}</definedName>
    <definedName name="sg">#REF!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START">[1]Jan!#REF!</definedName>
    <definedName name="StartDate">[21]Assumptions!$C$9</definedName>
    <definedName name="STAX">[13]INPUTS!$F$29</definedName>
    <definedName name="SUM_TAB1">#REF!</definedName>
    <definedName name="SUM_TAB2">#REF!</definedName>
    <definedName name="SUM_TAB3">#REF!</definedName>
    <definedName name="SW.T">[13]INTERNAL!$A$76:$IV$78</definedName>
    <definedName name="SWPTD.T">[13]INTERNAL!$A$79:$IV$81</definedName>
    <definedName name="t" hidden="1">{#N/A,#N/A,FALSE,"CESTSUM";#N/A,#N/A,FALSE,"est sum A";#N/A,#N/A,FALSE,"est detail A"}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Name">"Dummy"</definedName>
    <definedName name="TABLEONE">#REF!</definedName>
    <definedName name="TargetROR">[16]Inputs!$G$29</definedName>
    <definedName name="TDMOD">#REF!</definedName>
    <definedName name="TDP.T">[13]INTERNAL!$A$82:$IV$84</definedName>
    <definedName name="TDROLL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[44]Sheet1!$A$4:$E$40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[17]Inputs!$C$5</definedName>
    <definedName name="TESTYEAR">'[58]JHS-6'!$A$7</definedName>
    <definedName name="TFR">[13]CLASSIFIERS!$A$11:$IV$11</definedName>
    <definedName name="ThermalBookLife">[21]Assumptions!$C$25</definedName>
    <definedName name="Title">[21]Assumptions!$A$1</definedName>
    <definedName name="Total_Payment">Scheduled_Payment+Extra_Payment</definedName>
    <definedName name="TotalRateBase">'[17]G+T+D+R+M'!$H$58</definedName>
    <definedName name="TP.T">[13]INTERNAL!$A$91:$IV$93</definedName>
    <definedName name="tr" hidden="1">{#N/A,#N/A,FALSE,"CESTSUM";#N/A,#N/A,FALSE,"est sum A";#N/A,#N/A,FALSE,"est detail A"}</definedName>
    <definedName name="transdb">'[59]Transp Unbilled'!$A$8:$E$174</definedName>
    <definedName name="Transfer" hidden="1">#REF!</definedName>
    <definedName name="Transfers" hidden="1">#REF!</definedName>
    <definedName name="TRANSM_2">[60]Transm2!$A$1:$M$461:'[60]10 Yr FC'!$M$47</definedName>
    <definedName name="u" hidden="1">{#N/A,#N/A,FALSE,"Summ";#N/A,#N/A,FALSE,"General"}</definedName>
    <definedName name="UAACT115S">'[19]Functional Study'!#REF!</definedName>
    <definedName name="UAcct103">'[17]Func Study'!$AB$1613</definedName>
    <definedName name="UAcct105Dnpg">'[17]Func Study'!$AB$2010</definedName>
    <definedName name="UAcct105S">'[17]Func Study'!$AB$2005</definedName>
    <definedName name="UAcct105Seu">'[17]Func Study'!$AB$2009</definedName>
    <definedName name="UAcct105Snppo">'[17]Func Study'!$AB$2008</definedName>
    <definedName name="UAcct105Snpps">'[17]Func Study'!$AB$2006</definedName>
    <definedName name="UAcct105Snpt">'[17]Func Study'!$AB$2007</definedName>
    <definedName name="UAcct1081390">'[17]Func Study'!$AB$2451</definedName>
    <definedName name="UAcct1081390Rcl">'[17]Func Study'!$AB$2450</definedName>
    <definedName name="UAcct1081399">'[17]Func Study'!$AB$2459</definedName>
    <definedName name="UAcct1081399Rcl">'[17]Func Study'!$AB$2458</definedName>
    <definedName name="UAcct108360">'[17]Func Study'!$AB$2355</definedName>
    <definedName name="UAcct108361">'[17]Func Study'!$AB$2359</definedName>
    <definedName name="UAcct108362">'[17]Func Study'!$AB$2363</definedName>
    <definedName name="UAcct108364">'[17]Func Study'!$AB$2367</definedName>
    <definedName name="UAcct108365">'[17]Func Study'!$AB$2371</definedName>
    <definedName name="UAcct108366">'[17]Func Study'!$AB$2375</definedName>
    <definedName name="UAcct108367">'[17]Func Study'!$AB$2379</definedName>
    <definedName name="UAcct108368">'[17]Func Study'!$AB$2383</definedName>
    <definedName name="UAcct108369">'[17]Func Study'!$AB$2387</definedName>
    <definedName name="UAcct108370">'[17]Func Study'!$AB$2391</definedName>
    <definedName name="UAcct108371">'[17]Func Study'!$AB$2395</definedName>
    <definedName name="UAcct108372">'[17]Func Study'!$AB$2399</definedName>
    <definedName name="UAcct108373">'[17]Func Study'!$AB$2403</definedName>
    <definedName name="UAcct108D">'[17]Func Study'!$AB$2415</definedName>
    <definedName name="UAcct108D00">'[17]Func Study'!$AB$2407</definedName>
    <definedName name="UAcct108Ds">'[17]Func Study'!$AB$2411</definedName>
    <definedName name="UAcct108Ep">'[17]Func Study'!$AB$2327</definedName>
    <definedName name="UAcct108Gpcn">'[17]Func Study'!$AB$2429</definedName>
    <definedName name="UAcct108Gps">'[17]Func Study'!$AB$2425</definedName>
    <definedName name="UAcct108Gpse">'[17]Func Study'!$AB$2431</definedName>
    <definedName name="UAcct108Gpsg">'[17]Func Study'!$AB$2428</definedName>
    <definedName name="UAcct108Gpsgp">'[17]Func Study'!$AB$2426</definedName>
    <definedName name="UAcct108Gpsgu">'[17]Func Study'!$AB$2427</definedName>
    <definedName name="UAcct108Gpso">'[17]Func Study'!$AB$2430</definedName>
    <definedName name="UACCT108GPSSGCH">'[17]Func Study'!$AB$2434</definedName>
    <definedName name="UACCT108GPSSGCT">'[17]Func Study'!$AB$2433</definedName>
    <definedName name="UAcct108Hp">'[17]Func Study'!$AB$2313</definedName>
    <definedName name="UAcct108Mp">'[17]Func Study'!$AB$2444</definedName>
    <definedName name="UAcct108Np">'[17]Func Study'!$AB$2305</definedName>
    <definedName name="UAcct108Op">'[17]Func Study'!$AB$2322</definedName>
    <definedName name="UACCT108OPSSCCT">'[17]Func Study'!$AB$2321</definedName>
    <definedName name="UAcct108Sp">'[17]Func Study'!$AB$2299</definedName>
    <definedName name="UACCT108SPSSGCH">'[17]Func Study'!$AB$2298</definedName>
    <definedName name="UAcct108Tp">'[17]Func Study'!$AB$2346</definedName>
    <definedName name="UAcct111Clg">'[17]Func Study'!$AB$2487</definedName>
    <definedName name="UAcct111Clgsou">'[17]Func Study'!$AB$2485</definedName>
    <definedName name="UAcct111Clh">'[17]Func Study'!$AB$2493</definedName>
    <definedName name="UAcct111Cls">'[17]Func Study'!$AB$2478</definedName>
    <definedName name="UAcct111Ipcn">'[17]Func Study'!$AB$2502</definedName>
    <definedName name="UAcct111Ips">'[17]Func Study'!$AB$2497</definedName>
    <definedName name="UAcct111Ipse">'[17]Func Study'!$AB$2500</definedName>
    <definedName name="UAcct111Ipsg">'[17]Func Study'!$AB$2501</definedName>
    <definedName name="UAcct111Ipsgp">'[17]Func Study'!$AB$2498</definedName>
    <definedName name="UAcct111Ipsgu">'[17]Func Study'!$AB$2499</definedName>
    <definedName name="UAcct111Ipso">'[17]Func Study'!$AB$2506</definedName>
    <definedName name="UACCT111IPSSGCH">'[17]Func Study'!$AB$2505</definedName>
    <definedName name="UACCT111IPSSGCT">'[17]Func Study'!$AB$2504</definedName>
    <definedName name="UAcct114">'[17]Func Study'!$AB$2017</definedName>
    <definedName name="UACCT115">'[19]Functional Study'!#REF!</definedName>
    <definedName name="UACCT115DGP">'[19]Functional Study'!#REF!</definedName>
    <definedName name="UACCT115SG">'[19]Functional Study'!#REF!</definedName>
    <definedName name="UAcct120">'[17]Func Study'!$AB$2021</definedName>
    <definedName name="UAcct124">'[17]Func Study'!$AB$2026</definedName>
    <definedName name="UAcct141">'[17]Func Study'!$AB$2173</definedName>
    <definedName name="UAcct151">'[17]Func Study'!$AB$2049</definedName>
    <definedName name="Uacct151SSECT">'[17]Func Study'!$AB$2047</definedName>
    <definedName name="UAcct154">'[17]Func Study'!$AB$2083</definedName>
    <definedName name="Uacct154SSGCT">'[17]Func Study'!$AB$2080</definedName>
    <definedName name="UAcct163">'[17]Func Study'!$AB$2093</definedName>
    <definedName name="UAcct165">'[17]Func Study'!$AB$2108</definedName>
    <definedName name="UAcct165Gps">'[17]Func Study'!$AB$2104</definedName>
    <definedName name="UAcct182">'[17]Func Study'!$AB$2033</definedName>
    <definedName name="UAcct18222">'[17]Func Study'!$AB$2163</definedName>
    <definedName name="UAcct182M">'[17]Func Study'!$AB$2118</definedName>
    <definedName name="UAcct182MSSGCH">'[17]Func Study'!$AB$2113</definedName>
    <definedName name="UAcct186">'[17]Func Study'!$AB$2041</definedName>
    <definedName name="UAcct1869">'[17]Func Study'!$AB$2168</definedName>
    <definedName name="UAcct186M">'[17]Func Study'!$AB$2129</definedName>
    <definedName name="UAcct190">'[17]Func Study'!$AB$2243</definedName>
    <definedName name="UAcct190Baddebt">'[17]Func Study'!$AB$2237</definedName>
    <definedName name="UAcct190Dop">'[17]Func Study'!$AB$2235</definedName>
    <definedName name="UAcct2281">'[17]Func Study'!$AB$2191</definedName>
    <definedName name="UAcct2282">'[17]Func Study'!$AB$2195</definedName>
    <definedName name="UAcct2283">'[17]Func Study'!$AB$2200</definedName>
    <definedName name="UACCT22841SG">'[17]Func Study'!$AB$2205</definedName>
    <definedName name="UAcct22842">'[17]Func Study'!$AB$2211</definedName>
    <definedName name="UAcct22842Trojd">'[16]Func Study'!#REF!</definedName>
    <definedName name="UAcct235">'[17]Func Study'!$AB$2187</definedName>
    <definedName name="UACCT235CN">'[17]Func Study'!$AB$2186</definedName>
    <definedName name="UAcct252">'[17]Func Study'!$AB$2219</definedName>
    <definedName name="UAcct25316">'[17]Func Study'!$AB$2057</definedName>
    <definedName name="UAcct25317">'[17]Func Study'!$AB$2061</definedName>
    <definedName name="UAcct25318">'[17]Func Study'!$AB$2098</definedName>
    <definedName name="UAcct25319">'[17]Func Study'!$AB$2065</definedName>
    <definedName name="uacct25398">'[17]Func Study'!$AB$2222</definedName>
    <definedName name="UAcct25399">'[17]Func Study'!$AB$2230</definedName>
    <definedName name="UACCT254SO">'[17]Func Study'!$AB$2202</definedName>
    <definedName name="UAcct255">'[17]Func Study'!$AB$2284</definedName>
    <definedName name="UAcct281">'[17]Func Study'!$AB$2249</definedName>
    <definedName name="UAcct282">'[17]Func Study'!$AB$2259</definedName>
    <definedName name="UAcct282Cn">'[17]Func Study'!$AB$2256</definedName>
    <definedName name="UAcct282So">'[17]Func Study'!$AB$2255</definedName>
    <definedName name="UAcct283">'[17]Func Study'!$AB$2271</definedName>
    <definedName name="UAcct283So">'[17]Func Study'!$AB$2265</definedName>
    <definedName name="UAcct301S">'[17]Func Study'!$AB$1964</definedName>
    <definedName name="UAcct301Sg">'[17]Func Study'!$AB$1966</definedName>
    <definedName name="UAcct301So">'[17]Func Study'!$AB$1965</definedName>
    <definedName name="UAcct302S">'[17]Func Study'!$AB$1969</definedName>
    <definedName name="UAcct302Sg">'[17]Func Study'!$AB$1970</definedName>
    <definedName name="UAcct302Sgp">'[17]Func Study'!$AB$1971</definedName>
    <definedName name="UAcct302Sgu">'[17]Func Study'!$AB$1972</definedName>
    <definedName name="UAcct303Cn">'[17]Func Study'!$AB$1980</definedName>
    <definedName name="UAcct303S">'[17]Func Study'!$AB$1976</definedName>
    <definedName name="UAcct303Se">'[17]Func Study'!$AB$1979</definedName>
    <definedName name="UAcct303Sg">'[17]Func Study'!$AB$1977</definedName>
    <definedName name="UAcct303Sgu">'[17]Func Study'!$AB$1981</definedName>
    <definedName name="UAcct303So">'[17]Func Study'!$AB$1978</definedName>
    <definedName name="UACCT303SSGCH">'[17]Func Study'!$AB$1983</definedName>
    <definedName name="UAcct310">'[17]Func Study'!$AB$1414</definedName>
    <definedName name="UAcct310JBG">'[17]Func Study'!$AB$1413</definedName>
    <definedName name="UAcct311">'[17]Func Study'!$AB$1421</definedName>
    <definedName name="UAcct311JBG">'[17]Func Study'!$AB$1420</definedName>
    <definedName name="UAcct312">'[17]Func Study'!$AB$1428</definedName>
    <definedName name="UAcct312JBG">'[17]Func Study'!$AB$1427</definedName>
    <definedName name="UAcct314">'[17]Func Study'!$AB$1435</definedName>
    <definedName name="UAcct314JBG">'[17]Func Study'!$AB$1434</definedName>
    <definedName name="UAcct315">'[17]Func Study'!$AB$1442</definedName>
    <definedName name="UAcct315JBG">'[17]Func Study'!$AB$1441</definedName>
    <definedName name="UAcct316">'[17]Func Study'!$AB$1450</definedName>
    <definedName name="UAcct316JBG">'[17]Func Study'!$AB$1449</definedName>
    <definedName name="UAcct320">'[17]Func Study'!$AB$1466</definedName>
    <definedName name="UAcct321">'[17]Func Study'!$AB$1471</definedName>
    <definedName name="UAcct322">'[17]Func Study'!$AB$1476</definedName>
    <definedName name="UAcct323">'[17]Func Study'!$AB$1481</definedName>
    <definedName name="UAcct324">'[17]Func Study'!$AB$1486</definedName>
    <definedName name="UAcct325">'[17]Func Study'!$AB$1491</definedName>
    <definedName name="UAcct33">'[17]Func Study'!$AB$295</definedName>
    <definedName name="UAcct330">'[17]Func Study'!$AB$1508</definedName>
    <definedName name="UAcct331">'[17]Func Study'!$AB$1513</definedName>
    <definedName name="UAcct332">'[17]Func Study'!$AB$1518</definedName>
    <definedName name="UAcct333">'[17]Func Study'!$AB$1523</definedName>
    <definedName name="UAcct334">'[17]Func Study'!$AB$1528</definedName>
    <definedName name="UAcct335">'[17]Func Study'!$AB$1533</definedName>
    <definedName name="UAcct336">'[17]Func Study'!$AB$1539</definedName>
    <definedName name="UAcct340Dgu">'[17]Func Study'!$AB$1564</definedName>
    <definedName name="UAcct340Sgu">'[17]Func Study'!$AB$1565</definedName>
    <definedName name="UAcct341Dgu">'[17]Func Study'!$AB$1569</definedName>
    <definedName name="UAcct341Sgu">'[17]Func Study'!$AB$1570</definedName>
    <definedName name="UAcct342Dgu">'[17]Func Study'!$AB$1574</definedName>
    <definedName name="UAcct342Sgu">'[17]Func Study'!$AB$1575</definedName>
    <definedName name="UAcct343">'[17]Func Study'!$AB$1584</definedName>
    <definedName name="UAcct344S">'[17]Func Study'!$AB$1587</definedName>
    <definedName name="UAcct344Sgp">'[17]Func Study'!$AB$1588</definedName>
    <definedName name="UAcct345Dgu">'[17]Func Study'!$AB$1594</definedName>
    <definedName name="UAcct345Sgu">'[17]Func Study'!$AB$1595</definedName>
    <definedName name="UAcct346">'[17]Func Study'!$AB$1601</definedName>
    <definedName name="UAcct350">'[17]Func Study'!$AB$1628</definedName>
    <definedName name="UAcct352">'[17]Func Study'!$AB$1635</definedName>
    <definedName name="UAcct353">'[17]Func Study'!$AB$1641</definedName>
    <definedName name="UAcct354">'[17]Func Study'!$AB$1647</definedName>
    <definedName name="UAcct355">'[17]Func Study'!$AB$1654</definedName>
    <definedName name="UAcct356">'[17]Func Study'!$AB$1660</definedName>
    <definedName name="UAcct357">'[17]Func Study'!$AB$1666</definedName>
    <definedName name="UAcct358">'[17]Func Study'!$AB$1672</definedName>
    <definedName name="UAcct359">'[17]Func Study'!$AB$1678</definedName>
    <definedName name="UAcct360">'[17]Func Study'!$AB$1698</definedName>
    <definedName name="UAcct361">'[17]Func Study'!$AB$1704</definedName>
    <definedName name="UAcct362">'[17]Func Study'!$AB$1710</definedName>
    <definedName name="UAcct368">'[17]Func Study'!$AB$1744</definedName>
    <definedName name="UAcct369">'[17]Func Study'!$AB$1751</definedName>
    <definedName name="UAcct370">'[17]Func Study'!$AB$1762</definedName>
    <definedName name="UAcct372A">'[17]Func Study'!$AB$1775</definedName>
    <definedName name="UAcct372Dp">'[17]Func Study'!$AB$1773</definedName>
    <definedName name="UAcct372Ds">'[17]Func Study'!$AB$1774</definedName>
    <definedName name="UAcct373">'[17]Func Study'!$AB$1782</definedName>
    <definedName name="UAcct389Cn">'[17]Func Study'!$AB$1800</definedName>
    <definedName name="UAcct389S">'[17]Func Study'!$AB$1799</definedName>
    <definedName name="UAcct389Sg">'[17]Func Study'!$AB$1802</definedName>
    <definedName name="UAcct389Sgu">'[17]Func Study'!$AB$1801</definedName>
    <definedName name="UAcct389So">'[17]Func Study'!$AB$1803</definedName>
    <definedName name="UAcct390Cn">'[17]Func Study'!$AB$1810</definedName>
    <definedName name="UAcct390JBG">'[17]Func Study'!$AB$1812</definedName>
    <definedName name="UAcct390L">'[17]Func Study'!$AB$1927</definedName>
    <definedName name="UACCT390LRCL">'[17]Func Study'!$AB$1929</definedName>
    <definedName name="UAcct390S">'[17]Func Study'!$AB$1807</definedName>
    <definedName name="UAcct390Sgp">'[17]Func Study'!$AB$1808</definedName>
    <definedName name="UAcct390Sgu">'[17]Func Study'!$AB$1809</definedName>
    <definedName name="UAcct390Sop">'[17]Func Study'!$AB$1811</definedName>
    <definedName name="UAcct390Sou">'[17]Func Study'!$AB$1813</definedName>
    <definedName name="UAcct391Cn">'[17]Func Study'!$AB$1820</definedName>
    <definedName name="UACCT391JBE">'[17]Func Study'!$AB$1825</definedName>
    <definedName name="UAcct391S">'[17]Func Study'!$AB$1817</definedName>
    <definedName name="UAcct391Sg">'[17]Func Study'!$AB$1821</definedName>
    <definedName name="UAcct391Sgp">'[17]Func Study'!$AB$1818</definedName>
    <definedName name="UAcct391Sgu">'[17]Func Study'!$AB$1819</definedName>
    <definedName name="UAcct391So">'[17]Func Study'!$AB$1823</definedName>
    <definedName name="UACCT391SSGCH">'[17]Func Study'!$AB$1824</definedName>
    <definedName name="UAcct392Cn">'[17]Func Study'!$AB$1832</definedName>
    <definedName name="UAcct392L">'[17]Func Study'!$AB$1935</definedName>
    <definedName name="UAcct392Lrcl">'[17]Func Study'!$AB$1937</definedName>
    <definedName name="UAcct392S">'[17]Func Study'!$AB$1829</definedName>
    <definedName name="UAcct392Se">'[17]Func Study'!$AB$1834</definedName>
    <definedName name="UAcct392Sg">'[17]Func Study'!$AB$1831</definedName>
    <definedName name="UAcct392Sgp">'[17]Func Study'!$AB$1835</definedName>
    <definedName name="UAcct392Sgu">'[17]Func Study'!$AB$1833</definedName>
    <definedName name="UAcct392So">'[17]Func Study'!$AB$1830</definedName>
    <definedName name="UACCT392SSGCH">'[17]Func Study'!$AB$1836</definedName>
    <definedName name="UAcct393S">'[17]Func Study'!$AB$1841</definedName>
    <definedName name="UAcct393Sg">'[17]Func Study'!$AB$1845</definedName>
    <definedName name="UAcct393Sgp">'[17]Func Study'!$AB$1842</definedName>
    <definedName name="UAcct393Sgu">'[17]Func Study'!$AB$1843</definedName>
    <definedName name="UAcct393So">'[17]Func Study'!$AB$1844</definedName>
    <definedName name="UACCT393SSGCT">'[17]Func Study'!$AB$1846</definedName>
    <definedName name="UAcct394S">'[17]Func Study'!$AB$1850</definedName>
    <definedName name="UAcct394Se">'[17]Func Study'!$AB$1854</definedName>
    <definedName name="UAcct394Sg">'[17]Func Study'!$AB$1855</definedName>
    <definedName name="UAcct394Sgp">'[17]Func Study'!$AB$1851</definedName>
    <definedName name="UAcct394Sgu">'[17]Func Study'!$AB$1852</definedName>
    <definedName name="UAcct394So">'[17]Func Study'!$AB$1853</definedName>
    <definedName name="UACCT394SSGCH">'[17]Func Study'!$AB$1856</definedName>
    <definedName name="UAcct395S">'[17]Func Study'!$AB$1861</definedName>
    <definedName name="UAcct395Se">'[17]Func Study'!$AB$1865</definedName>
    <definedName name="UAcct395Sg">'[17]Func Study'!$AB$1866</definedName>
    <definedName name="UAcct395Sgp">'[17]Func Study'!$AB$1862</definedName>
    <definedName name="UAcct395Sgu">'[17]Func Study'!$AB$1863</definedName>
    <definedName name="UAcct395So">'[17]Func Study'!$AB$1864</definedName>
    <definedName name="UACCT395SSGCH">'[17]Func Study'!$AB$1867</definedName>
    <definedName name="UAcct396S">'[17]Func Study'!$AB$1872</definedName>
    <definedName name="UAcct396Se">'[17]Func Study'!$AB$1877</definedName>
    <definedName name="UAcct396Sg">'[17]Func Study'!$AB$1874</definedName>
    <definedName name="UAcct396Sgp">'[17]Func Study'!$AB$1873</definedName>
    <definedName name="UAcct396Sgu">'[17]Func Study'!$AB$1876</definedName>
    <definedName name="UAcct396So">'[17]Func Study'!$AB$1875</definedName>
    <definedName name="UACCT396SSGCH">'[17]Func Study'!$AB$1879</definedName>
    <definedName name="UACCT396SSGCT">'[17]Func Study'!$AB$1878</definedName>
    <definedName name="UAcct397Cn">'[17]Func Study'!$AB$1890</definedName>
    <definedName name="UAcct397JBG">'[17]Func Study'!$AB$1893</definedName>
    <definedName name="UAcct397S">'[17]Func Study'!$AB$1886</definedName>
    <definedName name="UAcct397Se">'[17]Func Study'!$AB$1892</definedName>
    <definedName name="UAcct397Sg">'[17]Func Study'!$AB$1891</definedName>
    <definedName name="UAcct397Sgp">'[17]Func Study'!$AB$1887</definedName>
    <definedName name="UAcct397Sgu">'[17]Func Study'!$AB$1888</definedName>
    <definedName name="UAcct397So">'[17]Func Study'!$AB$1889</definedName>
    <definedName name="UAcct398Cn">'[17]Func Study'!$AB$1902</definedName>
    <definedName name="UAcct398S">'[17]Func Study'!$AB$1899</definedName>
    <definedName name="UAcct398Se">'[17]Func Study'!$AB$1904</definedName>
    <definedName name="UAcct398Sg">'[17]Func Study'!$AB$1905</definedName>
    <definedName name="UAcct398Sgp">'[17]Func Study'!$AB$1900</definedName>
    <definedName name="UAcct398Sgu">'[17]Func Study'!$AB$1901</definedName>
    <definedName name="UAcct398So">'[17]Func Study'!$AB$1903</definedName>
    <definedName name="UACCT398SSGCT">'[17]Func Study'!$AB$1906</definedName>
    <definedName name="UAcct399">'[17]Func Study'!$AB$1913</definedName>
    <definedName name="UAcct399G">'[17]Func Study'!$AB$1955</definedName>
    <definedName name="UAcct399L">'[17]Func Study'!$AB$1917</definedName>
    <definedName name="UAcct399Lrcl">'[17]Func Study'!$AB$1919</definedName>
    <definedName name="UAcct403360">'[17]Func Study'!$AB$1090</definedName>
    <definedName name="UAcct403361">'[17]Func Study'!$AB$1091</definedName>
    <definedName name="UAcct403362">'[17]Func Study'!$AB$1092</definedName>
    <definedName name="UAcct403364">'[17]Func Study'!$AB$1094</definedName>
    <definedName name="UAcct403365">'[17]Func Study'!$AB$1095</definedName>
    <definedName name="UAcct403366">'[17]Func Study'!$AB$1096</definedName>
    <definedName name="UAcct403367">'[17]Func Study'!$AB$1097</definedName>
    <definedName name="UAcct403368">'[17]Func Study'!$AB$1098</definedName>
    <definedName name="UAcct403369">'[17]Func Study'!$AB$1099</definedName>
    <definedName name="UAcct403370">'[17]Func Study'!$AB$1100</definedName>
    <definedName name="UAcct403371">'[17]Func Study'!$AB$1101</definedName>
    <definedName name="UAcct403372">'[17]Func Study'!$AB$1102</definedName>
    <definedName name="UAcct403373">'[17]Func Study'!$AB$1103</definedName>
    <definedName name="UAcct403Ep">'[17]Func Study'!$AB$1130</definedName>
    <definedName name="UAcct403Gpcn">'[17]Func Study'!$AB$1111</definedName>
    <definedName name="UAcct403GPDGP">'[17]Func Study'!$AB$1108</definedName>
    <definedName name="UAcct403GPDGU">'[17]Func Study'!$AB$1109</definedName>
    <definedName name="UAcct403GPJBG">'[17]Func Study'!$AB$1115</definedName>
    <definedName name="UAcct403Gps">'[17]Func Study'!$AB$1107</definedName>
    <definedName name="UAcct403Gpsg">'[17]Func Study'!$AB$1112</definedName>
    <definedName name="UAcct403Gpso">'[17]Func Study'!$AB$1113</definedName>
    <definedName name="UAcct403Gv0">'[17]Func Study'!$AB$1121</definedName>
    <definedName name="UAcct403Hp">'[17]Func Study'!$AB$1072</definedName>
    <definedName name="UACCT403JBE">'[17]Func Study'!$AB$1116</definedName>
    <definedName name="UAcct403Mp">'[17]Func Study'!$AB$1125</definedName>
    <definedName name="UAcct403Np">'[17]Func Study'!$AB$1065</definedName>
    <definedName name="UAcct403Op">'[17]Func Study'!$AB$1080</definedName>
    <definedName name="UAcct403OPCAGE">'[17]Func Study'!$AB$1078</definedName>
    <definedName name="UAcct403Sp">'[17]Func Study'!$AB$1061</definedName>
    <definedName name="UAcct403SPJBG">'[17]Func Study'!$AB$1058</definedName>
    <definedName name="UAcct403Tp">'[17]Func Study'!$AB$1087</definedName>
    <definedName name="UAcct404330">'[17]Func Study'!$AB$1177</definedName>
    <definedName name="UACCT404GP">'[17]Func Study'!$AB$1146</definedName>
    <definedName name="UACCT404GPCN">'[17]Func Study'!$AB$1143</definedName>
    <definedName name="UACCT404GPSO">'[17]Func Study'!$AB$1141</definedName>
    <definedName name="UAcct404Ipcn">'[17]Func Study'!$AB$1158</definedName>
    <definedName name="UAcct404IPJBG">'[17]Func Study'!$AB$1163</definedName>
    <definedName name="UAcct404Ips">'[17]Func Study'!$AB$1154</definedName>
    <definedName name="UAcct404Ipse">'[17]Func Study'!$AB$1155</definedName>
    <definedName name="UAcct404Ipsg">'[17]Func Study'!$AB$1156</definedName>
    <definedName name="UAcct404Ipsg1">'[17]Func Study'!$AB$1159</definedName>
    <definedName name="UAcct404Ipsg2">'[17]Func Study'!$AB$1160</definedName>
    <definedName name="UAcct404Ipso">'[17]Func Study'!$AB$1157</definedName>
    <definedName name="UAcct404M">'[17]Func Study'!$AB$1168</definedName>
    <definedName name="UACCT404OP">'[17]Func Study'!$AB$1172</definedName>
    <definedName name="UACCT404SP">'[17]Func Study'!$AB$1151</definedName>
    <definedName name="UAcct405">'[17]Func Study'!$AB$1185</definedName>
    <definedName name="UAcct406">'[17]Func Study'!$AB$1193</definedName>
    <definedName name="UAcct407">'[17]Func Study'!$AB$1202</definedName>
    <definedName name="UAcct408">'[17]Func Study'!$AB$1221</definedName>
    <definedName name="UAcct408S">'[17]Func Study'!$AB$1213</definedName>
    <definedName name="UAcct41010">'[17]Func Study'!$AB$1294</definedName>
    <definedName name="UAcct41011">'[17]Func Study'!$AB$1309</definedName>
    <definedName name="UACCT41020">'[18]Functional Study'!#REF!</definedName>
    <definedName name="UACCT41020BADDEBT">'[18]Functional Study'!#REF!</definedName>
    <definedName name="UACCT41020DITEXP">'[18]Functional Study'!#REF!</definedName>
    <definedName name="UACCT41020DNPU">'[18]Functional Study'!#REF!</definedName>
    <definedName name="UACCT41020S">'[18]Functional Study'!#REF!</definedName>
    <definedName name="UACCT41020SE">'[18]Functional Study'!#REF!</definedName>
    <definedName name="UACCT41020SG">'[18]Functional Study'!#REF!</definedName>
    <definedName name="UACCT41020SGCT">'[18]Functional Study'!#REF!</definedName>
    <definedName name="UACCT41020SGPP">'[18]Functional Study'!#REF!</definedName>
    <definedName name="UACCT41020SO">'[18]Functional Study'!#REF!</definedName>
    <definedName name="UACCT41020TROJP">'[18]Functional Study'!#REF!</definedName>
    <definedName name="UACCT4102SNPD">'[18]Functional Study'!#REF!</definedName>
    <definedName name="UAcct41110">'[17]Func Study'!$AB$1325</definedName>
    <definedName name="UAcct41111">'[18]Functional Study'!#REF!</definedName>
    <definedName name="UAcct41111Baddebt">'[18]Functional Study'!#REF!</definedName>
    <definedName name="UAcct41111Dgp">'[18]Functional Study'!#REF!</definedName>
    <definedName name="UAcct41111Dgu">'[18]Functional Study'!#REF!</definedName>
    <definedName name="UAcct41111Ditexp">'[18]Functional Study'!#REF!</definedName>
    <definedName name="UAcct41111Dnpp">'[18]Functional Study'!#REF!</definedName>
    <definedName name="UAcct41111Dnptp">'[18]Functional Study'!#REF!</definedName>
    <definedName name="UAcct41111S">'[18]Functional Study'!#REF!</definedName>
    <definedName name="UAcct41111Se">'[18]Functional Study'!#REF!</definedName>
    <definedName name="UAcct41111Sg">'[18]Functional Study'!#REF!</definedName>
    <definedName name="UAcct41111Sgpp">'[18]Functional Study'!#REF!</definedName>
    <definedName name="UAcct41111So">'[18]Functional Study'!#REF!</definedName>
    <definedName name="UAcct41111Trojp">'[18]Functional Study'!#REF!</definedName>
    <definedName name="UAcct41140">'[17]Func Study'!$AB$1232</definedName>
    <definedName name="UAcct41141">'[17]Func Study'!$AB$1237</definedName>
    <definedName name="UAcct41160">'[17]Func Study'!$AB$369</definedName>
    <definedName name="UAcct41170">'[17]Func Study'!$AB$374</definedName>
    <definedName name="UAcct4118">'[17]Func Study'!$AB$378</definedName>
    <definedName name="UAcct41181">'[17]Func Study'!$AB$381</definedName>
    <definedName name="UAcct4194">'[17]Func Study'!$AB$385</definedName>
    <definedName name="UAcct421">'[17]Func Study'!$AB$394</definedName>
    <definedName name="UAcct4311">'[17]Func Study'!$AB$401</definedName>
    <definedName name="UAcct442Se">'[17]Func Study'!$AB$259</definedName>
    <definedName name="UAcct442Sg">'[17]Func Study'!$AB$260</definedName>
    <definedName name="UAcct447">'[17]Func Study'!$AB$281</definedName>
    <definedName name="UAcct447CAEE">'[15]Func Study'!#REF!</definedName>
    <definedName name="UAcct447CAGE">'[15]Func Study'!#REF!</definedName>
    <definedName name="UAcct447Dgu">'[16]Func Study'!#REF!</definedName>
    <definedName name="UACCT447NPC">'[17]Func Study'!$AB$289</definedName>
    <definedName name="UACCT447NPCCAEW">'[17]Func Study'!$AB$286</definedName>
    <definedName name="UACCT447NPCCAGW">'[17]Func Study'!$AB$287</definedName>
    <definedName name="UACCT447NPCDGP">'[17]Func Study'!$AB$288</definedName>
    <definedName name="UAcct447S">'[17]Func Study'!$AB$280</definedName>
    <definedName name="UAcct448S">'[17]Func Study'!$AB$274</definedName>
    <definedName name="UAcct448So">'[17]Func Study'!$AB$275</definedName>
    <definedName name="UAcct449">'[17]Func Study'!$AB$294</definedName>
    <definedName name="UAcct450">'[17]Func Study'!$AB$304</definedName>
    <definedName name="UAcct450S">'[17]Func Study'!$AB$302</definedName>
    <definedName name="UAcct450So">'[17]Func Study'!$AB$303</definedName>
    <definedName name="UAcct451S">'[17]Func Study'!$AB$307</definedName>
    <definedName name="UAcct451Sg">'[17]Func Study'!$AB$308</definedName>
    <definedName name="UAcct451So">'[17]Func Study'!$AB$309</definedName>
    <definedName name="UAcct453">'[17]Func Study'!$AB$315</definedName>
    <definedName name="UAcct453CAGE">'[15]Func Study'!#REF!</definedName>
    <definedName name="UAcct453CAGW">'[15]Func Study'!#REF!</definedName>
    <definedName name="UAcct454">'[17]Func Study'!$AB$322</definedName>
    <definedName name="UAcct454JBG">'[17]Func Study'!$AB$319</definedName>
    <definedName name="UAcct454S">'[17]Func Study'!$AB$318</definedName>
    <definedName name="UAcct454Sg">'[17]Func Study'!$AB$320</definedName>
    <definedName name="UAcct454So">'[17]Func Study'!$AB$321</definedName>
    <definedName name="UAcct456">'[17]Func Study'!$AB$332</definedName>
    <definedName name="UAcct456CAEW">'[17]Func Study'!$AB$331</definedName>
    <definedName name="UAcct456S">'[17]Func Study'!$AB$325</definedName>
    <definedName name="UAcct456So">'[17]Func Study'!$AB$329</definedName>
    <definedName name="UAcct500">'[17]Func Study'!$AB$416</definedName>
    <definedName name="UAcct500JBG">'[17]Func Study'!$AB$414</definedName>
    <definedName name="UAcct501">'[17]Func Study'!$AB$423</definedName>
    <definedName name="UAcct501CAEW">'[17]Func Study'!$AB$420</definedName>
    <definedName name="UAcct501JBE">'[17]Func Study'!$AB$421</definedName>
    <definedName name="UACCT501NPCCAEW">'[17]Func Study'!$AB$426</definedName>
    <definedName name="UAcct502">'[17]Func Study'!$AB$433</definedName>
    <definedName name="UAcct502CAGE">'[17]Func Study'!$AB$431</definedName>
    <definedName name="UAcct502JBG">'[15]Func Study'!#REF!</definedName>
    <definedName name="UAcct503">'[17]Func Study'!$AB$437</definedName>
    <definedName name="UACCT503NPC">'[17]Func Study'!$AB$443</definedName>
    <definedName name="UAcct505">'[17]Func Study'!$AB$449</definedName>
    <definedName name="UAcct505CAGE">'[17]Func Study'!$AB$447</definedName>
    <definedName name="UAcct505JBG">'[15]Func Study'!#REF!</definedName>
    <definedName name="UAcct506">'[17]Func Study'!$AB$455</definedName>
    <definedName name="UAcct506CAGE">'[17]Func Study'!$AB$452</definedName>
    <definedName name="UAcct506JBG">'[15]Func Study'!#REF!</definedName>
    <definedName name="UAcct507">'[17]Func Study'!$AB$464</definedName>
    <definedName name="UAcct507CAGE">'[17]Func Study'!$AB$462</definedName>
    <definedName name="UAcct507JBG">'[15]Func Study'!#REF!</definedName>
    <definedName name="UAcct510">'[17]Func Study'!$AB$469</definedName>
    <definedName name="UAcct510CAGE">'[17]Func Study'!$AB$467</definedName>
    <definedName name="UAcct510JBG">'[15]Func Study'!#REF!</definedName>
    <definedName name="UAcct511">'[17]Func Study'!$AB$474</definedName>
    <definedName name="UAcct511CAGE">'[17]Func Study'!$AB$472</definedName>
    <definedName name="UAcct511JBG">'[15]Func Study'!#REF!</definedName>
    <definedName name="UAcct512">'[17]Func Study'!$AB$479</definedName>
    <definedName name="UAcct512CAGE">'[17]Func Study'!$AB$477</definedName>
    <definedName name="UAcct512JBG">'[15]Func Study'!#REF!</definedName>
    <definedName name="UAcct513">'[17]Func Study'!$AB$484</definedName>
    <definedName name="UAcct513CAGE">'[17]Func Study'!$AB$482</definedName>
    <definedName name="UAcct513JBG">'[15]Func Study'!#REF!</definedName>
    <definedName name="UAcct514">'[17]Func Study'!$AB$489</definedName>
    <definedName name="UAcct514CAGE">'[17]Func Study'!$AB$487</definedName>
    <definedName name="UAcct514JBG">'[15]Func Study'!#REF!</definedName>
    <definedName name="UAcct517">'[17]Func Study'!$AB$498</definedName>
    <definedName name="UAcct518">'[17]Func Study'!$AB$502</definedName>
    <definedName name="UAcct519">'[17]Func Study'!$AB$507</definedName>
    <definedName name="UAcct520">'[17]Func Study'!$AB$511</definedName>
    <definedName name="UAcct523">'[17]Func Study'!$AB$515</definedName>
    <definedName name="UAcct524">'[17]Func Study'!$AB$519</definedName>
    <definedName name="UAcct528">'[17]Func Study'!$AB$523</definedName>
    <definedName name="UAcct529">'[17]Func Study'!$AB$527</definedName>
    <definedName name="UAcct530">'[17]Func Study'!$AB$531</definedName>
    <definedName name="UAcct531">'[17]Func Study'!$AB$535</definedName>
    <definedName name="UAcct532">'[17]Func Study'!$AB$539</definedName>
    <definedName name="UAcct535">'[17]Func Study'!$AB$551</definedName>
    <definedName name="UAcct536">'[17]Func Study'!$AB$555</definedName>
    <definedName name="UAcct537">'[17]Func Study'!$AB$559</definedName>
    <definedName name="UAcct538">'[17]Func Study'!$AB$563</definedName>
    <definedName name="UAcct539">'[17]Func Study'!$AB$568</definedName>
    <definedName name="UAcct540">'[17]Func Study'!$AB$572</definedName>
    <definedName name="UAcct541">'[17]Func Study'!$AB$576</definedName>
    <definedName name="UAcct542">'[17]Func Study'!$AB$580</definedName>
    <definedName name="UAcct543">'[17]Func Study'!$AB$584</definedName>
    <definedName name="UAcct544">'[17]Func Study'!$AB$588</definedName>
    <definedName name="UAcct545">'[17]Func Study'!$AB$592</definedName>
    <definedName name="UAcct546">'[17]Func Study'!$AB$606</definedName>
    <definedName name="UAcct546CAGE">'[17]Func Study'!$AB$605</definedName>
    <definedName name="UAcct547CAEW">'[17]Func Study'!$AB$610</definedName>
    <definedName name="UACCT547NPCCAEW">'[17]Func Study'!$AB$613</definedName>
    <definedName name="UAcct547Se">'[17]Func Study'!$AB$609</definedName>
    <definedName name="UAcct548">'[17]Func Study'!$AB$621</definedName>
    <definedName name="UACCT548CAGE">'[17]Func Study'!$AB$620</definedName>
    <definedName name="UAcct549">'[17]Func Study'!$AB$626</definedName>
    <definedName name="Uacct549CAGE">'[17]Func Study'!$AB$625</definedName>
    <definedName name="UAcct5506SE">'[15]Func Study'!#REF!</definedName>
    <definedName name="UAcct551CAGE">'[17]Func Study'!$AB$634</definedName>
    <definedName name="UACCT551SG">'[17]Func Study'!$AB$635</definedName>
    <definedName name="UACCT552CAGE">'[17]Func Study'!$AB$640</definedName>
    <definedName name="UAcct552SG">'[17]Func Study'!$AB$639</definedName>
    <definedName name="UACCT553CAGE">'[17]Func Study'!$AB$646</definedName>
    <definedName name="UAcct553SG">'[17]Func Study'!$AB$645</definedName>
    <definedName name="UACCT554CAGE">'[17]Func Study'!$AB$651</definedName>
    <definedName name="UAcct554SG">'[17]Func Study'!$AB$650</definedName>
    <definedName name="UAcct555CAEE">'[15]Func Study'!#REF!</definedName>
    <definedName name="UAcct555CAEW">'[17]Func Study'!$AB$665</definedName>
    <definedName name="UAcct555CAGE">'[15]Func Study'!#REF!</definedName>
    <definedName name="UAcct555CAGW">'[17]Func Study'!$AB$664</definedName>
    <definedName name="UACCT555DGP">'[17]Func Study'!$AB$670</definedName>
    <definedName name="UACCT555NPCCAEW">'[17]Func Study'!$AB$669</definedName>
    <definedName name="UACCT555NPCCAGW">'[17]Func Study'!$AB$668</definedName>
    <definedName name="UAcct555S">'[17]Func Study'!$AB$663</definedName>
    <definedName name="UAcct555Se">'[17]Func Study'!$AB$665</definedName>
    <definedName name="UACCT555SG">'[17]Func Study'!$AB$664</definedName>
    <definedName name="UAcct556">'[17]Func Study'!$AB$676</definedName>
    <definedName name="UAcct557">'[17]Func Study'!$AB$685</definedName>
    <definedName name="UAcct560">'[17]Func Study'!$AB$715</definedName>
    <definedName name="UAcct561">'[17]Func Study'!$AB$720</definedName>
    <definedName name="UAcct562">'[17]Func Study'!$AB$726</definedName>
    <definedName name="UAcct563">'[17]Func Study'!$AB$731</definedName>
    <definedName name="UAcct564">'[17]Func Study'!$AB$735</definedName>
    <definedName name="UAcct565">'[17]Func Study'!$AB$739</definedName>
    <definedName name="UACCT565NPC">'[17]Func Study'!$AB$744</definedName>
    <definedName name="UACCT565NPCCAGW">'[17]Func Study'!$AB$742</definedName>
    <definedName name="UAcct566">'[17]Func Study'!$AB$748</definedName>
    <definedName name="UAcct567">'[17]Func Study'!$AB$752</definedName>
    <definedName name="UAcct568">'[17]Func Study'!$AB$756</definedName>
    <definedName name="UAcct569">'[17]Func Study'!$AB$760</definedName>
    <definedName name="UAcct570">'[17]Func Study'!$AB$765</definedName>
    <definedName name="UAcct571">'[17]Func Study'!$AB$770</definedName>
    <definedName name="UAcct572">'[17]Func Study'!$AB$774</definedName>
    <definedName name="UAcct573">'[17]Func Study'!$AB$778</definedName>
    <definedName name="UAcct580">'[17]Func Study'!$AB$791</definedName>
    <definedName name="UAcct581">'[17]Func Study'!$AB$796</definedName>
    <definedName name="UAcct582">'[17]Func Study'!$AB$801</definedName>
    <definedName name="UAcct583">'[17]Func Study'!$AB$806</definedName>
    <definedName name="UAcct584">'[17]Func Study'!$AB$811</definedName>
    <definedName name="UAcct585">'[17]Func Study'!$AB$816</definedName>
    <definedName name="UAcct586">'[17]Func Study'!$AB$821</definedName>
    <definedName name="UAcct587">'[17]Func Study'!$AB$826</definedName>
    <definedName name="UAcct588">'[17]Func Study'!$AB$831</definedName>
    <definedName name="UAcct589">'[17]Func Study'!$AB$836</definedName>
    <definedName name="UAcct590">'[17]Func Study'!$AB$841</definedName>
    <definedName name="UAcct591">'[17]Func Study'!$AB$846</definedName>
    <definedName name="UAcct592">'[17]Func Study'!$AB$851</definedName>
    <definedName name="UAcct593">'[17]Func Study'!$AB$856</definedName>
    <definedName name="UAcct594">'[17]Func Study'!$AB$861</definedName>
    <definedName name="UAcct595">'[17]Func Study'!$AB$866</definedName>
    <definedName name="UAcct596">'[17]Func Study'!$AB$876</definedName>
    <definedName name="UAcct597">'[17]Func Study'!$AB$881</definedName>
    <definedName name="UAcct598">'[17]Func Study'!$AB$886</definedName>
    <definedName name="UAcct901">'[17]Func Study'!$AB$898</definedName>
    <definedName name="UAcct902">'[17]Func Study'!$AB$903</definedName>
    <definedName name="UAcct903">'[17]Func Study'!$AB$908</definedName>
    <definedName name="UAcct904">'[17]Func Study'!$AB$914</definedName>
    <definedName name="Uacct904SG">'[19]Functional Study'!#REF!</definedName>
    <definedName name="UAcct905">'[17]Func Study'!$AB$919</definedName>
    <definedName name="UAcct907">'[17]Func Study'!$AB$933</definedName>
    <definedName name="UAcct908">'[17]Func Study'!$AB$938</definedName>
    <definedName name="UAcct909">'[17]Func Study'!$AB$943</definedName>
    <definedName name="UAcct910">'[17]Func Study'!$AB$948</definedName>
    <definedName name="UAcct911">'[17]Func Study'!$AB$959</definedName>
    <definedName name="UAcct912">'[17]Func Study'!$AB$964</definedName>
    <definedName name="UAcct913">'[17]Func Study'!$AB$969</definedName>
    <definedName name="UAcct916">'[17]Func Study'!$AB$974</definedName>
    <definedName name="UAcct920">'[17]Func Study'!$AB$985</definedName>
    <definedName name="UAcct920Cn">'[17]Func Study'!$AB$983</definedName>
    <definedName name="UAcct921">'[17]Func Study'!$AB$991</definedName>
    <definedName name="UAcct921Cn">'[17]Func Study'!$AB$989</definedName>
    <definedName name="UAcct923">'[17]Func Study'!$AB$997</definedName>
    <definedName name="UAcct923CAGW">'[17]Func Study'!$AB$995</definedName>
    <definedName name="UAcct924">'[17]Func Study'!$AB$1001</definedName>
    <definedName name="UAcct925">'[17]Func Study'!$AB$1005</definedName>
    <definedName name="UAcct926">'[17]Func Study'!$AB$1011</definedName>
    <definedName name="UAcct927">'[17]Func Study'!$AB$1016</definedName>
    <definedName name="UAcct928">'[17]Func Study'!$AB$1023</definedName>
    <definedName name="UAcct929">'[17]Func Study'!$AB$1028</definedName>
    <definedName name="UAcct930">'[17]Func Study'!$AB$1034</definedName>
    <definedName name="UAcct931">'[17]Func Study'!$AB$1039</definedName>
    <definedName name="UAcct935">'[17]Func Study'!$AB$1045</definedName>
    <definedName name="UAcctAGA">'[17]Func Study'!$AB$296</definedName>
    <definedName name="UAcctcwc">'[17]Func Study'!$AB$2136</definedName>
    <definedName name="UAcctd00">'[17]Func Study'!$AB$1786</definedName>
    <definedName name="UAcctdfa">'[17]Func Study'!#REF!</definedName>
    <definedName name="UAcctdfad">'[17]Func Study'!#REF!</definedName>
    <definedName name="UAcctdfap">'[17]Func Study'!#REF!</definedName>
    <definedName name="UAcctdfat">'[17]Func Study'!#REF!</definedName>
    <definedName name="UAcctds0">'[17]Func Study'!$AB$1790</definedName>
    <definedName name="UACCTECDDGP">'[17]Func Study'!$AB$687</definedName>
    <definedName name="UACCTECDMC">'[17]Func Study'!$AB$689</definedName>
    <definedName name="UACCTECDS">'[17]Func Study'!$AB$691</definedName>
    <definedName name="UACCTECDSG1">'[17]Func Study'!$AB$688</definedName>
    <definedName name="UACCTECDSG2">'[17]Func Study'!$AB$690</definedName>
    <definedName name="UACCTECDSG3">'[17]Func Study'!$AB$692</definedName>
    <definedName name="UAcctfit">'[17]Func Study'!$AB$1395</definedName>
    <definedName name="UAcctg00">'[17]Func Study'!$AB$1947</definedName>
    <definedName name="UAccth00">'[17]Func Study'!$AB$1545</definedName>
    <definedName name="UAccti00">'[17]Func Study'!$AB$1993</definedName>
    <definedName name="UAcctn00">'[17]Func Study'!$AB$1496</definedName>
    <definedName name="UAccto00">'[17]Func Study'!$AB$1606</definedName>
    <definedName name="UAcctowc">'[17]Func Study'!$AB$2149</definedName>
    <definedName name="UACCTOWCSSECH">'[17]Func Study'!$AB$2148</definedName>
    <definedName name="UAccts00">'[17]Func Study'!$AB$1455</definedName>
    <definedName name="UAcctsttax">'[17]Func Study'!$AB$1377</definedName>
    <definedName name="UAcctt00">'[17]Func Study'!$AB$1682</definedName>
    <definedName name="UG">[13]CLASSIFIERS!$A$9:$IV$9</definedName>
    <definedName name="UG_NCP">[13]EXTERNAL!$A$82:$IV$84</definedName>
    <definedName name="UG_TFMR">[13]EXTERNAL!$A$103:$IV$105</definedName>
    <definedName name="UG_TFMRC">[13]EXTERNAL!$A$100:$IV$102</definedName>
    <definedName name="UNBILLED">[13]EXTERNAL!$A$64:$IV$66</definedName>
    <definedName name="UNBILREV">#REF!</definedName>
    <definedName name="UncollectibleAccounts">[22]Variables!$D$25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[22]Variables!$D$29</definedName>
    <definedName name="v" hidden="1">{#N/A,#N/A,FALSE,"Coversheet";#N/A,#N/A,FALSE,"QA"}</definedName>
    <definedName name="ValidAccount">[20]Variables!$AK$43:$AK$369</definedName>
    <definedName name="Value" hidden="1">{#N/A,#N/A,FALSE,"Summ";#N/A,#N/A,FALSE,"General"}</definedName>
    <definedName name="Values_Entered">IF(Loan_Amount*Interest_Rate*Loan_Years*Loan_Start&gt;0,1,0)</definedName>
    <definedName name="VAR">[24]Backup!#REF!</definedName>
    <definedName name="VARIABLE">[43]Summary!#REF!</definedName>
    <definedName name="VOMEsc">[21]Assumptions!$C$21</definedName>
    <definedName name="VOUCHER">#REF!</definedName>
    <definedName name="w" hidden="1">{#N/A,#N/A,FALSE,"Schedule F";#N/A,#N/A,FALSE,"Schedule G"}</definedName>
    <definedName name="WACC">[21]Assumptions!$I$61</definedName>
    <definedName name="WaRevenueTax">[22]Variables!$D$27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hidden="1">{#N/A,#N/A,FALSE,"Coversheet";#N/A,#N/A,FALSE,"QA"}</definedName>
    <definedName name="WIDTH">#REF!</definedName>
    <definedName name="Winter">'[61]Input Tab'!$B$11</definedName>
    <definedName name="WinterPeak">'[62]Load Data'!$D$9:$H$12,'[62]Load Data'!$D$20:$H$22</definedName>
    <definedName name="WORK1">#REF!</definedName>
    <definedName name="WORK2">#REF!</definedName>
    <definedName name="WORK3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ears_evaluated">'[63]Revison Inputs'!$B$6</definedName>
    <definedName name="YEFactors">[20]Factors!$S$3:$AG$99</definedName>
    <definedName name="YTD_Format">[50]YTD!$B$13:$D$13,[50]YTD!$B$32:$D$32</definedName>
    <definedName name="yuf" hidden="1">{#N/A,#N/A,FALSE,"Summ";#N/A,#N/A,FALSE,"General"}</definedName>
    <definedName name="z" hidden="1">{#N/A,#N/A,FALSE,"Coversheet";#N/A,#N/A,FALSE,"QA"}</definedName>
    <definedName name="ZA">'[64] annual balance '!#REF!</definedName>
  </definedNames>
  <calcPr calcId="162913"/>
</workbook>
</file>

<file path=xl/calcChain.xml><?xml version="1.0" encoding="utf-8"?>
<calcChain xmlns="http://schemas.openxmlformats.org/spreadsheetml/2006/main">
  <c r="F37" i="65" l="1"/>
  <c r="E36" i="65"/>
  <c r="F36" i="65"/>
  <c r="O29" i="68"/>
  <c r="N29" i="68"/>
  <c r="O28" i="68"/>
  <c r="N28" i="68"/>
  <c r="M28" i="68" s="1"/>
  <c r="O25" i="68"/>
  <c r="N25" i="68"/>
  <c r="O24" i="68"/>
  <c r="N24" i="68"/>
  <c r="M24" i="68" s="1"/>
  <c r="O21" i="68"/>
  <c r="N21" i="68"/>
  <c r="M21" i="68" s="1"/>
  <c r="O18" i="68"/>
  <c r="N18" i="68"/>
  <c r="O15" i="68"/>
  <c r="N15" i="68"/>
  <c r="O12" i="68"/>
  <c r="N12" i="68"/>
  <c r="M29" i="68"/>
  <c r="M25" i="68"/>
  <c r="M18" i="68"/>
  <c r="M15" i="68"/>
  <c r="M12" i="68"/>
  <c r="I40" i="20" l="1"/>
  <c r="I37" i="49"/>
  <c r="F32" i="13"/>
  <c r="A4" i="1" l="1"/>
  <c r="F51" i="65" l="1"/>
  <c r="E30" i="69"/>
  <c r="E27" i="69"/>
  <c r="E26" i="69"/>
  <c r="E23" i="69"/>
  <c r="E21" i="69"/>
  <c r="E16" i="69"/>
  <c r="E14" i="69"/>
  <c r="E12" i="69"/>
  <c r="E7" i="69"/>
  <c r="E20" i="24" l="1"/>
  <c r="E21" i="24" s="1"/>
  <c r="E15" i="24"/>
  <c r="E16" i="24" s="1"/>
  <c r="F32" i="56"/>
  <c r="E32" i="56"/>
  <c r="E33" i="56" s="1"/>
  <c r="D31" i="25"/>
  <c r="E21" i="56"/>
  <c r="E16" i="56"/>
  <c r="E17" i="56" s="1"/>
  <c r="E14" i="56"/>
  <c r="E15" i="56" s="1"/>
  <c r="E12" i="56"/>
  <c r="E13" i="56" s="1"/>
  <c r="F34" i="56"/>
  <c r="E34" i="56"/>
  <c r="F33" i="56"/>
  <c r="F31" i="56"/>
  <c r="E31" i="56"/>
  <c r="F28" i="56"/>
  <c r="E28" i="56"/>
  <c r="F27" i="56"/>
  <c r="E27" i="56"/>
  <c r="F24" i="56"/>
  <c r="E24" i="56"/>
  <c r="F23" i="56"/>
  <c r="E23" i="56"/>
  <c r="G22" i="56"/>
  <c r="E22" i="56"/>
  <c r="F18" i="56"/>
  <c r="E18" i="56"/>
  <c r="G17" i="56"/>
  <c r="G15" i="56"/>
  <c r="G13" i="56"/>
  <c r="F9" i="56"/>
  <c r="E9" i="56"/>
  <c r="F8" i="56"/>
  <c r="E8" i="56"/>
  <c r="J13" i="53" l="1"/>
  <c r="J11" i="53"/>
  <c r="J14" i="53"/>
  <c r="J16" i="53" l="1"/>
  <c r="J18" i="53"/>
  <c r="J21" i="53"/>
  <c r="J23" i="53"/>
  <c r="J32" i="53"/>
  <c r="J33" i="53"/>
  <c r="J37" i="53"/>
  <c r="E33" i="3"/>
  <c r="E30" i="3"/>
  <c r="E27" i="3"/>
  <c r="E26" i="3"/>
  <c r="E23" i="3"/>
  <c r="E22" i="3"/>
  <c r="E20" i="3"/>
  <c r="E17" i="3"/>
  <c r="E15" i="3"/>
  <c r="E8" i="3"/>
  <c r="E11" i="3"/>
  <c r="E7" i="3"/>
  <c r="G32" i="3"/>
  <c r="A1" i="5"/>
  <c r="A2" i="5"/>
  <c r="A4" i="5"/>
  <c r="B4" i="5"/>
  <c r="C4" i="5"/>
  <c r="D4" i="5"/>
  <c r="E4" i="5"/>
  <c r="F4" i="5"/>
  <c r="G4" i="5"/>
  <c r="H4" i="5"/>
  <c r="I4" i="5"/>
  <c r="J4" i="5"/>
  <c r="K4" i="5"/>
  <c r="L4" i="5"/>
  <c r="D5" i="5"/>
  <c r="E5" i="5"/>
  <c r="F5" i="5"/>
  <c r="G5" i="5"/>
  <c r="H5" i="5"/>
  <c r="I5" i="5"/>
  <c r="J5" i="5"/>
  <c r="K5" i="5"/>
  <c r="L5" i="5"/>
  <c r="A7" i="5"/>
  <c r="B7" i="5"/>
  <c r="B8" i="5"/>
  <c r="B9" i="5"/>
  <c r="B10" i="5"/>
  <c r="B11" i="5"/>
  <c r="B12" i="5"/>
  <c r="B13" i="5"/>
  <c r="B14" i="5"/>
  <c r="B16" i="5"/>
  <c r="C16" i="5"/>
  <c r="F16" i="5"/>
  <c r="B17" i="5"/>
  <c r="C17" i="5"/>
  <c r="B19" i="5"/>
  <c r="C19" i="5"/>
  <c r="B21" i="5"/>
  <c r="B23" i="5"/>
  <c r="B25" i="5"/>
  <c r="C25" i="5"/>
  <c r="B27" i="5"/>
  <c r="A30" i="5"/>
  <c r="B30" i="5"/>
  <c r="C30" i="5"/>
  <c r="D30" i="5"/>
  <c r="E30" i="5"/>
  <c r="F30" i="5"/>
  <c r="G30" i="5"/>
  <c r="H30" i="5"/>
  <c r="I30" i="5"/>
  <c r="J30" i="5"/>
  <c r="K30" i="5"/>
  <c r="L30" i="5"/>
  <c r="A31" i="5"/>
  <c r="B31" i="5"/>
  <c r="C31" i="5"/>
  <c r="D31" i="5"/>
  <c r="E31" i="5"/>
  <c r="F31" i="5"/>
  <c r="G31" i="5"/>
  <c r="H31" i="5"/>
  <c r="I31" i="5"/>
  <c r="J31" i="5"/>
  <c r="K31" i="5"/>
  <c r="L31" i="5"/>
  <c r="W32" i="1" l="1"/>
  <c r="W28" i="1"/>
  <c r="W27" i="1"/>
  <c r="W18" i="1"/>
  <c r="W14" i="1"/>
  <c r="V6" i="1"/>
  <c r="W37" i="53"/>
  <c r="W32" i="53"/>
  <c r="W33" i="53"/>
  <c r="W23" i="53"/>
  <c r="W21" i="53"/>
  <c r="W16" i="53"/>
  <c r="W18" i="53"/>
  <c r="W14" i="53"/>
  <c r="W13" i="53"/>
  <c r="W11" i="53"/>
  <c r="U37" i="53"/>
  <c r="U32" i="1" s="1"/>
  <c r="U33" i="53"/>
  <c r="U28" i="1" s="1"/>
  <c r="U32" i="53"/>
  <c r="U27" i="1" s="1"/>
  <c r="U23" i="53"/>
  <c r="U18" i="1" s="1"/>
  <c r="U21" i="53"/>
  <c r="U18" i="53"/>
  <c r="U14" i="1" s="1"/>
  <c r="U16" i="53"/>
  <c r="U14" i="53"/>
  <c r="U11" i="53"/>
  <c r="U7" i="53"/>
  <c r="W7" i="53" s="1"/>
  <c r="W6" i="1" s="1"/>
  <c r="U6" i="1" l="1"/>
  <c r="C7" i="53"/>
  <c r="H20" i="24" l="1"/>
  <c r="H21" i="24" s="1"/>
  <c r="H15" i="24"/>
  <c r="H16" i="24" s="1"/>
  <c r="G32" i="24"/>
  <c r="G20" i="24"/>
  <c r="G21" i="24" s="1"/>
  <c r="G15" i="24"/>
  <c r="G16" i="24" s="1"/>
  <c r="G11" i="24"/>
  <c r="G12" i="24" s="1"/>
  <c r="G8" i="24"/>
  <c r="G17" i="24" s="1"/>
  <c r="G7" i="24"/>
  <c r="G27" i="24"/>
  <c r="G22" i="24" l="1"/>
  <c r="G13" i="24"/>
  <c r="G23" i="24"/>
  <c r="G14" i="24"/>
  <c r="J6" i="1" l="1"/>
  <c r="J32" i="1"/>
  <c r="J28" i="1"/>
  <c r="J27" i="1"/>
  <c r="J18" i="1"/>
  <c r="J14" i="1"/>
  <c r="A8" i="69" l="1"/>
  <c r="A9" i="69" s="1"/>
  <c r="A10" i="69" s="1"/>
  <c r="A11" i="69" s="1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BJ46" i="50" l="1"/>
  <c r="BK46" i="50"/>
  <c r="BK44" i="50"/>
  <c r="BJ44" i="50"/>
  <c r="BI46" i="50"/>
  <c r="BH46" i="50"/>
  <c r="BG46" i="50"/>
  <c r="BF46" i="50"/>
  <c r="BE46" i="50"/>
  <c r="BD46" i="50"/>
  <c r="BC46" i="50"/>
  <c r="BB46" i="50"/>
  <c r="BA46" i="50"/>
  <c r="AZ46" i="50"/>
  <c r="AY46" i="50"/>
  <c r="AX46" i="50"/>
  <c r="AW46" i="50"/>
  <c r="AV46" i="50"/>
  <c r="AU46" i="50"/>
  <c r="BI44" i="50"/>
  <c r="BH44" i="50"/>
  <c r="BG44" i="50"/>
  <c r="BF44" i="50"/>
  <c r="BE44" i="50"/>
  <c r="BD44" i="50"/>
  <c r="BC44" i="50"/>
  <c r="BB44" i="50"/>
  <c r="BA44" i="50"/>
  <c r="AZ44" i="50"/>
  <c r="AY44" i="50"/>
  <c r="AX44" i="50"/>
  <c r="AW44" i="50"/>
  <c r="AV44" i="50"/>
  <c r="AU44" i="50"/>
  <c r="AS46" i="50"/>
  <c r="AR46" i="50"/>
  <c r="AQ46" i="50"/>
  <c r="AP46" i="50"/>
  <c r="AO46" i="50"/>
  <c r="AN46" i="50"/>
  <c r="AM46" i="50"/>
  <c r="AL46" i="50"/>
  <c r="AK46" i="50"/>
  <c r="AJ46" i="50"/>
  <c r="AI46" i="50"/>
  <c r="AH46" i="50"/>
  <c r="AG46" i="50"/>
  <c r="AF46" i="50"/>
  <c r="AE46" i="50"/>
  <c r="AD46" i="50"/>
  <c r="AC46" i="50"/>
  <c r="AB46" i="50"/>
  <c r="AA46" i="50"/>
  <c r="Z46" i="50"/>
  <c r="Y46" i="50"/>
  <c r="X46" i="50"/>
  <c r="W46" i="50"/>
  <c r="V46" i="50"/>
  <c r="U46" i="50"/>
  <c r="T46" i="50"/>
  <c r="S46" i="50"/>
  <c r="R46" i="50"/>
  <c r="Q46" i="50"/>
  <c r="P46" i="50"/>
  <c r="O46" i="50"/>
  <c r="N46" i="50"/>
  <c r="M46" i="50"/>
  <c r="L46" i="50"/>
  <c r="K46" i="50"/>
  <c r="J46" i="50"/>
  <c r="I46" i="50"/>
  <c r="H46" i="50"/>
  <c r="G46" i="50"/>
  <c r="F46" i="50"/>
  <c r="AS44" i="50"/>
  <c r="AR44" i="50"/>
  <c r="AQ44" i="50"/>
  <c r="AP44" i="50"/>
  <c r="AO44" i="50"/>
  <c r="AN44" i="50"/>
  <c r="AM44" i="50"/>
  <c r="AL44" i="50"/>
  <c r="AK44" i="50"/>
  <c r="AJ44" i="50"/>
  <c r="AI44" i="50"/>
  <c r="AH44" i="50"/>
  <c r="AG44" i="50"/>
  <c r="AF44" i="50"/>
  <c r="AE44" i="50"/>
  <c r="AD44" i="50"/>
  <c r="AC44" i="50"/>
  <c r="AB44" i="50"/>
  <c r="AA44" i="50"/>
  <c r="Z44" i="50"/>
  <c r="Y44" i="50"/>
  <c r="X44" i="50"/>
  <c r="W44" i="50"/>
  <c r="V44" i="50"/>
  <c r="U44" i="50"/>
  <c r="T44" i="50"/>
  <c r="S44" i="50"/>
  <c r="R44" i="50"/>
  <c r="Q44" i="50"/>
  <c r="P44" i="50"/>
  <c r="O44" i="50"/>
  <c r="N44" i="50"/>
  <c r="M44" i="50"/>
  <c r="L44" i="50"/>
  <c r="K44" i="50"/>
  <c r="J44" i="50"/>
  <c r="I44" i="50"/>
  <c r="H44" i="50"/>
  <c r="G44" i="50"/>
  <c r="F44" i="50"/>
  <c r="E46" i="50"/>
  <c r="E44" i="50"/>
  <c r="B13" i="64" l="1"/>
  <c r="D78" i="65"/>
  <c r="D71" i="65"/>
  <c r="D70" i="65"/>
  <c r="D69" i="65"/>
  <c r="D68" i="65"/>
  <c r="D67" i="65"/>
  <c r="C78" i="65"/>
  <c r="C71" i="65"/>
  <c r="C70" i="65"/>
  <c r="C69" i="65"/>
  <c r="C68" i="65"/>
  <c r="C67" i="65"/>
  <c r="A65" i="65"/>
  <c r="E32" i="3"/>
  <c r="F31" i="25"/>
  <c r="H31" i="3" l="1"/>
  <c r="D35" i="25"/>
  <c r="F35" i="25" s="1"/>
  <c r="D36" i="25"/>
  <c r="F36" i="25" s="1"/>
  <c r="D34" i="25"/>
  <c r="F34" i="25" s="1"/>
  <c r="D31" i="24"/>
  <c r="I31" i="24" s="1"/>
  <c r="O32" i="53" s="1"/>
  <c r="D32" i="24"/>
  <c r="I32" i="24" s="1"/>
  <c r="O33" i="53" s="1"/>
  <c r="D33" i="24"/>
  <c r="I33" i="24" s="1"/>
  <c r="O37" i="53" s="1"/>
  <c r="D31" i="66"/>
  <c r="G31" i="66" s="1"/>
  <c r="D32" i="66"/>
  <c r="G32" i="66" s="1"/>
  <c r="D33" i="66"/>
  <c r="G33" i="66" s="1"/>
  <c r="D31" i="57"/>
  <c r="D32" i="57"/>
  <c r="D33" i="57"/>
  <c r="D31" i="59"/>
  <c r="D32" i="59"/>
  <c r="D33" i="59"/>
  <c r="D31" i="22"/>
  <c r="D32" i="22"/>
  <c r="D33" i="22"/>
  <c r="D31" i="19"/>
  <c r="F31" i="19" s="1"/>
  <c r="D32" i="19"/>
  <c r="F32" i="19" s="1"/>
  <c r="D33" i="19"/>
  <c r="D31" i="16"/>
  <c r="D32" i="16"/>
  <c r="D33" i="16"/>
  <c r="D31" i="13"/>
  <c r="D32" i="13"/>
  <c r="D33" i="13"/>
  <c r="D31" i="4"/>
  <c r="G31" i="4" s="1"/>
  <c r="D32" i="4"/>
  <c r="G32" i="4" s="1"/>
  <c r="D33" i="4"/>
  <c r="G33" i="4" s="1"/>
  <c r="D31" i="3"/>
  <c r="D32" i="3"/>
  <c r="D33" i="3"/>
  <c r="D27" i="3"/>
  <c r="D37" i="53"/>
  <c r="D33" i="53"/>
  <c r="D32" i="53"/>
  <c r="D31" i="53"/>
  <c r="D28" i="53"/>
  <c r="D27" i="53"/>
  <c r="D24" i="53"/>
  <c r="D23" i="53"/>
  <c r="D18" i="53"/>
  <c r="D14" i="53"/>
  <c r="D8" i="53"/>
  <c r="B8" i="64"/>
  <c r="G21" i="56"/>
  <c r="F21" i="56" s="1"/>
  <c r="F22" i="56" s="1"/>
  <c r="G14" i="56"/>
  <c r="G12" i="56"/>
  <c r="F12" i="56" s="1"/>
  <c r="F13" i="56" s="1"/>
  <c r="F29" i="56"/>
  <c r="I31" i="3" l="1"/>
  <c r="H32" i="3"/>
  <c r="I32" i="3" s="1"/>
  <c r="D12" i="53"/>
  <c r="D22" i="53"/>
  <c r="F32" i="3"/>
  <c r="F33" i="16"/>
  <c r="F33" i="57"/>
  <c r="F31" i="3"/>
  <c r="G33" i="13"/>
  <c r="G33" i="59"/>
  <c r="F33" i="22"/>
  <c r="D11" i="53"/>
  <c r="D21" i="53"/>
  <c r="G32" i="56"/>
  <c r="F14" i="56"/>
  <c r="F15" i="56" s="1"/>
  <c r="F10" i="56"/>
  <c r="G33" i="56"/>
  <c r="G24" i="56"/>
  <c r="G34" i="56"/>
  <c r="G31" i="56"/>
  <c r="G28" i="56"/>
  <c r="G27" i="56"/>
  <c r="G23" i="56"/>
  <c r="G18" i="56"/>
  <c r="G9" i="56"/>
  <c r="G8" i="56"/>
  <c r="F25" i="56" l="1"/>
  <c r="D15" i="53"/>
  <c r="D13" i="53"/>
  <c r="E32" i="59"/>
  <c r="G32" i="59" s="1"/>
  <c r="E31" i="59"/>
  <c r="G31" i="59" s="1"/>
  <c r="E30" i="59"/>
  <c r="E27" i="59"/>
  <c r="E26" i="59"/>
  <c r="E23" i="59"/>
  <c r="E22" i="59"/>
  <c r="E20" i="59"/>
  <c r="E17" i="59"/>
  <c r="E15" i="59"/>
  <c r="E11" i="59"/>
  <c r="E8" i="59"/>
  <c r="E7" i="59"/>
  <c r="E32" i="66"/>
  <c r="E31" i="66"/>
  <c r="E30" i="66"/>
  <c r="E27" i="66"/>
  <c r="E26" i="66"/>
  <c r="E23" i="66"/>
  <c r="E22" i="66"/>
  <c r="E20" i="66"/>
  <c r="E17" i="66"/>
  <c r="E15" i="66"/>
  <c r="E11" i="66"/>
  <c r="E8" i="66"/>
  <c r="E7" i="66"/>
  <c r="N6" i="1" l="1"/>
  <c r="E35" i="65" l="1"/>
  <c r="E33" i="65"/>
  <c r="E42" i="65" l="1"/>
  <c r="F42" i="65" s="1"/>
  <c r="E44" i="65"/>
  <c r="F44" i="65" s="1"/>
  <c r="P36" i="67" l="1"/>
  <c r="E13" i="66"/>
  <c r="E21" i="66"/>
  <c r="A8" i="66"/>
  <c r="A9" i="66" s="1"/>
  <c r="A10" i="66" s="1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M36" i="67"/>
  <c r="E21" i="59"/>
  <c r="E16" i="59"/>
  <c r="E13" i="59"/>
  <c r="E14" i="59" s="1"/>
  <c r="E12" i="59"/>
  <c r="N32" i="53" l="1"/>
  <c r="N27" i="1" s="1"/>
  <c r="N33" i="53"/>
  <c r="N28" i="1" s="1"/>
  <c r="E12" i="66"/>
  <c r="E16" i="66"/>
  <c r="E14" i="66" l="1"/>
  <c r="H33" i="58" l="1"/>
  <c r="H31" i="58"/>
  <c r="H28" i="58"/>
  <c r="H27" i="58"/>
  <c r="H24" i="58"/>
  <c r="H21" i="58"/>
  <c r="H20" i="58"/>
  <c r="H19" i="58"/>
  <c r="H22" i="58" s="1"/>
  <c r="H15" i="58"/>
  <c r="H14" i="58"/>
  <c r="H13" i="58"/>
  <c r="H12" i="58"/>
  <c r="H8" i="58"/>
  <c r="H29" i="58"/>
  <c r="H16" i="58"/>
  <c r="H9" i="58"/>
  <c r="H35" i="58" l="1"/>
  <c r="T7" i="53"/>
  <c r="V7" i="53" s="1"/>
  <c r="BM50" i="50" l="1"/>
  <c r="BM51" i="50"/>
  <c r="BM48" i="50"/>
  <c r="BN52" i="50"/>
  <c r="BM49" i="50" s="1"/>
  <c r="BM52" i="50" l="1"/>
  <c r="A24" i="25" l="1"/>
  <c r="A25" i="25"/>
  <c r="A26" i="25"/>
  <c r="A27" i="25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E32" i="57"/>
  <c r="F32" i="57" s="1"/>
  <c r="A26" i="19"/>
  <c r="A27" i="19" s="1"/>
  <c r="A26" i="4" l="1"/>
  <c r="A27" i="4" s="1"/>
  <c r="A28" i="4" s="1"/>
  <c r="A29" i="4" s="1"/>
  <c r="A30" i="4" s="1"/>
  <c r="A27" i="56"/>
  <c r="A28" i="56"/>
  <c r="A29" i="56"/>
  <c r="A30" i="56"/>
  <c r="A26" i="3"/>
  <c r="A27" i="3"/>
  <c r="A28" i="3"/>
  <c r="A29" i="3"/>
  <c r="A30" i="3" s="1"/>
  <c r="A31" i="3" s="1"/>
  <c r="A32" i="3" s="1"/>
  <c r="A33" i="3" s="1"/>
  <c r="A34" i="3" s="1"/>
  <c r="A35" i="3" s="1"/>
  <c r="F25" i="65" l="1"/>
  <c r="D72" i="65" l="1"/>
  <c r="D73" i="65"/>
  <c r="D74" i="65"/>
  <c r="D75" i="65"/>
  <c r="D76" i="65"/>
  <c r="D77" i="65"/>
  <c r="C77" i="65"/>
  <c r="C76" i="65"/>
  <c r="C75" i="65"/>
  <c r="D44" i="50" l="1"/>
  <c r="D46" i="50"/>
  <c r="C46" i="50"/>
  <c r="AX27" i="50"/>
  <c r="C44" i="50"/>
  <c r="A46" i="50"/>
  <c r="E77" i="65" l="1"/>
  <c r="B17" i="65" s="1"/>
  <c r="C74" i="65"/>
  <c r="C73" i="65"/>
  <c r="C72" i="65"/>
  <c r="E48" i="65"/>
  <c r="F39" i="65"/>
  <c r="F30" i="65"/>
  <c r="E28" i="65"/>
  <c r="F27" i="65"/>
  <c r="C23" i="65"/>
  <c r="C22" i="65"/>
  <c r="C18" i="65"/>
  <c r="C17" i="65"/>
  <c r="C16" i="65"/>
  <c r="C15" i="65"/>
  <c r="C14" i="65"/>
  <c r="C13" i="65"/>
  <c r="C12" i="65"/>
  <c r="C11" i="65"/>
  <c r="C10" i="65"/>
  <c r="C9" i="65"/>
  <c r="C8" i="65"/>
  <c r="C7" i="65"/>
  <c r="E78" i="65" l="1"/>
  <c r="B18" i="65" s="1"/>
  <c r="H8" i="65"/>
  <c r="H10" i="65"/>
  <c r="H11" i="65"/>
  <c r="H13" i="65"/>
  <c r="H15" i="65"/>
  <c r="H18" i="65"/>
  <c r="H23" i="65"/>
  <c r="H7" i="65"/>
  <c r="H9" i="65"/>
  <c r="H12" i="65"/>
  <c r="H14" i="65"/>
  <c r="H16" i="65"/>
  <c r="H17" i="65"/>
  <c r="H22" i="65"/>
  <c r="F28" i="65"/>
  <c r="E72" i="65"/>
  <c r="B12" i="65" s="1"/>
  <c r="E74" i="65"/>
  <c r="B14" i="65" s="1"/>
  <c r="E71" i="65"/>
  <c r="B11" i="65" s="1"/>
  <c r="C20" i="65"/>
  <c r="E70" i="65"/>
  <c r="B10" i="65" s="1"/>
  <c r="E68" i="65"/>
  <c r="B8" i="65" s="1"/>
  <c r="F48" i="65"/>
  <c r="E69" i="65"/>
  <c r="B9" i="65" s="1"/>
  <c r="E73" i="65"/>
  <c r="B13" i="65" s="1"/>
  <c r="D79" i="65"/>
  <c r="E75" i="65"/>
  <c r="B15" i="65" s="1"/>
  <c r="E76" i="65"/>
  <c r="B16" i="65" s="1"/>
  <c r="C79" i="65"/>
  <c r="E67" i="65"/>
  <c r="AW27" i="50"/>
  <c r="AX42" i="50"/>
  <c r="AX40" i="50"/>
  <c r="AX39" i="50"/>
  <c r="AX38" i="50"/>
  <c r="AX37" i="50"/>
  <c r="AX36" i="50"/>
  <c r="AX32" i="50"/>
  <c r="AX31" i="50"/>
  <c r="AX30" i="50"/>
  <c r="AX29" i="50"/>
  <c r="AX28" i="50"/>
  <c r="AX41" i="50"/>
  <c r="AX35" i="50"/>
  <c r="AX34" i="50"/>
  <c r="AX33" i="50"/>
  <c r="AX15" i="50"/>
  <c r="AX12" i="50"/>
  <c r="AX10" i="50"/>
  <c r="AX9" i="50"/>
  <c r="AX8" i="50"/>
  <c r="AX26" i="50"/>
  <c r="AX24" i="50"/>
  <c r="AX23" i="50"/>
  <c r="AX22" i="50"/>
  <c r="AX21" i="50"/>
  <c r="AX20" i="50"/>
  <c r="AX19" i="50"/>
  <c r="AX18" i="50"/>
  <c r="H20" i="65" l="1"/>
  <c r="E81" i="65"/>
  <c r="E79" i="65"/>
  <c r="B7" i="65"/>
  <c r="P17" i="61"/>
  <c r="Z17" i="61"/>
  <c r="B20" i="65" l="1"/>
  <c r="B22" i="65"/>
  <c r="Y7" i="53" l="1"/>
  <c r="Z22" i="61" l="1"/>
  <c r="E26" i="57"/>
  <c r="E23" i="57"/>
  <c r="E22" i="57"/>
  <c r="E20" i="57"/>
  <c r="E17" i="57"/>
  <c r="E15" i="57"/>
  <c r="E11" i="57"/>
  <c r="E8" i="57"/>
  <c r="E7" i="57"/>
  <c r="E34" i="65" s="1"/>
  <c r="E43" i="65" s="1"/>
  <c r="F43" i="65" s="1"/>
  <c r="E26" i="22"/>
  <c r="E23" i="22"/>
  <c r="E22" i="22"/>
  <c r="E20" i="22"/>
  <c r="E17" i="22"/>
  <c r="E15" i="22"/>
  <c r="E11" i="22"/>
  <c r="E8" i="22"/>
  <c r="E7" i="22"/>
  <c r="E32" i="65" s="1"/>
  <c r="E26" i="19"/>
  <c r="E23" i="19"/>
  <c r="E22" i="19"/>
  <c r="E20" i="19"/>
  <c r="E17" i="19"/>
  <c r="E15" i="19"/>
  <c r="E11" i="19"/>
  <c r="E8" i="19"/>
  <c r="E7" i="19"/>
  <c r="E55" i="65" s="1"/>
  <c r="F26" i="13"/>
  <c r="F23" i="13"/>
  <c r="F22" i="13"/>
  <c r="F20" i="13"/>
  <c r="F17" i="13"/>
  <c r="F15" i="13"/>
  <c r="F11" i="13"/>
  <c r="F8" i="13"/>
  <c r="F7" i="13"/>
  <c r="E54" i="65" s="1"/>
  <c r="F26" i="4"/>
  <c r="F23" i="4"/>
  <c r="F22" i="4"/>
  <c r="F20" i="4"/>
  <c r="F17" i="4"/>
  <c r="F15" i="4"/>
  <c r="F11" i="4"/>
  <c r="F8" i="4"/>
  <c r="F7" i="4"/>
  <c r="E53" i="65" s="1"/>
  <c r="G6" i="1"/>
  <c r="F30" i="4"/>
  <c r="F27" i="4"/>
  <c r="G32" i="13"/>
  <c r="F31" i="13"/>
  <c r="G31" i="13" s="1"/>
  <c r="F30" i="13"/>
  <c r="F27" i="13"/>
  <c r="E33" i="19"/>
  <c r="F33" i="19" s="1"/>
  <c r="E30" i="19"/>
  <c r="E27" i="19"/>
  <c r="E32" i="22"/>
  <c r="F32" i="22" s="1"/>
  <c r="E31" i="22"/>
  <c r="F31" i="22" s="1"/>
  <c r="E30" i="22"/>
  <c r="E27" i="22"/>
  <c r="E31" i="57"/>
  <c r="F31" i="57" s="1"/>
  <c r="E30" i="57"/>
  <c r="E27" i="57"/>
  <c r="E41" i="65" l="1"/>
  <c r="F41" i="65" s="1"/>
  <c r="F55" i="65"/>
  <c r="F34" i="65"/>
  <c r="F35" i="65"/>
  <c r="F32" i="65"/>
  <c r="F54" i="65"/>
  <c r="F53" i="65"/>
  <c r="H39" i="55" l="1"/>
  <c r="J39" i="55" s="1"/>
  <c r="J43" i="55"/>
  <c r="J42" i="55"/>
  <c r="J41" i="55"/>
  <c r="J40" i="55"/>
  <c r="J38" i="55"/>
  <c r="J37" i="55"/>
  <c r="J36" i="55"/>
  <c r="J34" i="55"/>
  <c r="H43" i="55"/>
  <c r="H42" i="55"/>
  <c r="H41" i="55"/>
  <c r="H40" i="55"/>
  <c r="H38" i="55"/>
  <c r="H37" i="55"/>
  <c r="H36" i="55"/>
  <c r="H35" i="55"/>
  <c r="J35" i="55" s="1"/>
  <c r="H34" i="55"/>
  <c r="H33" i="55"/>
  <c r="J33" i="55" s="1"/>
  <c r="H31" i="55"/>
  <c r="H30" i="55"/>
  <c r="H29" i="55"/>
  <c r="H28" i="55"/>
  <c r="H27" i="55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32" i="55"/>
  <c r="J32" i="55" s="1"/>
  <c r="AU31" i="50" l="1"/>
  <c r="AV31" i="50"/>
  <c r="AW31" i="50"/>
  <c r="AY31" i="50"/>
  <c r="BK31" i="50" s="1"/>
  <c r="BL31" i="50" s="1"/>
  <c r="AZ31" i="50"/>
  <c r="BA31" i="50"/>
  <c r="BB31" i="50"/>
  <c r="BC31" i="50"/>
  <c r="BD31" i="50"/>
  <c r="BE31" i="50"/>
  <c r="BF31" i="50"/>
  <c r="BG31" i="50"/>
  <c r="BH31" i="50"/>
  <c r="BI31" i="50"/>
  <c r="BJ31" i="50"/>
  <c r="AU32" i="50"/>
  <c r="AV32" i="50"/>
  <c r="AW32" i="50"/>
  <c r="AY32" i="50"/>
  <c r="AZ32" i="50"/>
  <c r="BA32" i="50"/>
  <c r="BB32" i="50"/>
  <c r="BC32" i="50"/>
  <c r="BD32" i="50"/>
  <c r="BE32" i="50"/>
  <c r="BF32" i="50"/>
  <c r="BG32" i="50"/>
  <c r="BH32" i="50"/>
  <c r="BI32" i="50"/>
  <c r="BJ32" i="50"/>
  <c r="AU33" i="50"/>
  <c r="AV33" i="50"/>
  <c r="AW33" i="50"/>
  <c r="AY33" i="50"/>
  <c r="AZ33" i="50"/>
  <c r="BA33" i="50"/>
  <c r="BB33" i="50"/>
  <c r="BC33" i="50"/>
  <c r="BD33" i="50"/>
  <c r="BE33" i="50"/>
  <c r="BF33" i="50"/>
  <c r="BG33" i="50"/>
  <c r="BH33" i="50"/>
  <c r="BI33" i="50"/>
  <c r="BJ33" i="50"/>
  <c r="AU34" i="50"/>
  <c r="AV34" i="50"/>
  <c r="AW34" i="50"/>
  <c r="AY34" i="50"/>
  <c r="AZ34" i="50"/>
  <c r="BA34" i="50"/>
  <c r="BB34" i="50"/>
  <c r="BC34" i="50"/>
  <c r="BD34" i="50"/>
  <c r="BE34" i="50"/>
  <c r="BF34" i="50"/>
  <c r="BG34" i="50"/>
  <c r="BH34" i="50"/>
  <c r="BI34" i="50"/>
  <c r="BJ34" i="50"/>
  <c r="AU35" i="50"/>
  <c r="AV35" i="50"/>
  <c r="AW35" i="50"/>
  <c r="AY35" i="50"/>
  <c r="AZ35" i="50"/>
  <c r="BA35" i="50"/>
  <c r="BB35" i="50"/>
  <c r="BC35" i="50"/>
  <c r="BD35" i="50"/>
  <c r="BE35" i="50"/>
  <c r="BF35" i="50"/>
  <c r="BG35" i="50"/>
  <c r="BH35" i="50"/>
  <c r="BI35" i="50"/>
  <c r="BJ35" i="50"/>
  <c r="AU36" i="50"/>
  <c r="AV36" i="50"/>
  <c r="AW36" i="50"/>
  <c r="BK36" i="50" s="1"/>
  <c r="BL36" i="50" s="1"/>
  <c r="AY36" i="50"/>
  <c r="AZ36" i="50"/>
  <c r="BA36" i="50"/>
  <c r="BB36" i="50"/>
  <c r="BC36" i="50"/>
  <c r="BD36" i="50"/>
  <c r="BE36" i="50"/>
  <c r="BF36" i="50"/>
  <c r="BG36" i="50"/>
  <c r="BH36" i="50"/>
  <c r="BI36" i="50"/>
  <c r="BJ36" i="50"/>
  <c r="AU37" i="50"/>
  <c r="AV37" i="50"/>
  <c r="BK37" i="50" s="1"/>
  <c r="BL37" i="50" s="1"/>
  <c r="AW37" i="50"/>
  <c r="AY37" i="50"/>
  <c r="AZ37" i="50"/>
  <c r="BA37" i="50"/>
  <c r="BB37" i="50"/>
  <c r="BC37" i="50"/>
  <c r="BD37" i="50"/>
  <c r="BE37" i="50"/>
  <c r="BF37" i="50"/>
  <c r="BG37" i="50"/>
  <c r="BH37" i="50"/>
  <c r="BI37" i="50"/>
  <c r="BJ37" i="50"/>
  <c r="AU38" i="50"/>
  <c r="BK38" i="50" s="1"/>
  <c r="BL38" i="50" s="1"/>
  <c r="AV38" i="50"/>
  <c r="AW38" i="50"/>
  <c r="AY38" i="50"/>
  <c r="AZ38" i="50"/>
  <c r="BA38" i="50"/>
  <c r="BB38" i="50"/>
  <c r="BC38" i="50"/>
  <c r="BD38" i="50"/>
  <c r="BE38" i="50"/>
  <c r="BF38" i="50"/>
  <c r="BG38" i="50"/>
  <c r="BH38" i="50"/>
  <c r="BI38" i="50"/>
  <c r="BJ38" i="50"/>
  <c r="AU39" i="50"/>
  <c r="AV39" i="50"/>
  <c r="AW39" i="50"/>
  <c r="AY39" i="50"/>
  <c r="BK39" i="50" s="1"/>
  <c r="BL39" i="50" s="1"/>
  <c r="AZ39" i="50"/>
  <c r="BA39" i="50"/>
  <c r="BB39" i="50"/>
  <c r="BC39" i="50"/>
  <c r="BD39" i="50"/>
  <c r="BE39" i="50"/>
  <c r="BF39" i="50"/>
  <c r="BG39" i="50"/>
  <c r="BH39" i="50"/>
  <c r="BI39" i="50"/>
  <c r="BJ39" i="50"/>
  <c r="AU40" i="50"/>
  <c r="AV40" i="50"/>
  <c r="AW40" i="50"/>
  <c r="BK40" i="50" s="1"/>
  <c r="BL40" i="50" s="1"/>
  <c r="AY40" i="50"/>
  <c r="AZ40" i="50"/>
  <c r="BA40" i="50"/>
  <c r="BB40" i="50"/>
  <c r="BC40" i="50"/>
  <c r="BD40" i="50"/>
  <c r="BE40" i="50"/>
  <c r="BF40" i="50"/>
  <c r="BG40" i="50"/>
  <c r="BH40" i="50"/>
  <c r="BI40" i="50"/>
  <c r="BJ40" i="50"/>
  <c r="AU41" i="50"/>
  <c r="BK41" i="50" s="1"/>
  <c r="BL41" i="50" s="1"/>
  <c r="AV41" i="50"/>
  <c r="AW41" i="50"/>
  <c r="AY41" i="50"/>
  <c r="AZ41" i="50"/>
  <c r="BA41" i="50"/>
  <c r="BB41" i="50"/>
  <c r="BC41" i="50"/>
  <c r="BD41" i="50"/>
  <c r="BE41" i="50"/>
  <c r="BF41" i="50"/>
  <c r="BG41" i="50"/>
  <c r="BH41" i="50"/>
  <c r="BI41" i="50"/>
  <c r="BJ41" i="50"/>
  <c r="AU42" i="50"/>
  <c r="AV42" i="50"/>
  <c r="AW42" i="50"/>
  <c r="AY42" i="50"/>
  <c r="AZ42" i="50"/>
  <c r="BA42" i="50"/>
  <c r="BB42" i="50"/>
  <c r="BC42" i="50"/>
  <c r="BK42" i="50" s="1"/>
  <c r="BL42" i="50" s="1"/>
  <c r="BD42" i="50"/>
  <c r="BE42" i="50"/>
  <c r="BF42" i="50"/>
  <c r="BG42" i="50"/>
  <c r="BH42" i="50"/>
  <c r="BI42" i="50"/>
  <c r="BJ42" i="50"/>
  <c r="AU30" i="50"/>
  <c r="D11" i="66"/>
  <c r="G11" i="66" s="1"/>
  <c r="AU7" i="50"/>
  <c r="AU8" i="50"/>
  <c r="BK35" i="50" l="1"/>
  <c r="BL35" i="50" s="1"/>
  <c r="BK33" i="50"/>
  <c r="BL33" i="50" s="1"/>
  <c r="BK32" i="50"/>
  <c r="BL32" i="50" s="1"/>
  <c r="BK34" i="50"/>
  <c r="BL34" i="50" s="1"/>
  <c r="N11" i="53" l="1"/>
  <c r="A3" i="65" l="1"/>
  <c r="A3" i="53"/>
  <c r="Y6" i="1"/>
  <c r="D7" i="53" l="1"/>
  <c r="BJ30" i="50" l="1"/>
  <c r="BI30" i="50"/>
  <c r="BH30" i="50"/>
  <c r="BG30" i="50"/>
  <c r="BF30" i="50"/>
  <c r="BE30" i="50"/>
  <c r="BD30" i="50"/>
  <c r="BC30" i="50"/>
  <c r="BB30" i="50"/>
  <c r="BA30" i="50"/>
  <c r="AZ30" i="50"/>
  <c r="AY30" i="50"/>
  <c r="AW30" i="50"/>
  <c r="AV30" i="50"/>
  <c r="BJ29" i="50"/>
  <c r="BI29" i="50"/>
  <c r="BH29" i="50"/>
  <c r="BG29" i="50"/>
  <c r="BF29" i="50"/>
  <c r="BE29" i="50"/>
  <c r="BD29" i="50"/>
  <c r="BC29" i="50"/>
  <c r="BB29" i="50"/>
  <c r="BA29" i="50"/>
  <c r="AZ29" i="50"/>
  <c r="AY29" i="50"/>
  <c r="AW29" i="50"/>
  <c r="AV29" i="50"/>
  <c r="AU29" i="50"/>
  <c r="BJ28" i="50"/>
  <c r="BI28" i="50"/>
  <c r="BH28" i="50"/>
  <c r="BG28" i="50"/>
  <c r="BF28" i="50"/>
  <c r="BE28" i="50"/>
  <c r="BD28" i="50"/>
  <c r="BC28" i="50"/>
  <c r="BB28" i="50"/>
  <c r="BA28" i="50"/>
  <c r="AZ28" i="50"/>
  <c r="AY28" i="50"/>
  <c r="AW28" i="50"/>
  <c r="AV28" i="50"/>
  <c r="AU28" i="50"/>
  <c r="BJ27" i="50"/>
  <c r="BI27" i="50"/>
  <c r="BH27" i="50"/>
  <c r="BG27" i="50"/>
  <c r="BF27" i="50"/>
  <c r="BE27" i="50"/>
  <c r="BD27" i="50"/>
  <c r="BC27" i="50"/>
  <c r="BB27" i="50"/>
  <c r="BA27" i="50"/>
  <c r="AZ27" i="50"/>
  <c r="AY27" i="50"/>
  <c r="AV27" i="50"/>
  <c r="AU27" i="50"/>
  <c r="BJ26" i="50"/>
  <c r="BI26" i="50"/>
  <c r="BH26" i="50"/>
  <c r="BG26" i="50"/>
  <c r="BF26" i="50"/>
  <c r="BE26" i="50"/>
  <c r="BD26" i="50"/>
  <c r="BC26" i="50"/>
  <c r="BB26" i="50"/>
  <c r="BA26" i="50"/>
  <c r="AZ26" i="50"/>
  <c r="AY26" i="50"/>
  <c r="AW26" i="50"/>
  <c r="AV26" i="50"/>
  <c r="AU26" i="50"/>
  <c r="BJ25" i="50"/>
  <c r="BI25" i="50"/>
  <c r="BH25" i="50"/>
  <c r="BG25" i="50"/>
  <c r="BF25" i="50"/>
  <c r="BE25" i="50"/>
  <c r="BD25" i="50"/>
  <c r="BC25" i="50"/>
  <c r="BB25" i="50"/>
  <c r="BA25" i="50"/>
  <c r="AZ25" i="50"/>
  <c r="AY25" i="50"/>
  <c r="AX25" i="50"/>
  <c r="AW25" i="50"/>
  <c r="AV25" i="50"/>
  <c r="AU25" i="50"/>
  <c r="BJ24" i="50"/>
  <c r="BI24" i="50"/>
  <c r="BH24" i="50"/>
  <c r="BG24" i="50"/>
  <c r="BF24" i="50"/>
  <c r="BE24" i="50"/>
  <c r="BD24" i="50"/>
  <c r="BC24" i="50"/>
  <c r="BB24" i="50"/>
  <c r="BA24" i="50"/>
  <c r="AZ24" i="50"/>
  <c r="AY24" i="50"/>
  <c r="AW24" i="50"/>
  <c r="AV24" i="50"/>
  <c r="AU24" i="50"/>
  <c r="BJ23" i="50"/>
  <c r="BI23" i="50"/>
  <c r="BH23" i="50"/>
  <c r="BG23" i="50"/>
  <c r="BF23" i="50"/>
  <c r="BE23" i="50"/>
  <c r="BD23" i="50"/>
  <c r="BC23" i="50"/>
  <c r="BB23" i="50"/>
  <c r="BA23" i="50"/>
  <c r="AZ23" i="50"/>
  <c r="AY23" i="50"/>
  <c r="AW23" i="50"/>
  <c r="AV23" i="50"/>
  <c r="AU23" i="50"/>
  <c r="BJ22" i="50"/>
  <c r="BI22" i="50"/>
  <c r="BH22" i="50"/>
  <c r="BG22" i="50"/>
  <c r="BF22" i="50"/>
  <c r="BE22" i="50"/>
  <c r="BD22" i="50"/>
  <c r="BC22" i="50"/>
  <c r="BB22" i="50"/>
  <c r="BA22" i="50"/>
  <c r="AZ22" i="50"/>
  <c r="AY22" i="50"/>
  <c r="AW22" i="50"/>
  <c r="AV22" i="50"/>
  <c r="AU22" i="50"/>
  <c r="BJ21" i="50"/>
  <c r="BI21" i="50"/>
  <c r="BH21" i="50"/>
  <c r="BG21" i="50"/>
  <c r="BF21" i="50"/>
  <c r="BE21" i="50"/>
  <c r="BD21" i="50"/>
  <c r="BC21" i="50"/>
  <c r="BB21" i="50"/>
  <c r="BA21" i="50"/>
  <c r="AZ21" i="50"/>
  <c r="AY21" i="50"/>
  <c r="AW21" i="50"/>
  <c r="AV21" i="50"/>
  <c r="AU21" i="50"/>
  <c r="BJ20" i="50"/>
  <c r="BI20" i="50"/>
  <c r="BH20" i="50"/>
  <c r="BG20" i="50"/>
  <c r="BF20" i="50"/>
  <c r="BE20" i="50"/>
  <c r="BD20" i="50"/>
  <c r="BC20" i="50"/>
  <c r="BB20" i="50"/>
  <c r="BA20" i="50"/>
  <c r="AZ20" i="50"/>
  <c r="AY20" i="50"/>
  <c r="AW20" i="50"/>
  <c r="AV20" i="50"/>
  <c r="AU20" i="50"/>
  <c r="BJ19" i="50"/>
  <c r="BI19" i="50"/>
  <c r="BH19" i="50"/>
  <c r="BG19" i="50"/>
  <c r="BF19" i="50"/>
  <c r="BE19" i="50"/>
  <c r="BD19" i="50"/>
  <c r="BC19" i="50"/>
  <c r="BB19" i="50"/>
  <c r="BA19" i="50"/>
  <c r="AZ19" i="50"/>
  <c r="AY19" i="50"/>
  <c r="AW19" i="50"/>
  <c r="AV19" i="50"/>
  <c r="AU19" i="50"/>
  <c r="BK24" i="50" l="1"/>
  <c r="BL24" i="50" s="1"/>
  <c r="BK22" i="50"/>
  <c r="BL22" i="50" s="1"/>
  <c r="BK30" i="50"/>
  <c r="BL30" i="50" s="1"/>
  <c r="BK29" i="50"/>
  <c r="BL29" i="50" s="1"/>
  <c r="BK20" i="50"/>
  <c r="BL20" i="50" s="1"/>
  <c r="BK27" i="50"/>
  <c r="BL27" i="50" s="1"/>
  <c r="BK23" i="50"/>
  <c r="BL23" i="50" s="1"/>
  <c r="BK25" i="50"/>
  <c r="BK28" i="50"/>
  <c r="BL28" i="50" s="1"/>
  <c r="BK26" i="50"/>
  <c r="BL26" i="50" s="1"/>
  <c r="BK21" i="50"/>
  <c r="BL21" i="50" s="1"/>
  <c r="BK19" i="50"/>
  <c r="BL19" i="50" s="1"/>
  <c r="F33" i="65"/>
  <c r="AA42" i="61"/>
  <c r="Z42" i="61"/>
  <c r="AA40" i="61"/>
  <c r="Z40" i="61"/>
  <c r="AA37" i="61"/>
  <c r="Z37" i="61"/>
  <c r="AA36" i="61"/>
  <c r="Z36" i="61"/>
  <c r="AA33" i="61"/>
  <c r="Z33" i="61"/>
  <c r="AA30" i="61"/>
  <c r="Z30" i="61"/>
  <c r="AA29" i="61"/>
  <c r="Z29" i="61"/>
  <c r="AA28" i="61"/>
  <c r="Z28" i="61"/>
  <c r="AA24" i="61"/>
  <c r="Z24" i="61"/>
  <c r="AA23" i="61"/>
  <c r="Z23" i="61"/>
  <c r="AA22" i="61"/>
  <c r="AA21" i="61"/>
  <c r="Z21" i="61"/>
  <c r="AA17" i="61"/>
  <c r="BL25" i="50" l="1"/>
  <c r="A3" i="1" l="1"/>
  <c r="A3" i="69" s="1"/>
  <c r="R7" i="53" l="1"/>
  <c r="T6" i="1" l="1"/>
  <c r="J31" i="55"/>
  <c r="J30" i="55"/>
  <c r="J29" i="55"/>
  <c r="J28" i="55"/>
  <c r="J27" i="55"/>
  <c r="J26" i="55"/>
  <c r="J25" i="55"/>
  <c r="J24" i="55"/>
  <c r="J23" i="55"/>
  <c r="J22" i="55"/>
  <c r="J21" i="55"/>
  <c r="J20" i="55"/>
  <c r="A2" i="1" l="1"/>
  <c r="A1" i="1"/>
  <c r="H37" i="53"/>
  <c r="R6" i="1"/>
  <c r="Q6" i="1"/>
  <c r="P6" i="1"/>
  <c r="O6" i="1"/>
  <c r="M6" i="1"/>
  <c r="L6" i="1"/>
  <c r="K6" i="1"/>
  <c r="I6" i="1"/>
  <c r="H6" i="1"/>
  <c r="F6" i="1"/>
  <c r="E6" i="1"/>
  <c r="D6" i="1"/>
  <c r="C6" i="1"/>
  <c r="G6" i="56" l="1"/>
  <c r="D6" i="66"/>
  <c r="F6" i="56"/>
  <c r="E6" i="56"/>
  <c r="H32" i="1"/>
  <c r="D6" i="16" l="1"/>
  <c r="D6" i="25" l="1"/>
  <c r="A26" i="62" l="1"/>
  <c r="A25" i="62"/>
  <c r="B26" i="62" s="1"/>
  <c r="A24" i="62"/>
  <c r="B25" i="62" s="1"/>
  <c r="A23" i="62"/>
  <c r="A22" i="62"/>
  <c r="A21" i="62"/>
  <c r="A20" i="62"/>
  <c r="A19" i="62"/>
  <c r="B18" i="62"/>
  <c r="A18" i="62"/>
  <c r="A17" i="62"/>
  <c r="B16" i="62"/>
  <c r="A16" i="62"/>
  <c r="A15" i="62"/>
  <c r="A14" i="62"/>
  <c r="A13" i="62"/>
  <c r="A12" i="62"/>
  <c r="A11" i="62"/>
  <c r="A10" i="62"/>
  <c r="B13" i="62" s="1"/>
  <c r="A9" i="62"/>
  <c r="A8" i="62"/>
  <c r="E31" i="25" l="1"/>
  <c r="AA6" i="1" l="1"/>
  <c r="Z6" i="1"/>
  <c r="E20" i="25" l="1"/>
  <c r="E11" i="25"/>
  <c r="E17" i="25"/>
  <c r="E8" i="25"/>
  <c r="E7" i="25"/>
  <c r="E22" i="25"/>
  <c r="E15" i="25"/>
  <c r="E13" i="25"/>
  <c r="BJ18" i="50" l="1"/>
  <c r="BJ17" i="50"/>
  <c r="BJ16" i="50"/>
  <c r="BJ15" i="50"/>
  <c r="BJ14" i="50"/>
  <c r="BJ13" i="50"/>
  <c r="BJ12" i="50"/>
  <c r="BJ11" i="50"/>
  <c r="BJ10" i="50"/>
  <c r="BJ9" i="50"/>
  <c r="BJ8" i="50"/>
  <c r="BJ7" i="50"/>
  <c r="J19" i="55" l="1"/>
  <c r="J18" i="55"/>
  <c r="J17" i="55"/>
  <c r="J16" i="55"/>
  <c r="J15" i="55"/>
  <c r="J14" i="55"/>
  <c r="J13" i="55"/>
  <c r="J12" i="55"/>
  <c r="J11" i="55"/>
  <c r="J10" i="55"/>
  <c r="J9" i="55"/>
  <c r="J8" i="55"/>
  <c r="C33" i="53"/>
  <c r="BI18" i="50"/>
  <c r="BF18" i="50"/>
  <c r="BE18" i="50"/>
  <c r="BC18" i="50"/>
  <c r="BB18" i="50"/>
  <c r="AZ18" i="50"/>
  <c r="AV18" i="50"/>
  <c r="AU18" i="50"/>
  <c r="BH18" i="50"/>
  <c r="BF17" i="50"/>
  <c r="BE17" i="50"/>
  <c r="BC17" i="50"/>
  <c r="BB17" i="50"/>
  <c r="AZ17" i="50"/>
  <c r="AV17" i="50"/>
  <c r="AU17" i="50"/>
  <c r="BH17" i="50"/>
  <c r="BI16" i="50"/>
  <c r="BF16" i="50"/>
  <c r="BE16" i="50"/>
  <c r="BC16" i="50"/>
  <c r="BB16" i="50"/>
  <c r="AZ16" i="50"/>
  <c r="AV16" i="50"/>
  <c r="AU16" i="50"/>
  <c r="BH16" i="50"/>
  <c r="BF15" i="50"/>
  <c r="BE15" i="50"/>
  <c r="BC15" i="50"/>
  <c r="BB15" i="50"/>
  <c r="AZ15" i="50"/>
  <c r="AV15" i="50"/>
  <c r="AU15" i="50"/>
  <c r="BH15" i="50"/>
  <c r="BI14" i="50"/>
  <c r="BF14" i="50"/>
  <c r="BE14" i="50"/>
  <c r="BC14" i="50"/>
  <c r="BB14" i="50"/>
  <c r="AZ14" i="50"/>
  <c r="AV14" i="50"/>
  <c r="AU14" i="50"/>
  <c r="BH14" i="50"/>
  <c r="BF13" i="50"/>
  <c r="BE13" i="50"/>
  <c r="BC13" i="50"/>
  <c r="BB13" i="50"/>
  <c r="AZ13" i="50"/>
  <c r="AV13" i="50"/>
  <c r="AU13" i="50"/>
  <c r="BH13" i="50"/>
  <c r="BI12" i="50"/>
  <c r="BF12" i="50"/>
  <c r="BE12" i="50"/>
  <c r="BC12" i="50"/>
  <c r="BB12" i="50"/>
  <c r="AZ12" i="50"/>
  <c r="AV12" i="50"/>
  <c r="AU12" i="50"/>
  <c r="BH12" i="50"/>
  <c r="BF11" i="50"/>
  <c r="BE11" i="50"/>
  <c r="BC11" i="50"/>
  <c r="BB11" i="50"/>
  <c r="AZ11" i="50"/>
  <c r="AV11" i="50"/>
  <c r="AU11" i="50"/>
  <c r="BH11" i="50"/>
  <c r="BI10" i="50"/>
  <c r="BF10" i="50"/>
  <c r="BE10" i="50"/>
  <c r="BC10" i="50"/>
  <c r="BB10" i="50"/>
  <c r="AZ10" i="50"/>
  <c r="AV10" i="50"/>
  <c r="AU10" i="50"/>
  <c r="BH10" i="50"/>
  <c r="BF9" i="50"/>
  <c r="BE9" i="50"/>
  <c r="BC9" i="50"/>
  <c r="BB9" i="50"/>
  <c r="AZ9" i="50"/>
  <c r="AV9" i="50"/>
  <c r="AU9" i="50"/>
  <c r="BH9" i="50"/>
  <c r="BI8" i="50"/>
  <c r="BF8" i="50"/>
  <c r="BE8" i="50"/>
  <c r="BC8" i="50"/>
  <c r="BB8" i="50"/>
  <c r="AZ8" i="50"/>
  <c r="AV8" i="50"/>
  <c r="BH8" i="50"/>
  <c r="BC7" i="50"/>
  <c r="BD7" i="50"/>
  <c r="BB7" i="50"/>
  <c r="AZ7" i="50"/>
  <c r="AV7" i="50"/>
  <c r="BH7" i="50"/>
  <c r="A8" i="50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V33" i="53" l="1"/>
  <c r="V28" i="1" s="1"/>
  <c r="L33" i="53"/>
  <c r="C28" i="1"/>
  <c r="BE7" i="50"/>
  <c r="BI7" i="50"/>
  <c r="BG8" i="50"/>
  <c r="BA8" i="50"/>
  <c r="BD8" i="50"/>
  <c r="BG10" i="50"/>
  <c r="BA10" i="50"/>
  <c r="BD10" i="50"/>
  <c r="BG12" i="50"/>
  <c r="BA12" i="50"/>
  <c r="BD12" i="50"/>
  <c r="BG14" i="50"/>
  <c r="BA14" i="50"/>
  <c r="BD14" i="50"/>
  <c r="BG16" i="50"/>
  <c r="BA16" i="50"/>
  <c r="BD16" i="50"/>
  <c r="BG18" i="50"/>
  <c r="BA18" i="50"/>
  <c r="BD18" i="50"/>
  <c r="BG7" i="50"/>
  <c r="BA7" i="50"/>
  <c r="BI9" i="50"/>
  <c r="BI11" i="50"/>
  <c r="BI13" i="50"/>
  <c r="BI15" i="50"/>
  <c r="BI17" i="50"/>
  <c r="BF7" i="50"/>
  <c r="BG9" i="50"/>
  <c r="BA9" i="50"/>
  <c r="BD9" i="50"/>
  <c r="BG11" i="50"/>
  <c r="BA11" i="50"/>
  <c r="BD11" i="50"/>
  <c r="BG13" i="50"/>
  <c r="BA13" i="50"/>
  <c r="BD13" i="50"/>
  <c r="BG15" i="50"/>
  <c r="BA15" i="50"/>
  <c r="BD15" i="50"/>
  <c r="BG17" i="50"/>
  <c r="BA17" i="50"/>
  <c r="BD17" i="50"/>
  <c r="BD52" i="50" l="1"/>
  <c r="BD49" i="50"/>
  <c r="BD48" i="50"/>
  <c r="BD51" i="50"/>
  <c r="BD50" i="50"/>
  <c r="C32" i="53"/>
  <c r="K51" i="50" l="1"/>
  <c r="V32" i="53"/>
  <c r="V27" i="1" s="1"/>
  <c r="L32" i="53"/>
  <c r="C27" i="1"/>
  <c r="AX16" i="50" l="1"/>
  <c r="AX11" i="50"/>
  <c r="AW13" i="50"/>
  <c r="AW8" i="50"/>
  <c r="AW18" i="50"/>
  <c r="AX14" i="50"/>
  <c r="AW10" i="50"/>
  <c r="AY8" i="50"/>
  <c r="AY14" i="50"/>
  <c r="AW11" i="50"/>
  <c r="AX13" i="50"/>
  <c r="AX7" i="50"/>
  <c r="AY9" i="50"/>
  <c r="AW17" i="50"/>
  <c r="AX17" i="50"/>
  <c r="AW14" i="50"/>
  <c r="AY17" i="50"/>
  <c r="AY13" i="50"/>
  <c r="AY12" i="50"/>
  <c r="AW12" i="50"/>
  <c r="AW7" i="50"/>
  <c r="K49" i="50" l="1"/>
  <c r="AY18" i="50"/>
  <c r="AY11" i="50"/>
  <c r="AY15" i="50"/>
  <c r="AY7" i="50"/>
  <c r="AY16" i="50"/>
  <c r="AY10" i="50"/>
  <c r="AW9" i="50"/>
  <c r="AW16" i="50"/>
  <c r="AW15" i="50"/>
  <c r="BK13" i="50"/>
  <c r="K48" i="50" l="1"/>
  <c r="BL13" i="50"/>
  <c r="BK15" i="50"/>
  <c r="BK9" i="50"/>
  <c r="BL9" i="50" s="1"/>
  <c r="BK10" i="50"/>
  <c r="BL10" i="50" s="1"/>
  <c r="BK12" i="50"/>
  <c r="BK17" i="50"/>
  <c r="BL17" i="50" s="1"/>
  <c r="BK11" i="50"/>
  <c r="BK8" i="50"/>
  <c r="BL8" i="50" s="1"/>
  <c r="BK7" i="50"/>
  <c r="BL7" i="50" s="1"/>
  <c r="BK16" i="50"/>
  <c r="BK18" i="50"/>
  <c r="BL18" i="50" s="1"/>
  <c r="BK14" i="50"/>
  <c r="BL14" i="50" s="1"/>
  <c r="K50" i="50" l="1"/>
  <c r="BL16" i="50"/>
  <c r="BL46" i="50"/>
  <c r="BL44" i="50"/>
  <c r="BL15" i="50"/>
  <c r="BL11" i="50"/>
  <c r="BL12" i="50"/>
  <c r="F32" i="53" l="1"/>
  <c r="P33" i="53" l="1"/>
  <c r="P28" i="1" s="1"/>
  <c r="P32" i="53"/>
  <c r="P27" i="1" s="1"/>
  <c r="F27" i="1"/>
  <c r="F33" i="53"/>
  <c r="I32" i="53"/>
  <c r="I33" i="53"/>
  <c r="E33" i="53"/>
  <c r="T33" i="53" s="1"/>
  <c r="X33" i="53" s="1"/>
  <c r="D6" i="59"/>
  <c r="O27" i="1" l="1"/>
  <c r="E32" i="53"/>
  <c r="T32" i="53" s="1"/>
  <c r="X32" i="53" s="1"/>
  <c r="I27" i="1"/>
  <c r="E28" i="1"/>
  <c r="F28" i="1"/>
  <c r="I28" i="1"/>
  <c r="E27" i="1" l="1"/>
  <c r="D28" i="1" l="1"/>
  <c r="A8" i="59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N37" i="53"/>
  <c r="N32" i="1" s="1"/>
  <c r="A24" i="59" l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F37" i="53"/>
  <c r="L37" i="53"/>
  <c r="D30" i="66"/>
  <c r="G30" i="66" s="1"/>
  <c r="D27" i="66"/>
  <c r="D26" i="66"/>
  <c r="G26" i="66" s="1"/>
  <c r="D20" i="66"/>
  <c r="G20" i="66" s="1"/>
  <c r="D15" i="66"/>
  <c r="D13" i="66"/>
  <c r="G13" i="66" l="1"/>
  <c r="N13" i="53" s="1"/>
  <c r="G27" i="66"/>
  <c r="N28" i="53" s="1"/>
  <c r="N23" i="1" s="1"/>
  <c r="G15" i="66"/>
  <c r="N16" i="53" s="1"/>
  <c r="D28" i="66"/>
  <c r="N31" i="53"/>
  <c r="N26" i="1" s="1"/>
  <c r="D30" i="16"/>
  <c r="D30" i="25"/>
  <c r="F30" i="25" s="1"/>
  <c r="D30" i="4"/>
  <c r="G30" i="4" s="1"/>
  <c r="D30" i="24"/>
  <c r="I30" i="24" s="1"/>
  <c r="O31" i="53" s="1"/>
  <c r="D30" i="57"/>
  <c r="D30" i="59"/>
  <c r="D30" i="22"/>
  <c r="D30" i="19"/>
  <c r="F30" i="19" s="1"/>
  <c r="D30" i="13"/>
  <c r="D27" i="22"/>
  <c r="D27" i="19"/>
  <c r="F27" i="19" s="1"/>
  <c r="D27" i="16"/>
  <c r="D27" i="13"/>
  <c r="D27" i="4"/>
  <c r="G27" i="4" s="1"/>
  <c r="D27" i="59"/>
  <c r="D27" i="57"/>
  <c r="D27" i="25"/>
  <c r="F27" i="25" s="1"/>
  <c r="D27" i="24"/>
  <c r="I27" i="24" s="1"/>
  <c r="O28" i="53" s="1"/>
  <c r="D26" i="24"/>
  <c r="I26" i="24" s="1"/>
  <c r="O27" i="53" s="1"/>
  <c r="D26" i="57"/>
  <c r="D26" i="59"/>
  <c r="D26" i="25"/>
  <c r="F26" i="25" s="1"/>
  <c r="D26" i="22"/>
  <c r="D26" i="19"/>
  <c r="D26" i="16"/>
  <c r="D26" i="13"/>
  <c r="D26" i="4"/>
  <c r="D15" i="24"/>
  <c r="I15" i="24" s="1"/>
  <c r="O16" i="53" s="1"/>
  <c r="D15" i="57"/>
  <c r="D15" i="59"/>
  <c r="D15" i="25"/>
  <c r="F15" i="25" s="1"/>
  <c r="D15" i="22"/>
  <c r="D15" i="19"/>
  <c r="F15" i="19" s="1"/>
  <c r="D15" i="16"/>
  <c r="D15" i="13"/>
  <c r="D15" i="4"/>
  <c r="G15" i="4" s="1"/>
  <c r="D20" i="25"/>
  <c r="F20" i="25" s="1"/>
  <c r="D20" i="24"/>
  <c r="I20" i="24" s="1"/>
  <c r="O21" i="53" s="1"/>
  <c r="D20" i="57"/>
  <c r="D20" i="59"/>
  <c r="D20" i="22"/>
  <c r="D20" i="19"/>
  <c r="F20" i="19" s="1"/>
  <c r="D20" i="16"/>
  <c r="D20" i="13"/>
  <c r="D20" i="4"/>
  <c r="G20" i="4" s="1"/>
  <c r="D11" i="24"/>
  <c r="I11" i="24" s="1"/>
  <c r="O11" i="53" s="1"/>
  <c r="D11" i="57"/>
  <c r="D11" i="59"/>
  <c r="D11" i="25"/>
  <c r="F11" i="25" s="1"/>
  <c r="D11" i="22"/>
  <c r="D11" i="19"/>
  <c r="F11" i="19" s="1"/>
  <c r="D11" i="16"/>
  <c r="D11" i="13"/>
  <c r="D11" i="4"/>
  <c r="G11" i="4" s="1"/>
  <c r="D13" i="25"/>
  <c r="F13" i="25" s="1"/>
  <c r="D13" i="16"/>
  <c r="D13" i="13"/>
  <c r="D13" i="4"/>
  <c r="D13" i="24"/>
  <c r="I13" i="24" s="1"/>
  <c r="O13" i="53" s="1"/>
  <c r="D13" i="57"/>
  <c r="D13" i="59"/>
  <c r="D13" i="22"/>
  <c r="D13" i="19"/>
  <c r="D30" i="3"/>
  <c r="M37" i="53"/>
  <c r="K37" i="53"/>
  <c r="E29" i="56"/>
  <c r="I28" i="24" l="1"/>
  <c r="F30" i="22"/>
  <c r="F11" i="22"/>
  <c r="G15" i="59"/>
  <c r="L16" i="53" s="1"/>
  <c r="D28" i="13"/>
  <c r="G26" i="13"/>
  <c r="F27" i="22"/>
  <c r="G30" i="59"/>
  <c r="L31" i="53" s="1"/>
  <c r="G11" i="59"/>
  <c r="L11" i="53" s="1"/>
  <c r="G20" i="13"/>
  <c r="G20" i="59"/>
  <c r="L21" i="53" s="1"/>
  <c r="F15" i="22"/>
  <c r="D28" i="19"/>
  <c r="F26" i="19"/>
  <c r="F26" i="57"/>
  <c r="F27" i="57"/>
  <c r="F11" i="57"/>
  <c r="F20" i="57"/>
  <c r="G15" i="13"/>
  <c r="D28" i="4"/>
  <c r="G26" i="4"/>
  <c r="D28" i="22"/>
  <c r="F26" i="22"/>
  <c r="G27" i="59"/>
  <c r="L28" i="53" s="1"/>
  <c r="G13" i="59"/>
  <c r="L13" i="53" s="1"/>
  <c r="G11" i="13"/>
  <c r="F20" i="22"/>
  <c r="F15" i="57"/>
  <c r="D28" i="16"/>
  <c r="G26" i="59"/>
  <c r="L27" i="53" s="1"/>
  <c r="G27" i="13"/>
  <c r="G30" i="13"/>
  <c r="F30" i="57"/>
  <c r="N27" i="53"/>
  <c r="G28" i="66"/>
  <c r="N21" i="53"/>
  <c r="D28" i="24"/>
  <c r="D28" i="59"/>
  <c r="D28" i="57"/>
  <c r="D28" i="25"/>
  <c r="D32" i="25"/>
  <c r="F32" i="25"/>
  <c r="P31" i="53" s="1"/>
  <c r="P26" i="1" s="1"/>
  <c r="G37" i="53"/>
  <c r="G32" i="1" s="1"/>
  <c r="K32" i="1"/>
  <c r="P46" i="61"/>
  <c r="W44" i="61"/>
  <c r="W48" i="61" s="1"/>
  <c r="P42" i="61"/>
  <c r="P40" i="61"/>
  <c r="P37" i="61"/>
  <c r="P36" i="61"/>
  <c r="N38" i="61"/>
  <c r="J38" i="61"/>
  <c r="H38" i="61"/>
  <c r="P33" i="61"/>
  <c r="P30" i="61"/>
  <c r="P29" i="61"/>
  <c r="H31" i="61"/>
  <c r="N31" i="61"/>
  <c r="L31" i="61"/>
  <c r="J31" i="61"/>
  <c r="P24" i="61"/>
  <c r="P23" i="61"/>
  <c r="P22" i="61"/>
  <c r="P21" i="61"/>
  <c r="J25" i="61"/>
  <c r="H25" i="61"/>
  <c r="N18" i="61"/>
  <c r="L18" i="61"/>
  <c r="B18" i="61"/>
  <c r="J18" i="61"/>
  <c r="H18" i="61"/>
  <c r="G28" i="59" l="1"/>
  <c r="N22" i="1"/>
  <c r="N29" i="53"/>
  <c r="Q29" i="61"/>
  <c r="Q23" i="61"/>
  <c r="Q37" i="61"/>
  <c r="X46" i="61"/>
  <c r="Q30" i="61"/>
  <c r="X40" i="61"/>
  <c r="Q24" i="61"/>
  <c r="X33" i="61"/>
  <c r="P38" i="61"/>
  <c r="X38" i="61" s="1"/>
  <c r="X42" i="61"/>
  <c r="R22" i="61"/>
  <c r="U22" i="61" s="1"/>
  <c r="Q21" i="61"/>
  <c r="P25" i="61"/>
  <c r="X25" i="61" s="1"/>
  <c r="H44" i="61"/>
  <c r="H48" i="61" s="1"/>
  <c r="J44" i="61"/>
  <c r="J48" i="61" s="1"/>
  <c r="J51" i="61" s="1"/>
  <c r="S29" i="61"/>
  <c r="R30" i="61"/>
  <c r="U30" i="61" s="1"/>
  <c r="B21" i="61"/>
  <c r="B23" i="61" s="1"/>
  <c r="N25" i="61"/>
  <c r="N44" i="61" s="1"/>
  <c r="N48" i="61" s="1"/>
  <c r="Q33" i="61"/>
  <c r="Q36" i="61"/>
  <c r="S37" i="61"/>
  <c r="Q40" i="61"/>
  <c r="Q42" i="61"/>
  <c r="Q46" i="61"/>
  <c r="L25" i="61"/>
  <c r="Q17" i="61"/>
  <c r="Q22" i="61"/>
  <c r="S23" i="61"/>
  <c r="P18" i="61"/>
  <c r="X18" i="61" s="1"/>
  <c r="R24" i="61"/>
  <c r="U24" i="61" s="1"/>
  <c r="P28" i="61"/>
  <c r="R29" i="61"/>
  <c r="U29" i="61" s="1"/>
  <c r="R36" i="61"/>
  <c r="L38" i="61"/>
  <c r="R42" i="61"/>
  <c r="R46" i="61"/>
  <c r="B22" i="61"/>
  <c r="N24" i="1" l="1"/>
  <c r="L32" i="1"/>
  <c r="Q18" i="61"/>
  <c r="R40" i="61"/>
  <c r="U40" i="61" s="1"/>
  <c r="R17" i="61"/>
  <c r="U17" i="61" s="1"/>
  <c r="R23" i="61"/>
  <c r="U23" i="61" s="1"/>
  <c r="Q38" i="61"/>
  <c r="S38" i="61"/>
  <c r="S22" i="61"/>
  <c r="S33" i="61"/>
  <c r="S36" i="61"/>
  <c r="S24" i="61"/>
  <c r="S30" i="61"/>
  <c r="R37" i="61"/>
  <c r="U37" i="61" s="1"/>
  <c r="U46" i="61"/>
  <c r="Q28" i="61"/>
  <c r="P31" i="61"/>
  <c r="R28" i="61"/>
  <c r="B24" i="61"/>
  <c r="R38" i="61"/>
  <c r="U38" i="61" s="1"/>
  <c r="U36" i="61"/>
  <c r="Q25" i="61"/>
  <c r="U42" i="61"/>
  <c r="R33" i="61"/>
  <c r="U33" i="61" s="1"/>
  <c r="S28" i="61"/>
  <c r="S21" i="61"/>
  <c r="R21" i="61"/>
  <c r="S40" i="61"/>
  <c r="S17" i="61"/>
  <c r="R18" i="61"/>
  <c r="U18" i="61" s="1"/>
  <c r="L44" i="61"/>
  <c r="B25" i="61"/>
  <c r="S42" i="61"/>
  <c r="S18" i="61"/>
  <c r="S46" i="61"/>
  <c r="L23" i="1" l="1"/>
  <c r="L28" i="1"/>
  <c r="L27" i="1"/>
  <c r="Q31" i="61"/>
  <c r="S31" i="61" s="1"/>
  <c r="Q44" i="61"/>
  <c r="Q48" i="61" s="1"/>
  <c r="S25" i="61"/>
  <c r="L48" i="61"/>
  <c r="R31" i="61"/>
  <c r="U31" i="61" s="1"/>
  <c r="U28" i="61"/>
  <c r="X31" i="61"/>
  <c r="X44" i="61" s="1"/>
  <c r="X48" i="61" s="1"/>
  <c r="P44" i="61"/>
  <c r="P48" i="61" s="1"/>
  <c r="U21" i="61"/>
  <c r="R25" i="61"/>
  <c r="U25" i="61" s="1"/>
  <c r="B28" i="61"/>
  <c r="B29" i="61" s="1"/>
  <c r="B30" i="61" l="1"/>
  <c r="L22" i="1"/>
  <c r="R44" i="61"/>
  <c r="S48" i="61"/>
  <c r="L51" i="61"/>
  <c r="B31" i="61"/>
  <c r="S44" i="61"/>
  <c r="B33" i="61"/>
  <c r="L24" i="1" l="1"/>
  <c r="B36" i="61"/>
  <c r="B37" i="61"/>
  <c r="B38" i="61" s="1"/>
  <c r="U44" i="61"/>
  <c r="R48" i="61"/>
  <c r="U48" i="61" s="1"/>
  <c r="B40" i="61" l="1"/>
  <c r="B42" i="61" s="1"/>
  <c r="B44" i="61" s="1"/>
  <c r="B46" i="61" s="1"/>
  <c r="B48" i="61" s="1"/>
  <c r="L26" i="1" l="1"/>
  <c r="L29" i="53"/>
  <c r="A8" i="57" l="1"/>
  <c r="A9" i="57" s="1"/>
  <c r="A10" i="57" s="1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D6" i="57"/>
  <c r="A3" i="57"/>
  <c r="A24" i="57" l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M32" i="1"/>
  <c r="C36" i="56" l="1"/>
  <c r="C34" i="56"/>
  <c r="B34" i="56"/>
  <c r="B31" i="56"/>
  <c r="C29" i="56"/>
  <c r="B28" i="56"/>
  <c r="B27" i="56"/>
  <c r="C25" i="56"/>
  <c r="B24" i="56"/>
  <c r="B23" i="56"/>
  <c r="B22" i="56"/>
  <c r="B21" i="56"/>
  <c r="C19" i="56"/>
  <c r="B18" i="56"/>
  <c r="B17" i="56"/>
  <c r="B16" i="56"/>
  <c r="B15" i="56"/>
  <c r="B14" i="56"/>
  <c r="B13" i="56"/>
  <c r="B12" i="56"/>
  <c r="C10" i="56"/>
  <c r="B9" i="56"/>
  <c r="B8" i="56"/>
  <c r="A8" i="56"/>
  <c r="C6" i="56"/>
  <c r="B6" i="56"/>
  <c r="A6" i="56"/>
  <c r="D27" i="1" l="1"/>
  <c r="A9" i="53" l="1"/>
  <c r="A10" i="53" s="1"/>
  <c r="A11" i="53" s="1"/>
  <c r="A12" i="53" s="1"/>
  <c r="A13" i="53" s="1"/>
  <c r="A14" i="53" s="1"/>
  <c r="A15" i="53" s="1"/>
  <c r="A16" i="53" s="1"/>
  <c r="A17" i="53" l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l="1"/>
  <c r="A34" i="53" s="1"/>
  <c r="A35" i="53" s="1"/>
  <c r="A36" i="53" s="1"/>
  <c r="A37" i="53" s="1"/>
  <c r="A38" i="53" s="1"/>
  <c r="A39" i="53" s="1"/>
  <c r="A40" i="53" s="1"/>
  <c r="A41" i="53" s="1"/>
  <c r="A42" i="53" s="1"/>
  <c r="F21" i="4" l="1"/>
  <c r="F16" i="4"/>
  <c r="C16" i="53"/>
  <c r="C21" i="53"/>
  <c r="P21" i="53" l="1"/>
  <c r="D20" i="3"/>
  <c r="F21" i="53"/>
  <c r="P16" i="53"/>
  <c r="D15" i="3"/>
  <c r="F16" i="53"/>
  <c r="C13" i="53"/>
  <c r="C11" i="53"/>
  <c r="F12" i="4"/>
  <c r="F13" i="4"/>
  <c r="G13" i="4" s="1"/>
  <c r="P11" i="53" l="1"/>
  <c r="D11" i="3"/>
  <c r="F13" i="53"/>
  <c r="P13" i="53"/>
  <c r="D13" i="3"/>
  <c r="F14" i="4"/>
  <c r="D21" i="66" l="1"/>
  <c r="G21" i="66" s="1"/>
  <c r="D23" i="66"/>
  <c r="D7" i="66"/>
  <c r="G7" i="66" s="1"/>
  <c r="D22" i="66"/>
  <c r="D17" i="66"/>
  <c r="D8" i="66"/>
  <c r="F11" i="53"/>
  <c r="G8" i="66" l="1"/>
  <c r="N14" i="53" s="1"/>
  <c r="G23" i="66"/>
  <c r="N24" i="53" s="1"/>
  <c r="N19" i="1" s="1"/>
  <c r="G17" i="66"/>
  <c r="N18" i="53" s="1"/>
  <c r="N14" i="1" s="1"/>
  <c r="G22" i="66"/>
  <c r="N23" i="53" s="1"/>
  <c r="N18" i="1" s="1"/>
  <c r="D24" i="66"/>
  <c r="D9" i="66"/>
  <c r="D8" i="4"/>
  <c r="G8" i="4" s="1"/>
  <c r="F14" i="53" s="1"/>
  <c r="D8" i="24"/>
  <c r="I8" i="24" s="1"/>
  <c r="O14" i="53" s="1"/>
  <c r="D8" i="57"/>
  <c r="D8" i="59"/>
  <c r="D8" i="16"/>
  <c r="D8" i="13"/>
  <c r="D8" i="25"/>
  <c r="F8" i="25" s="1"/>
  <c r="D8" i="22"/>
  <c r="D8" i="19"/>
  <c r="F8" i="19" s="1"/>
  <c r="D7" i="16"/>
  <c r="D7" i="13"/>
  <c r="D7" i="22"/>
  <c r="D7" i="19"/>
  <c r="F7" i="19" s="1"/>
  <c r="D7" i="25"/>
  <c r="F7" i="25" s="1"/>
  <c r="D7" i="24"/>
  <c r="I7" i="24" s="1"/>
  <c r="O8" i="53" s="1"/>
  <c r="D7" i="57"/>
  <c r="D7" i="59"/>
  <c r="D7" i="4"/>
  <c r="G7" i="4" s="1"/>
  <c r="D17" i="24"/>
  <c r="I17" i="24" s="1"/>
  <c r="O18" i="53" s="1"/>
  <c r="D17" i="57"/>
  <c r="D17" i="59"/>
  <c r="D17" i="25"/>
  <c r="F17" i="25" s="1"/>
  <c r="D17" i="22"/>
  <c r="D17" i="19"/>
  <c r="F17" i="19" s="1"/>
  <c r="D17" i="16"/>
  <c r="D17" i="13"/>
  <c r="D17" i="4"/>
  <c r="G17" i="4" s="1"/>
  <c r="D23" i="25"/>
  <c r="F23" i="25" s="1"/>
  <c r="D23" i="19"/>
  <c r="F23" i="19" s="1"/>
  <c r="D23" i="4"/>
  <c r="G23" i="4" s="1"/>
  <c r="D23" i="22"/>
  <c r="D23" i="16"/>
  <c r="D23" i="13"/>
  <c r="D23" i="24"/>
  <c r="I23" i="24" s="1"/>
  <c r="O24" i="53" s="1"/>
  <c r="D23" i="57"/>
  <c r="D23" i="59"/>
  <c r="D22" i="22"/>
  <c r="D22" i="19"/>
  <c r="F22" i="19" s="1"/>
  <c r="D22" i="16"/>
  <c r="D22" i="13"/>
  <c r="D22" i="4"/>
  <c r="G22" i="4" s="1"/>
  <c r="D22" i="57"/>
  <c r="D22" i="24"/>
  <c r="I22" i="24" s="1"/>
  <c r="O23" i="53" s="1"/>
  <c r="D22" i="59"/>
  <c r="D22" i="25"/>
  <c r="F22" i="25" s="1"/>
  <c r="D21" i="24"/>
  <c r="I21" i="24" s="1"/>
  <c r="O22" i="53" s="1"/>
  <c r="D21" i="57"/>
  <c r="D21" i="59"/>
  <c r="D21" i="25"/>
  <c r="F21" i="25" s="1"/>
  <c r="D21" i="22"/>
  <c r="D21" i="19"/>
  <c r="D21" i="16"/>
  <c r="D21" i="13"/>
  <c r="D21" i="4"/>
  <c r="G21" i="4" s="1"/>
  <c r="C14" i="53"/>
  <c r="D8" i="3"/>
  <c r="E25" i="56"/>
  <c r="E10" i="56"/>
  <c r="C8" i="53"/>
  <c r="C22" i="53"/>
  <c r="C28" i="53"/>
  <c r="C18" i="53"/>
  <c r="C27" i="53"/>
  <c r="C31" i="53"/>
  <c r="C37" i="53"/>
  <c r="C24" i="53"/>
  <c r="C23" i="53"/>
  <c r="D21" i="3"/>
  <c r="D23" i="3"/>
  <c r="D7" i="3"/>
  <c r="D22" i="3"/>
  <c r="D26" i="3"/>
  <c r="D17" i="3"/>
  <c r="I24" i="24" l="1"/>
  <c r="I9" i="24"/>
  <c r="F22" i="22"/>
  <c r="G23" i="13"/>
  <c r="G17" i="59"/>
  <c r="L18" i="53" s="1"/>
  <c r="G7" i="59"/>
  <c r="L8" i="53" s="1"/>
  <c r="G21" i="59"/>
  <c r="L22" i="53" s="1"/>
  <c r="G22" i="13"/>
  <c r="F17" i="57"/>
  <c r="F7" i="22"/>
  <c r="F22" i="57"/>
  <c r="G17" i="13"/>
  <c r="G8" i="13"/>
  <c r="G22" i="59"/>
  <c r="L23" i="53" s="1"/>
  <c r="G23" i="59"/>
  <c r="L24" i="53" s="1"/>
  <c r="F7" i="57"/>
  <c r="F8" i="22"/>
  <c r="G8" i="59"/>
  <c r="L14" i="53" s="1"/>
  <c r="F23" i="57"/>
  <c r="F23" i="22"/>
  <c r="F17" i="22"/>
  <c r="G7" i="13"/>
  <c r="F8" i="57"/>
  <c r="G9" i="66"/>
  <c r="N8" i="53"/>
  <c r="N22" i="53"/>
  <c r="G24" i="66"/>
  <c r="D24" i="25"/>
  <c r="D9" i="4"/>
  <c r="D9" i="22"/>
  <c r="D24" i="22"/>
  <c r="D9" i="25"/>
  <c r="D24" i="16"/>
  <c r="D24" i="57"/>
  <c r="D24" i="13"/>
  <c r="D9" i="24"/>
  <c r="D9" i="59"/>
  <c r="D9" i="57"/>
  <c r="D9" i="19"/>
  <c r="D9" i="16"/>
  <c r="D24" i="24"/>
  <c r="D24" i="4"/>
  <c r="D24" i="19"/>
  <c r="D24" i="59"/>
  <c r="D9" i="13"/>
  <c r="P14" i="53"/>
  <c r="P18" i="53"/>
  <c r="P14" i="1" s="1"/>
  <c r="P37" i="53"/>
  <c r="P32" i="1" s="1"/>
  <c r="P27" i="53"/>
  <c r="P22" i="1" s="1"/>
  <c r="P22" i="53"/>
  <c r="P17" i="1" s="1"/>
  <c r="P23" i="53"/>
  <c r="P18" i="1" s="1"/>
  <c r="P8" i="53"/>
  <c r="P8" i="1" s="1"/>
  <c r="C32" i="1"/>
  <c r="C26" i="1"/>
  <c r="C22" i="1"/>
  <c r="C18" i="1"/>
  <c r="C14" i="1"/>
  <c r="C19" i="1"/>
  <c r="C23" i="1"/>
  <c r="C17" i="1"/>
  <c r="C9" i="53"/>
  <c r="C8" i="1"/>
  <c r="C29" i="53"/>
  <c r="C25" i="53"/>
  <c r="G24" i="59" l="1"/>
  <c r="G9" i="59"/>
  <c r="P9" i="1"/>
  <c r="N17" i="1"/>
  <c r="N25" i="53"/>
  <c r="N9" i="53"/>
  <c r="N8" i="1"/>
  <c r="P24" i="53"/>
  <c r="P28" i="53"/>
  <c r="P9" i="53"/>
  <c r="F24" i="25"/>
  <c r="F28" i="25"/>
  <c r="F9" i="25"/>
  <c r="O26" i="1"/>
  <c r="D18" i="1"/>
  <c r="D17" i="1"/>
  <c r="D23" i="1"/>
  <c r="D32" i="1"/>
  <c r="D14" i="1"/>
  <c r="D19" i="1"/>
  <c r="L19" i="1"/>
  <c r="D26" i="1"/>
  <c r="D22" i="1"/>
  <c r="D8" i="1"/>
  <c r="L18" i="1"/>
  <c r="L14" i="1"/>
  <c r="O32" i="1"/>
  <c r="N20" i="1" l="1"/>
  <c r="N9" i="1"/>
  <c r="D9" i="1"/>
  <c r="P29" i="53"/>
  <c r="P23" i="1"/>
  <c r="P25" i="53"/>
  <c r="P19" i="1"/>
  <c r="D24" i="1"/>
  <c r="D20" i="1"/>
  <c r="L25" i="53"/>
  <c r="L17" i="1"/>
  <c r="L9" i="53"/>
  <c r="L8" i="1"/>
  <c r="L9" i="1" l="1"/>
  <c r="P20" i="1"/>
  <c r="P24" i="1"/>
  <c r="L20" i="1"/>
  <c r="A8" i="25" l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9" i="1" l="1"/>
  <c r="A10" i="1" s="1"/>
  <c r="A11" i="1" s="1"/>
  <c r="A12" i="1" s="1"/>
  <c r="A13" i="1" s="1"/>
  <c r="A14" i="1" s="1"/>
  <c r="A15" i="1" s="1"/>
  <c r="A16" i="1" s="1"/>
  <c r="A17" i="1" s="1"/>
  <c r="D9" i="53" l="1"/>
  <c r="A18" i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D6" i="24"/>
  <c r="A3" i="24"/>
  <c r="D29" i="53" l="1"/>
  <c r="A8" i="22" l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D6" i="22"/>
  <c r="A3" i="22"/>
  <c r="I21" i="53"/>
  <c r="I16" i="53"/>
  <c r="I11" i="53"/>
  <c r="I14" i="53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8" i="19" s="1"/>
  <c r="A29" i="19" s="1"/>
  <c r="A30" i="19" s="1"/>
  <c r="A31" i="19" s="1"/>
  <c r="A32" i="19" s="1"/>
  <c r="A33" i="19" s="1"/>
  <c r="A34" i="19" s="1"/>
  <c r="A35" i="19" s="1"/>
  <c r="D6" i="19"/>
  <c r="A3" i="19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3" i="16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D6" i="13"/>
  <c r="A3" i="13"/>
  <c r="D6" i="4"/>
  <c r="D6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31" i="4" s="1"/>
  <c r="A32" i="4" s="1"/>
  <c r="A33" i="4" s="1"/>
  <c r="A34" i="4" s="1"/>
  <c r="A35" i="4" s="1"/>
  <c r="A3" i="4"/>
  <c r="A3" i="3"/>
  <c r="A8" i="3"/>
  <c r="A9" i="56" s="1"/>
  <c r="A29" i="22" l="1"/>
  <c r="A30" i="22" s="1"/>
  <c r="A31" i="22" s="1"/>
  <c r="A32" i="22" s="1"/>
  <c r="A33" i="22" s="1"/>
  <c r="A34" i="22" s="1"/>
  <c r="A35" i="22" s="1"/>
  <c r="A24" i="22"/>
  <c r="A25" i="22" s="1"/>
  <c r="A26" i="22" s="1"/>
  <c r="A27" i="22" s="1"/>
  <c r="A28" i="22" s="1"/>
  <c r="A24" i="16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22" i="13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9" i="3"/>
  <c r="A10" i="56" s="1"/>
  <c r="E21" i="19"/>
  <c r="F21" i="19" s="1"/>
  <c r="E16" i="19"/>
  <c r="E12" i="19"/>
  <c r="E13" i="19"/>
  <c r="F13" i="19" l="1"/>
  <c r="I13" i="53" s="1"/>
  <c r="A10" i="3"/>
  <c r="A11" i="56" s="1"/>
  <c r="D25" i="53"/>
  <c r="E14" i="19"/>
  <c r="A11" i="3" l="1"/>
  <c r="A12" i="56" s="1"/>
  <c r="A12" i="3" l="1"/>
  <c r="A13" i="56" s="1"/>
  <c r="A13" i="3" l="1"/>
  <c r="A14" i="56" s="1"/>
  <c r="A14" i="3" l="1"/>
  <c r="A15" i="56" s="1"/>
  <c r="A15" i="3" l="1"/>
  <c r="A16" i="56" s="1"/>
  <c r="A16" i="3" l="1"/>
  <c r="A17" i="56" s="1"/>
  <c r="A17" i="3" l="1"/>
  <c r="A18" i="56" s="1"/>
  <c r="A18" i="3" l="1"/>
  <c r="A19" i="56" s="1"/>
  <c r="A19" i="3" l="1"/>
  <c r="A20" i="56" s="1"/>
  <c r="A20" i="3" l="1"/>
  <c r="A21" i="56" s="1"/>
  <c r="A21" i="3" l="1"/>
  <c r="A22" i="56" s="1"/>
  <c r="A22" i="3" l="1"/>
  <c r="A23" i="56" s="1"/>
  <c r="A23" i="3" l="1"/>
  <c r="A24" i="56" s="1"/>
  <c r="I31" i="53"/>
  <c r="F31" i="53"/>
  <c r="I26" i="1" l="1"/>
  <c r="A24" i="3"/>
  <c r="A25" i="56" s="1"/>
  <c r="F26" i="1" l="1"/>
  <c r="A25" i="3"/>
  <c r="A26" i="56" s="1"/>
  <c r="E24" i="24" l="1"/>
  <c r="A31" i="56" l="1"/>
  <c r="I37" i="53"/>
  <c r="I32" i="1" l="1"/>
  <c r="A32" i="56"/>
  <c r="F32" i="1" l="1"/>
  <c r="A33" i="56"/>
  <c r="A34" i="56" l="1"/>
  <c r="A35" i="56" l="1"/>
  <c r="C24" i="1"/>
  <c r="F27" i="53"/>
  <c r="A36" i="56" l="1"/>
  <c r="I28" i="53"/>
  <c r="I27" i="53"/>
  <c r="F28" i="53"/>
  <c r="D28" i="3"/>
  <c r="F28" i="19"/>
  <c r="I22" i="1" l="1"/>
  <c r="F22" i="1"/>
  <c r="I23" i="1"/>
  <c r="I29" i="53"/>
  <c r="G28" i="4"/>
  <c r="I24" i="1" l="1"/>
  <c r="F23" i="1"/>
  <c r="F29" i="53"/>
  <c r="F24" i="1" l="1"/>
  <c r="I23" i="53"/>
  <c r="I18" i="53"/>
  <c r="I24" i="53"/>
  <c r="F24" i="53"/>
  <c r="F23" i="53"/>
  <c r="F18" i="53"/>
  <c r="I19" i="1" l="1"/>
  <c r="I14" i="1"/>
  <c r="I18" i="1"/>
  <c r="F18" i="1" l="1"/>
  <c r="F14" i="1"/>
  <c r="F19" i="1"/>
  <c r="F8" i="53" l="1"/>
  <c r="C9" i="1"/>
  <c r="I8" i="53" l="1"/>
  <c r="G9" i="4"/>
  <c r="F9" i="19"/>
  <c r="D9" i="3"/>
  <c r="F8" i="1" l="1"/>
  <c r="I8" i="1"/>
  <c r="F9" i="53"/>
  <c r="I9" i="53"/>
  <c r="I9" i="1" l="1"/>
  <c r="F9" i="1"/>
  <c r="C20" i="1"/>
  <c r="F22" i="53"/>
  <c r="I22" i="53" l="1"/>
  <c r="G24" i="4"/>
  <c r="F24" i="19"/>
  <c r="D24" i="3"/>
  <c r="I17" i="1" l="1"/>
  <c r="F17" i="1"/>
  <c r="F25" i="53"/>
  <c r="I25" i="53"/>
  <c r="F20" i="1" l="1"/>
  <c r="I20" i="1"/>
  <c r="D12" i="66"/>
  <c r="G12" i="66" s="1"/>
  <c r="D14" i="66"/>
  <c r="G14" i="66" l="1"/>
  <c r="N15" i="53" s="1"/>
  <c r="N12" i="1" s="1"/>
  <c r="D14" i="25"/>
  <c r="F14" i="25" s="1"/>
  <c r="D14" i="24"/>
  <c r="I14" i="24" s="1"/>
  <c r="O15" i="53" s="1"/>
  <c r="D14" i="57"/>
  <c r="D14" i="59"/>
  <c r="D14" i="22"/>
  <c r="D14" i="19"/>
  <c r="D14" i="16"/>
  <c r="D14" i="13"/>
  <c r="D14" i="4"/>
  <c r="G14" i="4" s="1"/>
  <c r="D12" i="22"/>
  <c r="D12" i="19"/>
  <c r="F12" i="19" s="1"/>
  <c r="D12" i="16"/>
  <c r="D12" i="13"/>
  <c r="D12" i="4"/>
  <c r="D12" i="24"/>
  <c r="I12" i="24" s="1"/>
  <c r="O12" i="53" s="1"/>
  <c r="D12" i="25"/>
  <c r="F12" i="25" s="1"/>
  <c r="D12" i="57"/>
  <c r="D12" i="59"/>
  <c r="D12" i="3"/>
  <c r="C12" i="53"/>
  <c r="C11" i="1" s="1"/>
  <c r="C15" i="53"/>
  <c r="C12" i="1" s="1"/>
  <c r="D14" i="3"/>
  <c r="G12" i="4" l="1"/>
  <c r="F12" i="53" s="1"/>
  <c r="F14" i="19"/>
  <c r="I15" i="53" s="1"/>
  <c r="I12" i="1" s="1"/>
  <c r="G14" i="59"/>
  <c r="L15" i="53" s="1"/>
  <c r="L12" i="1" s="1"/>
  <c r="G12" i="59"/>
  <c r="N12" i="53"/>
  <c r="D12" i="1"/>
  <c r="F15" i="53"/>
  <c r="F12" i="1" s="1"/>
  <c r="P12" i="53"/>
  <c r="P11" i="1" s="1"/>
  <c r="P15" i="53"/>
  <c r="P12" i="1" s="1"/>
  <c r="I12" i="53"/>
  <c r="D11" i="1"/>
  <c r="N11" i="1" l="1"/>
  <c r="L12" i="53"/>
  <c r="L11" i="1" s="1"/>
  <c r="I11" i="1"/>
  <c r="F11" i="1"/>
  <c r="O17" i="1" l="1"/>
  <c r="O22" i="1" l="1"/>
  <c r="O23" i="1" l="1"/>
  <c r="O24" i="1" s="1"/>
  <c r="O29" i="53"/>
  <c r="O11" i="1" l="1"/>
  <c r="O14" i="1" l="1"/>
  <c r="O19" i="1"/>
  <c r="O18" i="1"/>
  <c r="O25" i="53"/>
  <c r="O12" i="1"/>
  <c r="O20" i="1" l="1"/>
  <c r="E45" i="65" l="1"/>
  <c r="F45" i="65" s="1"/>
  <c r="O9" i="53"/>
  <c r="O8" i="1"/>
  <c r="O9" i="1" l="1"/>
  <c r="O28" i="1" l="1"/>
  <c r="K27" i="53" l="1"/>
  <c r="K33" i="53"/>
  <c r="K28" i="1" s="1"/>
  <c r="K24" i="53"/>
  <c r="K19" i="1" s="1"/>
  <c r="K22" i="1" l="1"/>
  <c r="K31" i="53"/>
  <c r="K26" i="1" s="1"/>
  <c r="K14" i="53"/>
  <c r="E13" i="22"/>
  <c r="F13" i="22" s="1"/>
  <c r="E16" i="22"/>
  <c r="K16" i="53"/>
  <c r="K32" i="53"/>
  <c r="K27" i="1" s="1"/>
  <c r="K28" i="53"/>
  <c r="K23" i="1" s="1"/>
  <c r="K18" i="53"/>
  <c r="K14" i="1" s="1"/>
  <c r="K29" i="53" l="1"/>
  <c r="F28" i="22"/>
  <c r="K24" i="1"/>
  <c r="K23" i="53"/>
  <c r="K18" i="1" s="1"/>
  <c r="E12" i="22"/>
  <c r="K11" i="53"/>
  <c r="K21" i="53"/>
  <c r="E21" i="22"/>
  <c r="E14" i="22"/>
  <c r="K13" i="53"/>
  <c r="K8" i="53"/>
  <c r="F14" i="22" l="1"/>
  <c r="K15" i="53" s="1"/>
  <c r="K12" i="1" s="1"/>
  <c r="F21" i="22"/>
  <c r="K22" i="53" s="1"/>
  <c r="F12" i="22"/>
  <c r="K12" i="53" s="1"/>
  <c r="K11" i="1" s="1"/>
  <c r="K8" i="1"/>
  <c r="K9" i="53"/>
  <c r="F9" i="22"/>
  <c r="F24" i="22" l="1"/>
  <c r="K25" i="53"/>
  <c r="K17" i="1"/>
  <c r="K9" i="1"/>
  <c r="K20" i="1" l="1"/>
  <c r="G32" i="53"/>
  <c r="G27" i="1" s="1"/>
  <c r="G24" i="53" l="1"/>
  <c r="G19" i="1" s="1"/>
  <c r="G23" i="53"/>
  <c r="G18" i="1" s="1"/>
  <c r="G31" i="53"/>
  <c r="G26" i="1" s="1"/>
  <c r="G21" i="53" l="1"/>
  <c r="F21" i="13"/>
  <c r="G21" i="13" s="1"/>
  <c r="F16" i="13"/>
  <c r="G16" i="53"/>
  <c r="F13" i="13"/>
  <c r="G13" i="13" s="1"/>
  <c r="G18" i="53"/>
  <c r="G14" i="1" s="1"/>
  <c r="G27" i="53"/>
  <c r="G22" i="1" s="1"/>
  <c r="G28" i="53"/>
  <c r="G23" i="1" s="1"/>
  <c r="G14" i="53" l="1"/>
  <c r="G29" i="53"/>
  <c r="G22" i="53"/>
  <c r="G17" i="1" s="1"/>
  <c r="G13" i="53"/>
  <c r="F14" i="13"/>
  <c r="G14" i="13" s="1"/>
  <c r="G28" i="13"/>
  <c r="G11" i="53"/>
  <c r="F12" i="13"/>
  <c r="G12" i="13" s="1"/>
  <c r="G24" i="13"/>
  <c r="G25" i="53" l="1"/>
  <c r="G24" i="1"/>
  <c r="G20" i="1"/>
  <c r="G12" i="53"/>
  <c r="G11" i="1" s="1"/>
  <c r="G15" i="53"/>
  <c r="G12" i="1" s="1"/>
  <c r="G8" i="53" l="1"/>
  <c r="G8" i="1" s="1"/>
  <c r="G33" i="53"/>
  <c r="G28" i="1" s="1"/>
  <c r="G9" i="53" l="1"/>
  <c r="G9" i="13"/>
  <c r="G9" i="1" l="1"/>
  <c r="D9" i="58" l="1"/>
  <c r="E9" i="58" l="1"/>
  <c r="E29" i="58" l="1"/>
  <c r="D22" i="58"/>
  <c r="E16" i="58" l="1"/>
  <c r="D16" i="58"/>
  <c r="D29" i="58"/>
  <c r="E22" i="58"/>
  <c r="D35" i="58" l="1"/>
  <c r="E35" i="58"/>
  <c r="M24" i="53" l="1"/>
  <c r="M31" i="53"/>
  <c r="M32" i="53"/>
  <c r="M27" i="1" l="1"/>
  <c r="M26" i="1"/>
  <c r="M19" i="1"/>
  <c r="M14" i="53"/>
  <c r="E13" i="57"/>
  <c r="F13" i="57" s="1"/>
  <c r="M33" i="53"/>
  <c r="M8" i="53"/>
  <c r="M16" i="53"/>
  <c r="E16" i="57"/>
  <c r="M27" i="53"/>
  <c r="M18" i="53"/>
  <c r="M28" i="53"/>
  <c r="M14" i="1" l="1"/>
  <c r="M8" i="1"/>
  <c r="M9" i="53"/>
  <c r="M22" i="1"/>
  <c r="M29" i="53"/>
  <c r="M28" i="1"/>
  <c r="M23" i="1"/>
  <c r="F9" i="57"/>
  <c r="E14" i="57"/>
  <c r="M13" i="53"/>
  <c r="F28" i="57"/>
  <c r="M11" i="53"/>
  <c r="E12" i="57"/>
  <c r="E21" i="57"/>
  <c r="M21" i="53"/>
  <c r="F21" i="57" l="1"/>
  <c r="M22" i="53" s="1"/>
  <c r="M17" i="1" s="1"/>
  <c r="F12" i="57"/>
  <c r="M12" i="53" s="1"/>
  <c r="M11" i="1" s="1"/>
  <c r="F14" i="57"/>
  <c r="M15" i="53" s="1"/>
  <c r="M12" i="1" s="1"/>
  <c r="M9" i="1"/>
  <c r="M24" i="1"/>
  <c r="M23" i="53"/>
  <c r="M25" i="53" l="1"/>
  <c r="M18" i="1"/>
  <c r="F24" i="57"/>
  <c r="M20" i="1" l="1"/>
  <c r="T27" i="1" l="1"/>
  <c r="E32" i="16" l="1"/>
  <c r="F32" i="16" s="1"/>
  <c r="H33" i="53" l="1"/>
  <c r="H28" i="1" l="1"/>
  <c r="Q33" i="53"/>
  <c r="Q28" i="1" l="1"/>
  <c r="R33" i="53"/>
  <c r="T28" i="1"/>
  <c r="AB33" i="53" l="1"/>
  <c r="Z33" i="53"/>
  <c r="Y33" i="53"/>
  <c r="AA33" i="53" s="1"/>
  <c r="X28" i="1"/>
  <c r="R28" i="1"/>
  <c r="AB28" i="1" l="1"/>
  <c r="Y28" i="1"/>
  <c r="AA28" i="1" s="1"/>
  <c r="Z28" i="1"/>
  <c r="E30" i="16" l="1"/>
  <c r="E27" i="16"/>
  <c r="E11" i="16"/>
  <c r="F11" i="16" s="1"/>
  <c r="E23" i="16"/>
  <c r="E17" i="16"/>
  <c r="E13" i="16"/>
  <c r="F13" i="16" s="1"/>
  <c r="E15" i="16"/>
  <c r="F15" i="16" s="1"/>
  <c r="E31" i="16"/>
  <c r="E7" i="16"/>
  <c r="E22" i="16"/>
  <c r="E20" i="16"/>
  <c r="F20" i="16" s="1"/>
  <c r="E26" i="16"/>
  <c r="F26" i="16" l="1"/>
  <c r="H27" i="53" s="1"/>
  <c r="F23" i="16"/>
  <c r="H24" i="53" s="1"/>
  <c r="H19" i="1" s="1"/>
  <c r="F27" i="16"/>
  <c r="H28" i="53" s="1"/>
  <c r="H23" i="1" s="1"/>
  <c r="F31" i="16"/>
  <c r="H32" i="53" s="1"/>
  <c r="F22" i="16"/>
  <c r="H23" i="53" s="1"/>
  <c r="H18" i="1" s="1"/>
  <c r="E31" i="65"/>
  <c r="E40" i="65" s="1"/>
  <c r="F40" i="65" s="1"/>
  <c r="F7" i="16"/>
  <c r="H8" i="53" s="1"/>
  <c r="F17" i="16"/>
  <c r="H18" i="53" s="1"/>
  <c r="H14" i="1" s="1"/>
  <c r="F30" i="16"/>
  <c r="H31" i="53" s="1"/>
  <c r="H26" i="1" s="1"/>
  <c r="E37" i="65"/>
  <c r="H16" i="53"/>
  <c r="E16" i="16"/>
  <c r="H21" i="53"/>
  <c r="E21" i="16"/>
  <c r="E12" i="16"/>
  <c r="H11" i="53"/>
  <c r="E14" i="16"/>
  <c r="H13" i="53"/>
  <c r="E8" i="16"/>
  <c r="X27" i="1"/>
  <c r="F28" i="16" l="1"/>
  <c r="H27" i="1"/>
  <c r="Q32" i="53"/>
  <c r="R32" i="53" s="1"/>
  <c r="Z32" i="53" s="1"/>
  <c r="H29" i="53"/>
  <c r="H22" i="1"/>
  <c r="F21" i="16"/>
  <c r="H22" i="53" s="1"/>
  <c r="F14" i="16"/>
  <c r="H15" i="53" s="1"/>
  <c r="F8" i="16"/>
  <c r="H14" i="53" s="1"/>
  <c r="F12" i="16"/>
  <c r="H12" i="53" s="1"/>
  <c r="H11" i="1" s="1"/>
  <c r="E46" i="65"/>
  <c r="F31" i="65"/>
  <c r="H8" i="1"/>
  <c r="H9" i="53"/>
  <c r="F46" i="65"/>
  <c r="H12" i="1" l="1"/>
  <c r="H24" i="1"/>
  <c r="Q27" i="1"/>
  <c r="R27" i="1" s="1"/>
  <c r="Z27" i="1" s="1"/>
  <c r="F24" i="16"/>
  <c r="F9" i="16"/>
  <c r="Y32" i="53"/>
  <c r="AA32" i="53" s="1"/>
  <c r="AB32" i="53"/>
  <c r="H25" i="53"/>
  <c r="H17" i="1"/>
  <c r="H9" i="1"/>
  <c r="I38" i="7"/>
  <c r="J38" i="7"/>
  <c r="AB27" i="1" l="1"/>
  <c r="Y27" i="1"/>
  <c r="AA27" i="1" s="1"/>
  <c r="H20" i="1"/>
  <c r="E18" i="24" l="1"/>
  <c r="E35" i="24" s="1"/>
  <c r="G16" i="56" l="1"/>
  <c r="F16" i="56" s="1"/>
  <c r="F17" i="56" s="1"/>
  <c r="D17" i="53" l="1"/>
  <c r="D16" i="53"/>
  <c r="F19" i="56"/>
  <c r="F36" i="56" s="1"/>
  <c r="D41" i="53" s="1"/>
  <c r="D16" i="66"/>
  <c r="G16" i="66" s="1"/>
  <c r="D16" i="22"/>
  <c r="D16" i="13"/>
  <c r="D16" i="57"/>
  <c r="D16" i="19"/>
  <c r="F16" i="19" s="1"/>
  <c r="D16" i="4"/>
  <c r="G16" i="4" s="1"/>
  <c r="D16" i="25"/>
  <c r="F16" i="25" s="1"/>
  <c r="D16" i="59"/>
  <c r="D16" i="24"/>
  <c r="I16" i="24" s="1"/>
  <c r="D16" i="3"/>
  <c r="D16" i="16"/>
  <c r="C17" i="53"/>
  <c r="E19" i="56"/>
  <c r="E36" i="56" s="1"/>
  <c r="C41" i="53" s="1"/>
  <c r="I18" i="24" l="1"/>
  <c r="I35" i="24" s="1"/>
  <c r="O41" i="53" s="1"/>
  <c r="O17" i="53"/>
  <c r="D37" i="3"/>
  <c r="G16" i="59"/>
  <c r="F16" i="57"/>
  <c r="G16" i="13"/>
  <c r="F16" i="16"/>
  <c r="F16" i="22"/>
  <c r="D18" i="16"/>
  <c r="D35" i="16" s="1"/>
  <c r="D18" i="57"/>
  <c r="D35" i="57" s="1"/>
  <c r="D18" i="59"/>
  <c r="D35" i="59" s="1"/>
  <c r="D18" i="19"/>
  <c r="D35" i="19" s="1"/>
  <c r="D18" i="66"/>
  <c r="D35" i="66" s="1"/>
  <c r="D18" i="3"/>
  <c r="D35" i="3" s="1"/>
  <c r="D38" i="3" s="1"/>
  <c r="D18" i="25"/>
  <c r="D38" i="25" s="1"/>
  <c r="D18" i="13"/>
  <c r="D35" i="13" s="1"/>
  <c r="D13" i="1"/>
  <c r="D19" i="53"/>
  <c r="D35" i="53" s="1"/>
  <c r="D39" i="53" s="1"/>
  <c r="C13" i="1"/>
  <c r="C19" i="53"/>
  <c r="C35" i="53" s="1"/>
  <c r="C39" i="53" s="1"/>
  <c r="D18" i="24"/>
  <c r="D35" i="24" s="1"/>
  <c r="D18" i="4"/>
  <c r="D35" i="4" s="1"/>
  <c r="D18" i="22"/>
  <c r="D35" i="22" s="1"/>
  <c r="D15" i="1" l="1"/>
  <c r="D30" i="1" s="1"/>
  <c r="D34" i="1" s="1"/>
  <c r="C15" i="1"/>
  <c r="C30" i="1" s="1"/>
  <c r="C34" i="1" s="1"/>
  <c r="D36" i="1"/>
  <c r="D42" i="53"/>
  <c r="M17" i="53"/>
  <c r="F18" i="57"/>
  <c r="F35" i="57" s="1"/>
  <c r="M41" i="53" s="1"/>
  <c r="K17" i="53"/>
  <c r="F18" i="22"/>
  <c r="F35" i="22" s="1"/>
  <c r="K41" i="53" s="1"/>
  <c r="F17" i="53"/>
  <c r="G18" i="4"/>
  <c r="G35" i="4" s="1"/>
  <c r="F41" i="53" s="1"/>
  <c r="C42" i="53"/>
  <c r="C36" i="1"/>
  <c r="I17" i="53"/>
  <c r="F18" i="19"/>
  <c r="F35" i="19" s="1"/>
  <c r="I41" i="53" s="1"/>
  <c r="H17" i="53"/>
  <c r="F18" i="16"/>
  <c r="F35" i="16" s="1"/>
  <c r="H41" i="53" s="1"/>
  <c r="G17" i="53"/>
  <c r="G18" i="13"/>
  <c r="G35" i="13" s="1"/>
  <c r="G41" i="53" s="1"/>
  <c r="P17" i="53"/>
  <c r="F18" i="25"/>
  <c r="F38" i="25" s="1"/>
  <c r="P41" i="53" s="1"/>
  <c r="N17" i="53"/>
  <c r="G18" i="66"/>
  <c r="G35" i="66" s="1"/>
  <c r="N41" i="53" s="1"/>
  <c r="L17" i="53"/>
  <c r="G18" i="59"/>
  <c r="G35" i="59" s="1"/>
  <c r="L41" i="53" s="1"/>
  <c r="L13" i="1" l="1"/>
  <c r="L19" i="53"/>
  <c r="L35" i="53" s="1"/>
  <c r="L39" i="53" s="1"/>
  <c r="G13" i="1"/>
  <c r="G19" i="53"/>
  <c r="G35" i="53" s="1"/>
  <c r="G39" i="53" s="1"/>
  <c r="H13" i="1"/>
  <c r="H19" i="53"/>
  <c r="H35" i="53" s="1"/>
  <c r="H39" i="53" s="1"/>
  <c r="F13" i="1"/>
  <c r="F19" i="53"/>
  <c r="F35" i="53" s="1"/>
  <c r="F39" i="53" s="1"/>
  <c r="N13" i="1"/>
  <c r="N19" i="53"/>
  <c r="N35" i="53" s="1"/>
  <c r="N39" i="53" s="1"/>
  <c r="P13" i="1"/>
  <c r="P19" i="53"/>
  <c r="P35" i="53" s="1"/>
  <c r="P39" i="53" s="1"/>
  <c r="O13" i="1"/>
  <c r="O19" i="53"/>
  <c r="O35" i="53" s="1"/>
  <c r="O39" i="53" s="1"/>
  <c r="I13" i="1"/>
  <c r="I19" i="53"/>
  <c r="I35" i="53" s="1"/>
  <c r="I39" i="53" s="1"/>
  <c r="K13" i="1"/>
  <c r="K19" i="53"/>
  <c r="K35" i="53" s="1"/>
  <c r="K39" i="53" s="1"/>
  <c r="M13" i="1"/>
  <c r="M19" i="53"/>
  <c r="M35" i="53" s="1"/>
  <c r="M39" i="53" s="1"/>
  <c r="M15" i="1" l="1"/>
  <c r="M30" i="1" s="1"/>
  <c r="M34" i="1" s="1"/>
  <c r="F15" i="1"/>
  <c r="F30" i="1" s="1"/>
  <c r="F34" i="1" s="1"/>
  <c r="G15" i="1"/>
  <c r="G30" i="1" s="1"/>
  <c r="G34" i="1" s="1"/>
  <c r="L15" i="1"/>
  <c r="L30" i="1" s="1"/>
  <c r="L34" i="1" s="1"/>
  <c r="I15" i="1"/>
  <c r="I30" i="1" s="1"/>
  <c r="I34" i="1" s="1"/>
  <c r="P15" i="1"/>
  <c r="P30" i="1" s="1"/>
  <c r="P34" i="1" s="1"/>
  <c r="K15" i="1"/>
  <c r="K30" i="1" s="1"/>
  <c r="K34" i="1" s="1"/>
  <c r="O15" i="1"/>
  <c r="O30" i="1" s="1"/>
  <c r="O34" i="1" s="1"/>
  <c r="N15" i="1"/>
  <c r="N30" i="1" s="1"/>
  <c r="N34" i="1" s="1"/>
  <c r="H15" i="1"/>
  <c r="H30" i="1" s="1"/>
  <c r="H34" i="1" s="1"/>
  <c r="K36" i="1"/>
  <c r="K42" i="53"/>
  <c r="O36" i="1"/>
  <c r="O42" i="53"/>
  <c r="N42" i="53"/>
  <c r="N36" i="1"/>
  <c r="L42" i="53"/>
  <c r="L36" i="1"/>
  <c r="F42" i="53"/>
  <c r="F36" i="1"/>
  <c r="G36" i="1"/>
  <c r="G42" i="53"/>
  <c r="M36" i="1"/>
  <c r="M42" i="53"/>
  <c r="I42" i="53"/>
  <c r="I36" i="1"/>
  <c r="P36" i="1"/>
  <c r="P42" i="53"/>
  <c r="H42" i="53"/>
  <c r="H36" i="1"/>
  <c r="F33" i="3" l="1"/>
  <c r="E37" i="53" s="1"/>
  <c r="F30" i="3"/>
  <c r="E31" i="53" s="1"/>
  <c r="F27" i="3"/>
  <c r="E28" i="53" s="1"/>
  <c r="F26" i="3"/>
  <c r="F22" i="3"/>
  <c r="E23" i="53" s="1"/>
  <c r="F23" i="3"/>
  <c r="E24" i="53" s="1"/>
  <c r="F17" i="3"/>
  <c r="E18" i="53" s="1"/>
  <c r="E13" i="3" l="1"/>
  <c r="F8" i="3"/>
  <c r="E14" i="53" s="1"/>
  <c r="F20" i="3"/>
  <c r="E21" i="3"/>
  <c r="F21" i="3" s="1"/>
  <c r="E22" i="53" s="1"/>
  <c r="T28" i="53"/>
  <c r="T23" i="1" s="1"/>
  <c r="E23" i="1"/>
  <c r="E51" i="65"/>
  <c r="E56" i="65" s="1"/>
  <c r="F7" i="3"/>
  <c r="F11" i="3"/>
  <c r="E12" i="3"/>
  <c r="F12" i="3" s="1"/>
  <c r="E12" i="53" s="1"/>
  <c r="T18" i="53"/>
  <c r="T14" i="1" s="1"/>
  <c r="E14" i="1"/>
  <c r="Q14" i="1" s="1"/>
  <c r="R14" i="1" s="1"/>
  <c r="Z14" i="1" s="1"/>
  <c r="Q18" i="53"/>
  <c r="R18" i="53" s="1"/>
  <c r="Z18" i="53" s="1"/>
  <c r="T24" i="53"/>
  <c r="T19" i="1" s="1"/>
  <c r="E19" i="1"/>
  <c r="T31" i="53"/>
  <c r="T26" i="1" s="1"/>
  <c r="E26" i="1"/>
  <c r="E27" i="53"/>
  <c r="F28" i="3"/>
  <c r="F15" i="3"/>
  <c r="E16" i="53" s="1"/>
  <c r="E16" i="3"/>
  <c r="F16" i="3" s="1"/>
  <c r="E17" i="53" s="1"/>
  <c r="T23" i="53"/>
  <c r="T18" i="1" s="1"/>
  <c r="Q23" i="53"/>
  <c r="R23" i="53" s="1"/>
  <c r="Z23" i="53" s="1"/>
  <c r="E18" i="1"/>
  <c r="Q18" i="1" s="1"/>
  <c r="R18" i="1" s="1"/>
  <c r="Z18" i="1" s="1"/>
  <c r="T37" i="53"/>
  <c r="T32" i="1" s="1"/>
  <c r="Q37" i="53"/>
  <c r="E32" i="1"/>
  <c r="T17" i="53" l="1"/>
  <c r="T22" i="53"/>
  <c r="T12" i="53"/>
  <c r="E21" i="53"/>
  <c r="F24" i="3"/>
  <c r="E59" i="65"/>
  <c r="E58" i="65"/>
  <c r="T16" i="53"/>
  <c r="T13" i="1" s="1"/>
  <c r="Q16" i="53"/>
  <c r="R16" i="53" s="1"/>
  <c r="Z16" i="53" s="1"/>
  <c r="E13" i="1"/>
  <c r="E11" i="53"/>
  <c r="T14" i="53"/>
  <c r="Q14" i="53"/>
  <c r="R14" i="53" s="1"/>
  <c r="Z14" i="53" s="1"/>
  <c r="Q32" i="1"/>
  <c r="R37" i="53"/>
  <c r="T27" i="53"/>
  <c r="E29" i="53"/>
  <c r="E22" i="1"/>
  <c r="E8" i="53"/>
  <c r="F9" i="3"/>
  <c r="F13" i="3"/>
  <c r="E13" i="53" s="1"/>
  <c r="E14" i="3"/>
  <c r="F14" i="3" s="1"/>
  <c r="E15" i="53" s="1"/>
  <c r="F18" i="3" l="1"/>
  <c r="F35" i="3" s="1"/>
  <c r="E41" i="53" s="1"/>
  <c r="T41" i="53" s="1"/>
  <c r="T22" i="1"/>
  <c r="T24" i="1" s="1"/>
  <c r="T29" i="53"/>
  <c r="T13" i="53"/>
  <c r="E12" i="1"/>
  <c r="T11" i="53"/>
  <c r="E11" i="1"/>
  <c r="Q11" i="53"/>
  <c r="E19" i="53"/>
  <c r="D23" i="65"/>
  <c r="D15" i="65"/>
  <c r="D8" i="65"/>
  <c r="D7" i="65"/>
  <c r="D17" i="65"/>
  <c r="D13" i="65"/>
  <c r="D9" i="65"/>
  <c r="D22" i="65"/>
  <c r="D18" i="65"/>
  <c r="D16" i="65"/>
  <c r="D11" i="65"/>
  <c r="D10" i="65"/>
  <c r="D14" i="65"/>
  <c r="D12" i="65"/>
  <c r="T8" i="53"/>
  <c r="E8" i="1"/>
  <c r="E9" i="53"/>
  <c r="T15" i="53"/>
  <c r="E24" i="1"/>
  <c r="Z37" i="53"/>
  <c r="R32" i="1"/>
  <c r="Z32" i="1" s="1"/>
  <c r="T21" i="53"/>
  <c r="E17" i="1"/>
  <c r="E25" i="53"/>
  <c r="Q21" i="53"/>
  <c r="E18" i="65"/>
  <c r="E16" i="65"/>
  <c r="E8" i="65"/>
  <c r="E17" i="65"/>
  <c r="E10" i="65"/>
  <c r="E14" i="65"/>
  <c r="E9" i="65"/>
  <c r="E12" i="65"/>
  <c r="E23" i="65"/>
  <c r="E15" i="65"/>
  <c r="E11" i="65"/>
  <c r="E7" i="65"/>
  <c r="E22" i="65"/>
  <c r="E13" i="65"/>
  <c r="F10" i="65" l="1"/>
  <c r="F22" i="65"/>
  <c r="E35" i="53"/>
  <c r="E39" i="53" s="1"/>
  <c r="E36" i="1" s="1"/>
  <c r="T12" i="1"/>
  <c r="F9" i="65"/>
  <c r="F14" i="65"/>
  <c r="F18" i="65"/>
  <c r="F17" i="65"/>
  <c r="F23" i="65"/>
  <c r="F11" i="65"/>
  <c r="F8" i="65"/>
  <c r="E20" i="65"/>
  <c r="F12" i="65"/>
  <c r="F16" i="65"/>
  <c r="F13" i="65"/>
  <c r="F15" i="65"/>
  <c r="T9" i="53"/>
  <c r="T8" i="1"/>
  <c r="T9" i="1" s="1"/>
  <c r="R11" i="53"/>
  <c r="E9" i="1"/>
  <c r="F7" i="65"/>
  <c r="D20" i="65"/>
  <c r="E20" i="1"/>
  <c r="E15" i="1"/>
  <c r="R21" i="53"/>
  <c r="T25" i="53"/>
  <c r="T17" i="1"/>
  <c r="T20" i="1" s="1"/>
  <c r="T11" i="1"/>
  <c r="T19" i="53"/>
  <c r="T15" i="1" l="1"/>
  <c r="T30" i="1" s="1"/>
  <c r="T34" i="1" s="1"/>
  <c r="E42" i="53"/>
  <c r="F20" i="65"/>
  <c r="T35" i="53"/>
  <c r="T39" i="53" s="1"/>
  <c r="E30" i="1"/>
  <c r="E34" i="1" s="1"/>
  <c r="Z21" i="53"/>
  <c r="Z11" i="53"/>
  <c r="T36" i="1" l="1"/>
  <c r="T42" i="53"/>
  <c r="D10" i="5" l="1"/>
  <c r="D11" i="5"/>
  <c r="D9" i="5" l="1"/>
  <c r="F21" i="5" l="1"/>
  <c r="F19" i="5"/>
  <c r="F17" i="5"/>
  <c r="F14" i="5"/>
  <c r="F13" i="5"/>
  <c r="F12" i="5"/>
  <c r="F11" i="5"/>
  <c r="F8" i="5"/>
  <c r="F10" i="5"/>
  <c r="F7" i="5"/>
  <c r="D21" i="5"/>
  <c r="D19" i="5"/>
  <c r="D17" i="5"/>
  <c r="D14" i="5"/>
  <c r="D13" i="5"/>
  <c r="D12" i="5"/>
  <c r="D8" i="5"/>
  <c r="D7" i="5"/>
  <c r="F9" i="5" l="1"/>
  <c r="D16" i="5"/>
  <c r="C14" i="5" l="1"/>
  <c r="C13" i="5"/>
  <c r="C11" i="5"/>
  <c r="C10" i="5"/>
  <c r="C9" i="5"/>
  <c r="C12" i="5"/>
  <c r="C8" i="5"/>
  <c r="C7" i="5"/>
  <c r="A8" i="5" l="1"/>
  <c r="A9" i="5" l="1"/>
  <c r="A10" i="5" l="1"/>
  <c r="A11" i="5" l="1"/>
  <c r="F23" i="5"/>
  <c r="A12" i="5" l="1"/>
  <c r="G16" i="5"/>
  <c r="G10" i="5"/>
  <c r="G14" i="5"/>
  <c r="G12" i="5"/>
  <c r="G17" i="5"/>
  <c r="G11" i="5"/>
  <c r="G21" i="5"/>
  <c r="G9" i="5"/>
  <c r="G8" i="5"/>
  <c r="G13" i="5"/>
  <c r="G19" i="5"/>
  <c r="G7" i="5"/>
  <c r="F27" i="5"/>
  <c r="D23" i="5"/>
  <c r="A13" i="5" l="1"/>
  <c r="E17" i="5"/>
  <c r="E8" i="5"/>
  <c r="E12" i="5"/>
  <c r="E9" i="5"/>
  <c r="E21" i="5"/>
  <c r="E10" i="5"/>
  <c r="E16" i="5"/>
  <c r="E13" i="5"/>
  <c r="E14" i="5"/>
  <c r="E19" i="5"/>
  <c r="E11" i="5"/>
  <c r="E7" i="5"/>
  <c r="D27" i="5"/>
  <c r="H14" i="5"/>
  <c r="G23" i="5"/>
  <c r="A14" i="5" l="1"/>
  <c r="H7" i="5"/>
  <c r="H9" i="5"/>
  <c r="H11" i="5"/>
  <c r="H16" i="5"/>
  <c r="H12" i="5"/>
  <c r="H19" i="5"/>
  <c r="H10" i="5"/>
  <c r="H8" i="5"/>
  <c r="H21" i="5"/>
  <c r="H17" i="5"/>
  <c r="E23" i="5"/>
  <c r="H13" i="5"/>
  <c r="A15" i="5" l="1"/>
  <c r="H23" i="5"/>
  <c r="A16" i="5" l="1"/>
  <c r="A17" i="5" l="1"/>
  <c r="A18" i="5" l="1"/>
  <c r="A19" i="5" l="1"/>
  <c r="A20" i="5" l="1"/>
  <c r="A21" i="5" l="1"/>
  <c r="A22" i="5" l="1"/>
  <c r="A23" i="5" l="1"/>
  <c r="A24" i="5" l="1"/>
  <c r="A25" i="5" l="1"/>
  <c r="A26" i="5" l="1"/>
  <c r="A27" i="5" l="1"/>
  <c r="U13" i="53" l="1"/>
  <c r="Q13" i="53"/>
  <c r="R13" i="53" l="1"/>
  <c r="Z13" i="53" l="1"/>
  <c r="D26" i="69" l="1"/>
  <c r="D12" i="69"/>
  <c r="D14" i="69"/>
  <c r="D21" i="69"/>
  <c r="D23" i="69"/>
  <c r="D27" i="69"/>
  <c r="D30" i="69"/>
  <c r="D7" i="69"/>
  <c r="D9" i="69" s="1"/>
  <c r="D16" i="69"/>
  <c r="D24" i="69" l="1"/>
  <c r="D18" i="69"/>
  <c r="D28" i="69"/>
  <c r="J31" i="53"/>
  <c r="J27" i="53"/>
  <c r="J28" i="53"/>
  <c r="J24" i="53"/>
  <c r="D35" i="69" l="1"/>
  <c r="J8" i="53"/>
  <c r="E9" i="69"/>
  <c r="U28" i="53"/>
  <c r="U23" i="1" s="1"/>
  <c r="Q28" i="53"/>
  <c r="R28" i="53" s="1"/>
  <c r="Z28" i="53" s="1"/>
  <c r="J23" i="1"/>
  <c r="Q23" i="1" s="1"/>
  <c r="R23" i="1" s="1"/>
  <c r="Z23" i="1" s="1"/>
  <c r="E28" i="69"/>
  <c r="Q27" i="53"/>
  <c r="U27" i="53"/>
  <c r="J22" i="1"/>
  <c r="J29" i="53"/>
  <c r="Q24" i="53"/>
  <c r="R24" i="53" s="1"/>
  <c r="Z24" i="53" s="1"/>
  <c r="J19" i="1"/>
  <c r="Q19" i="1" s="1"/>
  <c r="R19" i="1" s="1"/>
  <c r="Z19" i="1" s="1"/>
  <c r="U24" i="53"/>
  <c r="U19" i="1" s="1"/>
  <c r="J26" i="1"/>
  <c r="Q26" i="1" s="1"/>
  <c r="R26" i="1" s="1"/>
  <c r="Z26" i="1" s="1"/>
  <c r="U31" i="53"/>
  <c r="U26" i="1" s="1"/>
  <c r="Q31" i="53"/>
  <c r="R31" i="53" s="1"/>
  <c r="Z31" i="53" s="1"/>
  <c r="J15" i="53"/>
  <c r="J17" i="53"/>
  <c r="J13" i="1" l="1"/>
  <c r="Q13" i="1" s="1"/>
  <c r="R13" i="1" s="1"/>
  <c r="Z13" i="1" s="1"/>
  <c r="U17" i="53"/>
  <c r="U13" i="1" s="1"/>
  <c r="Q17" i="53"/>
  <c r="R17" i="53" s="1"/>
  <c r="Z17" i="53" s="1"/>
  <c r="Q29" i="53"/>
  <c r="R27" i="53"/>
  <c r="Q15" i="53"/>
  <c r="R15" i="53" s="1"/>
  <c r="Z15" i="53" s="1"/>
  <c r="U15" i="53"/>
  <c r="U12" i="1" s="1"/>
  <c r="J12" i="1"/>
  <c r="Q12" i="1" s="1"/>
  <c r="R12" i="1" s="1"/>
  <c r="Z12" i="1" s="1"/>
  <c r="U29" i="53"/>
  <c r="U22" i="1"/>
  <c r="U24" i="1" s="1"/>
  <c r="E24" i="69"/>
  <c r="J22" i="53"/>
  <c r="J12" i="53"/>
  <c r="E18" i="69"/>
  <c r="Q22" i="1"/>
  <c r="J24" i="1"/>
  <c r="U8" i="53"/>
  <c r="J9" i="53"/>
  <c r="J8" i="1"/>
  <c r="Q8" i="53"/>
  <c r="E35" i="69" l="1"/>
  <c r="J41" i="53" s="1"/>
  <c r="U41" i="53" s="1"/>
  <c r="R22" i="1"/>
  <c r="Q24" i="1"/>
  <c r="J9" i="1"/>
  <c r="Q8" i="1"/>
  <c r="U9" i="53"/>
  <c r="U8" i="1"/>
  <c r="U9" i="1" s="1"/>
  <c r="U12" i="53"/>
  <c r="J11" i="1"/>
  <c r="Q12" i="53"/>
  <c r="J19" i="53"/>
  <c r="R8" i="53"/>
  <c r="Q9" i="53"/>
  <c r="U22" i="53"/>
  <c r="J17" i="1"/>
  <c r="Q22" i="53"/>
  <c r="J25" i="53"/>
  <c r="Z27" i="53"/>
  <c r="R29" i="53"/>
  <c r="Z29" i="53" s="1"/>
  <c r="Q41" i="53" l="1"/>
  <c r="R41" i="53" s="1"/>
  <c r="J35" i="53"/>
  <c r="J39" i="53" s="1"/>
  <c r="J36" i="1" s="1"/>
  <c r="U25" i="53"/>
  <c r="U17" i="1"/>
  <c r="U20" i="1" s="1"/>
  <c r="R12" i="53"/>
  <c r="Q19" i="53"/>
  <c r="R22" i="53"/>
  <c r="Q25" i="53"/>
  <c r="Q9" i="1"/>
  <c r="R8" i="1"/>
  <c r="Q11" i="1"/>
  <c r="J15" i="1"/>
  <c r="R24" i="1"/>
  <c r="Z24" i="1" s="1"/>
  <c r="Z22" i="1"/>
  <c r="R9" i="53"/>
  <c r="Z8" i="53"/>
  <c r="U11" i="1"/>
  <c r="U15" i="1" s="1"/>
  <c r="U19" i="53"/>
  <c r="J20" i="1"/>
  <c r="Q17" i="1"/>
  <c r="U35" i="53" l="1"/>
  <c r="U39" i="53" s="1"/>
  <c r="Q35" i="53"/>
  <c r="Q39" i="53" s="1"/>
  <c r="Q36" i="1" s="1"/>
  <c r="J30" i="1"/>
  <c r="J34" i="1" s="1"/>
  <c r="U30" i="1"/>
  <c r="U34" i="1" s="1"/>
  <c r="J42" i="53"/>
  <c r="U42" i="53"/>
  <c r="U36" i="1"/>
  <c r="Z22" i="53"/>
  <c r="R25" i="53"/>
  <c r="Z25" i="53" s="1"/>
  <c r="R17" i="1"/>
  <c r="Q20" i="1"/>
  <c r="Z8" i="1"/>
  <c r="R9" i="1"/>
  <c r="Z9" i="53"/>
  <c r="R11" i="1"/>
  <c r="Q15" i="1"/>
  <c r="Z12" i="53"/>
  <c r="R19" i="53"/>
  <c r="Z19" i="53" s="1"/>
  <c r="Q42" i="53" l="1"/>
  <c r="R35" i="53"/>
  <c r="Z35" i="53" s="1"/>
  <c r="Q30" i="1"/>
  <c r="Q34" i="1" s="1"/>
  <c r="R20" i="1"/>
  <c r="Z20" i="1" s="1"/>
  <c r="Z17" i="1"/>
  <c r="Z9" i="1"/>
  <c r="Z11" i="1"/>
  <c r="R15" i="1"/>
  <c r="Z15" i="1" s="1"/>
  <c r="R39" i="53" l="1"/>
  <c r="Z39" i="53" s="1"/>
  <c r="R30" i="1"/>
  <c r="R42" i="53" l="1"/>
  <c r="R36" i="1"/>
  <c r="R34" i="1"/>
  <c r="Z34" i="1" s="1"/>
  <c r="Z30" i="1"/>
  <c r="F30" i="69" l="1"/>
  <c r="W31" i="53" s="1"/>
  <c r="W26" i="1" s="1"/>
  <c r="F27" i="69"/>
  <c r="W28" i="53" s="1"/>
  <c r="W23" i="1" s="1"/>
  <c r="F26" i="69"/>
  <c r="F23" i="69"/>
  <c r="W24" i="53" s="1"/>
  <c r="W19" i="1" s="1"/>
  <c r="W27" i="53" l="1"/>
  <c r="F28" i="69"/>
  <c r="F12" i="69"/>
  <c r="F7" i="69"/>
  <c r="F14" i="69"/>
  <c r="W15" i="53" s="1"/>
  <c r="W12" i="1" s="1"/>
  <c r="F16" i="69"/>
  <c r="W17" i="53" s="1"/>
  <c r="W13" i="1" s="1"/>
  <c r="F21" i="69"/>
  <c r="W22" i="53" l="1"/>
  <c r="F24" i="69"/>
  <c r="W22" i="1"/>
  <c r="W24" i="1" s="1"/>
  <c r="W29" i="53"/>
  <c r="F9" i="69"/>
  <c r="W8" i="53"/>
  <c r="W12" i="53"/>
  <c r="F18" i="69"/>
  <c r="W9" i="53" l="1"/>
  <c r="W8" i="1"/>
  <c r="W9" i="1" s="1"/>
  <c r="F35" i="69"/>
  <c r="W41" i="53" s="1"/>
  <c r="W11" i="1"/>
  <c r="W15" i="1" s="1"/>
  <c r="W19" i="53"/>
  <c r="W17" i="1"/>
  <c r="W20" i="1" s="1"/>
  <c r="W25" i="53"/>
  <c r="W30" i="1" l="1"/>
  <c r="W34" i="1" s="1"/>
  <c r="W35" i="53"/>
  <c r="W39" i="53" s="1"/>
  <c r="W42" i="53" l="1"/>
  <c r="W36" i="1"/>
  <c r="X40" i="1" s="1"/>
  <c r="I23" i="5" l="1"/>
  <c r="J19" i="5" l="1"/>
  <c r="J7" i="5"/>
  <c r="J11" i="5" l="1"/>
  <c r="J13" i="5"/>
  <c r="J12" i="5"/>
  <c r="J9" i="5"/>
  <c r="J14" i="5"/>
  <c r="J16" i="5"/>
  <c r="J10" i="5"/>
  <c r="J8" i="5"/>
  <c r="J21" i="5"/>
  <c r="J17" i="5"/>
  <c r="J23" i="5" l="1"/>
  <c r="K25" i="5" l="1"/>
  <c r="K21" i="5"/>
  <c r="K19" i="5"/>
  <c r="K17" i="5"/>
  <c r="K16" i="5"/>
  <c r="K14" i="5"/>
  <c r="K13" i="5"/>
  <c r="K12" i="5"/>
  <c r="K11" i="5"/>
  <c r="K10" i="5"/>
  <c r="K9" i="5"/>
  <c r="K8" i="5"/>
  <c r="K7" i="5"/>
  <c r="K23" i="5" l="1"/>
  <c r="K27" i="5" l="1"/>
  <c r="L12" i="5" l="1"/>
  <c r="G20" i="3" s="1"/>
  <c r="L11" i="5"/>
  <c r="G17" i="3" s="1"/>
  <c r="H17" i="3" s="1"/>
  <c r="I17" i="3" s="1"/>
  <c r="V18" i="53" s="1"/>
  <c r="L14" i="5"/>
  <c r="G23" i="3" s="1"/>
  <c r="H23" i="3" s="1"/>
  <c r="I23" i="3" s="1"/>
  <c r="V24" i="53" s="1"/>
  <c r="L10" i="5"/>
  <c r="G15" i="3" s="1"/>
  <c r="L13" i="5"/>
  <c r="G22" i="3" s="1"/>
  <c r="H22" i="3" s="1"/>
  <c r="I22" i="3" s="1"/>
  <c r="V23" i="53" s="1"/>
  <c r="L21" i="5"/>
  <c r="G33" i="3" s="1"/>
  <c r="H33" i="3" s="1"/>
  <c r="I33" i="3" s="1"/>
  <c r="V37" i="53" s="1"/>
  <c r="L8" i="5"/>
  <c r="G11" i="3" s="1"/>
  <c r="L9" i="5"/>
  <c r="G8" i="3" s="1"/>
  <c r="L17" i="5"/>
  <c r="G27" i="3" s="1"/>
  <c r="H27" i="3" s="1"/>
  <c r="I27" i="3" s="1"/>
  <c r="V28" i="53" s="1"/>
  <c r="L16" i="5"/>
  <c r="G26" i="3" s="1"/>
  <c r="H26" i="3" s="1"/>
  <c r="I26" i="3" s="1"/>
  <c r="V27" i="53" l="1"/>
  <c r="I28" i="3"/>
  <c r="X24" i="53"/>
  <c r="V19" i="1"/>
  <c r="X19" i="1" s="1"/>
  <c r="H11" i="3"/>
  <c r="G12" i="3"/>
  <c r="G21" i="3"/>
  <c r="H20" i="3"/>
  <c r="X28" i="53"/>
  <c r="V23" i="1"/>
  <c r="X23" i="1" s="1"/>
  <c r="V18" i="1"/>
  <c r="X18" i="1" s="1"/>
  <c r="X23" i="53"/>
  <c r="V32" i="1"/>
  <c r="X32" i="1" s="1"/>
  <c r="X37" i="53"/>
  <c r="G13" i="3"/>
  <c r="G14" i="3" s="1"/>
  <c r="H8" i="3"/>
  <c r="G16" i="3"/>
  <c r="H15" i="3"/>
  <c r="X18" i="53"/>
  <c r="V14" i="1"/>
  <c r="X14" i="1" s="1"/>
  <c r="L19" i="5"/>
  <c r="G30" i="3" s="1"/>
  <c r="H30" i="3" s="1"/>
  <c r="I30" i="3" s="1"/>
  <c r="V31" i="53" s="1"/>
  <c r="L23" i="5"/>
  <c r="L7" i="5"/>
  <c r="G7" i="3" s="1"/>
  <c r="H13" i="3" l="1"/>
  <c r="I8" i="3"/>
  <c r="V14" i="53" s="1"/>
  <c r="X14" i="53" s="1"/>
  <c r="Y23" i="53"/>
  <c r="AA23" i="53" s="1"/>
  <c r="AB23" i="53"/>
  <c r="H21" i="3"/>
  <c r="I21" i="3" s="1"/>
  <c r="V22" i="53" s="1"/>
  <c r="X22" i="53" s="1"/>
  <c r="I20" i="3"/>
  <c r="Y18" i="53"/>
  <c r="AA18" i="53" s="1"/>
  <c r="AB18" i="53"/>
  <c r="Y18" i="1"/>
  <c r="AA18" i="1" s="1"/>
  <c r="AB18" i="1"/>
  <c r="AB24" i="53"/>
  <c r="Y24" i="53"/>
  <c r="AA24" i="53" s="1"/>
  <c r="V26" i="1"/>
  <c r="X26" i="1" s="1"/>
  <c r="X31" i="53"/>
  <c r="I15" i="3"/>
  <c r="V16" i="53" s="1"/>
  <c r="H16" i="3"/>
  <c r="I16" i="3" s="1"/>
  <c r="V17" i="53" s="1"/>
  <c r="X17" i="53" s="1"/>
  <c r="AB23" i="1"/>
  <c r="Y23" i="1"/>
  <c r="AA23" i="1" s="1"/>
  <c r="AB14" i="1"/>
  <c r="Y14" i="1"/>
  <c r="AA14" i="1" s="1"/>
  <c r="Y19" i="1"/>
  <c r="AA19" i="1" s="1"/>
  <c r="AB19" i="1"/>
  <c r="Y37" i="53"/>
  <c r="AA37" i="53" s="1"/>
  <c r="AB37" i="53"/>
  <c r="H7" i="3"/>
  <c r="I7" i="3" s="1"/>
  <c r="F52" i="65"/>
  <c r="F56" i="65" s="1"/>
  <c r="Y32" i="1"/>
  <c r="AA32" i="1" s="1"/>
  <c r="AB32" i="1"/>
  <c r="Y28" i="53"/>
  <c r="AA28" i="53" s="1"/>
  <c r="AB28" i="53"/>
  <c r="I11" i="3"/>
  <c r="H12" i="3"/>
  <c r="I12" i="3" s="1"/>
  <c r="V12" i="53" s="1"/>
  <c r="X12" i="53" s="1"/>
  <c r="V22" i="1"/>
  <c r="X27" i="53"/>
  <c r="V29" i="53"/>
  <c r="Y12" i="53" l="1"/>
  <c r="AA12" i="53" s="1"/>
  <c r="AB12" i="53"/>
  <c r="V11" i="53"/>
  <c r="X16" i="53"/>
  <c r="V13" i="1"/>
  <c r="X13" i="1" s="1"/>
  <c r="X29" i="53"/>
  <c r="AB29" i="53" s="1"/>
  <c r="AB27" i="53"/>
  <c r="Y27" i="53"/>
  <c r="F58" i="65"/>
  <c r="F59" i="65"/>
  <c r="AB31" i="53"/>
  <c r="Y31" i="53"/>
  <c r="AA31" i="53" s="1"/>
  <c r="I24" i="3"/>
  <c r="V21" i="53"/>
  <c r="Y14" i="53"/>
  <c r="AA14" i="53" s="1"/>
  <c r="AB14" i="53"/>
  <c r="AB17" i="53"/>
  <c r="Y17" i="53"/>
  <c r="AA17" i="53" s="1"/>
  <c r="V24" i="1"/>
  <c r="X22" i="1"/>
  <c r="I9" i="3"/>
  <c r="V8" i="53"/>
  <c r="Y26" i="1"/>
  <c r="AA26" i="1" s="1"/>
  <c r="AB26" i="1"/>
  <c r="Y22" i="53"/>
  <c r="AA22" i="53" s="1"/>
  <c r="AB22" i="53"/>
  <c r="H14" i="3"/>
  <c r="I14" i="3" s="1"/>
  <c r="V15" i="53" s="1"/>
  <c r="X15" i="53" s="1"/>
  <c r="I13" i="3"/>
  <c r="V13" i="53" s="1"/>
  <c r="X8" i="53" l="1"/>
  <c r="V8" i="1"/>
  <c r="V9" i="53"/>
  <c r="J10" i="65"/>
  <c r="J9" i="65"/>
  <c r="J14" i="65"/>
  <c r="J15" i="65"/>
  <c r="J12" i="65"/>
  <c r="J13" i="65"/>
  <c r="J22" i="65"/>
  <c r="J23" i="65"/>
  <c r="J17" i="65"/>
  <c r="J16" i="65"/>
  <c r="J8" i="65"/>
  <c r="J11" i="65"/>
  <c r="J18" i="65"/>
  <c r="J7" i="65"/>
  <c r="V11" i="1"/>
  <c r="V19" i="53"/>
  <c r="X11" i="53"/>
  <c r="V17" i="1"/>
  <c r="X21" i="53"/>
  <c r="V25" i="53"/>
  <c r="I12" i="65"/>
  <c r="I23" i="65"/>
  <c r="I14" i="65"/>
  <c r="K14" i="65" s="1"/>
  <c r="L14" i="65" s="1"/>
  <c r="M14" i="65" s="1"/>
  <c r="I15" i="65"/>
  <c r="K15" i="65" s="1"/>
  <c r="L15" i="65" s="1"/>
  <c r="M15" i="65" s="1"/>
  <c r="I9" i="65"/>
  <c r="K9" i="65" s="1"/>
  <c r="L9" i="65" s="1"/>
  <c r="M9" i="65" s="1"/>
  <c r="I17" i="65"/>
  <c r="I18" i="65"/>
  <c r="I10" i="65"/>
  <c r="I8" i="65"/>
  <c r="K8" i="65" s="1"/>
  <c r="L8" i="65" s="1"/>
  <c r="M8" i="65" s="1"/>
  <c r="I11" i="65"/>
  <c r="I13" i="65"/>
  <c r="K13" i="65" s="1"/>
  <c r="L13" i="65" s="1"/>
  <c r="M13" i="65" s="1"/>
  <c r="I7" i="65"/>
  <c r="I16" i="65"/>
  <c r="K16" i="65" s="1"/>
  <c r="L16" i="65" s="1"/>
  <c r="M16" i="65" s="1"/>
  <c r="I22" i="65"/>
  <c r="K22" i="65" s="1"/>
  <c r="L22" i="65" s="1"/>
  <c r="M22" i="65" s="1"/>
  <c r="Y15" i="53"/>
  <c r="AA15" i="53" s="1"/>
  <c r="AB15" i="53"/>
  <c r="I18" i="3"/>
  <c r="I35" i="3" s="1"/>
  <c r="V41" i="53" s="1"/>
  <c r="X41" i="53" s="1"/>
  <c r="Y41" i="53" s="1"/>
  <c r="AB13" i="1"/>
  <c r="Y13" i="1"/>
  <c r="AA13" i="1" s="1"/>
  <c r="X13" i="53"/>
  <c r="V12" i="1"/>
  <c r="X12" i="1" s="1"/>
  <c r="AB22" i="1"/>
  <c r="X24" i="1"/>
  <c r="AB24" i="1" s="1"/>
  <c r="Y22" i="1"/>
  <c r="AA27" i="53"/>
  <c r="Y29" i="53"/>
  <c r="AA29" i="53" s="1"/>
  <c r="Y16" i="53"/>
  <c r="AA16" i="53" s="1"/>
  <c r="AB16" i="53"/>
  <c r="K12" i="65" l="1"/>
  <c r="L12" i="65" s="1"/>
  <c r="M12" i="65" s="1"/>
  <c r="K11" i="65"/>
  <c r="L11" i="65" s="1"/>
  <c r="M11" i="65" s="1"/>
  <c r="AA22" i="1"/>
  <c r="Y24" i="1"/>
  <c r="AA24" i="1" s="1"/>
  <c r="AB13" i="53"/>
  <c r="Y13" i="53"/>
  <c r="AA13" i="53" s="1"/>
  <c r="K7" i="65"/>
  <c r="I20" i="65"/>
  <c r="K10" i="65"/>
  <c r="L10" i="65" s="1"/>
  <c r="M10" i="65" s="1"/>
  <c r="V35" i="53"/>
  <c r="V39" i="53" s="1"/>
  <c r="X19" i="53"/>
  <c r="AB19" i="53" s="1"/>
  <c r="Y11" i="53"/>
  <c r="AB11" i="53"/>
  <c r="Y21" i="53"/>
  <c r="X25" i="53"/>
  <c r="AB25" i="53" s="1"/>
  <c r="AB21" i="53"/>
  <c r="X11" i="1"/>
  <c r="V15" i="1"/>
  <c r="X8" i="1"/>
  <c r="V9" i="1"/>
  <c r="AB12" i="1"/>
  <c r="Y12" i="1"/>
  <c r="AA12" i="1" s="1"/>
  <c r="K18" i="65"/>
  <c r="L18" i="65" s="1"/>
  <c r="M18" i="65" s="1"/>
  <c r="K17" i="65"/>
  <c r="L17" i="65" s="1"/>
  <c r="M17" i="65" s="1"/>
  <c r="K23" i="65"/>
  <c r="L23" i="65" s="1"/>
  <c r="M23" i="65" s="1"/>
  <c r="X17" i="1"/>
  <c r="V20" i="1"/>
  <c r="J20" i="65"/>
  <c r="X9" i="53"/>
  <c r="AB8" i="53"/>
  <c r="Y8" i="53"/>
  <c r="Y11" i="1" l="1"/>
  <c r="AB11" i="1"/>
  <c r="X15" i="1"/>
  <c r="AB15" i="1" s="1"/>
  <c r="AB17" i="1"/>
  <c r="X20" i="1"/>
  <c r="AB20" i="1" s="1"/>
  <c r="Y17" i="1"/>
  <c r="AA21" i="53"/>
  <c r="Y25" i="53"/>
  <c r="AA25" i="53" s="1"/>
  <c r="Y19" i="53"/>
  <c r="AA19" i="53" s="1"/>
  <c r="AA11" i="53"/>
  <c r="V36" i="1"/>
  <c r="X39" i="1" s="1"/>
  <c r="V42" i="53"/>
  <c r="X35" i="53"/>
  <c r="AB9" i="53"/>
  <c r="V30" i="1"/>
  <c r="V34" i="1" s="1"/>
  <c r="AA8" i="53"/>
  <c r="Y9" i="53"/>
  <c r="AB8" i="1"/>
  <c r="X9" i="1"/>
  <c r="Y8" i="1"/>
  <c r="L7" i="65"/>
  <c r="M7" i="65" s="1"/>
  <c r="K20" i="65"/>
  <c r="L20" i="65" s="1"/>
  <c r="M20" i="65" s="1"/>
  <c r="AB9" i="1" l="1"/>
  <c r="X30" i="1"/>
  <c r="AA17" i="1"/>
  <c r="Y20" i="1"/>
  <c r="AA20" i="1" s="1"/>
  <c r="Y9" i="1"/>
  <c r="AA8" i="1"/>
  <c r="AA9" i="53"/>
  <c r="Y35" i="53"/>
  <c r="X39" i="53"/>
  <c r="AB35" i="53"/>
  <c r="Y15" i="1"/>
  <c r="AA15" i="1" s="1"/>
  <c r="AA11" i="1"/>
  <c r="AA35" i="53" l="1"/>
  <c r="Y39" i="53"/>
  <c r="AB30" i="1"/>
  <c r="X34" i="1"/>
  <c r="AB34" i="1" s="1"/>
  <c r="X36" i="1"/>
  <c r="X42" i="53"/>
  <c r="AB39" i="53"/>
  <c r="AA9" i="1"/>
  <c r="Y30" i="1"/>
  <c r="Y36" i="1" l="1"/>
  <c r="Y42" i="53"/>
  <c r="AA39" i="53"/>
  <c r="Y34" i="1"/>
  <c r="AA34" i="1" s="1"/>
  <c r="AA30" i="1"/>
</calcChain>
</file>

<file path=xl/comments1.xml><?xml version="1.0" encoding="utf-8"?>
<comments xmlns="http://schemas.openxmlformats.org/spreadsheetml/2006/main">
  <authors>
    <author>KXu</author>
  </authors>
  <commentList>
    <comment ref="U6" authorId="0" shapeId="0">
      <text>
        <r>
          <rPr>
            <b/>
            <sz val="9"/>
            <color indexed="81"/>
            <rFont val="Tahoma"/>
            <family val="2"/>
          </rPr>
          <t>KXu:</t>
        </r>
        <r>
          <rPr>
            <sz val="9"/>
            <color indexed="81"/>
            <rFont val="Tahoma"/>
            <family val="2"/>
          </rPr>
          <t xml:space="preserve">
Microsoft is excluded in schedule 40</t>
        </r>
      </text>
    </comment>
  </commentList>
</comments>
</file>

<file path=xl/sharedStrings.xml><?xml version="1.0" encoding="utf-8"?>
<sst xmlns="http://schemas.openxmlformats.org/spreadsheetml/2006/main" count="1185" uniqueCount="563">
  <si>
    <t>Puget Sound Energy</t>
  </si>
  <si>
    <t>Remove:</t>
  </si>
  <si>
    <t>Add:</t>
  </si>
  <si>
    <t>Line No.</t>
  </si>
  <si>
    <t>Tariff</t>
  </si>
  <si>
    <t>Schedule 95A
Federal Incentive Credit</t>
  </si>
  <si>
    <t>Schedule 120
Conservation</t>
  </si>
  <si>
    <t>Schedule 129
Low Income</t>
  </si>
  <si>
    <t>Schedule 140
Property Tax</t>
  </si>
  <si>
    <t>Schedule 194
BPA Res &amp; Farm Credit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</si>
  <si>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</si>
  <si>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</si>
  <si>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</si>
  <si>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</si>
  <si>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</si>
  <si>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</si>
  <si>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</si>
  <si>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</si>
  <si>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</si>
  <si>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 xml:space="preserve"> </t>
  </si>
  <si>
    <t>TABLE A. PRESENT AND PROPOSED RATES</t>
  </si>
  <si>
    <t>PUGET SOUND ENERGY</t>
  </si>
  <si>
    <t>ON REVENUES FROM ELECTRIC SALES</t>
  </si>
  <si>
    <t>Present</t>
  </si>
  <si>
    <t>Proposed</t>
  </si>
  <si>
    <t>Current</t>
  </si>
  <si>
    <t>Base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</si>
  <si>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</si>
  <si>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</si>
  <si>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</si>
  <si>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</si>
  <si>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</si>
  <si>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</si>
  <si>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</si>
  <si>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</si>
  <si>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</si>
  <si>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</si>
  <si>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</si>
  <si>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</si>
  <si>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</si>
  <si>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</si>
  <si>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</si>
  <si>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</si>
  <si>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</si>
  <si>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</si>
  <si>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</si>
  <si>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</si>
  <si>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</si>
  <si>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</si>
  <si>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</si>
  <si>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</si>
  <si>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</si>
  <si>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</si>
  <si>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</si>
  <si>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</si>
  <si>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</si>
  <si>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</si>
  <si>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</si>
  <si>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</si>
  <si>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</si>
  <si>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</si>
  <si>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</si>
  <si>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</si>
  <si>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</si>
  <si>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</si>
  <si>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</si>
  <si>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</si>
  <si>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</si>
  <si>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</si>
  <si>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High Voltage General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</si>
  <si>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</si>
  <si>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</si>
  <si>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</si>
  <si>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</si>
  <si>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</si>
  <si>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</si>
  <si>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Check</t>
  </si>
  <si>
    <t>24 (8)</t>
  </si>
  <si>
    <t>26 (12,26P)</t>
  </si>
  <si>
    <t>31 (10)</t>
  </si>
  <si>
    <t>Firm Resale</t>
  </si>
  <si>
    <t>Total Sales</t>
  </si>
  <si>
    <t>Schedule 95a - Federal Incentive Impacts</t>
  </si>
  <si>
    <t>CUSTOMER CLASS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</si>
  <si>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</si>
  <si>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</si>
  <si>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</si>
  <si>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</si>
  <si>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</si>
  <si>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</si>
  <si>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</si>
  <si>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</si>
  <si>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</si>
  <si>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</si>
  <si>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</si>
  <si>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</si>
  <si>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</si>
  <si>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</si>
  <si>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</si>
  <si>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</si>
  <si>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</si>
  <si>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</si>
  <si>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</si>
  <si>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</si>
  <si>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</si>
  <si>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HV Interruptible Svc</t>
  </si>
  <si>
    <t>HV Gen Svc</t>
  </si>
  <si>
    <t>High Voltage Service Total</t>
  </si>
  <si>
    <t>Lights</t>
  </si>
  <si>
    <t>Subtotal</t>
  </si>
  <si>
    <t>Transportation</t>
  </si>
  <si>
    <t>449 / 459</t>
  </si>
  <si>
    <t>`</t>
  </si>
  <si>
    <t>Current vs. Proposed Schedule 120</t>
  </si>
  <si>
    <t>SCHEDULE</t>
  </si>
  <si>
    <t>Settlement Methodology</t>
  </si>
  <si>
    <t>Customer Rate Impacts</t>
  </si>
  <si>
    <t>Customer Class</t>
  </si>
  <si>
    <t>Schedule</t>
  </si>
  <si>
    <t>Change In Rates</t>
  </si>
  <si>
    <t>$ Increase (Decrease) Due To Rate Change</t>
  </si>
  <si>
    <t>% Increase (Decrease) Due To Rate Change</t>
  </si>
  <si>
    <t>A</t>
  </si>
  <si>
    <t>B</t>
  </si>
  <si>
    <t>C</t>
  </si>
  <si>
    <t>D</t>
  </si>
  <si>
    <t>E = D - C</t>
  </si>
  <si>
    <t>F=
B+(A*C)</t>
  </si>
  <si>
    <t>G=
B+(A*D)</t>
  </si>
  <si>
    <t>H=
G - F</t>
  </si>
  <si>
    <t>I=
H / F</t>
  </si>
  <si>
    <t>8 / 24</t>
  </si>
  <si>
    <t>11 / 25 / 7A</t>
  </si>
  <si>
    <t>10 / 31</t>
  </si>
  <si>
    <t>Retail Wheeling</t>
  </si>
  <si>
    <t>Voltage Level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</si>
  <si>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</si>
  <si>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</si>
  <si>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</si>
  <si>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</si>
  <si>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</si>
  <si>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</si>
  <si>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</si>
  <si>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</si>
  <si>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</si>
  <si>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</si>
  <si>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</si>
  <si>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</si>
  <si>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</si>
  <si>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</si>
  <si>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</si>
  <si>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</si>
  <si>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</si>
  <si>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</si>
  <si>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</si>
  <si>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</si>
  <si>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</si>
  <si>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</si>
  <si>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</si>
  <si>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Proposed Schedule 194</t>
  </si>
  <si>
    <t>BPA Residential and Farm Energy Exchange Benefits</t>
  </si>
  <si>
    <t>Calculation</t>
  </si>
  <si>
    <t>Total amount to be credited before revenue related expense conversion</t>
  </si>
  <si>
    <t>Revenue Related Expense Conversion Factor</t>
  </si>
  <si>
    <t>Grossed up Total to be Credited</t>
  </si>
  <si>
    <t>Bill Impacts:</t>
  </si>
  <si>
    <t>Increase (Decrease) to average monthly bill</t>
  </si>
  <si>
    <t>Percentage Increase (Decrease) to average bill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</si>
  <si>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</si>
  <si>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</si>
  <si>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</si>
  <si>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</si>
  <si>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</si>
  <si>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</si>
  <si>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</si>
  <si>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</si>
  <si>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</si>
  <si>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 xml:space="preserve">DSM
Schedule 120 Rider Rev </t>
  </si>
  <si>
    <t>Fed Inc Tracker
Schedule 95a
Revenue</t>
  </si>
  <si>
    <t>Schedule 129 - Low Income</t>
  </si>
  <si>
    <t>Schedule 137 - REC's</t>
  </si>
  <si>
    <t>REC's
Sch 137
Rider Revenue</t>
  </si>
  <si>
    <t>Statement of Proforma and Proposed Revenues for Renewable Energy Credit</t>
  </si>
  <si>
    <t>12 / 26</t>
  </si>
  <si>
    <t>Schedule 140 - Property Tax</t>
  </si>
  <si>
    <t>Property Tax
Sch 140
Rider Revenue</t>
  </si>
  <si>
    <t>7A</t>
  </si>
  <si>
    <t>25 (11, 7A)</t>
  </si>
  <si>
    <t>PSE Rider Revenue Estimates</t>
  </si>
  <si>
    <t>Line No</t>
  </si>
  <si>
    <t>Schedule 142 - Decoupling</t>
  </si>
  <si>
    <t>Total Secondary</t>
  </si>
  <si>
    <t>Total Primary</t>
  </si>
  <si>
    <t>% Change (Net)</t>
  </si>
  <si>
    <t>Schedule 194 - BPA Residential Credit</t>
  </si>
  <si>
    <t>Schedule 194
BPA
Residential &amp;
Farm Credit</t>
  </si>
  <si>
    <t>8/24</t>
  </si>
  <si>
    <t>7A/11/25</t>
  </si>
  <si>
    <t>12/26</t>
  </si>
  <si>
    <t>10/31</t>
  </si>
  <si>
    <t xml:space="preserve">Transportation </t>
  </si>
  <si>
    <t>Decoupling
Sch 142
Rider Revenue</t>
  </si>
  <si>
    <t>RATE EFFECTS</t>
  </si>
  <si>
    <t>LFG's Monthly Summary by Class</t>
  </si>
  <si>
    <t>(After DSM Program Impacts)</t>
  </si>
  <si>
    <t>Year</t>
  </si>
  <si>
    <t>Month</t>
  </si>
  <si>
    <t>Commercial</t>
  </si>
  <si>
    <t>Industrial</t>
  </si>
  <si>
    <t>Resale</t>
  </si>
  <si>
    <t>Sales Total</t>
  </si>
  <si>
    <t>Transport</t>
  </si>
  <si>
    <t>Sales+Transport</t>
  </si>
  <si>
    <t>RC 03</t>
  </si>
  <si>
    <t>RC 05</t>
  </si>
  <si>
    <t>RC 07</t>
  </si>
  <si>
    <t>RC 7A</t>
  </si>
  <si>
    <t>RC 08</t>
  </si>
  <si>
    <t>RC 10</t>
  </si>
  <si>
    <t>RC 11</t>
  </si>
  <si>
    <t>RC 12</t>
  </si>
  <si>
    <t>RC 24C</t>
  </si>
  <si>
    <t>RC 24I</t>
  </si>
  <si>
    <t>RC 25C</t>
  </si>
  <si>
    <t>RC 25I</t>
  </si>
  <si>
    <t>RC 26C</t>
  </si>
  <si>
    <t>RC 26I</t>
  </si>
  <si>
    <t>RC 29</t>
  </si>
  <si>
    <t>RC 31C</t>
  </si>
  <si>
    <t>RC 31I</t>
  </si>
  <si>
    <t>RC 35</t>
  </si>
  <si>
    <t>RC 40C</t>
  </si>
  <si>
    <t>RC 40I</t>
  </si>
  <si>
    <t>RC 43</t>
  </si>
  <si>
    <t>RC 46C</t>
  </si>
  <si>
    <t>RC 46I</t>
  </si>
  <si>
    <t>RC 49C</t>
  </si>
  <si>
    <t>RC 49I</t>
  </si>
  <si>
    <t>RC 24L</t>
  </si>
  <si>
    <t>RC 25L</t>
  </si>
  <si>
    <t>RC 50</t>
  </si>
  <si>
    <t>RC 51</t>
  </si>
  <si>
    <t>RC 52</t>
  </si>
  <si>
    <t>RC 53</t>
  </si>
  <si>
    <t>RC 54</t>
  </si>
  <si>
    <t>RC 55</t>
  </si>
  <si>
    <t>RC 56</t>
  </si>
  <si>
    <t>RC 57</t>
  </si>
  <si>
    <t>RC 58</t>
  </si>
  <si>
    <t>RC 59</t>
  </si>
  <si>
    <t>RC 449PV</t>
  </si>
  <si>
    <t>RC449HV</t>
  </si>
  <si>
    <t>RC 459HV</t>
  </si>
  <si>
    <t>Tariff 7</t>
  </si>
  <si>
    <t>Tariff 7A</t>
  </si>
  <si>
    <t>Tariff 24</t>
  </si>
  <si>
    <t>Tariff 25</t>
  </si>
  <si>
    <t>Tariff 26</t>
  </si>
  <si>
    <t>Tariff 29</t>
  </si>
  <si>
    <t>Tariff 31</t>
  </si>
  <si>
    <t>Tariff 35</t>
  </si>
  <si>
    <t>Tariff 43</t>
  </si>
  <si>
    <t>Tariff 46</t>
  </si>
  <si>
    <t>Tariff 49</t>
  </si>
  <si>
    <t>Total Tariff</t>
  </si>
  <si>
    <t>Special Contract</t>
  </si>
  <si>
    <t>Annual kW Demand YE 12-2019
(F2018)</t>
  </si>
  <si>
    <t>Schedule 137 REC's</t>
  </si>
  <si>
    <t>50-55, 57-58</t>
  </si>
  <si>
    <t>56-59</t>
  </si>
  <si>
    <t>Total Lighting</t>
  </si>
  <si>
    <t>Net Adjustments</t>
  </si>
  <si>
    <t>kWh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</si>
  <si>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</si>
  <si>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</si>
  <si>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</si>
  <si>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</si>
  <si>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</si>
  <si>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</si>
  <si>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</si>
  <si>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</si>
  <si>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</si>
  <si>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</si>
  <si>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</si>
  <si>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</si>
  <si>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</si>
  <si>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</si>
  <si>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</si>
  <si>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 xml:space="preserve">Typical Residential </t>
  </si>
  <si>
    <t>Residential Schedule 7 Rates</t>
  </si>
  <si>
    <t>Customer Monthly Charge:</t>
  </si>
  <si>
    <t>One Phase Basic Charge</t>
  </si>
  <si>
    <t>per Month</t>
  </si>
  <si>
    <t>Subtotal Base Monthly Charge</t>
  </si>
  <si>
    <t>Energy Charge:</t>
  </si>
  <si>
    <t>Schedule 7 first 600 kWh</t>
  </si>
  <si>
    <t>$ / kWh</t>
  </si>
  <si>
    <t>Schedule 140 - Property Tax Rider</t>
  </si>
  <si>
    <t>Schedule 142 - Decoupling Rider</t>
  </si>
  <si>
    <t>Subtotal Base First 600 kWh Charge</t>
  </si>
  <si>
    <t>Schedule 7 over 600 kWh</t>
  </si>
  <si>
    <t>Subtotal Base Over 600 kWh Charge</t>
  </si>
  <si>
    <t>Schedule 194 - BPA Exchange Credit</t>
  </si>
  <si>
    <t>Other Electric Charges and Credits</t>
  </si>
  <si>
    <t>Schedule 95 - Power Cost Adjustment Clause</t>
  </si>
  <si>
    <t>Schedule 95A - Wind Power Production Credit</t>
  </si>
  <si>
    <t>Schedule 120 - Conservation Rider</t>
  </si>
  <si>
    <t>Schedule 137 - Renewable Energy Credit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</si>
  <si>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</si>
  <si>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</si>
  <si>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</si>
  <si>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</si>
  <si>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</si>
  <si>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</si>
  <si>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</si>
  <si>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Rate Impacts</t>
  </si>
  <si>
    <t xml:space="preserve">ESTIMATED EFFECT OF PROPOSED EXPEDITED RATE FILING (ERF) INCREASE </t>
  </si>
  <si>
    <t>12 MONTHS ENDED JUNE 2018</t>
  </si>
  <si>
    <t>Difference</t>
  </si>
  <si>
    <t>LFG's F2018 Forecast as of May 25, 2018 (MSFT Special Contract effective from Jan. 1, 2019)</t>
  </si>
  <si>
    <t>Schedule 95 - Impacts</t>
  </si>
  <si>
    <t xml:space="preserve">Proposed
Schedule 95
Revenue </t>
  </si>
  <si>
    <t>Projected
Revenue 
(Based on Rates
Effective
1-1-2019)</t>
  </si>
  <si>
    <t>Electric Schedule 141Y Tax Over Collection Rider</t>
  </si>
  <si>
    <t>Schedule 141Y - Tax Over Collection</t>
  </si>
  <si>
    <t>Sch 141Y
Rider Revenue</t>
  </si>
  <si>
    <t>Schedule 141Y - Tax Over Collection Rider</t>
  </si>
  <si>
    <t>Schedule 
141Y Tax Over Collection</t>
  </si>
  <si>
    <t>Schedule 141X (Pass back) ERF Rider</t>
  </si>
  <si>
    <t>Effective March 2019</t>
  </si>
  <si>
    <t>Base + Sch 141</t>
  </si>
  <si>
    <t>Sch 141</t>
  </si>
  <si>
    <t>Sch 141x</t>
  </si>
  <si>
    <t>Sch 141 Rate Spread</t>
  </si>
  <si>
    <t>Decrease</t>
  </si>
  <si>
    <t>Revenue</t>
  </si>
  <si>
    <t>(cents/kWh)</t>
  </si>
  <si>
    <t>(10)</t>
  </si>
  <si>
    <t>(11)</t>
  </si>
  <si>
    <t>-(7)</t>
  </si>
  <si>
    <t>(5)+(7)+(8)</t>
  </si>
  <si>
    <t>[(7)+(8)] / (5)</t>
  </si>
  <si>
    <t>(10) / (4)</t>
  </si>
  <si>
    <t>Tariff 40</t>
  </si>
  <si>
    <t>Transportation 449-459</t>
  </si>
  <si>
    <t>Retail Sales</t>
  </si>
  <si>
    <t>Calc'd Rate</t>
  </si>
  <si>
    <t>SC</t>
  </si>
  <si>
    <t>Delivered (Calendarized) Monthly Sales &amp; Transportation by Rate Schedule (Including EV)</t>
  </si>
  <si>
    <t>Streetlight</t>
  </si>
  <si>
    <t>Transport*</t>
  </si>
  <si>
    <t>Microsoft</t>
  </si>
  <si>
    <t>Test Year ended September 2019</t>
  </si>
  <si>
    <t>Current  Average 
Rates per KWHs</t>
  </si>
  <si>
    <t>Proposed Average 
Rates per KWHs</t>
  </si>
  <si>
    <t>October 12, 2019 through September 30, 2020</t>
  </si>
  <si>
    <t>(including Schedules 95, 95a, 120, 129, 132, 133, 137, 140, 141, 141x, 141y, 142 and 194)</t>
  </si>
  <si>
    <r>
      <t xml:space="preserve">Proposed Rates
Eff. </t>
    </r>
    <r>
      <rPr>
        <b/>
        <sz val="8"/>
        <color rgb="FF0000FF"/>
        <rFont val="Arial"/>
        <family val="2"/>
      </rPr>
      <t>10-12-19</t>
    </r>
  </si>
  <si>
    <t>Month No.</t>
  </si>
  <si>
    <t>449 / 459 / SC</t>
  </si>
  <si>
    <t>Budget Forecast</t>
  </si>
  <si>
    <t>Schedule 95
PCA/PCORC</t>
  </si>
  <si>
    <t>Average $ / kWh</t>
  </si>
  <si>
    <t>2018 Tax Passback</t>
  </si>
  <si>
    <t>Proposed Rider Rate Effective Start Date</t>
  </si>
  <si>
    <t>Proposed Rider Rate Effective End Date</t>
  </si>
  <si>
    <t>Current Rider Rate Effective Date</t>
  </si>
  <si>
    <t>Base Revenue Rate Effective Date</t>
  </si>
  <si>
    <t>Sch 24</t>
  </si>
  <si>
    <t>Sch 25</t>
  </si>
  <si>
    <t>Sch 26</t>
  </si>
  <si>
    <t>Sch 31</t>
  </si>
  <si>
    <t>Electric Schedule 140 Property Tax Rider</t>
  </si>
  <si>
    <t>Schedule 140 Property Tax Revenue Change</t>
  </si>
  <si>
    <t>Schedule 140 Property Tax % Change</t>
  </si>
  <si>
    <t>REVENUE
(Including 5-1-20
Sch 120 revenue)</t>
  </si>
  <si>
    <t>INCREASE (DECREASE) $</t>
  </si>
  <si>
    <t>INCREASE (DECREASE) %</t>
  </si>
  <si>
    <t>Current
Schedule 141Y
Tax Reform Over-Collection
Effective 5-1-20</t>
  </si>
  <si>
    <t>Schedule 141Y
Tax Reform Over-Collection
Effective 9-1-20</t>
  </si>
  <si>
    <t>F2019 kWh 
Sept 2020
to Aug 2021</t>
  </si>
  <si>
    <t>Impacts of Rate Change Effective Sept. 1, 2020</t>
  </si>
  <si>
    <t>F2020</t>
  </si>
  <si>
    <t>Monthly kWh Sales History and Projections, 2020 - 2025</t>
  </si>
  <si>
    <t>Source: F2020 Load forecast (07-23-2020)</t>
  </si>
  <si>
    <t>Monthly Customer History and Projections, 2020 - 2025</t>
  </si>
  <si>
    <t>2020 Low Income Customer Charge</t>
  </si>
  <si>
    <t>For the Twelve Months Ended September 30, 2021</t>
  </si>
  <si>
    <t>F2020 Forecast Delivered kWh 10/01/20 through 09/30/21</t>
  </si>
  <si>
    <t>Estimated Delivered Revenue October 1, 2020 through September 30, 2021 (Note 1)</t>
  </si>
  <si>
    <t>2019 Low Income Rider Effective 10/12/19</t>
  </si>
  <si>
    <t>Proposed 2020 Low Income Rider</t>
  </si>
  <si>
    <t>$ Including 2019 Low Income Effective
 10/12/19</t>
  </si>
  <si>
    <t>$ Including Proposed 2020 Low Income Effective
 10/01/20</t>
  </si>
  <si>
    <t>Proposed Low Income
Sch 129
Rider Revenue</t>
  </si>
  <si>
    <r>
      <t xml:space="preserve">Proposed Rates
</t>
    </r>
    <r>
      <rPr>
        <b/>
        <sz val="8"/>
        <color rgb="FF0033CC"/>
        <rFont val="Arial"/>
        <family val="2"/>
      </rPr>
      <t>Eff. 10/01/2020</t>
    </r>
  </si>
  <si>
    <t xml:space="preserve">                                                                                                                                                                                                                  </t>
  </si>
  <si>
    <t>Current Customer Bill in Notice</t>
  </si>
  <si>
    <t>Proposed Customer Bill in Notice</t>
  </si>
  <si>
    <t>Basic Charge</t>
  </si>
  <si>
    <t>First 600 kWh</t>
  </si>
  <si>
    <t>Over 600 kWh</t>
  </si>
  <si>
    <t>Bill</t>
  </si>
  <si>
    <t>12 / 26 / 26P</t>
  </si>
  <si>
    <t>Campus Service</t>
  </si>
  <si>
    <t>3, 50 - 59</t>
  </si>
  <si>
    <t>Note 1 -  Includes all Rider Revenue and Revenue Credits from Schedules 95, 95a, 120, 132, 137, 140, 141, 141x, 141y, 142 and 194
           -  Excludes Sch 129 Low Income</t>
  </si>
  <si>
    <t>ESTIMATED EFFECT OF PROPOSED BASE RATE INCREASE</t>
  </si>
  <si>
    <t>12 MONTHS ENDED DECEMBER 2018</t>
  </si>
  <si>
    <t>Energy</t>
  </si>
  <si>
    <t>(MWH)</t>
  </si>
  <si>
    <t>Transportation Service</t>
  </si>
  <si>
    <t>Retail Wheeling Transporation</t>
  </si>
  <si>
    <t>Special Contract Service</t>
  </si>
  <si>
    <t>Schedule 141Z - EDIT Rider</t>
  </si>
  <si>
    <t>2019 GRC Sch 40 Migration %</t>
  </si>
  <si>
    <r>
      <t>Proposed Rates
Eff. 9</t>
    </r>
    <r>
      <rPr>
        <sz val="8"/>
        <color rgb="FF0000FF"/>
        <rFont val="Arial"/>
        <family val="2"/>
      </rPr>
      <t>-1-20</t>
    </r>
  </si>
  <si>
    <t>2019 GRC Sch 40 Migration kWh</t>
  </si>
  <si>
    <t>($)</t>
  </si>
  <si>
    <t>Ratebase</t>
  </si>
  <si>
    <t>Sch 141z
Rates 
$-Month</t>
  </si>
  <si>
    <t>Sch 141x
Rates 
$-Month</t>
  </si>
  <si>
    <t>Sch 141z
Rates 
$-kWh</t>
  </si>
  <si>
    <t>Sch 141z
Rev Req</t>
  </si>
  <si>
    <t>Sch 141x
Rates 
$-kWh</t>
  </si>
  <si>
    <t>Sch 141x
Rev Req</t>
  </si>
  <si>
    <t>% Ratebase
to Total</t>
  </si>
  <si>
    <t>Schedule 141Z (Unprotected)
EDIT</t>
  </si>
  <si>
    <t>2018 Tax Passback - Unprotected EDIT Sch 141Z</t>
  </si>
  <si>
    <t>Schedule 141Z (Unprotected) EDIT</t>
  </si>
  <si>
    <t>2019 GRC Compliance Electric Decoupling Filing</t>
  </si>
  <si>
    <t>Summary of Proposed Rates</t>
  </si>
  <si>
    <t>TOTAL</t>
  </si>
  <si>
    <t>Schedule 142 Rate</t>
  </si>
  <si>
    <t>Schedule 142</t>
  </si>
  <si>
    <t>Delivery Margin</t>
  </si>
  <si>
    <t>Fixed Power Cost</t>
  </si>
  <si>
    <t>Units</t>
  </si>
  <si>
    <t>Adjusting Rates</t>
  </si>
  <si>
    <t>Amortization</t>
  </si>
  <si>
    <t>Schedules 7</t>
  </si>
  <si>
    <t>Energy Charge</t>
  </si>
  <si>
    <t>$/kWh</t>
  </si>
  <si>
    <t>Schedules 8 &amp; 24</t>
  </si>
  <si>
    <t>Schedules 7A, 11, 25, 29, 35 &amp; 43</t>
  </si>
  <si>
    <t>Schedule SC</t>
  </si>
  <si>
    <t>Schedule 12 &amp; 26</t>
  </si>
  <si>
    <t>Demand Charge</t>
  </si>
  <si>
    <t xml:space="preserve">$/KW </t>
  </si>
  <si>
    <t>$kWh</t>
  </si>
  <si>
    <t>Schedule 10 &amp; 31</t>
  </si>
  <si>
    <t>$/KW</t>
  </si>
  <si>
    <t>Schedule 141X EDIT Rider - First 600 kWh</t>
  </si>
  <si>
    <t>Schedule 141X EDIT Rider - Over 600 kWh</t>
  </si>
  <si>
    <t>10/15/2020</t>
  </si>
  <si>
    <t>Effective 10-15-2020</t>
  </si>
  <si>
    <t>Rates Effective 10-15-2020</t>
  </si>
  <si>
    <t>c = b / a</t>
  </si>
  <si>
    <t>Estimated Annualized Proforma Base Revenue</t>
  </si>
  <si>
    <t>Twelve Months ended June 30, 2020</t>
  </si>
  <si>
    <t>Test Period Start Date</t>
  </si>
  <si>
    <t>Test Period End Date</t>
  </si>
  <si>
    <t>Rate Year Start Date</t>
  </si>
  <si>
    <t>Rate Year End Date</t>
  </si>
  <si>
    <t>Schedule 141X (Protected EDIT)</t>
  </si>
  <si>
    <t>Total TY June 2021 to May 2022</t>
  </si>
  <si>
    <t>Schedule 139 Green Power</t>
  </si>
  <si>
    <t>Schedule 139 - Impacts</t>
  </si>
  <si>
    <t xml:space="preserve">Proposed
Schedule 139 Eff 6-1-2021
Revenue </t>
  </si>
  <si>
    <t>Proposed Effective December 2020</t>
  </si>
  <si>
    <r>
      <t>PCA Rates
Eff.</t>
    </r>
    <r>
      <rPr>
        <b/>
        <sz val="8"/>
        <color rgb="FF0000FF"/>
        <rFont val="Arial"/>
        <family val="2"/>
      </rPr>
      <t xml:space="preserve"> 12-1-2020</t>
    </r>
  </si>
  <si>
    <t xml:space="preserve">Proposed
Schedule 95 PCA +
PCORC
Revenue </t>
  </si>
  <si>
    <t xml:space="preserve">Electric Schedule 95 </t>
  </si>
  <si>
    <t>Impacts of Rate Change Effective December 1, 2020</t>
  </si>
  <si>
    <t>F2020 kWh
Dec 2020
to Nov 2021</t>
  </si>
  <si>
    <t>Projected
Base Revenue Excluding
Sch 95 (Note 1)</t>
  </si>
  <si>
    <t>Schedule 95
Effective
10-15-2020</t>
  </si>
  <si>
    <t>Proposed Schedule 95
Effective
12-01-2020</t>
  </si>
  <si>
    <t>Schedule 95 Rate Change</t>
  </si>
  <si>
    <t>Base Revenue
Including
Schedule 95
Effective
10-15-2020</t>
  </si>
  <si>
    <t>Base Revenue
Including
Proposed
Schedule 95
Effective
12-01-2020</t>
  </si>
  <si>
    <t>Revenue
Difference
Effective
12-01-2020</t>
  </si>
  <si>
    <t>%
Difference
Effective
12-01-2020</t>
  </si>
  <si>
    <t>(g) = 
(e) + (f)</t>
  </si>
  <si>
    <t>(i) =
(d) +[(c) * (e)]</t>
  </si>
  <si>
    <t>(j) =
(d) +[(c) * (f)]</t>
  </si>
  <si>
    <t>(k) =
(j) - (i)</t>
  </si>
  <si>
    <t>(l) =
(k) / (i)</t>
  </si>
  <si>
    <t>Firm sales</t>
  </si>
  <si>
    <t>Note 1:  Projected Base Revenue includes Base Tariffs plus Rider / Tracker Schedules 129, 140, 141, 141X, 141Y &amp; 142 Effective on 10/15/2020</t>
  </si>
  <si>
    <t>BPA FY 2020</t>
  </si>
  <si>
    <t>Forecast Exchange Delivered Sales (MWh 12 Months October 12, 2019 to September 2020)</t>
  </si>
  <si>
    <t>Forecast Net REP Benefits to be paid by BPA  (October 2019 to September 2020)</t>
  </si>
  <si>
    <t>Residential Exchange Balance 7-31-19 to recover over 2 years</t>
  </si>
  <si>
    <t>Proposed Residential and Farm Exchange Benefit Rate Effective 10-12-19 ($ / kWh)</t>
  </si>
  <si>
    <t>Before proposed change in credit (Based on rates effective 9-30-19)</t>
  </si>
  <si>
    <t>After proposed change in credit (Based on rates effective 10-12-19)</t>
  </si>
  <si>
    <t>Average monthly bill for Residential customer consuming 900 kWh per month</t>
  </si>
  <si>
    <t>Net Sch 139 Adjustment</t>
  </si>
  <si>
    <t>Net Sch 95 Adjustment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</si>
  <si>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</si>
  <si>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</si>
  <si>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</si>
  <si>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</si>
  <si>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</si>
  <si>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</si>
  <si>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</si>
  <si>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</si>
  <si>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</si>
  <si>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</si>
  <si>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</si>
  <si>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</si>
  <si>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</si>
  <si>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</si>
  <si>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t</t>
  </si>
  <si>
    <t>s</t>
  </si>
  <si>
    <t>u</t>
  </si>
  <si>
    <t>v</t>
  </si>
  <si>
    <t>w</t>
  </si>
  <si>
    <t>x</t>
  </si>
  <si>
    <t>y</t>
  </si>
  <si>
    <t>Sch 139 Weather adjusted Load TY Ended
June 2020</t>
  </si>
  <si>
    <t>Total Sch 95 PCA + PCORC Rates Effective 06-2021</t>
  </si>
  <si>
    <t xml:space="preserve">Proposed
Schedule 139 Eff 1-1-2021
Revenue </t>
  </si>
  <si>
    <t>Schedule 95 - Power Cost Only Rate Case</t>
  </si>
  <si>
    <t>07/01/2021</t>
  </si>
  <si>
    <t>Compliance Filing Docket UE-200980, Proposed Rates Effective 7-1-2021</t>
  </si>
  <si>
    <t>Residential Customer Impacts, Compliance Filing Docket UE-200980, Effective July 1, 2021</t>
  </si>
  <si>
    <r>
      <t>Proposed PCORC Rates
Eff.</t>
    </r>
    <r>
      <rPr>
        <b/>
        <u/>
        <sz val="8"/>
        <color rgb="FF0000FF"/>
        <rFont val="Arial"/>
        <family val="2"/>
      </rPr>
      <t xml:space="preserve"> 7-1-2021</t>
    </r>
  </si>
  <si>
    <t>kWh
Source: F2020 January 2021 to December 2021</t>
  </si>
  <si>
    <t>Estimated Net Revenue @
Rates Effective
10-15-2020
(*Note 1)</t>
  </si>
  <si>
    <t>Sch 95a
Effective
Jan 1, 2020
$ per kWh</t>
  </si>
  <si>
    <t>Proposed 
Sch 95a
Effective
January 1, 2021
$ per kWh</t>
  </si>
  <si>
    <t>Revenue Including
Sch 95a
Eff 1-1-20</t>
  </si>
  <si>
    <t>Revenue
Including
Proposed
Sch 95a
Effective 1-1-21</t>
  </si>
  <si>
    <t>Transportation/Special Contract</t>
  </si>
  <si>
    <t>Proposed Rates
Eff. 1-1-21</t>
  </si>
  <si>
    <t>F2020
Delivered kWh
05/21 to 04/22</t>
  </si>
  <si>
    <t>Projected
Revenue
05/21 to 04/22
[Note 1]</t>
  </si>
  <si>
    <t>Schedule 120
Effective
5-1-20</t>
  </si>
  <si>
    <t>Proposed
Schedule 120
Effective
5-1-21</t>
  </si>
  <si>
    <t>REVENUE
(Including 5-1-21
Sch 120 revenue)</t>
  </si>
  <si>
    <r>
      <t xml:space="preserve">Proposed Rates
Eff. </t>
    </r>
    <r>
      <rPr>
        <b/>
        <sz val="8"/>
        <color rgb="FF0000FF"/>
        <rFont val="Arial"/>
        <family val="2"/>
      </rPr>
      <t>5-1-21</t>
    </r>
  </si>
  <si>
    <t>Sch 137
Effective
Jan 1, 2020
$ per kWh</t>
  </si>
  <si>
    <t>Proposed 
Sch 137
Effective
January 1, 2021
$ per kWh</t>
  </si>
  <si>
    <t>Revenue Including
Sch 137
Eff 1-1-20</t>
  </si>
  <si>
    <t>Revenue
Including
Proposed
Sch 137
Effective 1-1-21</t>
  </si>
  <si>
    <t>F2020 kWh 
May 2021
to April 2022</t>
  </si>
  <si>
    <t>Projected
Revenue 
(Based on Rates
Effective
4-30-2021)</t>
  </si>
  <si>
    <t>Current
Schedule 140
Property Tax
Effective 5-1-20</t>
  </si>
  <si>
    <t>Proposed
Schedule 140
Property Tax
Effective 5-1-21</t>
  </si>
  <si>
    <t>Impacts of Rate Change Effective May 1, 2021</t>
  </si>
  <si>
    <r>
      <t xml:space="preserve">Proposed kWh Rates
Eff. </t>
    </r>
    <r>
      <rPr>
        <b/>
        <sz val="8"/>
        <color rgb="FF0000FF"/>
        <rFont val="Arial"/>
        <family val="2"/>
      </rPr>
      <t>May 1, 2021</t>
    </r>
  </si>
  <si>
    <r>
      <t xml:space="preserve">Proposed kW Rates
Eff. </t>
    </r>
    <r>
      <rPr>
        <b/>
        <sz val="8"/>
        <color rgb="FF0000FF"/>
        <rFont val="Arial"/>
        <family val="2"/>
      </rPr>
      <t>May 1, 2021</t>
    </r>
  </si>
  <si>
    <t>Supplemental Eff 10-1-2020</t>
  </si>
  <si>
    <t>Deferral Eff 5-1-2021</t>
  </si>
  <si>
    <t>Net Effective 5-1-2021</t>
  </si>
  <si>
    <t>Docket UE-190529</t>
  </si>
  <si>
    <t>Docket UE-210214</t>
  </si>
  <si>
    <t>Supplemental + Deferral Rates</t>
  </si>
  <si>
    <t>Schedule 142
 Deferral + Supplemental</t>
  </si>
  <si>
    <t>Present Rates Effective May 1, 2021</t>
  </si>
  <si>
    <t>Subtotal
Rider
Rates
Effective
5-1-2021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</si>
</sst>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&quot;$&quot;#,##0"/>
    <numFmt numFmtId="169" formatCode="0.00000000000000%"/>
    <numFmt numFmtId="170" formatCode="_(&quot;$&quot;* #,##0.000000_);_(&quot;$&quot;* \(#,##0.000000\);_(&quot;$&quot;* &quot;-&quot;??_);_(@_)"/>
    <numFmt numFmtId="171" formatCode="0.0000\ \¢"/>
    <numFmt numFmtId="172" formatCode="0.00000\ \¢"/>
    <numFmt numFmtId="173" formatCode="_(* #,##0.0000000_);_(* \(#,##0.0000000\);_(* &quot;-&quot;??_);_(@_)"/>
    <numFmt numFmtId="174" formatCode="_(&quot;$&quot;* #,##0.000000_);_(&quot;$&quot;* \(#,##0.000000\);_(&quot;$&quot;* &quot;-&quot;??????_);_(@_)"/>
    <numFmt numFmtId="175" formatCode="_(* #,##0.0000_);_(* \(#,##0.0000\);_(* &quot;-&quot;??_);_(@_)"/>
    <numFmt numFmtId="176" formatCode="mm/dd/yy;@"/>
    <numFmt numFmtId="177" formatCode="_(&quot;$&quot;* #,##0.0000000_);_(&quot;$&quot;* \(#,##0.0000000\);_(&quot;$&quot;* &quot;-&quot;??_);_(@_)"/>
    <numFmt numFmtId="178" formatCode="_(&quot;$&quot;* #,##0.00000000000_);_(&quot;$&quot;* \(#,##0.00000000000\);_(&quot;$&quot;* &quot;-&quot;??_);_(@_)"/>
    <numFmt numFmtId="179" formatCode="_(* #,##0.000000_);_(* \(#,##0.000000\);_(* &quot;-&quot;??_);_(@_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rgb="FF0000FF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sz val="8"/>
      <color indexed="56"/>
      <name val="Arial"/>
      <family val="2"/>
    </font>
    <font>
      <sz val="8"/>
      <color indexed="12"/>
      <name val="Arial"/>
      <family val="2"/>
    </font>
    <font>
      <b/>
      <u/>
      <sz val="8"/>
      <name val="Arial"/>
      <family val="2"/>
    </font>
    <font>
      <b/>
      <sz val="8"/>
      <color rgb="FF00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</font>
    <font>
      <sz val="8"/>
      <color rgb="FF008080"/>
      <name val="Arial"/>
      <family val="2"/>
    </font>
    <font>
      <b/>
      <sz val="8"/>
      <color rgb="FF008080"/>
      <name val="Arial"/>
      <family val="2"/>
    </font>
    <font>
      <sz val="10"/>
      <color rgb="FF0033CC"/>
      <name val="Arial"/>
      <family val="2"/>
    </font>
    <font>
      <b/>
      <sz val="8"/>
      <color rgb="FF0033CC"/>
      <name val="Arial"/>
      <family val="2"/>
    </font>
    <font>
      <sz val="10"/>
      <color rgb="FF008080"/>
      <name val="Arial"/>
      <family val="2"/>
    </font>
    <font>
      <sz val="8"/>
      <color rgb="FF0070C0"/>
      <name val="Arial"/>
      <family val="2"/>
    </font>
    <font>
      <sz val="11"/>
      <name val="Calibri"/>
      <family val="2"/>
      <scheme val="minor"/>
    </font>
    <font>
      <sz val="10"/>
      <color rgb="FF008080"/>
      <name val="Times New Roman"/>
      <family val="1"/>
    </font>
    <font>
      <sz val="10"/>
      <name val="Arial"/>
      <family val="2"/>
    </font>
    <font>
      <u/>
      <sz val="8"/>
      <name val="Arial"/>
      <family val="2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8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678">
    <xf numFmtId="0" fontId="0" fillId="0" borderId="0" xfId="0"/>
    <xf numFmtId="0" fontId="0" fillId="0" borderId="0" xfId="0" applyFill="1"/>
    <xf numFmtId="164" fontId="2" fillId="0" borderId="4" xfId="0" quotePrefix="1" applyNumberFormat="1" applyFont="1" applyFill="1" applyBorder="1" applyAlignment="1">
      <alignment horizontal="center" wrapText="1"/>
    </xf>
    <xf numFmtId="0" fontId="2" fillId="0" borderId="4" xfId="0" quotePrefix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quotePrefix="1" applyAlignment="1">
      <alignment horizontal="left"/>
    </xf>
    <xf numFmtId="0" fontId="2" fillId="0" borderId="13" xfId="0" applyFont="1" applyFill="1" applyBorder="1" applyAlignment="1">
      <alignment horizontal="centerContinuous"/>
    </xf>
    <xf numFmtId="0" fontId="2" fillId="0" borderId="14" xfId="0" applyFont="1" applyFill="1" applyBorder="1" applyAlignment="1">
      <alignment horizontal="centerContinuous"/>
    </xf>
    <xf numFmtId="0" fontId="2" fillId="0" borderId="15" xfId="0" applyFont="1" applyFill="1" applyBorder="1" applyAlignment="1">
      <alignment horizontal="centerContinuous"/>
    </xf>
    <xf numFmtId="0" fontId="2" fillId="0" borderId="16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17" xfId="0" applyFont="1" applyFill="1" applyBorder="1" applyAlignment="1">
      <alignment horizontal="centerContinuous"/>
    </xf>
    <xf numFmtId="0" fontId="2" fillId="0" borderId="1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164" fontId="2" fillId="0" borderId="0" xfId="0" quotePrefix="1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2" fillId="0" borderId="17" xfId="0" quotePrefix="1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vertical="top" wrapText="1"/>
    </xf>
    <xf numFmtId="164" fontId="2" fillId="0" borderId="0" xfId="0" quotePrefix="1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17" xfId="0" quotePrefix="1" applyFont="1" applyFill="1" applyBorder="1" applyAlignment="1">
      <alignment horizontal="center" vertical="top" wrapText="1"/>
    </xf>
    <xf numFmtId="0" fontId="2" fillId="0" borderId="0" xfId="0" quotePrefix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/>
    <xf numFmtId="0" fontId="2" fillId="0" borderId="1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/>
    <xf numFmtId="165" fontId="2" fillId="0" borderId="4" xfId="0" applyNumberFormat="1" applyFont="1" applyFill="1" applyBorder="1"/>
    <xf numFmtId="0" fontId="0" fillId="0" borderId="14" xfId="0" applyFill="1" applyBorder="1" applyAlignment="1">
      <alignment horizontal="centerContinuous"/>
    </xf>
    <xf numFmtId="164" fontId="2" fillId="0" borderId="14" xfId="0" applyNumberFormat="1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Continuous"/>
    </xf>
    <xf numFmtId="0" fontId="0" fillId="0" borderId="17" xfId="0" applyFill="1" applyBorder="1" applyAlignment="1">
      <alignment horizontal="centerContinuous"/>
    </xf>
    <xf numFmtId="164" fontId="2" fillId="0" borderId="0" xfId="0" applyNumberFormat="1" applyFont="1" applyFill="1" applyBorder="1"/>
    <xf numFmtId="0" fontId="2" fillId="0" borderId="17" xfId="0" applyFont="1" applyFill="1" applyBorder="1"/>
    <xf numFmtId="171" fontId="2" fillId="0" borderId="0" xfId="0" applyNumberFormat="1" applyFont="1" applyFill="1" applyBorder="1"/>
    <xf numFmtId="0" fontId="2" fillId="0" borderId="4" xfId="0" applyFont="1" applyFill="1" applyBorder="1"/>
    <xf numFmtId="0" fontId="2" fillId="0" borderId="19" xfId="0" applyFont="1" applyFill="1" applyBorder="1"/>
    <xf numFmtId="165" fontId="2" fillId="0" borderId="0" xfId="0" applyNumberFormat="1" applyFont="1" applyFill="1" applyBorder="1"/>
    <xf numFmtId="10" fontId="2" fillId="0" borderId="17" xfId="0" applyNumberFormat="1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70" fontId="2" fillId="0" borderId="0" xfId="0" applyNumberFormat="1" applyFont="1" applyFill="1" applyBorder="1"/>
    <xf numFmtId="0" fontId="2" fillId="0" borderId="0" xfId="0" applyFont="1" applyFill="1" applyBorder="1"/>
    <xf numFmtId="165" fontId="0" fillId="0" borderId="0" xfId="0" applyNumberFormat="1" applyFont="1" applyFill="1"/>
    <xf numFmtId="0" fontId="0" fillId="0" borderId="1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1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2" fillId="0" borderId="4" xfId="0" quotePrefix="1" applyNumberFormat="1" applyFont="1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0" borderId="19" xfId="0" quotePrefix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left" indent="1"/>
    </xf>
    <xf numFmtId="16" fontId="0" fillId="0" borderId="0" xfId="0" quotePrefix="1" applyNumberFormat="1" applyBorder="1" applyAlignment="1">
      <alignment horizontal="center"/>
    </xf>
    <xf numFmtId="165" fontId="2" fillId="0" borderId="0" xfId="2" applyNumberFormat="1" applyFont="1" applyFill="1" applyBorder="1"/>
    <xf numFmtId="165" fontId="8" fillId="0" borderId="0" xfId="0" applyNumberFormat="1" applyFont="1" applyFill="1"/>
    <xf numFmtId="165" fontId="8" fillId="0" borderId="2" xfId="0" applyNumberFormat="1" applyFont="1" applyFill="1" applyBorder="1"/>
    <xf numFmtId="0" fontId="8" fillId="0" borderId="0" xfId="0" applyFont="1"/>
    <xf numFmtId="0" fontId="9" fillId="0" borderId="0" xfId="0" applyFont="1" applyAlignment="1">
      <alignment horizontal="centerContinuous"/>
    </xf>
    <xf numFmtId="0" fontId="9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64" fontId="8" fillId="0" borderId="0" xfId="0" applyNumberFormat="1" applyFont="1"/>
    <xf numFmtId="44" fontId="8" fillId="0" borderId="0" xfId="0" applyNumberFormat="1" applyFont="1" applyFill="1"/>
    <xf numFmtId="44" fontId="8" fillId="0" borderId="0" xfId="0" applyNumberFormat="1" applyFont="1"/>
    <xf numFmtId="0" fontId="8" fillId="0" borderId="0" xfId="0" quotePrefix="1" applyFont="1" applyAlignment="1">
      <alignment horizontal="left"/>
    </xf>
    <xf numFmtId="164" fontId="8" fillId="0" borderId="3" xfId="0" applyNumberFormat="1" applyFont="1" applyBorder="1"/>
    <xf numFmtId="44" fontId="8" fillId="0" borderId="3" xfId="0" applyNumberFormat="1" applyFont="1" applyBorder="1"/>
    <xf numFmtId="0" fontId="8" fillId="0" borderId="0" xfId="0" applyFont="1" applyAlignment="1">
      <alignment horizontal="left"/>
    </xf>
    <xf numFmtId="0" fontId="8" fillId="0" borderId="0" xfId="0" applyFont="1" applyFill="1"/>
    <xf numFmtId="43" fontId="8" fillId="0" borderId="0" xfId="0" applyNumberFormat="1" applyFont="1" applyFill="1"/>
    <xf numFmtId="0" fontId="8" fillId="0" borderId="1" xfId="0" quotePrefix="1" applyFont="1" applyBorder="1" applyAlignment="1">
      <alignment horizontal="left"/>
    </xf>
    <xf numFmtId="0" fontId="8" fillId="0" borderId="1" xfId="0" applyFont="1" applyBorder="1"/>
    <xf numFmtId="170" fontId="8" fillId="0" borderId="24" xfId="0" applyNumberFormat="1" applyFont="1" applyFill="1" applyBorder="1"/>
    <xf numFmtId="170" fontId="8" fillId="0" borderId="25" xfId="0" applyNumberFormat="1" applyFont="1" applyFill="1" applyBorder="1"/>
    <xf numFmtId="170" fontId="8" fillId="0" borderId="29" xfId="0" applyNumberFormat="1" applyFont="1" applyFill="1" applyBorder="1"/>
    <xf numFmtId="0" fontId="8" fillId="0" borderId="24" xfId="0" applyFont="1" applyFill="1" applyBorder="1"/>
    <xf numFmtId="170" fontId="8" fillId="0" borderId="25" xfId="0" quotePrefix="1" applyNumberFormat="1" applyFont="1" applyFill="1" applyBorder="1" applyAlignment="1"/>
    <xf numFmtId="170" fontId="8" fillId="0" borderId="29" xfId="0" quotePrefix="1" applyNumberFormat="1" applyFont="1" applyFill="1" applyBorder="1" applyAlignment="1"/>
    <xf numFmtId="170" fontId="8" fillId="0" borderId="28" xfId="0" quotePrefix="1" applyNumberFormat="1" applyFont="1" applyFill="1" applyBorder="1" applyAlignment="1"/>
    <xf numFmtId="174" fontId="8" fillId="0" borderId="0" xfId="0" applyNumberFormat="1" applyFont="1"/>
    <xf numFmtId="170" fontId="8" fillId="0" borderId="28" xfId="0" applyNumberFormat="1" applyFont="1" applyFill="1" applyBorder="1"/>
    <xf numFmtId="164" fontId="8" fillId="0" borderId="0" xfId="0" applyNumberFormat="1" applyFont="1" applyFill="1"/>
    <xf numFmtId="0" fontId="8" fillId="0" borderId="1" xfId="0" quotePrefix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0" fontId="8" fillId="0" borderId="0" xfId="0" applyFont="1" applyFill="1" applyAlignment="1"/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/>
    <xf numFmtId="0" fontId="8" fillId="0" borderId="1" xfId="0" applyFont="1" applyFill="1" applyBorder="1" applyAlignment="1">
      <alignment horizontal="center" wrapText="1"/>
    </xf>
    <xf numFmtId="17" fontId="8" fillId="0" borderId="1" xfId="0" quotePrefix="1" applyNumberFormat="1" applyFont="1" applyFill="1" applyBorder="1" applyAlignment="1">
      <alignment horizontal="center" wrapText="1"/>
    </xf>
    <xf numFmtId="17" fontId="8" fillId="0" borderId="0" xfId="0" quotePrefix="1" applyNumberFormat="1" applyFont="1" applyFill="1" applyBorder="1" applyAlignment="1">
      <alignment horizontal="center" wrapText="1"/>
    </xf>
    <xf numFmtId="17" fontId="9" fillId="2" borderId="30" xfId="0" quotePrefix="1" applyNumberFormat="1" applyFont="1" applyFill="1" applyBorder="1" applyAlignment="1">
      <alignment horizontal="center" wrapText="1"/>
    </xf>
    <xf numFmtId="0" fontId="9" fillId="2" borderId="31" xfId="0" quotePrefix="1" applyFont="1" applyFill="1" applyBorder="1" applyAlignment="1">
      <alignment horizontal="center" wrapText="1"/>
    </xf>
    <xf numFmtId="165" fontId="8" fillId="0" borderId="0" xfId="0" applyNumberFormat="1" applyFont="1" applyFill="1" applyBorder="1"/>
    <xf numFmtId="165" fontId="8" fillId="2" borderId="0" xfId="0" applyNumberFormat="1" applyFont="1" applyFill="1" applyBorder="1"/>
    <xf numFmtId="10" fontId="8" fillId="2" borderId="17" xfId="0" applyNumberFormat="1" applyFont="1" applyFill="1" applyBorder="1"/>
    <xf numFmtId="164" fontId="8" fillId="0" borderId="2" xfId="0" applyNumberFormat="1" applyFont="1" applyFill="1" applyBorder="1"/>
    <xf numFmtId="165" fontId="8" fillId="2" borderId="2" xfId="0" applyNumberFormat="1" applyFont="1" applyFill="1" applyBorder="1"/>
    <xf numFmtId="10" fontId="8" fillId="2" borderId="33" xfId="0" applyNumberFormat="1" applyFont="1" applyFill="1" applyBorder="1"/>
    <xf numFmtId="164" fontId="8" fillId="0" borderId="3" xfId="0" applyNumberFormat="1" applyFont="1" applyFill="1" applyBorder="1"/>
    <xf numFmtId="164" fontId="8" fillId="0" borderId="0" xfId="0" applyNumberFormat="1" applyFont="1" applyFill="1" applyBorder="1"/>
    <xf numFmtId="170" fontId="8" fillId="0" borderId="0" xfId="0" applyNumberFormat="1" applyFont="1" applyFill="1"/>
    <xf numFmtId="0" fontId="8" fillId="0" borderId="0" xfId="0" applyFont="1" applyFill="1" applyAlignment="1">
      <alignment horizontal="center"/>
    </xf>
    <xf numFmtId="170" fontId="8" fillId="2" borderId="0" xfId="0" applyNumberFormat="1" applyFont="1" applyFill="1" applyBorder="1"/>
    <xf numFmtId="170" fontId="8" fillId="2" borderId="2" xfId="0" applyNumberFormat="1" applyFont="1" applyFill="1" applyBorder="1"/>
    <xf numFmtId="10" fontId="8" fillId="0" borderId="0" xfId="4" applyNumberFormat="1" applyFont="1" applyFill="1" applyAlignment="1"/>
    <xf numFmtId="0" fontId="9" fillId="0" borderId="0" xfId="0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166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8" fillId="0" borderId="0" xfId="0" applyFont="1" applyBorder="1" applyAlignment="1">
      <alignment horizontal="center" wrapText="1"/>
    </xf>
    <xf numFmtId="165" fontId="8" fillId="0" borderId="0" xfId="3" applyNumberFormat="1" applyFont="1" applyFill="1"/>
    <xf numFmtId="165" fontId="8" fillId="0" borderId="0" xfId="3" applyNumberFormat="1" applyFont="1" applyFill="1" applyBorder="1"/>
    <xf numFmtId="165" fontId="8" fillId="0" borderId="0" xfId="0" applyNumberFormat="1" applyFont="1"/>
    <xf numFmtId="165" fontId="8" fillId="0" borderId="2" xfId="3" applyNumberFormat="1" applyFont="1" applyFill="1" applyBorder="1"/>
    <xf numFmtId="165" fontId="8" fillId="0" borderId="3" xfId="3" applyNumberFormat="1" applyFont="1" applyFill="1" applyBorder="1"/>
    <xf numFmtId="0" fontId="8" fillId="0" borderId="0" xfId="0" applyFont="1" applyBorder="1"/>
    <xf numFmtId="164" fontId="8" fillId="0" borderId="3" xfId="5" applyNumberFormat="1" applyFont="1" applyFill="1" applyBorder="1"/>
    <xf numFmtId="9" fontId="8" fillId="0" borderId="0" xfId="4" applyFont="1" applyFill="1"/>
    <xf numFmtId="0" fontId="8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Continuous"/>
    </xf>
    <xf numFmtId="0" fontId="3" fillId="0" borderId="1" xfId="0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 indent="1"/>
    </xf>
    <xf numFmtId="0" fontId="3" fillId="0" borderId="0" xfId="0" quotePrefix="1" applyFont="1" applyFill="1" applyAlignment="1">
      <alignment horizontal="left"/>
    </xf>
    <xf numFmtId="170" fontId="8" fillId="0" borderId="0" xfId="3" applyNumberFormat="1" applyFont="1" applyFill="1"/>
    <xf numFmtId="0" fontId="9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9" fillId="0" borderId="0" xfId="0" quotePrefix="1" applyFont="1" applyFill="1" applyAlignment="1"/>
    <xf numFmtId="0" fontId="9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0" xfId="0" applyFont="1" applyFill="1" applyBorder="1" applyAlignment="1"/>
    <xf numFmtId="5" fontId="8" fillId="0" borderId="0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6" fontId="8" fillId="0" borderId="7" xfId="0" quotePrefix="1" applyNumberFormat="1" applyFont="1" applyFill="1" applyBorder="1" applyAlignment="1">
      <alignment horizontal="center"/>
    </xf>
    <xf numFmtId="5" fontId="8" fillId="0" borderId="1" xfId="0" quotePrefix="1" applyNumberFormat="1" applyFont="1" applyFill="1" applyBorder="1" applyAlignment="1">
      <alignment horizontal="center"/>
    </xf>
    <xf numFmtId="6" fontId="8" fillId="0" borderId="0" xfId="0" quotePrefix="1" applyNumberFormat="1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8" fillId="0" borderId="0" xfId="0" quotePrefix="1" applyFont="1" applyFill="1"/>
    <xf numFmtId="0" fontId="14" fillId="0" borderId="0" xfId="0" quotePrefix="1" applyFont="1" applyFill="1" applyAlignment="1">
      <alignment horizontal="left"/>
    </xf>
    <xf numFmtId="37" fontId="8" fillId="0" borderId="0" xfId="0" applyNumberFormat="1" applyFont="1" applyFill="1" applyProtection="1"/>
    <xf numFmtId="168" fontId="11" fillId="0" borderId="0" xfId="0" applyNumberFormat="1" applyFont="1" applyFill="1" applyProtection="1">
      <protection locked="0"/>
    </xf>
    <xf numFmtId="10" fontId="11" fillId="0" borderId="0" xfId="0" applyNumberFormat="1" applyFont="1" applyFill="1" applyProtection="1">
      <protection locked="0"/>
    </xf>
    <xf numFmtId="0" fontId="13" fillId="0" borderId="0" xfId="0" quotePrefix="1" applyFont="1" applyFill="1" applyAlignment="1">
      <alignment horizontal="left" indent="1"/>
    </xf>
    <xf numFmtId="37" fontId="8" fillId="0" borderId="2" xfId="0" applyNumberFormat="1" applyFont="1" applyFill="1" applyBorder="1" applyProtection="1"/>
    <xf numFmtId="168" fontId="11" fillId="0" borderId="2" xfId="0" applyNumberFormat="1" applyFont="1" applyFill="1" applyBorder="1" applyProtection="1">
      <protection locked="0"/>
    </xf>
    <xf numFmtId="168" fontId="8" fillId="0" borderId="0" xfId="0" applyNumberFormat="1" applyFont="1" applyFill="1"/>
    <xf numFmtId="10" fontId="8" fillId="0" borderId="0" xfId="0" applyNumberFormat="1" applyFont="1" applyFill="1"/>
    <xf numFmtId="37" fontId="8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13" fillId="0" borderId="0" xfId="0" quotePrefix="1" applyFont="1" applyFill="1" applyAlignment="1">
      <alignment horizontal="left"/>
    </xf>
    <xf numFmtId="37" fontId="8" fillId="0" borderId="12" xfId="0" applyNumberFormat="1" applyFont="1" applyFill="1" applyBorder="1"/>
    <xf numFmtId="168" fontId="8" fillId="0" borderId="12" xfId="0" applyNumberFormat="1" applyFont="1" applyFill="1" applyBorder="1"/>
    <xf numFmtId="168" fontId="11" fillId="0" borderId="0" xfId="0" applyNumberFormat="1" applyFont="1" applyFill="1" applyBorder="1" applyProtection="1">
      <protection locked="0"/>
    </xf>
    <xf numFmtId="168" fontId="8" fillId="0" borderId="0" xfId="0" applyNumberFormat="1" applyFont="1" applyFill="1" applyBorder="1"/>
    <xf numFmtId="10" fontId="11" fillId="0" borderId="0" xfId="0" applyNumberFormat="1" applyFont="1" applyFill="1" applyBorder="1" applyProtection="1">
      <protection locked="0"/>
    </xf>
    <xf numFmtId="37" fontId="8" fillId="0" borderId="0" xfId="0" applyNumberFormat="1" applyFont="1" applyFill="1" applyBorder="1"/>
    <xf numFmtId="5" fontId="8" fillId="0" borderId="0" xfId="0" applyNumberFormat="1" applyFont="1" applyFill="1" applyBorder="1"/>
    <xf numFmtId="166" fontId="11" fillId="0" borderId="0" xfId="0" applyNumberFormat="1" applyFont="1" applyFill="1" applyBorder="1" applyProtection="1">
      <protection locked="0"/>
    </xf>
    <xf numFmtId="165" fontId="8" fillId="0" borderId="0" xfId="0" applyNumberFormat="1" applyFont="1" applyFill="1" applyAlignment="1">
      <alignment horizontal="right"/>
    </xf>
    <xf numFmtId="165" fontId="15" fillId="0" borderId="0" xfId="0" applyNumberFormat="1" applyFont="1" applyFill="1"/>
    <xf numFmtId="166" fontId="15" fillId="0" borderId="0" xfId="0" applyNumberFormat="1" applyFont="1" applyFill="1" applyBorder="1" applyProtection="1">
      <protection locked="0"/>
    </xf>
    <xf numFmtId="1" fontId="8" fillId="0" borderId="0" xfId="0" applyNumberFormat="1" applyFont="1" applyFill="1"/>
    <xf numFmtId="166" fontId="8" fillId="0" borderId="0" xfId="0" applyNumberFormat="1" applyFont="1" applyFill="1" applyBorder="1"/>
    <xf numFmtId="1" fontId="15" fillId="0" borderId="0" xfId="0" applyNumberFormat="1" applyFont="1" applyFill="1"/>
    <xf numFmtId="166" fontId="15" fillId="0" borderId="0" xfId="0" applyNumberFormat="1" applyFont="1" applyFill="1"/>
    <xf numFmtId="169" fontId="8" fillId="0" borderId="0" xfId="0" applyNumberFormat="1" applyFont="1" applyFill="1"/>
    <xf numFmtId="166" fontId="16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170" fontId="8" fillId="0" borderId="2" xfId="0" applyNumberFormat="1" applyFont="1" applyFill="1" applyBorder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5" fontId="11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quotePrefix="1" applyFont="1" applyFill="1" applyBorder="1" applyAlignment="1">
      <alignment horizontal="center" wrapText="1"/>
    </xf>
    <xf numFmtId="166" fontId="11" fillId="0" borderId="0" xfId="4" applyNumberFormat="1" applyFont="1" applyFill="1" applyProtection="1">
      <protection locked="0"/>
    </xf>
    <xf numFmtId="175" fontId="11" fillId="0" borderId="0" xfId="5" applyNumberFormat="1" applyFont="1" applyFill="1" applyProtection="1">
      <protection locked="0"/>
    </xf>
    <xf numFmtId="166" fontId="11" fillId="0" borderId="2" xfId="4" applyNumberFormat="1" applyFont="1" applyFill="1" applyBorder="1" applyProtection="1">
      <protection locked="0"/>
    </xf>
    <xf numFmtId="175" fontId="11" fillId="0" borderId="2" xfId="5" applyNumberFormat="1" applyFont="1" applyFill="1" applyBorder="1" applyProtection="1">
      <protection locked="0"/>
    </xf>
    <xf numFmtId="165" fontId="11" fillId="0" borderId="2" xfId="0" applyNumberFormat="1" applyFont="1" applyFill="1" applyBorder="1" applyProtection="1">
      <protection locked="0"/>
    </xf>
    <xf numFmtId="166" fontId="8" fillId="0" borderId="0" xfId="4" applyNumberFormat="1" applyFont="1" applyFill="1"/>
    <xf numFmtId="175" fontId="8" fillId="0" borderId="0" xfId="5" applyNumberFormat="1" applyFont="1" applyFill="1"/>
    <xf numFmtId="165" fontId="11" fillId="0" borderId="0" xfId="0" applyNumberFormat="1" applyFont="1" applyFill="1" applyProtection="1">
      <protection locked="0"/>
    </xf>
    <xf numFmtId="166" fontId="8" fillId="0" borderId="12" xfId="4" applyNumberFormat="1" applyFont="1" applyFill="1" applyBorder="1"/>
    <xf numFmtId="175" fontId="8" fillId="0" borderId="12" xfId="5" applyNumberFormat="1" applyFont="1" applyFill="1" applyBorder="1"/>
    <xf numFmtId="165" fontId="8" fillId="0" borderId="12" xfId="0" applyNumberFormat="1" applyFont="1" applyFill="1" applyBorder="1"/>
    <xf numFmtId="165" fontId="3" fillId="0" borderId="0" xfId="9" applyNumberFormat="1" applyFont="1" applyFill="1"/>
    <xf numFmtId="0" fontId="3" fillId="0" borderId="0" xfId="9" quotePrefix="1" applyFont="1" applyFill="1" applyAlignment="1">
      <alignment horizontal="left"/>
    </xf>
    <xf numFmtId="0" fontId="3" fillId="0" borderId="0" xfId="9" applyFont="1" applyFill="1" applyAlignment="1">
      <alignment horizontal="center" wrapText="1"/>
    </xf>
    <xf numFmtId="170" fontId="3" fillId="0" borderId="0" xfId="9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quotePrefix="1" applyFont="1" applyFill="1" applyBorder="1" applyAlignment="1">
      <alignment horizontal="center" wrapText="1"/>
    </xf>
    <xf numFmtId="170" fontId="8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quotePrefix="1" applyFont="1" applyFill="1" applyAlignment="1">
      <alignment horizontal="left"/>
    </xf>
    <xf numFmtId="170" fontId="8" fillId="0" borderId="0" xfId="0" applyNumberFormat="1" applyFont="1" applyFill="1" applyBorder="1"/>
    <xf numFmtId="170" fontId="8" fillId="2" borderId="34" xfId="0" applyNumberFormat="1" applyFont="1" applyFill="1" applyBorder="1"/>
    <xf numFmtId="10" fontId="8" fillId="2" borderId="35" xfId="0" applyNumberFormat="1" applyFont="1" applyFill="1" applyBorder="1"/>
    <xf numFmtId="10" fontId="8" fillId="2" borderId="17" xfId="4" applyNumberFormat="1" applyFont="1" applyFill="1" applyBorder="1"/>
    <xf numFmtId="0" fontId="8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quotePrefix="1" applyFont="1" applyFill="1" applyAlignment="1">
      <alignment horizontal="left"/>
    </xf>
    <xf numFmtId="170" fontId="10" fillId="0" borderId="0" xfId="2" applyNumberFormat="1" applyFont="1" applyFill="1"/>
    <xf numFmtId="170" fontId="11" fillId="0" borderId="0" xfId="3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5" applyNumberFormat="1" applyFont="1" applyFill="1"/>
    <xf numFmtId="0" fontId="0" fillId="0" borderId="0" xfId="0" applyNumberFormat="1" applyBorder="1" applyAlignment="1">
      <alignment horizontal="center"/>
    </xf>
    <xf numFmtId="0" fontId="0" fillId="0" borderId="0" xfId="0" quotePrefix="1" applyNumberFormat="1" applyBorder="1" applyAlignment="1">
      <alignment horizontal="center"/>
    </xf>
    <xf numFmtId="0" fontId="8" fillId="0" borderId="0" xfId="0" applyFont="1" applyFill="1" applyAlignment="1">
      <alignment horizontal="center"/>
    </xf>
    <xf numFmtId="165" fontId="0" fillId="0" borderId="0" xfId="2" applyNumberFormat="1" applyFont="1" applyFill="1" applyBorder="1"/>
    <xf numFmtId="0" fontId="8" fillId="0" borderId="0" xfId="0" applyFont="1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8" fillId="0" borderId="0" xfId="0" quotePrefix="1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164" fontId="8" fillId="0" borderId="0" xfId="7" applyNumberFormat="1" applyFont="1" applyFill="1" applyBorder="1"/>
    <xf numFmtId="165" fontId="8" fillId="0" borderId="0" xfId="2" applyNumberFormat="1" applyFont="1" applyFill="1" applyBorder="1"/>
    <xf numFmtId="0" fontId="8" fillId="0" borderId="0" xfId="0" quotePrefix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indent="2"/>
    </xf>
    <xf numFmtId="165" fontId="8" fillId="0" borderId="2" xfId="2" applyNumberFormat="1" applyFont="1" applyFill="1" applyBorder="1"/>
    <xf numFmtId="0" fontId="8" fillId="0" borderId="0" xfId="0" quotePrefix="1" applyFont="1" applyFill="1" applyBorder="1" applyAlignment="1">
      <alignment horizontal="left" indent="3"/>
    </xf>
    <xf numFmtId="44" fontId="8" fillId="0" borderId="2" xfId="0" applyNumberFormat="1" applyFont="1" applyFill="1" applyBorder="1"/>
    <xf numFmtId="0" fontId="23" fillId="0" borderId="1" xfId="0" quotePrefix="1" applyFont="1" applyFill="1" applyBorder="1" applyAlignment="1">
      <alignment horizontal="center" wrapText="1"/>
    </xf>
    <xf numFmtId="164" fontId="24" fillId="0" borderId="0" xfId="0" applyNumberFormat="1" applyFont="1" applyBorder="1"/>
    <xf numFmtId="0" fontId="24" fillId="0" borderId="0" xfId="0" applyFont="1" applyBorder="1"/>
    <xf numFmtId="0" fontId="24" fillId="0" borderId="17" xfId="0" applyFont="1" applyBorder="1"/>
    <xf numFmtId="165" fontId="24" fillId="0" borderId="0" xfId="0" applyNumberFormat="1" applyFont="1" applyBorder="1"/>
    <xf numFmtId="170" fontId="24" fillId="0" borderId="0" xfId="0" applyNumberFormat="1" applyFont="1" applyBorder="1"/>
    <xf numFmtId="10" fontId="24" fillId="0" borderId="17" xfId="0" applyNumberFormat="1" applyFont="1" applyBorder="1"/>
    <xf numFmtId="171" fontId="24" fillId="0" borderId="0" xfId="0" applyNumberFormat="1" applyFont="1" applyBorder="1"/>
    <xf numFmtId="167" fontId="24" fillId="0" borderId="17" xfId="0" applyNumberFormat="1" applyFont="1" applyBorder="1"/>
    <xf numFmtId="165" fontId="24" fillId="0" borderId="4" xfId="0" applyNumberFormat="1" applyFont="1" applyBorder="1"/>
    <xf numFmtId="170" fontId="24" fillId="0" borderId="4" xfId="0" applyNumberFormat="1" applyFont="1" applyBorder="1"/>
    <xf numFmtId="167" fontId="24" fillId="0" borderId="19" xfId="0" applyNumberFormat="1" applyFont="1" applyBorder="1"/>
    <xf numFmtId="164" fontId="5" fillId="0" borderId="4" xfId="0" quotePrefix="1" applyNumberFormat="1" applyFont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164" fontId="26" fillId="0" borderId="0" xfId="0" applyNumberFormat="1" applyFont="1" applyBorder="1"/>
    <xf numFmtId="165" fontId="26" fillId="0" borderId="0" xfId="0" applyNumberFormat="1" applyFont="1" applyBorder="1"/>
    <xf numFmtId="170" fontId="26" fillId="0" borderId="0" xfId="0" applyNumberFormat="1" applyFont="1" applyBorder="1"/>
    <xf numFmtId="10" fontId="26" fillId="0" borderId="17" xfId="0" applyNumberFormat="1" applyFont="1" applyBorder="1"/>
    <xf numFmtId="164" fontId="26" fillId="0" borderId="4" xfId="0" applyNumberFormat="1" applyFont="1" applyBorder="1"/>
    <xf numFmtId="165" fontId="26" fillId="0" borderId="4" xfId="0" applyNumberFormat="1" applyFont="1" applyBorder="1"/>
    <xf numFmtId="0" fontId="9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8" fillId="3" borderId="0" xfId="0" applyFont="1" applyFill="1" applyBorder="1"/>
    <xf numFmtId="164" fontId="8" fillId="3" borderId="0" xfId="0" applyNumberFormat="1" applyFont="1" applyFill="1" applyBorder="1"/>
    <xf numFmtId="164" fontId="8" fillId="3" borderId="17" xfId="0" applyNumberFormat="1" applyFont="1" applyFill="1" applyBorder="1"/>
    <xf numFmtId="0" fontId="8" fillId="3" borderId="4" xfId="0" applyFont="1" applyFill="1" applyBorder="1"/>
    <xf numFmtId="164" fontId="8" fillId="3" borderId="4" xfId="0" applyNumberFormat="1" applyFont="1" applyFill="1" applyBorder="1"/>
    <xf numFmtId="164" fontId="8" fillId="3" borderId="19" xfId="0" applyNumberFormat="1" applyFont="1" applyFill="1" applyBorder="1"/>
    <xf numFmtId="0" fontId="8" fillId="3" borderId="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41" xfId="0" quotePrefix="1" applyFont="1" applyFill="1" applyBorder="1" applyAlignment="1">
      <alignment horizontal="centerContinuous"/>
    </xf>
    <xf numFmtId="0" fontId="8" fillId="3" borderId="39" xfId="0" quotePrefix="1" applyFont="1" applyFill="1" applyBorder="1" applyAlignment="1">
      <alignment horizontal="centerContinuous"/>
    </xf>
    <xf numFmtId="0" fontId="8" fillId="3" borderId="40" xfId="0" quotePrefix="1" applyFont="1" applyFill="1" applyBorder="1" applyAlignment="1">
      <alignment horizontal="centerContinuous"/>
    </xf>
    <xf numFmtId="0" fontId="27" fillId="3" borderId="0" xfId="0" applyFont="1" applyFill="1" applyBorder="1"/>
    <xf numFmtId="0" fontId="9" fillId="0" borderId="0" xfId="0" applyFont="1" applyFill="1" applyAlignment="1">
      <alignment horizontal="centerContinuous" vertical="justify"/>
    </xf>
    <xf numFmtId="0" fontId="8" fillId="0" borderId="0" xfId="0" applyFont="1" applyFill="1" applyAlignment="1">
      <alignment horizontal="centerContinuous" vertical="justify"/>
    </xf>
    <xf numFmtId="0" fontId="8" fillId="0" borderId="0" xfId="0" applyFont="1" applyFill="1" applyAlignment="1">
      <alignment horizontal="centerContinuous" vertical="center"/>
    </xf>
    <xf numFmtId="176" fontId="0" fillId="0" borderId="0" xfId="0" applyNumberFormat="1"/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65" fontId="8" fillId="0" borderId="16" xfId="0" applyNumberFormat="1" applyFont="1" applyFill="1" applyBorder="1"/>
    <xf numFmtId="165" fontId="8" fillId="0" borderId="17" xfId="0" applyNumberFormat="1" applyFont="1" applyFill="1" applyBorder="1"/>
    <xf numFmtId="165" fontId="8" fillId="0" borderId="32" xfId="0" applyNumberFormat="1" applyFont="1" applyFill="1" applyBorder="1"/>
    <xf numFmtId="165" fontId="8" fillId="0" borderId="33" xfId="0" applyNumberFormat="1" applyFont="1" applyFill="1" applyBorder="1"/>
    <xf numFmtId="165" fontId="8" fillId="0" borderId="37" xfId="3" applyNumberFormat="1" applyFont="1" applyFill="1" applyBorder="1"/>
    <xf numFmtId="165" fontId="8" fillId="0" borderId="36" xfId="3" applyNumberFormat="1" applyFont="1" applyFill="1" applyBorder="1"/>
    <xf numFmtId="165" fontId="8" fillId="0" borderId="32" xfId="3" applyNumberFormat="1" applyFont="1" applyFill="1" applyBorder="1"/>
    <xf numFmtId="165" fontId="8" fillId="0" borderId="33" xfId="3" applyNumberFormat="1" applyFont="1" applyFill="1" applyBorder="1"/>
    <xf numFmtId="0" fontId="8" fillId="0" borderId="18" xfId="0" applyFont="1" applyFill="1" applyBorder="1"/>
    <xf numFmtId="0" fontId="8" fillId="0" borderId="19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2" fillId="0" borderId="13" xfId="0" applyFont="1" applyFill="1" applyBorder="1"/>
    <xf numFmtId="0" fontId="2" fillId="0" borderId="16" xfId="0" applyFont="1" applyFill="1" applyBorder="1"/>
    <xf numFmtId="0" fontId="2" fillId="0" borderId="2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quotePrefix="1" applyNumberFormat="1" applyFont="1" applyFill="1" applyBorder="1" applyAlignment="1">
      <alignment horizontal="center" wrapText="1"/>
    </xf>
    <xf numFmtId="0" fontId="2" fillId="0" borderId="22" xfId="0" quotePrefix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164" fontId="26" fillId="0" borderId="0" xfId="0" applyNumberFormat="1" applyFont="1" applyFill="1" applyBorder="1"/>
    <xf numFmtId="0" fontId="26" fillId="0" borderId="0" xfId="0" applyFont="1" applyFill="1" applyBorder="1"/>
    <xf numFmtId="0" fontId="26" fillId="0" borderId="17" xfId="0" applyFont="1" applyFill="1" applyBorder="1"/>
    <xf numFmtId="165" fontId="26" fillId="0" borderId="0" xfId="0" applyNumberFormat="1" applyFont="1" applyFill="1" applyBorder="1"/>
    <xf numFmtId="170" fontId="26" fillId="0" borderId="0" xfId="0" applyNumberFormat="1" applyFont="1" applyFill="1" applyBorder="1"/>
    <xf numFmtId="10" fontId="26" fillId="0" borderId="17" xfId="0" applyNumberFormat="1" applyFont="1" applyFill="1" applyBorder="1" applyAlignment="1">
      <alignment horizontal="right"/>
    </xf>
    <xf numFmtId="0" fontId="2" fillId="0" borderId="18" xfId="0" applyFont="1" applyFill="1" applyBorder="1"/>
    <xf numFmtId="164" fontId="26" fillId="0" borderId="4" xfId="0" applyNumberFormat="1" applyFont="1" applyFill="1" applyBorder="1"/>
    <xf numFmtId="172" fontId="26" fillId="0" borderId="4" xfId="0" applyNumberFormat="1" applyFont="1" applyFill="1" applyBorder="1"/>
    <xf numFmtId="0" fontId="26" fillId="0" borderId="4" xfId="0" applyFont="1" applyFill="1" applyBorder="1"/>
    <xf numFmtId="0" fontId="26" fillId="0" borderId="19" xfId="0" applyFont="1" applyFill="1" applyBorder="1"/>
    <xf numFmtId="0" fontId="1" fillId="0" borderId="0" xfId="9" applyFill="1"/>
    <xf numFmtId="0" fontId="28" fillId="0" borderId="0" xfId="9" applyFont="1" applyFill="1"/>
    <xf numFmtId="0" fontId="3" fillId="0" borderId="0" xfId="9" applyFont="1" applyFill="1" applyAlignment="1">
      <alignment horizontal="centerContinuous"/>
    </xf>
    <xf numFmtId="0" fontId="3" fillId="0" borderId="1" xfId="9" applyFont="1" applyFill="1" applyBorder="1" applyAlignment="1">
      <alignment horizontal="center" wrapText="1"/>
    </xf>
    <xf numFmtId="0" fontId="3" fillId="0" borderId="0" xfId="9" applyFont="1" applyFill="1" applyBorder="1" applyAlignment="1">
      <alignment horizontal="center" wrapText="1"/>
    </xf>
    <xf numFmtId="0" fontId="3" fillId="0" borderId="0" xfId="9" applyFont="1" applyFill="1" applyBorder="1" applyAlignment="1">
      <alignment horizontal="center" vertical="top" wrapText="1"/>
    </xf>
    <xf numFmtId="0" fontId="3" fillId="0" borderId="0" xfId="9" quotePrefix="1" applyFont="1" applyFill="1" applyBorder="1" applyAlignment="1">
      <alignment horizontal="center" vertical="top" wrapText="1"/>
    </xf>
    <xf numFmtId="0" fontId="3" fillId="0" borderId="0" xfId="9" applyFont="1" applyFill="1" applyAlignment="1">
      <alignment horizontal="center" vertical="top" wrapText="1"/>
    </xf>
    <xf numFmtId="0" fontId="3" fillId="0" borderId="0" xfId="9" quotePrefix="1" applyFont="1" applyFill="1" applyBorder="1" applyAlignment="1">
      <alignment horizontal="center" wrapText="1"/>
    </xf>
    <xf numFmtId="164" fontId="29" fillId="0" borderId="0" xfId="0" quotePrefix="1" applyNumberFormat="1" applyFont="1" applyFill="1" applyAlignment="1">
      <alignment horizontal="left"/>
    </xf>
    <xf numFmtId="165" fontId="29" fillId="0" borderId="0" xfId="0" quotePrefix="1" applyNumberFormat="1" applyFont="1" applyFill="1" applyAlignment="1">
      <alignment horizontal="left"/>
    </xf>
    <xf numFmtId="170" fontId="29" fillId="0" borderId="0" xfId="0" quotePrefix="1" applyNumberFormat="1" applyFont="1" applyFill="1" applyAlignment="1">
      <alignment horizontal="left"/>
    </xf>
    <xf numFmtId="165" fontId="3" fillId="0" borderId="0" xfId="0" quotePrefix="1" applyNumberFormat="1" applyFont="1" applyFill="1" applyAlignment="1">
      <alignment horizontal="left"/>
    </xf>
    <xf numFmtId="10" fontId="3" fillId="0" borderId="0" xfId="0" quotePrefix="1" applyNumberFormat="1" applyFont="1" applyFill="1" applyAlignment="1">
      <alignment horizontal="center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70" fontId="3" fillId="0" borderId="2" xfId="0" applyNumberFormat="1" applyFont="1" applyFill="1" applyBorder="1"/>
    <xf numFmtId="10" fontId="3" fillId="0" borderId="2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70" fontId="3" fillId="0" borderId="0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164" fontId="29" fillId="0" borderId="0" xfId="0" applyNumberFormat="1" applyFont="1" applyFill="1" applyBorder="1"/>
    <xf numFmtId="165" fontId="29" fillId="0" borderId="0" xfId="0" applyNumberFormat="1" applyFont="1" applyFill="1" applyBorder="1"/>
    <xf numFmtId="170" fontId="29" fillId="0" borderId="0" xfId="0" applyNumberFormat="1" applyFont="1" applyFill="1" applyBorder="1"/>
    <xf numFmtId="164" fontId="3" fillId="0" borderId="0" xfId="0" applyNumberFormat="1" applyFont="1" applyFill="1"/>
    <xf numFmtId="165" fontId="3" fillId="0" borderId="0" xfId="0" applyNumberFormat="1" applyFont="1" applyFill="1"/>
    <xf numFmtId="170" fontId="3" fillId="0" borderId="0" xfId="0" applyNumberFormat="1" applyFont="1" applyFill="1"/>
    <xf numFmtId="10" fontId="3" fillId="0" borderId="0" xfId="0" applyNumberFormat="1" applyFont="1" applyFill="1" applyAlignment="1">
      <alignment horizontal="center"/>
    </xf>
    <xf numFmtId="164" fontId="29" fillId="0" borderId="2" xfId="0" applyNumberFormat="1" applyFont="1" applyFill="1" applyBorder="1"/>
    <xf numFmtId="165" fontId="29" fillId="0" borderId="2" xfId="0" applyNumberFormat="1" applyFont="1" applyFill="1" applyBorder="1"/>
    <xf numFmtId="170" fontId="29" fillId="0" borderId="2" xfId="0" applyNumberFormat="1" applyFont="1" applyFill="1" applyBorder="1"/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170" fontId="3" fillId="0" borderId="3" xfId="0" applyNumberFormat="1" applyFont="1" applyFill="1" applyBorder="1"/>
    <xf numFmtId="10" fontId="3" fillId="0" borderId="3" xfId="0" applyNumberFormat="1" applyFont="1" applyFill="1" applyBorder="1" applyAlignment="1">
      <alignment horizontal="center"/>
    </xf>
    <xf numFmtId="176" fontId="0" fillId="0" borderId="0" xfId="0" quotePrefix="1" applyNumberFormat="1" applyAlignment="1">
      <alignment horizontal="left"/>
    </xf>
    <xf numFmtId="0" fontId="8" fillId="0" borderId="0" xfId="0" quotePrefix="1" applyFont="1" applyAlignment="1">
      <alignment horizontal="left" indent="2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Border="1" applyAlignment="1"/>
    <xf numFmtId="0" fontId="8" fillId="0" borderId="0" xfId="0" quotePrefix="1" applyFont="1" applyBorder="1" applyAlignment="1">
      <alignment horizontal="center"/>
    </xf>
    <xf numFmtId="0" fontId="8" fillId="0" borderId="0" xfId="0" applyFont="1" applyAlignment="1"/>
    <xf numFmtId="44" fontId="8" fillId="0" borderId="0" xfId="2" applyFont="1"/>
    <xf numFmtId="44" fontId="8" fillId="0" borderId="3" xfId="2" applyFont="1" applyBorder="1"/>
    <xf numFmtId="0" fontId="8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quotePrefix="1" applyFont="1" applyAlignment="1">
      <alignment horizontal="left" indent="2"/>
    </xf>
    <xf numFmtId="0" fontId="8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left"/>
    </xf>
    <xf numFmtId="165" fontId="8" fillId="2" borderId="34" xfId="3" applyNumberFormat="1" applyFont="1" applyFill="1" applyBorder="1"/>
    <xf numFmtId="165" fontId="8" fillId="0" borderId="16" xfId="3" applyNumberFormat="1" applyFont="1" applyFill="1" applyBorder="1"/>
    <xf numFmtId="165" fontId="8" fillId="0" borderId="17" xfId="3" applyNumberFormat="1" applyFont="1" applyFill="1" applyBorder="1"/>
    <xf numFmtId="0" fontId="8" fillId="0" borderId="0" xfId="0" applyFont="1" applyFill="1" applyAlignment="1">
      <alignment horizontal="center"/>
    </xf>
    <xf numFmtId="0" fontId="17" fillId="0" borderId="0" xfId="0" quotePrefix="1" applyFont="1" applyAlignment="1">
      <alignment horizontal="center" wrapText="1"/>
    </xf>
    <xf numFmtId="0" fontId="9" fillId="0" borderId="0" xfId="0" applyFont="1" applyFill="1" applyBorder="1" applyAlignment="1">
      <alignment horizontal="centerContinuous"/>
    </xf>
    <xf numFmtId="0" fontId="31" fillId="0" borderId="0" xfId="0" applyFont="1" applyFill="1" applyBorder="1" applyAlignment="1">
      <alignment horizontal="center"/>
    </xf>
    <xf numFmtId="41" fontId="9" fillId="0" borderId="1" xfId="0" applyNumberFormat="1" applyFont="1" applyFill="1" applyBorder="1" applyAlignment="1">
      <alignment horizontal="center" vertical="center" wrapText="1"/>
    </xf>
    <xf numFmtId="41" fontId="9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9" fillId="0" borderId="0" xfId="0" applyFont="1" applyBorder="1" applyProtection="1">
      <protection locked="0"/>
    </xf>
    <xf numFmtId="170" fontId="12" fillId="0" borderId="0" xfId="0" applyNumberFormat="1" applyFont="1" applyFill="1" applyAlignment="1"/>
    <xf numFmtId="170" fontId="22" fillId="0" borderId="0" xfId="0" applyNumberFormat="1" applyFont="1" applyFill="1" applyAlignment="1"/>
    <xf numFmtId="170" fontId="22" fillId="0" borderId="0" xfId="0" applyNumberFormat="1" applyFont="1" applyFill="1"/>
    <xf numFmtId="170" fontId="22" fillId="0" borderId="0" xfId="0" applyNumberFormat="1" applyFont="1" applyFill="1" applyAlignment="1">
      <alignment horizontal="center"/>
    </xf>
    <xf numFmtId="0" fontId="9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44" fontId="12" fillId="0" borderId="0" xfId="0" applyNumberFormat="1" applyFont="1" applyFill="1" applyAlignment="1"/>
    <xf numFmtId="44" fontId="22" fillId="0" borderId="0" xfId="0" applyNumberFormat="1" applyFont="1" applyFill="1" applyAlignment="1"/>
    <xf numFmtId="14" fontId="0" fillId="0" borderId="0" xfId="0" quotePrefix="1" applyNumberForma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4" xfId="0" applyFont="1" applyFill="1" applyBorder="1"/>
    <xf numFmtId="17" fontId="8" fillId="0" borderId="18" xfId="0" quotePrefix="1" applyNumberFormat="1" applyFont="1" applyFill="1" applyBorder="1" applyAlignment="1">
      <alignment horizontal="center" wrapText="1"/>
    </xf>
    <xf numFmtId="17" fontId="8" fillId="0" borderId="19" xfId="0" quotePrefix="1" applyNumberFormat="1" applyFont="1" applyFill="1" applyBorder="1" applyAlignment="1">
      <alignment horizontal="center" wrapText="1"/>
    </xf>
    <xf numFmtId="17" fontId="8" fillId="0" borderId="4" xfId="0" quotePrefix="1" applyNumberFormat="1" applyFont="1" applyFill="1" applyBorder="1" applyAlignment="1">
      <alignment horizontal="center" wrapText="1"/>
    </xf>
    <xf numFmtId="0" fontId="8" fillId="0" borderId="16" xfId="0" applyFont="1" applyFill="1" applyBorder="1"/>
    <xf numFmtId="0" fontId="8" fillId="0" borderId="17" xfId="0" applyFont="1" applyFill="1" applyBorder="1"/>
    <xf numFmtId="17" fontId="8" fillId="0" borderId="38" xfId="0" quotePrefix="1" applyNumberFormat="1" applyFont="1" applyFill="1" applyBorder="1" applyAlignment="1">
      <alignment horizontal="center" wrapText="1"/>
    </xf>
    <xf numFmtId="17" fontId="8" fillId="0" borderId="40" xfId="0" quotePrefix="1" applyNumberFormat="1" applyFont="1" applyFill="1" applyBorder="1" applyAlignment="1">
      <alignment horizontal="center" wrapText="1"/>
    </xf>
    <xf numFmtId="17" fontId="8" fillId="0" borderId="39" xfId="0" quotePrefix="1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9" fillId="0" borderId="0" xfId="0" quotePrefix="1" applyFont="1" applyFill="1" applyAlignment="1">
      <alignment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quotePrefix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177" fontId="0" fillId="0" borderId="0" xfId="2" applyNumberFormat="1" applyFont="1"/>
    <xf numFmtId="0" fontId="8" fillId="0" borderId="0" xfId="0" applyFont="1" applyFill="1" applyAlignment="1">
      <alignment horizontal="left" indent="1"/>
    </xf>
    <xf numFmtId="164" fontId="8" fillId="0" borderId="0" xfId="7" quotePrefix="1" applyNumberFormat="1" applyFont="1" applyFill="1" applyAlignment="1">
      <alignment horizontal="left"/>
    </xf>
    <xf numFmtId="165" fontId="8" fillId="0" borderId="0" xfId="0" quotePrefix="1" applyNumberFormat="1" applyFont="1" applyFill="1" applyAlignment="1">
      <alignment horizontal="left"/>
    </xf>
    <xf numFmtId="170" fontId="8" fillId="0" borderId="0" xfId="2" applyNumberFormat="1" applyFont="1" applyFill="1"/>
    <xf numFmtId="170" fontId="0" fillId="0" borderId="0" xfId="2" applyNumberFormat="1" applyFont="1"/>
    <xf numFmtId="10" fontId="8" fillId="0" borderId="0" xfId="14" quotePrefix="1" applyNumberFormat="1" applyFont="1" applyFill="1" applyAlignment="1">
      <alignment horizontal="center"/>
    </xf>
    <xf numFmtId="164" fontId="8" fillId="0" borderId="2" xfId="7" applyNumberFormat="1" applyFont="1" applyFill="1" applyBorder="1"/>
    <xf numFmtId="10" fontId="8" fillId="0" borderId="2" xfId="14" applyNumberFormat="1" applyFont="1" applyFill="1" applyBorder="1" applyAlignment="1">
      <alignment horizontal="center"/>
    </xf>
    <xf numFmtId="10" fontId="8" fillId="0" borderId="0" xfId="14" applyNumberFormat="1" applyFont="1" applyFill="1" applyBorder="1" applyAlignment="1">
      <alignment horizontal="center"/>
    </xf>
    <xf numFmtId="0" fontId="8" fillId="0" borderId="0" xfId="0" quotePrefix="1" applyFont="1" applyFill="1" applyAlignment="1">
      <alignment horizontal="left" indent="1"/>
    </xf>
    <xf numFmtId="164" fontId="8" fillId="0" borderId="0" xfId="7" applyNumberFormat="1" applyFont="1" applyFill="1"/>
    <xf numFmtId="10" fontId="8" fillId="0" borderId="0" xfId="14" applyNumberFormat="1" applyFont="1" applyFill="1" applyAlignment="1">
      <alignment horizontal="center"/>
    </xf>
    <xf numFmtId="170" fontId="8" fillId="0" borderId="2" xfId="2" applyNumberFormat="1" applyFont="1" applyFill="1" applyBorder="1"/>
    <xf numFmtId="164" fontId="8" fillId="0" borderId="3" xfId="7" applyNumberFormat="1" applyFont="1" applyFill="1" applyBorder="1"/>
    <xf numFmtId="165" fontId="8" fillId="0" borderId="3" xfId="0" applyNumberFormat="1" applyFont="1" applyFill="1" applyBorder="1"/>
    <xf numFmtId="170" fontId="8" fillId="0" borderId="3" xfId="0" applyNumberFormat="1" applyFont="1" applyFill="1" applyBorder="1"/>
    <xf numFmtId="10" fontId="8" fillId="0" borderId="3" xfId="14" applyNumberFormat="1" applyFont="1" applyFill="1" applyBorder="1" applyAlignment="1">
      <alignment horizontal="center"/>
    </xf>
    <xf numFmtId="178" fontId="0" fillId="0" borderId="0" xfId="2" applyNumberFormat="1" applyFont="1"/>
    <xf numFmtId="165" fontId="0" fillId="0" borderId="0" xfId="2" applyNumberFormat="1" applyFont="1"/>
    <xf numFmtId="0" fontId="2" fillId="0" borderId="19" xfId="0" quotePrefix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vertical="top" wrapText="1"/>
    </xf>
    <xf numFmtId="179" fontId="2" fillId="0" borderId="0" xfId="0" applyNumberFormat="1" applyFont="1" applyFill="1" applyBorder="1"/>
    <xf numFmtId="170" fontId="2" fillId="0" borderId="17" xfId="0" applyNumberFormat="1" applyFont="1" applyFill="1" applyBorder="1" applyAlignment="1">
      <alignment horizontal="center"/>
    </xf>
    <xf numFmtId="171" fontId="2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5" fontId="8" fillId="0" borderId="4" xfId="0" applyNumberFormat="1" applyFont="1" applyFill="1" applyBorder="1"/>
    <xf numFmtId="165" fontId="8" fillId="0" borderId="19" xfId="0" applyNumberFormat="1" applyFont="1" applyFill="1" applyBorder="1"/>
    <xf numFmtId="0" fontId="8" fillId="0" borderId="6" xfId="0" quotePrefix="1" applyFont="1" applyFill="1" applyBorder="1" applyAlignment="1">
      <alignment horizontal="center" wrapText="1"/>
    </xf>
    <xf numFmtId="0" fontId="8" fillId="0" borderId="24" xfId="0" quotePrefix="1" applyFont="1" applyFill="1" applyBorder="1" applyAlignment="1">
      <alignment horizontal="center" wrapText="1"/>
    </xf>
    <xf numFmtId="3" fontId="8" fillId="0" borderId="0" xfId="0" applyNumberFormat="1" applyFont="1" applyFill="1"/>
    <xf numFmtId="9" fontId="8" fillId="0" borderId="0" xfId="0" applyNumberFormat="1" applyFont="1" applyFill="1"/>
    <xf numFmtId="0" fontId="32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33" fillId="0" borderId="0" xfId="0" applyFont="1" applyFill="1"/>
    <xf numFmtId="0" fontId="34" fillId="0" borderId="0" xfId="0" applyFont="1" applyFill="1"/>
    <xf numFmtId="0" fontId="35" fillId="0" borderId="0" xfId="0" applyFont="1" applyFill="1"/>
    <xf numFmtId="0" fontId="36" fillId="0" borderId="20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36" fillId="0" borderId="23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right"/>
    </xf>
    <xf numFmtId="3" fontId="0" fillId="0" borderId="8" xfId="0" applyNumberFormat="1" applyFont="1" applyFill="1" applyBorder="1"/>
    <xf numFmtId="3" fontId="0" fillId="0" borderId="24" xfId="0" applyNumberFormat="1" applyFont="1" applyFill="1" applyBorder="1"/>
    <xf numFmtId="3" fontId="0" fillId="0" borderId="0" xfId="0" applyNumberFormat="1" applyFont="1" applyFill="1" applyBorder="1"/>
    <xf numFmtId="0" fontId="28" fillId="0" borderId="25" xfId="0" applyFont="1" applyFill="1" applyBorder="1"/>
    <xf numFmtId="0" fontId="0" fillId="0" borderId="25" xfId="0" applyFont="1" applyFill="1" applyBorder="1" applyAlignment="1">
      <alignment horizontal="center"/>
    </xf>
    <xf numFmtId="3" fontId="0" fillId="0" borderId="26" xfId="0" applyNumberFormat="1" applyFont="1" applyFill="1" applyBorder="1" applyAlignment="1">
      <alignment horizontal="right"/>
    </xf>
    <xf numFmtId="3" fontId="0" fillId="0" borderId="25" xfId="0" applyNumberFormat="1" applyFont="1" applyFill="1" applyBorder="1"/>
    <xf numFmtId="0" fontId="28" fillId="0" borderId="28" xfId="0" applyFont="1" applyFill="1" applyBorder="1"/>
    <xf numFmtId="0" fontId="0" fillId="0" borderId="28" xfId="0" applyFont="1" applyFill="1" applyBorder="1" applyAlignment="1">
      <alignment horizontal="center"/>
    </xf>
    <xf numFmtId="3" fontId="0" fillId="0" borderId="10" xfId="0" applyNumberFormat="1" applyFont="1" applyFill="1" applyBorder="1" applyAlignment="1">
      <alignment horizontal="right"/>
    </xf>
    <xf numFmtId="3" fontId="0" fillId="0" borderId="1" xfId="0" applyNumberFormat="1" applyFont="1" applyFill="1" applyBorder="1"/>
    <xf numFmtId="3" fontId="0" fillId="0" borderId="28" xfId="0" applyNumberFormat="1" applyFont="1" applyFill="1" applyBorder="1"/>
    <xf numFmtId="0" fontId="28" fillId="0" borderId="0" xfId="0" applyFont="1" applyFill="1" applyBorder="1"/>
    <xf numFmtId="3" fontId="0" fillId="0" borderId="0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center"/>
    </xf>
    <xf numFmtId="3" fontId="8" fillId="0" borderId="8" xfId="0" applyNumberFormat="1" applyFont="1" applyFill="1" applyBorder="1"/>
    <xf numFmtId="3" fontId="8" fillId="0" borderId="9" xfId="0" applyNumberFormat="1" applyFont="1" applyFill="1" applyBorder="1"/>
    <xf numFmtId="3" fontId="8" fillId="0" borderId="25" xfId="0" applyNumberFormat="1" applyFont="1" applyFill="1" applyBorder="1"/>
    <xf numFmtId="0" fontId="8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3" fontId="8" fillId="0" borderId="0" xfId="0" applyNumberFormat="1" applyFont="1" applyFill="1" applyBorder="1"/>
    <xf numFmtId="3" fontId="8" fillId="0" borderId="27" xfId="0" applyNumberFormat="1" applyFont="1" applyFill="1" applyBorder="1"/>
    <xf numFmtId="3" fontId="8" fillId="0" borderId="1" xfId="0" applyNumberFormat="1" applyFont="1" applyFill="1" applyBorder="1"/>
    <xf numFmtId="3" fontId="8" fillId="0" borderId="11" xfId="0" applyNumberFormat="1" applyFont="1" applyFill="1" applyBorder="1"/>
    <xf numFmtId="3" fontId="8" fillId="0" borderId="28" xfId="0" applyNumberFormat="1" applyFont="1" applyFill="1" applyBorder="1"/>
    <xf numFmtId="0" fontId="37" fillId="0" borderId="0" xfId="0" applyFont="1" applyFill="1"/>
    <xf numFmtId="0" fontId="31" fillId="0" borderId="20" xfId="0" applyFont="1" applyFill="1" applyBorder="1" applyAlignment="1">
      <alignment horizontal="center"/>
    </xf>
    <xf numFmtId="0" fontId="31" fillId="0" borderId="23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2" fillId="0" borderId="0" xfId="0" applyFont="1"/>
    <xf numFmtId="0" fontId="38" fillId="0" borderId="0" xfId="0" applyFont="1" applyFill="1"/>
    <xf numFmtId="0" fontId="39" fillId="0" borderId="0" xfId="0" applyFont="1" applyFill="1"/>
    <xf numFmtId="0" fontId="38" fillId="0" borderId="0" xfId="0" applyFont="1" applyFill="1" applyBorder="1" applyAlignment="1">
      <alignment horizontal="left"/>
    </xf>
    <xf numFmtId="0" fontId="38" fillId="0" borderId="0" xfId="0" applyFont="1" applyFill="1" applyAlignment="1">
      <alignment horizontal="center" wrapText="1"/>
    </xf>
    <xf numFmtId="0" fontId="38" fillId="0" borderId="0" xfId="0" quotePrefix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8" fillId="0" borderId="0" xfId="0" quotePrefix="1" applyFont="1" applyFill="1" applyBorder="1" applyAlignment="1">
      <alignment horizontal="center"/>
    </xf>
    <xf numFmtId="0" fontId="38" fillId="0" borderId="7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1" xfId="0" quotePrefix="1" applyFont="1" applyFill="1" applyBorder="1" applyAlignment="1">
      <alignment horizontal="center"/>
    </xf>
    <xf numFmtId="0" fontId="38" fillId="0" borderId="0" xfId="0" quotePrefix="1" applyFont="1" applyFill="1"/>
    <xf numFmtId="165" fontId="38" fillId="0" borderId="0" xfId="2" applyNumberFormat="1" applyFont="1" applyFill="1"/>
    <xf numFmtId="0" fontId="41" fillId="0" borderId="0" xfId="0" quotePrefix="1" applyFont="1" applyFill="1" applyAlignment="1">
      <alignment horizontal="left"/>
    </xf>
    <xf numFmtId="164" fontId="38" fillId="0" borderId="0" xfId="15" applyNumberFormat="1" applyFont="1" applyFill="1" applyProtection="1">
      <protection locked="0"/>
    </xf>
    <xf numFmtId="165" fontId="38" fillId="0" borderId="0" xfId="2" applyNumberFormat="1" applyFont="1" applyFill="1" applyProtection="1"/>
    <xf numFmtId="168" fontId="38" fillId="0" borderId="0" xfId="0" applyNumberFormat="1" applyFont="1" applyFill="1" applyProtection="1">
      <protection locked="0"/>
    </xf>
    <xf numFmtId="10" fontId="38" fillId="0" borderId="0" xfId="14" applyNumberFormat="1" applyFont="1" applyFill="1"/>
    <xf numFmtId="165" fontId="38" fillId="0" borderId="0" xfId="2" applyNumberFormat="1" applyFont="1" applyFill="1" applyProtection="1">
      <protection locked="0"/>
    </xf>
    <xf numFmtId="170" fontId="38" fillId="0" borderId="0" xfId="2" applyNumberFormat="1" applyFont="1" applyFill="1"/>
    <xf numFmtId="0" fontId="40" fillId="0" borderId="0" xfId="0" applyFont="1" applyFill="1" applyAlignment="1">
      <alignment horizontal="center"/>
    </xf>
    <xf numFmtId="0" fontId="40" fillId="0" borderId="0" xfId="0" quotePrefix="1" applyFont="1" applyFill="1" applyAlignment="1">
      <alignment horizontal="left" indent="1"/>
    </xf>
    <xf numFmtId="164" fontId="38" fillId="0" borderId="2" xfId="15" applyNumberFormat="1" applyFont="1" applyFill="1" applyBorder="1" applyProtection="1">
      <protection locked="0"/>
    </xf>
    <xf numFmtId="37" fontId="38" fillId="0" borderId="2" xfId="0" applyNumberFormat="1" applyFont="1" applyFill="1" applyBorder="1" applyProtection="1"/>
    <xf numFmtId="165" fontId="38" fillId="0" borderId="2" xfId="2" applyNumberFormat="1" applyFont="1" applyFill="1" applyBorder="1" applyProtection="1">
      <protection locked="0"/>
    </xf>
    <xf numFmtId="164" fontId="38" fillId="0" borderId="0" xfId="15" applyNumberFormat="1" applyFont="1" applyFill="1"/>
    <xf numFmtId="168" fontId="38" fillId="0" borderId="0" xfId="0" applyNumberFormat="1" applyFont="1" applyFill="1"/>
    <xf numFmtId="0" fontId="40" fillId="0" borderId="0" xfId="0" applyFont="1" applyFill="1"/>
    <xf numFmtId="0" fontId="38" fillId="0" borderId="0" xfId="0" quotePrefix="1" applyFont="1" applyFill="1" applyAlignment="1">
      <alignment horizontal="left"/>
    </xf>
    <xf numFmtId="37" fontId="38" fillId="0" borderId="0" xfId="0" applyNumberFormat="1" applyFont="1" applyFill="1" applyProtection="1"/>
    <xf numFmtId="0" fontId="40" fillId="0" borderId="0" xfId="0" quotePrefix="1" applyFont="1" applyFill="1" applyAlignment="1">
      <alignment horizontal="left"/>
    </xf>
    <xf numFmtId="44" fontId="38" fillId="0" borderId="0" xfId="0" applyNumberFormat="1" applyFont="1" applyFill="1"/>
    <xf numFmtId="164" fontId="38" fillId="0" borderId="12" xfId="15" applyNumberFormat="1" applyFont="1" applyFill="1" applyBorder="1"/>
    <xf numFmtId="37" fontId="38" fillId="0" borderId="12" xfId="0" applyNumberFormat="1" applyFont="1" applyFill="1" applyBorder="1"/>
    <xf numFmtId="168" fontId="38" fillId="0" borderId="0" xfId="0" applyNumberFormat="1" applyFont="1" applyFill="1" applyBorder="1" applyProtection="1">
      <protection locked="0"/>
    </xf>
    <xf numFmtId="165" fontId="38" fillId="0" borderId="12" xfId="2" applyNumberFormat="1" applyFont="1" applyFill="1" applyBorder="1"/>
    <xf numFmtId="0" fontId="2" fillId="0" borderId="0" xfId="0" applyFont="1" applyFill="1"/>
    <xf numFmtId="164" fontId="3" fillId="0" borderId="0" xfId="0" quotePrefix="1" applyNumberFormat="1" applyFont="1" applyFill="1" applyAlignment="1">
      <alignment horizontal="left"/>
    </xf>
    <xf numFmtId="165" fontId="3" fillId="0" borderId="0" xfId="3" quotePrefix="1" applyNumberFormat="1" applyFont="1" applyFill="1" applyAlignment="1">
      <alignment horizontal="left"/>
    </xf>
    <xf numFmtId="170" fontId="3" fillId="0" borderId="0" xfId="0" quotePrefix="1" applyNumberFormat="1" applyFont="1" applyFill="1" applyAlignment="1">
      <alignment horizontal="left"/>
    </xf>
    <xf numFmtId="165" fontId="3" fillId="0" borderId="2" xfId="3" applyNumberFormat="1" applyFont="1" applyFill="1" applyBorder="1"/>
    <xf numFmtId="165" fontId="3" fillId="0" borderId="0" xfId="3" applyNumberFormat="1" applyFont="1" applyFill="1" applyBorder="1"/>
    <xf numFmtId="165" fontId="3" fillId="0" borderId="3" xfId="3" applyNumberFormat="1" applyFont="1" applyFill="1" applyBorder="1"/>
    <xf numFmtId="173" fontId="8" fillId="0" borderId="0" xfId="7" applyNumberFormat="1" applyFont="1" applyFill="1" applyBorder="1"/>
    <xf numFmtId="44" fontId="8" fillId="0" borderId="0" xfId="0" applyNumberFormat="1" applyFont="1" applyFill="1" applyBorder="1"/>
    <xf numFmtId="0" fontId="8" fillId="0" borderId="0" xfId="0" quotePrefix="1" applyFont="1" applyFill="1" applyBorder="1" applyAlignment="1">
      <alignment horizontal="left" indent="4"/>
    </xf>
    <xf numFmtId="165" fontId="8" fillId="0" borderId="3" xfId="2" applyNumberFormat="1" applyFont="1" applyFill="1" applyBorder="1"/>
    <xf numFmtId="170" fontId="8" fillId="0" borderId="3" xfId="2" applyNumberFormat="1" applyFont="1" applyFill="1" applyBorder="1"/>
    <xf numFmtId="0" fontId="31" fillId="0" borderId="0" xfId="0" applyFont="1" applyFill="1" applyBorder="1"/>
    <xf numFmtId="10" fontId="8" fillId="0" borderId="3" xfId="4" applyNumberFormat="1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17" fontId="8" fillId="0" borderId="16" xfId="0" quotePrefix="1" applyNumberFormat="1" applyFont="1" applyFill="1" applyBorder="1" applyAlignment="1">
      <alignment horizontal="center" wrapText="1"/>
    </xf>
    <xf numFmtId="17" fontId="8" fillId="0" borderId="17" xfId="0" quotePrefix="1" applyNumberFormat="1" applyFont="1" applyFill="1" applyBorder="1" applyAlignment="1">
      <alignment horizontal="center" wrapText="1"/>
    </xf>
    <xf numFmtId="10" fontId="8" fillId="0" borderId="0" xfId="4" applyNumberFormat="1" applyFont="1" applyFill="1"/>
    <xf numFmtId="10" fontId="8" fillId="0" borderId="0" xfId="14" applyNumberFormat="1" applyFont="1"/>
    <xf numFmtId="10" fontId="8" fillId="0" borderId="3" xfId="14" applyNumberFormat="1" applyFont="1" applyBorder="1"/>
    <xf numFmtId="0" fontId="8" fillId="0" borderId="0" xfId="0" quotePrefix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17" fontId="9" fillId="0" borderId="30" xfId="0" quotePrefix="1" applyNumberFormat="1" applyFont="1" applyFill="1" applyBorder="1" applyAlignment="1">
      <alignment horizontal="center" wrapText="1"/>
    </xf>
    <xf numFmtId="0" fontId="9" fillId="0" borderId="31" xfId="0" quotePrefix="1" applyFont="1" applyFill="1" applyBorder="1" applyAlignment="1">
      <alignment horizontal="center" wrapText="1"/>
    </xf>
    <xf numFmtId="17" fontId="9" fillId="0" borderId="0" xfId="0" quotePrefix="1" applyNumberFormat="1" applyFont="1" applyFill="1" applyBorder="1" applyAlignment="1">
      <alignment horizontal="center" wrapText="1"/>
    </xf>
    <xf numFmtId="0" fontId="9" fillId="0" borderId="17" xfId="0" quotePrefix="1" applyFont="1" applyFill="1" applyBorder="1" applyAlignment="1">
      <alignment horizontal="center" wrapText="1"/>
    </xf>
    <xf numFmtId="10" fontId="8" fillId="0" borderId="17" xfId="0" applyNumberFormat="1" applyFont="1" applyFill="1" applyBorder="1"/>
    <xf numFmtId="10" fontId="8" fillId="0" borderId="33" xfId="0" applyNumberFormat="1" applyFont="1" applyFill="1" applyBorder="1"/>
    <xf numFmtId="10" fontId="8" fillId="0" borderId="36" xfId="0" applyNumberFormat="1" applyFont="1" applyFill="1" applyBorder="1"/>
    <xf numFmtId="170" fontId="8" fillId="0" borderId="34" xfId="0" applyNumberFormat="1" applyFont="1" applyFill="1" applyBorder="1"/>
    <xf numFmtId="10" fontId="8" fillId="0" borderId="35" xfId="0" applyNumberFormat="1" applyFont="1" applyFill="1" applyBorder="1"/>
    <xf numFmtId="165" fontId="8" fillId="0" borderId="4" xfId="3" applyNumberFormat="1" applyFont="1" applyFill="1" applyBorder="1"/>
    <xf numFmtId="10" fontId="8" fillId="0" borderId="19" xfId="0" applyNumberFormat="1" applyFont="1" applyFill="1" applyBorder="1"/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8" fillId="0" borderId="0" xfId="0" quotePrefix="1" applyFont="1" applyAlignment="1">
      <alignment horizontal="left" indent="2"/>
    </xf>
    <xf numFmtId="0" fontId="8" fillId="0" borderId="1" xfId="0" quotePrefix="1" applyFont="1" applyBorder="1" applyAlignment="1">
      <alignment horizontal="center"/>
    </xf>
    <xf numFmtId="0" fontId="8" fillId="0" borderId="0" xfId="0" quotePrefix="1" applyFont="1" applyAlignment="1">
      <alignment horizontal="left" indent="1"/>
    </xf>
    <xf numFmtId="0" fontId="8" fillId="0" borderId="0" xfId="0" quotePrefix="1" applyFont="1" applyAlignment="1">
      <alignment horizontal="left" indent="3"/>
    </xf>
    <xf numFmtId="0" fontId="8" fillId="0" borderId="0" xfId="0" quotePrefix="1" applyFont="1" applyFill="1" applyAlignment="1">
      <alignment horizontal="left" indent="1"/>
    </xf>
    <xf numFmtId="0" fontId="8" fillId="0" borderId="0" xfId="0" quotePrefix="1" applyFont="1" applyFill="1" applyAlignment="1">
      <alignment horizontal="left" indent="3"/>
    </xf>
    <xf numFmtId="0" fontId="8" fillId="0" borderId="0" xfId="0" quotePrefix="1" applyFont="1" applyFill="1" applyAlignment="1">
      <alignment horizontal="left" indent="2"/>
    </xf>
    <xf numFmtId="0" fontId="8" fillId="0" borderId="0" xfId="0" applyFont="1" applyFill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4" fillId="0" borderId="0" xfId="0" applyFont="1" applyAlignment="1"/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15" xfId="0" quotePrefix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6" xfId="0" quotePrefix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17" xfId="0" quotePrefix="1" applyFont="1" applyFill="1" applyBorder="1" applyAlignment="1">
      <alignment horizontal="left"/>
    </xf>
    <xf numFmtId="0" fontId="2" fillId="0" borderId="18" xfId="0" quotePrefix="1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left"/>
    </xf>
    <xf numFmtId="0" fontId="2" fillId="0" borderId="19" xfId="0" quotePrefix="1" applyFont="1" applyFill="1" applyBorder="1" applyAlignment="1">
      <alignment horizontal="left"/>
    </xf>
    <xf numFmtId="0" fontId="9" fillId="0" borderId="0" xfId="0" applyFont="1" applyFill="1" applyAlignment="1">
      <alignment horizontal="center" wrapText="1"/>
    </xf>
    <xf numFmtId="0" fontId="9" fillId="0" borderId="0" xfId="0" quotePrefix="1" applyFont="1" applyFill="1" applyAlignment="1">
      <alignment horizontal="center" wrapText="1"/>
    </xf>
    <xf numFmtId="0" fontId="2" fillId="0" borderId="0" xfId="0" quotePrefix="1" applyFont="1" applyFill="1" applyBorder="1" applyAlignment="1">
      <alignment horizontal="center"/>
    </xf>
    <xf numFmtId="0" fontId="3" fillId="0" borderId="0" xfId="9" applyFont="1" applyFill="1" applyAlignment="1">
      <alignment horizontal="center"/>
    </xf>
    <xf numFmtId="6" fontId="8" fillId="0" borderId="0" xfId="0" quotePrefix="1" applyNumberFormat="1" applyFont="1" applyFill="1" applyAlignment="1">
      <alignment horizontal="center"/>
    </xf>
    <xf numFmtId="6" fontId="8" fillId="0" borderId="0" xfId="0" applyNumberFormat="1" applyFont="1" applyFill="1" applyAlignment="1">
      <alignment horizontal="center"/>
    </xf>
    <xf numFmtId="0" fontId="8" fillId="0" borderId="5" xfId="0" quotePrefix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40" fillId="0" borderId="0" xfId="0" quotePrefix="1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38" fillId="0" borderId="0" xfId="0" quotePrefix="1" applyFont="1" applyFill="1" applyAlignment="1">
      <alignment horizontal="center" wrapText="1"/>
    </xf>
    <xf numFmtId="0" fontId="38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quotePrefix="1" applyFont="1" applyFill="1" applyAlignment="1">
      <alignment horizontal="center"/>
    </xf>
    <xf numFmtId="0" fontId="9" fillId="0" borderId="20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3" xfId="0" applyBorder="1" applyAlignment="1">
      <alignment wrapText="1"/>
    </xf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7" fontId="17" fillId="0" borderId="30" xfId="0" quotePrefix="1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horizontal="centerContinuous" vertical="center"/>
    </xf>
    <xf numFmtId="0" fontId="17" fillId="0" borderId="6" xfId="0" quotePrefix="1" applyFont="1" applyFill="1" applyBorder="1" applyAlignment="1">
      <alignment horizontal="center" wrapText="1"/>
    </xf>
    <xf numFmtId="0" fontId="17" fillId="0" borderId="0" xfId="0" applyFont="1" applyAlignment="1">
      <alignment horizontal="centerContinuous" vertical="center"/>
    </xf>
    <xf numFmtId="0" fontId="17" fillId="0" borderId="1" xfId="0" quotePrefix="1" applyFont="1" applyFill="1" applyBorder="1" applyAlignment="1">
      <alignment horizontal="center" wrapText="1"/>
    </xf>
    <xf numFmtId="165" fontId="0" fillId="0" borderId="0" xfId="0" applyNumberFormat="1" applyFill="1"/>
    <xf numFmtId="0" fontId="3" fillId="0" borderId="0" xfId="9" quotePrefix="1" applyFont="1" applyFill="1" applyAlignment="1">
      <alignment horizontal="center"/>
    </xf>
    <xf numFmtId="0" fontId="9" fillId="0" borderId="20" xfId="0" quotePrefix="1" applyFont="1" applyFill="1" applyBorder="1" applyAlignment="1">
      <alignment horizontal="center" wrapText="1"/>
    </xf>
    <xf numFmtId="44" fontId="12" fillId="0" borderId="0" xfId="3" applyFont="1" applyFill="1" applyAlignment="1"/>
    <xf numFmtId="0" fontId="9" fillId="0" borderId="1" xfId="0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center"/>
    </xf>
  </cellXfs>
  <cellStyles count="16">
    <cellStyle name="Comma" xfId="5" builtinId="3"/>
    <cellStyle name="Comma 10" xfId="7"/>
    <cellStyle name="Comma 2" xfId="11"/>
    <cellStyle name="Comma 2 2" xfId="8"/>
    <cellStyle name="Comma 3" xfId="13"/>
    <cellStyle name="Comma 4" xfId="15"/>
    <cellStyle name="Currency" xfId="3" builtinId="4"/>
    <cellStyle name="Currency 2" xfId="10"/>
    <cellStyle name="Currency 2 12" xfId="2"/>
    <cellStyle name="Normal" xfId="0" builtinId="0"/>
    <cellStyle name="Normal 2" xfId="6"/>
    <cellStyle name="Normal 2 10" xfId="1"/>
    <cellStyle name="Normal 3" xfId="9"/>
    <cellStyle name="Normal 4" xfId="12"/>
    <cellStyle name="Percent" xfId="4" builtinId="5"/>
    <cellStyle name="Percent 2" xfId="14"/>
  </cellStyles>
  <dxfs count="0"/>
  <tableStyles count="0" defaultTableStyle="TableStyleMedium2" defaultPivotStyle="PivotStyleLight16"/>
  <colors>
    <mruColors>
      <color rgb="FFCCFF33"/>
      <color rgb="FFFF33CC"/>
      <color rgb="FF008080"/>
      <color rgb="FF0000FF"/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63" Type="http://schemas.openxmlformats.org/officeDocument/2006/relationships/externalLink" Target="externalLinks/externalLink28.xml"/><Relationship Id="rId68" Type="http://schemas.openxmlformats.org/officeDocument/2006/relationships/externalLink" Target="externalLinks/externalLink33.xml"/><Relationship Id="rId84" Type="http://schemas.openxmlformats.org/officeDocument/2006/relationships/externalLink" Target="externalLinks/externalLink49.xml"/><Relationship Id="rId89" Type="http://schemas.openxmlformats.org/officeDocument/2006/relationships/externalLink" Target="externalLinks/externalLink54.xml"/><Relationship Id="rId16" Type="http://schemas.openxmlformats.org/officeDocument/2006/relationships/worksheet" Target="worksheets/sheet16.xml"/><Relationship Id="rId107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74" Type="http://schemas.openxmlformats.org/officeDocument/2006/relationships/externalLink" Target="externalLinks/externalLink39.xml"/><Relationship Id="rId79" Type="http://schemas.openxmlformats.org/officeDocument/2006/relationships/externalLink" Target="externalLinks/externalLink44.xml"/><Relationship Id="rId102" Type="http://schemas.openxmlformats.org/officeDocument/2006/relationships/externalLink" Target="externalLinks/externalLink67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55.xml"/><Relationship Id="rId95" Type="http://schemas.openxmlformats.org/officeDocument/2006/relationships/externalLink" Target="externalLinks/externalLink60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64" Type="http://schemas.openxmlformats.org/officeDocument/2006/relationships/externalLink" Target="externalLinks/externalLink29.xml"/><Relationship Id="rId69" Type="http://schemas.openxmlformats.org/officeDocument/2006/relationships/externalLink" Target="externalLinks/externalLink34.xml"/><Relationship Id="rId80" Type="http://schemas.openxmlformats.org/officeDocument/2006/relationships/externalLink" Target="externalLinks/externalLink45.xml"/><Relationship Id="rId85" Type="http://schemas.openxmlformats.org/officeDocument/2006/relationships/externalLink" Target="externalLinks/externalLink50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59" Type="http://schemas.openxmlformats.org/officeDocument/2006/relationships/externalLink" Target="externalLinks/externalLink24.xml"/><Relationship Id="rId103" Type="http://schemas.openxmlformats.org/officeDocument/2006/relationships/theme" Target="theme/theme1.xml"/><Relationship Id="rId108" Type="http://schemas.openxmlformats.org/officeDocument/2006/relationships/customXml" Target="../customXml/item2.xml"/><Relationship Id="rId54" Type="http://schemas.openxmlformats.org/officeDocument/2006/relationships/externalLink" Target="externalLinks/externalLink19.xml"/><Relationship Id="rId70" Type="http://schemas.openxmlformats.org/officeDocument/2006/relationships/externalLink" Target="externalLinks/externalLink35.xml"/><Relationship Id="rId75" Type="http://schemas.openxmlformats.org/officeDocument/2006/relationships/externalLink" Target="externalLinks/externalLink40.xml"/><Relationship Id="rId91" Type="http://schemas.openxmlformats.org/officeDocument/2006/relationships/externalLink" Target="externalLinks/externalLink56.xml"/><Relationship Id="rId96" Type="http://schemas.openxmlformats.org/officeDocument/2006/relationships/externalLink" Target="externalLinks/externalLink6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externalLink" Target="externalLinks/externalLink30.xml"/><Relationship Id="rId73" Type="http://schemas.openxmlformats.org/officeDocument/2006/relationships/externalLink" Target="externalLinks/externalLink38.xml"/><Relationship Id="rId78" Type="http://schemas.openxmlformats.org/officeDocument/2006/relationships/externalLink" Target="externalLinks/externalLink43.xml"/><Relationship Id="rId81" Type="http://schemas.openxmlformats.org/officeDocument/2006/relationships/externalLink" Target="externalLinks/externalLink46.xml"/><Relationship Id="rId86" Type="http://schemas.openxmlformats.org/officeDocument/2006/relationships/externalLink" Target="externalLinks/externalLink51.xml"/><Relationship Id="rId94" Type="http://schemas.openxmlformats.org/officeDocument/2006/relationships/externalLink" Target="externalLinks/externalLink59.xml"/><Relationship Id="rId99" Type="http://schemas.openxmlformats.org/officeDocument/2006/relationships/externalLink" Target="externalLinks/externalLink64.xml"/><Relationship Id="rId101" Type="http://schemas.openxmlformats.org/officeDocument/2006/relationships/externalLink" Target="externalLinks/externalLink6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4.xml"/><Relationship Id="rId109" Type="http://schemas.openxmlformats.org/officeDocument/2006/relationships/customXml" Target="../customXml/item3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76" Type="http://schemas.openxmlformats.org/officeDocument/2006/relationships/externalLink" Target="externalLinks/externalLink41.xml"/><Relationship Id="rId97" Type="http://schemas.openxmlformats.org/officeDocument/2006/relationships/externalLink" Target="externalLinks/externalLink62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6.xml"/><Relationship Id="rId92" Type="http://schemas.openxmlformats.org/officeDocument/2006/relationships/externalLink" Target="externalLinks/externalLink57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66" Type="http://schemas.openxmlformats.org/officeDocument/2006/relationships/externalLink" Target="externalLinks/externalLink31.xml"/><Relationship Id="rId87" Type="http://schemas.openxmlformats.org/officeDocument/2006/relationships/externalLink" Target="externalLinks/externalLink52.xml"/><Relationship Id="rId110" Type="http://schemas.openxmlformats.org/officeDocument/2006/relationships/customXml" Target="../customXml/item4.xml"/><Relationship Id="rId61" Type="http://schemas.openxmlformats.org/officeDocument/2006/relationships/externalLink" Target="externalLinks/externalLink26.xml"/><Relationship Id="rId82" Type="http://schemas.openxmlformats.org/officeDocument/2006/relationships/externalLink" Target="externalLinks/externalLink4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externalLink" Target="externalLinks/externalLink21.xml"/><Relationship Id="rId77" Type="http://schemas.openxmlformats.org/officeDocument/2006/relationships/externalLink" Target="externalLinks/externalLink42.xml"/><Relationship Id="rId100" Type="http://schemas.openxmlformats.org/officeDocument/2006/relationships/externalLink" Target="externalLinks/externalLink65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6.xml"/><Relationship Id="rId72" Type="http://schemas.openxmlformats.org/officeDocument/2006/relationships/externalLink" Target="externalLinks/externalLink37.xml"/><Relationship Id="rId93" Type="http://schemas.openxmlformats.org/officeDocument/2006/relationships/externalLink" Target="externalLinks/externalLink58.xml"/><Relationship Id="rId98" Type="http://schemas.openxmlformats.org/officeDocument/2006/relationships/externalLink" Target="externalLinks/externalLink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11.xml"/><Relationship Id="rId67" Type="http://schemas.openxmlformats.org/officeDocument/2006/relationships/externalLink" Target="externalLinks/externalLink32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Relationship Id="rId62" Type="http://schemas.openxmlformats.org/officeDocument/2006/relationships/externalLink" Target="externalLinks/externalLink27.xml"/><Relationship Id="rId83" Type="http://schemas.openxmlformats.org/officeDocument/2006/relationships/externalLink" Target="externalLinks/externalLink48.xml"/><Relationship Id="rId88" Type="http://schemas.openxmlformats.org/officeDocument/2006/relationships/externalLink" Target="externalLinks/externalLink53.xml"/><Relationship Id="rId111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COS%20Inputs/COS%20Model/ECOS%20Model%20-%20FINAL%20COMPAN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WC-RB%20GRC%20TY0903%20RY02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FCR%20for%20PSE%20S40%20V0%20%20HM%20edi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Update%206-30-06/COS%20Update%207-7-06/ECOS%20Model%20-%20UPDATE%20(JAH-5)%207-7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ljh/Local%20Settings/MSN%20Rate%20v6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RebuttalFiling2011%20GRC/Electric%20Model%202011%20GRC%20Rebuttal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3.03-PROFORMA-REVENUE-20PCORC-12-2020(C)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5.00-SCH139-20PCORC-12-2020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6.00-SCH095-RATE-DESIGN-20PCORC-12-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24">
          <cell r="F24">
            <v>8.7599999999999997E-2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able"/>
      <sheetName val="Rlfwd"/>
      <sheetName val="Verify"/>
      <sheetName val="JHS-19"/>
      <sheetName val="JHS-20"/>
      <sheetName val="JHS-20.01(A)"/>
      <sheetName val="JHS-21"/>
      <sheetName val="JHS-22"/>
      <sheetName val="JHS-23"/>
      <sheetName val="JHS-24 Unit Cost"/>
      <sheetName val="JHS-25 Ex A-1"/>
      <sheetName val="JHS-25 Ex A-2"/>
      <sheetName val="JHS-25 Ex A-3"/>
      <sheetName val="JHS-25 Ex A-4"/>
      <sheetName val="JHS-25 Ex A-5"/>
      <sheetName val="Diffs Categorized"/>
      <sheetName val="PSE Proposal Categorized"/>
      <sheetName val="DEM RY PC"/>
      <sheetName val="LSR Power Costs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2">
          <cell r="AR2" t="str">
            <v>Docket Number UE-111048</v>
          </cell>
        </row>
      </sheetData>
      <sheetData sheetId="5"/>
      <sheetData sheetId="6"/>
      <sheetData sheetId="7">
        <row r="7">
          <cell r="A7" t="str">
            <v>FOR THE TWELVE MONTHS ENDED DECEMBER 31, 2010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  <sheetName val="Print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H41">
            <v>0</v>
          </cell>
          <cell r="AI41">
            <v>0</v>
          </cell>
          <cell r="AJ41">
            <v>0</v>
          </cell>
        </row>
        <row r="42">
          <cell r="AH42">
            <v>0</v>
          </cell>
          <cell r="AI42">
            <v>0</v>
          </cell>
          <cell r="AJ42">
            <v>0</v>
          </cell>
        </row>
        <row r="43">
          <cell r="AH43">
            <v>0</v>
          </cell>
          <cell r="AI43">
            <v>0</v>
          </cell>
          <cell r="AJ43">
            <v>0</v>
          </cell>
        </row>
        <row r="44"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H439">
            <v>0</v>
          </cell>
          <cell r="AI439">
            <v>0</v>
          </cell>
          <cell r="AJ439">
            <v>0</v>
          </cell>
        </row>
        <row r="440"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H502">
            <v>0</v>
          </cell>
          <cell r="AI502">
            <v>0</v>
          </cell>
          <cell r="AJ502">
            <v>0</v>
          </cell>
        </row>
        <row r="503">
          <cell r="AH503">
            <v>0</v>
          </cell>
          <cell r="AI503">
            <v>0</v>
          </cell>
          <cell r="AJ503">
            <v>0</v>
          </cell>
        </row>
        <row r="504">
          <cell r="AH504">
            <v>0</v>
          </cell>
          <cell r="AI504">
            <v>0</v>
          </cell>
          <cell r="AJ504">
            <v>0</v>
          </cell>
        </row>
        <row r="505"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H559">
            <v>0</v>
          </cell>
          <cell r="AI559">
            <v>0</v>
          </cell>
          <cell r="AJ559">
            <v>0</v>
          </cell>
        </row>
        <row r="560"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H628">
            <v>0</v>
          </cell>
          <cell r="AI628">
            <v>0</v>
          </cell>
          <cell r="AJ628">
            <v>0</v>
          </cell>
        </row>
        <row r="629"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H681">
            <v>0</v>
          </cell>
          <cell r="AI681">
            <v>0</v>
          </cell>
          <cell r="AJ681">
            <v>0</v>
          </cell>
        </row>
        <row r="682"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H742">
            <v>0</v>
          </cell>
          <cell r="AI742">
            <v>0</v>
          </cell>
          <cell r="AJ742">
            <v>0</v>
          </cell>
        </row>
        <row r="743"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H868">
            <v>0</v>
          </cell>
          <cell r="AI868">
            <v>0</v>
          </cell>
          <cell r="AJ868">
            <v>0</v>
          </cell>
        </row>
        <row r="869">
          <cell r="AH869">
            <v>0</v>
          </cell>
          <cell r="AI869">
            <v>0</v>
          </cell>
          <cell r="AJ869">
            <v>0</v>
          </cell>
        </row>
        <row r="870">
          <cell r="AH870">
            <v>0</v>
          </cell>
          <cell r="AI870">
            <v>0</v>
          </cell>
          <cell r="AJ870">
            <v>0</v>
          </cell>
        </row>
        <row r="871">
          <cell r="AH871">
            <v>0</v>
          </cell>
          <cell r="AI871">
            <v>0</v>
          </cell>
          <cell r="AJ871">
            <v>0</v>
          </cell>
        </row>
        <row r="872">
          <cell r="AH872">
            <v>0</v>
          </cell>
          <cell r="AI872">
            <v>0</v>
          </cell>
          <cell r="AJ872">
            <v>0</v>
          </cell>
        </row>
        <row r="873">
          <cell r="AH873">
            <v>0</v>
          </cell>
          <cell r="AI873">
            <v>0</v>
          </cell>
          <cell r="AJ873">
            <v>0</v>
          </cell>
        </row>
        <row r="874">
          <cell r="AH874">
            <v>0</v>
          </cell>
          <cell r="AI874">
            <v>0</v>
          </cell>
          <cell r="AJ874">
            <v>0</v>
          </cell>
        </row>
        <row r="875">
          <cell r="AH875">
            <v>0</v>
          </cell>
          <cell r="AI875">
            <v>0</v>
          </cell>
          <cell r="AJ875">
            <v>0</v>
          </cell>
        </row>
        <row r="876">
          <cell r="AH876">
            <v>0</v>
          </cell>
          <cell r="AI876">
            <v>0</v>
          </cell>
          <cell r="AJ876">
            <v>0</v>
          </cell>
        </row>
        <row r="877">
          <cell r="AH877">
            <v>0</v>
          </cell>
          <cell r="AI877">
            <v>0</v>
          </cell>
          <cell r="AJ877">
            <v>0</v>
          </cell>
        </row>
        <row r="878">
          <cell r="AH878">
            <v>0</v>
          </cell>
          <cell r="AI878">
            <v>0</v>
          </cell>
          <cell r="AJ878">
            <v>0</v>
          </cell>
        </row>
        <row r="879">
          <cell r="AH879">
            <v>0</v>
          </cell>
          <cell r="AI879">
            <v>0</v>
          </cell>
          <cell r="AJ879">
            <v>0</v>
          </cell>
        </row>
        <row r="880">
          <cell r="AH880">
            <v>0</v>
          </cell>
          <cell r="AI880">
            <v>0</v>
          </cell>
          <cell r="AJ880">
            <v>0</v>
          </cell>
        </row>
        <row r="881"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H928">
            <v>0</v>
          </cell>
          <cell r="AI928">
            <v>0</v>
          </cell>
          <cell r="AJ928">
            <v>0</v>
          </cell>
        </row>
        <row r="929">
          <cell r="AH929">
            <v>0</v>
          </cell>
          <cell r="AI929">
            <v>0</v>
          </cell>
          <cell r="AJ929">
            <v>0</v>
          </cell>
        </row>
        <row r="930"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H1098">
            <v>0</v>
          </cell>
          <cell r="AI1098">
            <v>0</v>
          </cell>
          <cell r="AJ1098">
            <v>0</v>
          </cell>
        </row>
        <row r="1099">
          <cell r="AH1099">
            <v>0</v>
          </cell>
          <cell r="AI1099">
            <v>0</v>
          </cell>
          <cell r="AJ1099">
            <v>0</v>
          </cell>
        </row>
        <row r="1100">
          <cell r="AH1100">
            <v>0</v>
          </cell>
          <cell r="AI1100">
            <v>0</v>
          </cell>
          <cell r="AJ1100">
            <v>0</v>
          </cell>
        </row>
        <row r="1101">
          <cell r="AH1101">
            <v>0</v>
          </cell>
          <cell r="AI1101">
            <v>0</v>
          </cell>
          <cell r="AJ1101">
            <v>0</v>
          </cell>
        </row>
        <row r="1102">
          <cell r="AH1102">
            <v>0</v>
          </cell>
          <cell r="AI1102">
            <v>0</v>
          </cell>
          <cell r="AJ1102">
            <v>0</v>
          </cell>
        </row>
        <row r="1103">
          <cell r="AH1103">
            <v>0</v>
          </cell>
          <cell r="AI1103">
            <v>0</v>
          </cell>
          <cell r="AJ1103">
            <v>0</v>
          </cell>
        </row>
        <row r="1104">
          <cell r="AH1104">
            <v>0</v>
          </cell>
          <cell r="AI1104">
            <v>0</v>
          </cell>
          <cell r="AJ1104">
            <v>0</v>
          </cell>
        </row>
        <row r="1105"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H1108">
            <v>0</v>
          </cell>
          <cell r="AI1108">
            <v>0</v>
          </cell>
          <cell r="AJ1108">
            <v>0</v>
          </cell>
        </row>
        <row r="1109">
          <cell r="AH1109">
            <v>0</v>
          </cell>
          <cell r="AI1109">
            <v>0</v>
          </cell>
          <cell r="AJ1109">
            <v>0</v>
          </cell>
        </row>
        <row r="1110"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H1285">
            <v>0</v>
          </cell>
          <cell r="AI1285">
            <v>0</v>
          </cell>
          <cell r="AJ1285">
            <v>0</v>
          </cell>
        </row>
        <row r="1286">
          <cell r="AH1286">
            <v>0</v>
          </cell>
          <cell r="AI1286">
            <v>0</v>
          </cell>
          <cell r="AJ1286">
            <v>0</v>
          </cell>
        </row>
        <row r="1287"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H1321">
            <v>0</v>
          </cell>
          <cell r="AI1321">
            <v>0</v>
          </cell>
          <cell r="AJ1321">
            <v>0</v>
          </cell>
        </row>
        <row r="1322"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H1387">
            <v>0</v>
          </cell>
          <cell r="AI1387">
            <v>0</v>
          </cell>
          <cell r="AJ1387">
            <v>0</v>
          </cell>
        </row>
        <row r="1388"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H1458">
            <v>0</v>
          </cell>
          <cell r="AI1458">
            <v>0</v>
          </cell>
          <cell r="AJ1458">
            <v>0</v>
          </cell>
        </row>
        <row r="1459">
          <cell r="AH1459">
            <v>0</v>
          </cell>
          <cell r="AI1459">
            <v>0</v>
          </cell>
          <cell r="AJ1459">
            <v>0</v>
          </cell>
        </row>
        <row r="1460">
          <cell r="AH1460">
            <v>0</v>
          </cell>
          <cell r="AI1460">
            <v>0</v>
          </cell>
          <cell r="AJ1460">
            <v>0</v>
          </cell>
        </row>
        <row r="1461"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=====&gt;"/>
      <sheetName val="Rev Req Summary"/>
      <sheetName val="Proforma kWh &amp; Revenue"/>
      <sheetName val="Proforma kWh Excl Sch 139"/>
      <sheetName val="Average Cost"/>
      <sheetName val="Summary - Delivered kWh"/>
      <sheetName val="Sum - Delivered Restated Rev"/>
      <sheetName val="Temperature Adjust Bill Impacts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0 Campus Svc"/>
      <sheetName val="Sch 43 Pri Int Svc"/>
      <sheetName val="Sch 46 HV Int Svc"/>
      <sheetName val="Sch 49 HV Gen Svc"/>
      <sheetName val="Sch 449 - Transportation"/>
      <sheetName val="MS SC - Transportation"/>
      <sheetName val="Lighting 50-59"/>
      <sheetName val="Firm Resale"/>
      <sheetName val="Financial Support Data=====&gt;"/>
      <sheetName val="Unbilled Rev Adj"/>
      <sheetName val="2020 SOE"/>
      <sheetName val="BPA Res Exch Load"/>
      <sheetName val="Delivered kWh"/>
      <sheetName val="Unbilled Change kWh"/>
      <sheetName val="Billed kWh"/>
      <sheetName val="Delivered Revenue"/>
      <sheetName val="Unbilled Change - $"/>
      <sheetName val="Billed Revenue - $"/>
      <sheetName val="SAP Billed kWh"/>
      <sheetName val="SAP BW 95-135-136"/>
      <sheetName val="SAP Sch 142 Decoupling"/>
      <sheetName val="UE-190529 Exh No.__(JAP-Tariff)"/>
      <sheetName val="UE-190529 Exh No.__(JAP-Lights)"/>
      <sheetName val="MSSC Dist Rates (C)"/>
      <sheetName val="SAP Data (Do Not Print) ====&gt;"/>
      <sheetName val="Tie Revenue back to SOE"/>
      <sheetName val="Franchise Fees"/>
      <sheetName val="Non-Lighting Data"/>
      <sheetName val="Light Inventory (Annual)"/>
      <sheetName val="Lighting Data"/>
      <sheetName val="Schedule 10 Demand Data"/>
      <sheetName val="Sch 40 Dist Demand Rev (C)"/>
      <sheetName val="Sch 40 Migration (C)"/>
      <sheetName val="Schedule 40 Energy (C)"/>
      <sheetName val="Sch 40 Migration Data (C)"/>
      <sheetName val="Sch 26P Data (C)"/>
    </sheetNames>
    <sheetDataSet>
      <sheetData sheetId="0"/>
      <sheetData sheetId="1"/>
      <sheetData sheetId="2"/>
      <sheetData sheetId="3">
        <row r="9">
          <cell r="D9">
            <v>10863043096.272161</v>
          </cell>
          <cell r="J9">
            <v>1198750986.2385011</v>
          </cell>
        </row>
        <row r="10">
          <cell r="D10">
            <v>2376000</v>
          </cell>
          <cell r="J10">
            <v>206898</v>
          </cell>
        </row>
        <row r="13">
          <cell r="D13">
            <v>2586338527.0017586</v>
          </cell>
          <cell r="J13">
            <v>266717014</v>
          </cell>
        </row>
        <row r="14">
          <cell r="D14">
            <v>2882295453.8191686</v>
          </cell>
          <cell r="J14">
            <v>271261533</v>
          </cell>
        </row>
        <row r="15">
          <cell r="D15">
            <v>1829416874.7668719</v>
          </cell>
          <cell r="J15">
            <v>158390979</v>
          </cell>
        </row>
        <row r="16">
          <cell r="D16">
            <v>11756400</v>
          </cell>
          <cell r="J16">
            <v>992696</v>
          </cell>
        </row>
        <row r="17">
          <cell r="D17">
            <v>11424740.434375001</v>
          </cell>
          <cell r="J17">
            <v>1039246</v>
          </cell>
        </row>
        <row r="20">
          <cell r="D20">
            <v>1335654341.1168144</v>
          </cell>
          <cell r="J20">
            <v>114022050</v>
          </cell>
        </row>
        <row r="21">
          <cell r="D21">
            <v>5945040</v>
          </cell>
          <cell r="J21">
            <v>399858</v>
          </cell>
        </row>
        <row r="22">
          <cell r="D22">
            <v>116280759.88464826</v>
          </cell>
          <cell r="J22">
            <v>10673527</v>
          </cell>
        </row>
        <row r="27">
          <cell r="D27">
            <v>81635228</v>
          </cell>
          <cell r="J27">
            <v>5647851</v>
          </cell>
        </row>
        <row r="28">
          <cell r="D28">
            <v>563071445.51999998</v>
          </cell>
          <cell r="J28">
            <v>38129814</v>
          </cell>
        </row>
        <row r="31">
          <cell r="D31">
            <v>68936797.67750001</v>
          </cell>
          <cell r="J31">
            <v>17648843</v>
          </cell>
        </row>
        <row r="33">
          <cell r="D33">
            <v>2296743088.5840001</v>
          </cell>
          <cell r="J33">
            <v>13973967.979999999</v>
          </cell>
        </row>
        <row r="37">
          <cell r="D37">
            <v>7369853.2214806583</v>
          </cell>
          <cell r="J37">
            <v>346070.24</v>
          </cell>
        </row>
      </sheetData>
      <sheetData sheetId="4"/>
      <sheetData sheetId="5"/>
      <sheetData sheetId="6"/>
      <sheetData sheetId="7"/>
      <sheetData sheetId="8">
        <row r="21">
          <cell r="C21">
            <v>-9075032.8360437602</v>
          </cell>
        </row>
      </sheetData>
      <sheetData sheetId="9">
        <row r="38">
          <cell r="D38">
            <v>9133749.9023828506</v>
          </cell>
        </row>
      </sheetData>
      <sheetData sheetId="10">
        <row r="47">
          <cell r="D47">
            <v>-11809098.683458028</v>
          </cell>
        </row>
      </sheetData>
      <sheetData sheetId="11">
        <row r="40">
          <cell r="D40">
            <v>6600</v>
          </cell>
        </row>
      </sheetData>
      <sheetData sheetId="12">
        <row r="52">
          <cell r="D52">
            <v>14052519.320604237</v>
          </cell>
        </row>
      </sheetData>
      <sheetData sheetId="13">
        <row r="14">
          <cell r="C14">
            <v>4527803</v>
          </cell>
        </row>
        <row r="78">
          <cell r="P78">
            <v>43718</v>
          </cell>
        </row>
      </sheetData>
      <sheetData sheetId="14">
        <row r="10">
          <cell r="D10">
            <v>885500</v>
          </cell>
        </row>
        <row r="14">
          <cell r="C14">
            <v>28435</v>
          </cell>
        </row>
      </sheetData>
      <sheetData sheetId="15">
        <row r="45">
          <cell r="D45">
            <v>565462.10000000009</v>
          </cell>
        </row>
      </sheetData>
      <sheetData sheetId="16">
        <row r="14">
          <cell r="C14">
            <v>3159774</v>
          </cell>
        </row>
        <row r="78">
          <cell r="P78">
            <v>65959</v>
          </cell>
        </row>
      </sheetData>
      <sheetData sheetId="17">
        <row r="34">
          <cell r="D34">
            <v>60</v>
          </cell>
        </row>
      </sheetData>
      <sheetData sheetId="18"/>
      <sheetData sheetId="19">
        <row r="31">
          <cell r="D31">
            <v>-1341013.4000000004</v>
          </cell>
        </row>
      </sheetData>
      <sheetData sheetId="20"/>
      <sheetData sheetId="21"/>
      <sheetData sheetId="22">
        <row r="6">
          <cell r="C6">
            <v>2034003235</v>
          </cell>
        </row>
        <row r="22">
          <cell r="C22">
            <v>9444665.9800000004</v>
          </cell>
        </row>
        <row r="24">
          <cell r="C24">
            <v>-40494673.452999964</v>
          </cell>
        </row>
        <row r="26">
          <cell r="C26">
            <v>-187489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>
        <row r="15">
          <cell r="E15">
            <v>252362620.54679149</v>
          </cell>
        </row>
        <row r="16">
          <cell r="E16">
            <v>25573920</v>
          </cell>
        </row>
        <row r="17">
          <cell r="E17">
            <v>135958671.66260606</v>
          </cell>
        </row>
        <row r="18">
          <cell r="E18">
            <v>16430488</v>
          </cell>
        </row>
        <row r="30">
          <cell r="E30">
            <v>1763243.3894999998</v>
          </cell>
        </row>
        <row r="32">
          <cell r="E32">
            <v>78618.499499999991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BDJ-5 p1"/>
      <sheetName val="WP====&gt;"/>
      <sheetName val="Sch 139 Eff 7-1-2021"/>
      <sheetName val="Sch 139 Eff 1-1-2021"/>
      <sheetName val="Sch 139 Eff 10-15-2020"/>
      <sheetName val="Temp Adj Diff"/>
      <sheetName val="Sch 139 Credit Calculation"/>
    </sheetNames>
    <sheetDataSet>
      <sheetData sheetId="0"/>
      <sheetData sheetId="1"/>
      <sheetData sheetId="2">
        <row r="10">
          <cell r="H10">
            <v>1137</v>
          </cell>
        </row>
        <row r="17">
          <cell r="H17">
            <v>1414778</v>
          </cell>
        </row>
        <row r="24">
          <cell r="H24">
            <v>394434</v>
          </cell>
        </row>
        <row r="31">
          <cell r="H31">
            <v>412425</v>
          </cell>
        </row>
        <row r="37">
          <cell r="H37">
            <v>335835</v>
          </cell>
        </row>
        <row r="39">
          <cell r="H39">
            <v>7360</v>
          </cell>
        </row>
        <row r="41">
          <cell r="H41">
            <v>58665</v>
          </cell>
        </row>
        <row r="44">
          <cell r="H44">
            <v>609547</v>
          </cell>
        </row>
        <row r="46">
          <cell r="H46">
            <v>5</v>
          </cell>
        </row>
      </sheetData>
      <sheetData sheetId="3">
        <row r="10">
          <cell r="H10">
            <v>-80</v>
          </cell>
        </row>
        <row r="17">
          <cell r="H17">
            <v>-168132</v>
          </cell>
        </row>
        <row r="24">
          <cell r="H24">
            <v>-41965</v>
          </cell>
        </row>
        <row r="31">
          <cell r="H31">
            <v>-34620</v>
          </cell>
        </row>
        <row r="37">
          <cell r="H37">
            <v>-34905</v>
          </cell>
        </row>
        <row r="39">
          <cell r="H39">
            <v>-513</v>
          </cell>
        </row>
        <row r="41">
          <cell r="H41">
            <v>-10403</v>
          </cell>
        </row>
        <row r="44">
          <cell r="H44">
            <v>-55702</v>
          </cell>
        </row>
        <row r="46">
          <cell r="H46">
            <v>0</v>
          </cell>
        </row>
      </sheetData>
      <sheetData sheetId="4">
        <row r="10">
          <cell r="F10">
            <v>231204.44317567348</v>
          </cell>
        </row>
        <row r="17">
          <cell r="F17">
            <v>300647452.45349169</v>
          </cell>
        </row>
        <row r="24">
          <cell r="F24">
            <v>82886656.786113888</v>
          </cell>
        </row>
        <row r="31">
          <cell r="F31">
            <v>84909105.683771968</v>
          </cell>
        </row>
        <row r="37">
          <cell r="F37">
            <v>70415822.572294518</v>
          </cell>
        </row>
        <row r="39">
          <cell r="F39">
            <v>1495419.7737736609</v>
          </cell>
        </row>
        <row r="41">
          <cell r="F41">
            <v>13118192</v>
          </cell>
        </row>
        <row r="44">
          <cell r="F44">
            <v>126353174</v>
          </cell>
        </row>
        <row r="46">
          <cell r="F46">
            <v>983.91199999999969</v>
          </cell>
        </row>
      </sheetData>
      <sheetData sheetId="5"/>
      <sheetData sheetId="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BDJ-6 p1 (Rate Spread)"/>
      <sheetName val="Exh BDJ-6 p 2-6 (Lighting)"/>
      <sheetName val="WP Support=====&gt;"/>
      <sheetName val="2020 PCORC Deficiency"/>
      <sheetName val="UE-200893 Sch 95 Eff 12-01-2020"/>
      <sheetName val="UE-190529 Load Research "/>
      <sheetName val="UE-190529 LR - Energy"/>
      <sheetName val="UE-190529 LR - Dem 4CP"/>
    </sheetNames>
    <sheetDataSet>
      <sheetData sheetId="0">
        <row r="1">
          <cell r="A1" t="str">
            <v>Puget Sound Energy</v>
          </cell>
        </row>
        <row r="2">
          <cell r="A2" t="str">
            <v>Calculation of Schedule 95 Rate, Compliance Filing  Docket UE-200980, Rates Effective 7-1-2021</v>
          </cell>
        </row>
        <row r="4">
          <cell r="A4" t="str">
            <v>Line No.</v>
          </cell>
          <cell r="B4" t="str">
            <v>Customer Class</v>
          </cell>
          <cell r="C4" t="str">
            <v>Rate Schedule</v>
          </cell>
          <cell r="D4" t="str">
            <v>Docket No.
UE-190529
Energy
Allocator
(Note 1)</v>
          </cell>
          <cell r="E4" t="str">
            <v>75%
Energy
(Note 2)</v>
          </cell>
          <cell r="F4" t="str">
            <v>Docket No.
UE-190529
Demand
Allocator
(Note 3)</v>
          </cell>
          <cell r="G4" t="str">
            <v>25%
Demand
(Note 2)</v>
          </cell>
          <cell r="H4" t="str">
            <v>Weighted Allocation</v>
          </cell>
          <cell r="I4" t="str">
            <v>2020 PCORC Variable Revenue Requirement</v>
          </cell>
          <cell r="J4" t="str">
            <v>2020 PCORC Revenue Requirement</v>
          </cell>
          <cell r="K4" t="str">
            <v>Proforma Normalized &amp; Delivered kWh
Test Year Ending 
June 2020</v>
          </cell>
          <cell r="L4" t="str">
            <v>2020 PCORC $ per kWh Effective July 1, 2021</v>
          </cell>
        </row>
        <row r="5">
          <cell r="D5" t="str">
            <v>a</v>
          </cell>
          <cell r="E5" t="str">
            <v>b = 75% * a / sum(a)</v>
          </cell>
          <cell r="F5" t="str">
            <v>c</v>
          </cell>
          <cell r="G5" t="str">
            <v>d = 25% * c / sum(c)</v>
          </cell>
          <cell r="H5" t="str">
            <v>e = b + d</v>
          </cell>
          <cell r="I5" t="str">
            <v xml:space="preserve">f </v>
          </cell>
          <cell r="J5" t="str">
            <v>g = e * f</v>
          </cell>
          <cell r="K5" t="str">
            <v>h</v>
          </cell>
          <cell r="L5" t="str">
            <v>i = g / h</v>
          </cell>
        </row>
        <row r="7">
          <cell r="A7">
            <v>1</v>
          </cell>
          <cell r="B7" t="str">
            <v>Residential</v>
          </cell>
          <cell r="C7">
            <v>7</v>
          </cell>
          <cell r="D7">
            <v>11476152247.161776</v>
          </cell>
          <cell r="E7">
            <v>0.39072264776300736</v>
          </cell>
          <cell r="F7">
            <v>2236474.2253660602</v>
          </cell>
          <cell r="G7">
            <v>0.14418129406223315</v>
          </cell>
          <cell r="H7">
            <v>0.53490394182524048</v>
          </cell>
          <cell r="J7">
            <v>36002805.08345256</v>
          </cell>
          <cell r="K7">
            <v>10863043096.272161</v>
          </cell>
          <cell r="L7">
            <v>3.3142467321893932E-3</v>
          </cell>
        </row>
        <row r="8">
          <cell r="A8">
            <v>2</v>
          </cell>
          <cell r="B8" t="str">
            <v>Sec Gen Svc - Small</v>
          </cell>
          <cell r="C8" t="str">
            <v>8 &amp; 24</v>
          </cell>
          <cell r="D8">
            <v>2915955626.4103169</v>
          </cell>
          <cell r="E8">
            <v>9.927804011072186E-2</v>
          </cell>
          <cell r="F8">
            <v>515625.82524854271</v>
          </cell>
          <cell r="G8">
            <v>3.3241428804784645E-2</v>
          </cell>
          <cell r="H8">
            <v>0.13251946891550651</v>
          </cell>
          <cell r="J8">
            <v>8919494.2045994457</v>
          </cell>
          <cell r="K8">
            <v>2586338527.0017586</v>
          </cell>
          <cell r="L8">
            <v>3.4486955638168013E-3</v>
          </cell>
        </row>
        <row r="9">
          <cell r="A9">
            <v>3</v>
          </cell>
          <cell r="B9" t="str">
            <v>Sec Gen Svc - Medium</v>
          </cell>
          <cell r="C9" t="str">
            <v>11, 25 &amp; 7A</v>
          </cell>
          <cell r="D9">
            <v>3225522141.4879136</v>
          </cell>
          <cell r="E9">
            <v>0.10981769188815443</v>
          </cell>
          <cell r="F9">
            <v>551432.84077501134</v>
          </cell>
          <cell r="G9">
            <v>3.5549839863833498E-2</v>
          </cell>
          <cell r="H9">
            <v>0.14536753175198794</v>
          </cell>
          <cell r="J9">
            <v>9784259.3817327227</v>
          </cell>
          <cell r="K9">
            <v>2884671453.8191686</v>
          </cell>
          <cell r="L9">
            <v>3.391810657944712E-3</v>
          </cell>
        </row>
        <row r="10">
          <cell r="A10">
            <v>4</v>
          </cell>
          <cell r="B10" t="str">
            <v>Sec Gen Svc - Large</v>
          </cell>
          <cell r="C10" t="str">
            <v>12, 26 &amp; 26P</v>
          </cell>
          <cell r="D10">
            <v>2092770306.5275679</v>
          </cell>
          <cell r="E10">
            <v>7.1251473291362041E-2</v>
          </cell>
          <cell r="F10">
            <v>289974.91765494185</v>
          </cell>
          <cell r="G10">
            <v>1.8694138478719036E-2</v>
          </cell>
          <cell r="H10">
            <v>8.9945611770081077E-2</v>
          </cell>
          <cell r="J10">
            <v>6053973.5744331367</v>
          </cell>
          <cell r="K10">
            <v>1841173274.7668719</v>
          </cell>
          <cell r="L10">
            <v>3.2881063707595293E-3</v>
          </cell>
        </row>
        <row r="11">
          <cell r="A11">
            <v>5</v>
          </cell>
          <cell r="B11" t="str">
            <v>Sec Irrigation Svc</v>
          </cell>
          <cell r="C11">
            <v>29</v>
          </cell>
          <cell r="D11">
            <v>17243818.472518876</v>
          </cell>
          <cell r="E11">
            <v>5.8709141060702894E-4</v>
          </cell>
          <cell r="F11">
            <v>461.07800540214549</v>
          </cell>
          <cell r="G11">
            <v>2.9724833279325449E-5</v>
          </cell>
          <cell r="H11">
            <v>6.1681624388635443E-4</v>
          </cell>
          <cell r="J11">
            <v>41516.080298774628</v>
          </cell>
          <cell r="K11">
            <v>11424740.434375001</v>
          </cell>
          <cell r="L11">
            <v>3.6338751446693849E-3</v>
          </cell>
        </row>
        <row r="12">
          <cell r="A12">
            <v>6</v>
          </cell>
          <cell r="B12" t="str">
            <v>Pri Gen Svc</v>
          </cell>
          <cell r="C12" t="str">
            <v>10 &amp; 31</v>
          </cell>
          <cell r="D12">
            <v>1456029850.0547175</v>
          </cell>
          <cell r="E12">
            <v>4.957269875676773E-2</v>
          </cell>
          <cell r="F12">
            <v>204844.84270926949</v>
          </cell>
          <cell r="G12">
            <v>1.3205962388841259E-2</v>
          </cell>
          <cell r="H12">
            <v>6.2778661145608983E-2</v>
          </cell>
          <cell r="J12">
            <v>4225446.3351177061</v>
          </cell>
          <cell r="K12">
            <v>1335654341.1168144</v>
          </cell>
          <cell r="L12">
            <v>3.1635777349284674E-3</v>
          </cell>
        </row>
        <row r="13">
          <cell r="A13">
            <v>7</v>
          </cell>
          <cell r="B13" t="str">
            <v>Pri Irrigation Svc</v>
          </cell>
          <cell r="C13">
            <v>35</v>
          </cell>
          <cell r="D13">
            <v>4597572.0317007378</v>
          </cell>
          <cell r="E13">
            <v>1.5653116818413872E-4</v>
          </cell>
          <cell r="F13">
            <v>7.0004300675974864</v>
          </cell>
          <cell r="G13">
            <v>4.5130458231557189E-7</v>
          </cell>
          <cell r="H13">
            <v>1.5698247276645428E-4</v>
          </cell>
          <cell r="J13">
            <v>10566.026769672913</v>
          </cell>
          <cell r="K13">
            <v>5945040</v>
          </cell>
          <cell r="L13">
            <v>1.7772843865933472E-3</v>
          </cell>
        </row>
        <row r="14">
          <cell r="A14">
            <v>8</v>
          </cell>
          <cell r="B14" t="str">
            <v>Pri Interruptible Svc</v>
          </cell>
          <cell r="C14">
            <v>43</v>
          </cell>
          <cell r="D14">
            <v>126890757.18193617</v>
          </cell>
          <cell r="E14">
            <v>4.3201842878165531E-3</v>
          </cell>
          <cell r="F14">
            <v>0</v>
          </cell>
          <cell r="G14">
            <v>0</v>
          </cell>
          <cell r="H14">
            <v>4.3201842878165531E-3</v>
          </cell>
          <cell r="J14">
            <v>290778.84957832308</v>
          </cell>
          <cell r="K14">
            <v>116280759.88464826</v>
          </cell>
          <cell r="L14">
            <v>2.5006617592349652E-3</v>
          </cell>
        </row>
        <row r="15">
          <cell r="A15">
            <v>9</v>
          </cell>
        </row>
        <row r="16">
          <cell r="A16">
            <v>10</v>
          </cell>
          <cell r="B16" t="str">
            <v>High Voltage Interruptible</v>
          </cell>
          <cell r="C16">
            <v>46</v>
          </cell>
          <cell r="D16">
            <v>79573505.04899931</v>
          </cell>
          <cell r="E16">
            <v>2.7091981628439405E-3</v>
          </cell>
          <cell r="F16">
            <v>0</v>
          </cell>
          <cell r="G16">
            <v>0</v>
          </cell>
          <cell r="H16">
            <v>2.7091981628439405E-3</v>
          </cell>
          <cell r="J16">
            <v>182348.12975295898</v>
          </cell>
          <cell r="K16">
            <v>81635228</v>
          </cell>
          <cell r="L16">
            <v>2.2336941320597399E-3</v>
          </cell>
        </row>
        <row r="17">
          <cell r="A17">
            <v>11</v>
          </cell>
          <cell r="B17" t="str">
            <v>High Voltage General Service</v>
          </cell>
          <cell r="C17">
            <v>49</v>
          </cell>
          <cell r="D17">
            <v>550655414.21762562</v>
          </cell>
          <cell r="E17">
            <v>1.8747881416557269E-2</v>
          </cell>
          <cell r="F17">
            <v>69577.130407689765</v>
          </cell>
          <cell r="G17">
            <v>4.4855069580225088E-3</v>
          </cell>
          <cell r="H17">
            <v>2.3233388374579778E-2</v>
          </cell>
          <cell r="J17">
            <v>1563770.7776538171</v>
          </cell>
          <cell r="K17">
            <v>563071445.51999998</v>
          </cell>
          <cell r="L17">
            <v>2.7772155560288891E-3</v>
          </cell>
        </row>
        <row r="18">
          <cell r="A18">
            <v>12</v>
          </cell>
        </row>
        <row r="19">
          <cell r="A19">
            <v>13</v>
          </cell>
          <cell r="B19" t="str">
            <v>Lights</v>
          </cell>
          <cell r="C19" t="str">
            <v>50-59</v>
          </cell>
          <cell r="D19">
            <v>75887375.026475519</v>
          </cell>
          <cell r="E19">
            <v>2.5836983915459946E-3</v>
          </cell>
          <cell r="F19">
            <v>8059.2720272472116</v>
          </cell>
          <cell r="G19">
            <v>5.1956613535211553E-4</v>
          </cell>
          <cell r="H19">
            <v>3.1032645268981099E-3</v>
          </cell>
          <cell r="J19">
            <v>208871.57328297943</v>
          </cell>
          <cell r="K19">
            <v>68936797.67750001</v>
          </cell>
          <cell r="L19">
            <v>3.0298995648176466E-3</v>
          </cell>
        </row>
        <row r="20">
          <cell r="A20">
            <v>14</v>
          </cell>
        </row>
        <row r="21">
          <cell r="A21">
            <v>15</v>
          </cell>
          <cell r="B21" t="str">
            <v>Firm Resale</v>
          </cell>
          <cell r="D21">
            <v>7427003.1359829875</v>
          </cell>
          <cell r="E21">
            <v>2.5286335243183223E-4</v>
          </cell>
          <cell r="F21">
            <v>1428.4140277629981</v>
          </cell>
          <cell r="G21">
            <v>9.2087170352167269E-5</v>
          </cell>
          <cell r="H21">
            <v>3.4495052278399948E-4</v>
          </cell>
          <cell r="J21">
            <v>23217.601262854205</v>
          </cell>
          <cell r="K21">
            <v>7369853.2214806583</v>
          </cell>
          <cell r="L21">
            <v>3.1503478515939312E-3</v>
          </cell>
        </row>
        <row r="22">
          <cell r="A22">
            <v>16</v>
          </cell>
        </row>
        <row r="23">
          <cell r="A23">
            <v>17</v>
          </cell>
          <cell r="B23" t="str">
            <v>Subtotal</v>
          </cell>
          <cell r="D23">
            <v>22028705616.757526</v>
          </cell>
          <cell r="E23">
            <v>0.75000000000000022</v>
          </cell>
          <cell r="F23">
            <v>3877885.5466519948</v>
          </cell>
          <cell r="G23">
            <v>0.25</v>
          </cell>
          <cell r="H23">
            <v>1</v>
          </cell>
          <cell r="I23">
            <v>67307047.617934942</v>
          </cell>
          <cell r="J23">
            <v>67307047.617934957</v>
          </cell>
          <cell r="K23">
            <v>20365544557.714779</v>
          </cell>
          <cell r="L23">
            <v>3.3049471094274284E-3</v>
          </cell>
        </row>
        <row r="24">
          <cell r="A24">
            <v>18</v>
          </cell>
        </row>
        <row r="25">
          <cell r="A25">
            <v>19</v>
          </cell>
          <cell r="B25" t="str">
            <v xml:space="preserve">Transportation </v>
          </cell>
          <cell r="C25" t="str">
            <v>449 / 459 / SC</v>
          </cell>
          <cell r="K25">
            <v>2296743088.5840001</v>
          </cell>
        </row>
        <row r="26">
          <cell r="A26">
            <v>20</v>
          </cell>
        </row>
        <row r="27">
          <cell r="A27">
            <v>21</v>
          </cell>
          <cell r="B27" t="str">
            <v>Total</v>
          </cell>
          <cell r="D27">
            <v>22028705616.757526</v>
          </cell>
          <cell r="F27">
            <v>3877885.5466519948</v>
          </cell>
          <cell r="K27">
            <v>22662287646.298779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zoomScaleNormal="100" workbookViewId="0">
      <pane xSplit="4" ySplit="6" topLeftCell="E7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R6" sqref="R6"/>
    </sheetView>
  </sheetViews>
  <sheetFormatPr defaultColWidth="6.28515625" defaultRowHeight="11.25" x14ac:dyDescent="0.2"/>
  <cols>
    <col min="1" max="1" width="3.85546875" style="88" bestFit="1" customWidth="1"/>
    <col min="2" max="2" width="17.42578125" style="88" bestFit="1" customWidth="1"/>
    <col min="3" max="3" width="14.7109375" style="88" customWidth="1"/>
    <col min="4" max="4" width="13.7109375" style="88" bestFit="1" customWidth="1"/>
    <col min="5" max="6" width="12" style="88" bestFit="1" customWidth="1"/>
    <col min="7" max="8" width="11.5703125" style="88" bestFit="1" customWidth="1"/>
    <col min="9" max="9" width="11.28515625" style="88" bestFit="1" customWidth="1"/>
    <col min="10" max="10" width="11.28515625" style="88" customWidth="1"/>
    <col min="11" max="11" width="11.5703125" style="88" bestFit="1" customWidth="1"/>
    <col min="12" max="13" width="12" style="88" bestFit="1" customWidth="1"/>
    <col min="14" max="14" width="12" style="88" customWidth="1"/>
    <col min="15" max="15" width="11.5703125" style="88" bestFit="1" customWidth="1"/>
    <col min="16" max="16" width="12.140625" style="88" bestFit="1" customWidth="1"/>
    <col min="17" max="17" width="11.5703125" style="88" bestFit="1" customWidth="1"/>
    <col min="18" max="18" width="13.7109375" style="88" bestFit="1" customWidth="1"/>
    <col min="19" max="19" width="1.7109375" style="88" customWidth="1"/>
    <col min="20" max="21" width="11.140625" style="88" customWidth="1"/>
    <col min="22" max="23" width="11.5703125" style="88" bestFit="1" customWidth="1"/>
    <col min="24" max="24" width="11.28515625" style="88" customWidth="1"/>
    <col min="25" max="25" width="12.85546875" style="88" bestFit="1" customWidth="1"/>
    <col min="26" max="26" width="10" style="88" customWidth="1"/>
    <col min="27" max="27" width="9.42578125" style="88" customWidth="1"/>
    <col min="28" max="28" width="7.42578125" style="88" bestFit="1" customWidth="1"/>
    <col min="29" max="29" width="6.28515625" style="88"/>
    <col min="30" max="30" width="11.5703125" style="88" bestFit="1" customWidth="1"/>
    <col min="31" max="31" width="12.85546875" style="88" bestFit="1" customWidth="1"/>
    <col min="32" max="32" width="7.42578125" style="88" bestFit="1" customWidth="1"/>
    <col min="33" max="16384" width="6.28515625" style="88"/>
  </cols>
  <sheetData>
    <row r="1" spans="1:32" x14ac:dyDescent="0.2">
      <c r="A1" s="289" t="str">
        <f>Schedule_RateImpacts!A1</f>
        <v>Puget Sound Energy</v>
      </c>
      <c r="B1" s="289"/>
      <c r="C1" s="289"/>
      <c r="D1" s="289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105"/>
      <c r="T1" s="105"/>
      <c r="U1" s="105"/>
      <c r="V1" s="105"/>
      <c r="W1" s="105"/>
      <c r="X1" s="105"/>
      <c r="Y1" s="105"/>
      <c r="Z1" s="105"/>
      <c r="AA1" s="105"/>
    </row>
    <row r="2" spans="1:32" x14ac:dyDescent="0.2">
      <c r="A2" s="289" t="str">
        <f>Schedule_RateImpacts!A2</f>
        <v>Rate Impacts</v>
      </c>
      <c r="B2" s="289"/>
      <c r="C2" s="289"/>
      <c r="D2" s="289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105"/>
      <c r="T2" s="105"/>
      <c r="U2" s="105"/>
      <c r="V2" s="105"/>
      <c r="W2" s="105"/>
      <c r="X2" s="105"/>
      <c r="Y2" s="105"/>
      <c r="Z2" s="105"/>
      <c r="AA2" s="105"/>
    </row>
    <row r="3" spans="1:32" x14ac:dyDescent="0.2">
      <c r="A3" s="289" t="str">
        <f>"Test Year Ended "&amp;TEXT(Controls!B8,"mmmm d, yyyy")</f>
        <v>Test Year Ended June 30, 2020</v>
      </c>
      <c r="B3" s="289"/>
      <c r="C3" s="289"/>
      <c r="D3" s="289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105"/>
      <c r="T3" s="105"/>
      <c r="U3" s="105"/>
      <c r="V3" s="105"/>
      <c r="W3" s="105"/>
      <c r="X3" s="105"/>
      <c r="Y3" s="105"/>
      <c r="Z3" s="105"/>
      <c r="AA3" s="105"/>
    </row>
    <row r="4" spans="1:32" ht="12" thickBot="1" x14ac:dyDescent="0.25">
      <c r="A4" s="668" t="str">
        <f>Schedule_RateImpacts!A4</f>
        <v>Compliance Filing Docket UE-200980, Proposed Rates Effective 7-1-2021</v>
      </c>
      <c r="B4" s="289"/>
      <c r="C4" s="289"/>
      <c r="D4" s="289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T4" s="282"/>
      <c r="U4" s="425"/>
      <c r="V4" s="425"/>
      <c r="W4" s="282"/>
    </row>
    <row r="5" spans="1:32" ht="13.5" customHeight="1" thickBot="1" x14ac:dyDescent="0.25">
      <c r="A5" s="106"/>
      <c r="B5" s="107"/>
      <c r="C5" s="107"/>
      <c r="D5" s="107"/>
      <c r="E5" s="107"/>
      <c r="F5" s="107"/>
      <c r="G5" s="107"/>
      <c r="H5" s="107"/>
      <c r="I5" s="107"/>
      <c r="J5" s="421"/>
      <c r="K5" s="107"/>
      <c r="L5" s="107"/>
      <c r="M5" s="107"/>
      <c r="N5" s="399"/>
      <c r="O5" s="107"/>
      <c r="P5" s="107"/>
      <c r="Q5" s="107"/>
      <c r="R5" s="108"/>
      <c r="S5" s="108"/>
      <c r="T5" s="600" t="s">
        <v>1</v>
      </c>
      <c r="U5" s="601"/>
      <c r="V5" s="600" t="s">
        <v>2</v>
      </c>
      <c r="W5" s="601"/>
      <c r="X5" s="103"/>
    </row>
    <row r="6" spans="1:32" ht="57" thickBot="1" x14ac:dyDescent="0.25">
      <c r="A6" s="109" t="s">
        <v>3</v>
      </c>
      <c r="B6" s="109" t="s">
        <v>4</v>
      </c>
      <c r="C6" s="102" t="str">
        <f>Schedule_RateImpacts!C7</f>
        <v>Annual kWh Normalized &amp; Delivered Sales  07/01/19 to 06/30/20</v>
      </c>
      <c r="D6" s="110" t="str">
        <f>Schedule_RateImpacts!D7</f>
        <v>Estimated Annual
Base Revenue
Rates Effective
10/15/20</v>
      </c>
      <c r="E6" s="110" t="str">
        <f>Schedule_RateImpacts!E7</f>
        <v>Schedule 95
PCA/PCORC</v>
      </c>
      <c r="F6" s="110" t="str">
        <f>Schedule_RateImpacts!F7</f>
        <v>Schedule 95A
Federal Incentive Credit</v>
      </c>
      <c r="G6" s="110" t="str">
        <f>Schedule_RateImpacts!G7</f>
        <v>Schedule 120
Conservation</v>
      </c>
      <c r="H6" s="110" t="str">
        <f>Schedule_RateImpacts!H7</f>
        <v>Schedule 129
Low Income</v>
      </c>
      <c r="I6" s="110" t="str">
        <f>Schedule_RateImpacts!I7</f>
        <v>Schedule 137 REC's</v>
      </c>
      <c r="J6" s="110" t="str">
        <f>Schedule_RateImpacts!J7</f>
        <v>Schedule 139 Green Power</v>
      </c>
      <c r="K6" s="110" t="str">
        <f>Schedule_RateImpacts!K7</f>
        <v>Schedule 140
Property Tax</v>
      </c>
      <c r="L6" s="110" t="str">
        <f>Schedule_RateImpacts!L7</f>
        <v>Schedule 141X (Protected EDIT)</v>
      </c>
      <c r="M6" s="110" t="str">
        <f>Schedule_RateImpacts!M7</f>
        <v>Schedule 
141Y Tax Over Collection</v>
      </c>
      <c r="N6" s="110" t="str">
        <f>Schedule_RateImpacts!N7</f>
        <v>Schedule 141Z (Unprotected)
EDIT</v>
      </c>
      <c r="O6" s="110" t="str">
        <f>Schedule_RateImpacts!O7</f>
        <v>Schedule 142
 Deferral + Supplemental</v>
      </c>
      <c r="P6" s="110" t="str">
        <f>Schedule_RateImpacts!P7</f>
        <v>Schedule 194
BPA Res &amp; Farm Credit</v>
      </c>
      <c r="Q6" s="110" t="str">
        <f>Schedule_RateImpacts!Q7</f>
        <v>Subtotal
Rider
Rates
Effective
5-1-2021</v>
      </c>
      <c r="R6" s="110" t="str">
        <f>Schedule_RateImpacts!R7</f>
        <v>Annual Estimated Revenue @ Rates Effective 05/01/21</v>
      </c>
      <c r="S6" s="111"/>
      <c r="T6" s="432" t="str">
        <f>Schedule_RateImpacts!T7</f>
        <v>Schedule 95
PCA/PCORC</v>
      </c>
      <c r="U6" s="433" t="str">
        <f>Schedule_RateImpacts!U7</f>
        <v>Schedule 139 Green Power</v>
      </c>
      <c r="V6" s="434" t="str">
        <f>Schedule_RateImpacts!V7</f>
        <v>Schedule 95
PCA/PCORC</v>
      </c>
      <c r="W6" s="433" t="str">
        <f>Schedule_RateImpacts!W7</f>
        <v>Schedule 139 Green Power</v>
      </c>
      <c r="X6" s="586" t="s">
        <v>271</v>
      </c>
      <c r="Y6" s="667" t="str">
        <f>+Schedule_RateImpacts!Y7</f>
        <v>Total 
Proposed
Rates at 07/01/2021</v>
      </c>
      <c r="Z6" s="586" t="str">
        <f>Schedule_RateImpacts!Z7</f>
        <v>Current  Average 
Rates per KWHs</v>
      </c>
      <c r="AA6" s="586" t="str">
        <f>Schedule_RateImpacts!AA7</f>
        <v>Proposed Average 
Rates per KWHs</v>
      </c>
      <c r="AB6" s="587" t="s">
        <v>193</v>
      </c>
    </row>
    <row r="7" spans="1:32" x14ac:dyDescent="0.2">
      <c r="A7" s="578"/>
      <c r="B7" s="578"/>
      <c r="C7" s="577" t="s">
        <v>84</v>
      </c>
      <c r="D7" s="111" t="s">
        <v>85</v>
      </c>
      <c r="E7" s="111" t="s">
        <v>86</v>
      </c>
      <c r="F7" s="111" t="s">
        <v>87</v>
      </c>
      <c r="G7" s="111" t="s">
        <v>500</v>
      </c>
      <c r="H7" s="111" t="s">
        <v>501</v>
      </c>
      <c r="I7" s="111" t="s">
        <v>502</v>
      </c>
      <c r="J7" s="111" t="s">
        <v>503</v>
      </c>
      <c r="K7" s="111" t="s">
        <v>504</v>
      </c>
      <c r="L7" s="111" t="s">
        <v>505</v>
      </c>
      <c r="M7" s="111" t="s">
        <v>506</v>
      </c>
      <c r="N7" s="111" t="s">
        <v>507</v>
      </c>
      <c r="O7" s="111" t="s">
        <v>508</v>
      </c>
      <c r="P7" s="111" t="s">
        <v>509</v>
      </c>
      <c r="Q7" s="111" t="s">
        <v>510</v>
      </c>
      <c r="R7" s="111" t="s">
        <v>511</v>
      </c>
      <c r="S7" s="111"/>
      <c r="T7" s="579" t="s">
        <v>512</v>
      </c>
      <c r="U7" s="580" t="s">
        <v>513</v>
      </c>
      <c r="V7" s="111" t="s">
        <v>515</v>
      </c>
      <c r="W7" s="580" t="s">
        <v>514</v>
      </c>
      <c r="X7" s="588" t="s">
        <v>516</v>
      </c>
      <c r="Y7" s="588" t="s">
        <v>517</v>
      </c>
      <c r="Z7" s="588" t="s">
        <v>518</v>
      </c>
      <c r="AA7" s="588" t="s">
        <v>519</v>
      </c>
      <c r="AB7" s="589" t="s">
        <v>520</v>
      </c>
    </row>
    <row r="8" spans="1:32" x14ac:dyDescent="0.2">
      <c r="A8" s="107">
        <v>1</v>
      </c>
      <c r="B8" s="107">
        <v>7</v>
      </c>
      <c r="C8" s="101">
        <f>+Schedule_RateImpacts!C8</f>
        <v>10863043096.272161</v>
      </c>
      <c r="D8" s="133">
        <f>+Schedule_RateImpacts!D8</f>
        <v>1198750986.2385011</v>
      </c>
      <c r="E8" s="133">
        <f>+Schedule_RateImpacts!E8</f>
        <v>23188538</v>
      </c>
      <c r="F8" s="133">
        <f>+Schedule_RateImpacts!F8</f>
        <v>-15642782</v>
      </c>
      <c r="G8" s="133">
        <f>+Schedule_RateImpacts!G8</f>
        <v>41551140</v>
      </c>
      <c r="H8" s="133">
        <f>+Schedule_RateImpacts!H8</f>
        <v>11558278</v>
      </c>
      <c r="I8" s="133">
        <f>+Schedule_RateImpacts!I8</f>
        <v>-467111</v>
      </c>
      <c r="J8" s="133">
        <f>+Schedule_RateImpacts!J8</f>
        <v>-80</v>
      </c>
      <c r="K8" s="133">
        <f>+Schedule_RateImpacts!K8</f>
        <v>33371268</v>
      </c>
      <c r="L8" s="133">
        <f>+Schedule_RateImpacts!L8</f>
        <v>-32762938</v>
      </c>
      <c r="M8" s="133">
        <f>+Schedule_RateImpacts!M8</f>
        <v>-662646</v>
      </c>
      <c r="N8" s="133">
        <f>+Schedule_RateImpacts!N8</f>
        <v>-9602930</v>
      </c>
      <c r="O8" s="133">
        <f>+Schedule_RateImpacts!O8</f>
        <v>-1118893</v>
      </c>
      <c r="P8" s="133">
        <f>+Schedule_RateImpacts!P8</f>
        <v>-80235816</v>
      </c>
      <c r="Q8" s="72">
        <f>SUM(E8:P8)</f>
        <v>-30823972</v>
      </c>
      <c r="R8" s="72">
        <f>SUM(Q8,D8)</f>
        <v>1167927014.2385011</v>
      </c>
      <c r="T8" s="309">
        <f>+Schedule_RateImpacts!T8</f>
        <v>-23188538</v>
      </c>
      <c r="U8" s="310">
        <f>+Schedule_RateImpacts!U8</f>
        <v>80</v>
      </c>
      <c r="V8" s="114">
        <f>+Schedule_RateImpacts!V8</f>
        <v>59191343</v>
      </c>
      <c r="W8" s="310">
        <f>+Schedule_RateImpacts!W8</f>
        <v>1137</v>
      </c>
      <c r="X8" s="114">
        <f>SUM(T8:W8)</f>
        <v>36004022</v>
      </c>
      <c r="Y8" s="114">
        <f>SUM(R8,X8)</f>
        <v>1203931036.2385011</v>
      </c>
      <c r="Z8" s="240">
        <f>R8/C8</f>
        <v>0.10751379736671533</v>
      </c>
      <c r="AA8" s="240">
        <f>Y8/C8</f>
        <v>0.11082815612244515</v>
      </c>
      <c r="AB8" s="590">
        <f>X8/R8</f>
        <v>3.0827287631046831E-2</v>
      </c>
      <c r="AC8" s="129"/>
      <c r="AD8" s="72"/>
      <c r="AE8" s="133"/>
      <c r="AF8" s="72"/>
    </row>
    <row r="9" spans="1:32" x14ac:dyDescent="0.2">
      <c r="A9" s="107">
        <f>+A8+1</f>
        <v>2</v>
      </c>
      <c r="B9" s="107" t="s">
        <v>11</v>
      </c>
      <c r="C9" s="117">
        <f>SUM(C8:C8)</f>
        <v>10863043096.272161</v>
      </c>
      <c r="D9" s="136">
        <f t="shared" ref="D9:O9" si="0">SUM(D8:D8)</f>
        <v>1198750986.2385011</v>
      </c>
      <c r="E9" s="136">
        <f t="shared" si="0"/>
        <v>23188538</v>
      </c>
      <c r="F9" s="136">
        <f t="shared" si="0"/>
        <v>-15642782</v>
      </c>
      <c r="G9" s="136">
        <f t="shared" si="0"/>
        <v>41551140</v>
      </c>
      <c r="H9" s="136">
        <f t="shared" si="0"/>
        <v>11558278</v>
      </c>
      <c r="I9" s="136">
        <f t="shared" si="0"/>
        <v>-467111</v>
      </c>
      <c r="J9" s="136">
        <f t="shared" ref="J9" si="1">SUM(J8:J8)</f>
        <v>-80</v>
      </c>
      <c r="K9" s="136">
        <f t="shared" si="0"/>
        <v>33371268</v>
      </c>
      <c r="L9" s="136">
        <f t="shared" si="0"/>
        <v>-32762938</v>
      </c>
      <c r="M9" s="136">
        <f t="shared" si="0"/>
        <v>-662646</v>
      </c>
      <c r="N9" s="136">
        <f t="shared" ref="N9" si="2">SUM(N8:N8)</f>
        <v>-9602930</v>
      </c>
      <c r="O9" s="136">
        <f t="shared" si="0"/>
        <v>-1118893</v>
      </c>
      <c r="P9" s="136">
        <f>SUM(P8:P8)</f>
        <v>-80235816</v>
      </c>
      <c r="Q9" s="73">
        <f>SUM(Q8:Q8)</f>
        <v>-30823972</v>
      </c>
      <c r="R9" s="73">
        <f>SUM(R8:R8)</f>
        <v>1167927014.2385011</v>
      </c>
      <c r="T9" s="311">
        <f t="shared" ref="T9:Y9" si="3">SUM(T8:T8)</f>
        <v>-23188538</v>
      </c>
      <c r="U9" s="312">
        <f t="shared" ref="U9:W9" si="4">SUM(U8:U8)</f>
        <v>80</v>
      </c>
      <c r="V9" s="73">
        <f t="shared" si="4"/>
        <v>59191343</v>
      </c>
      <c r="W9" s="312">
        <f t="shared" si="4"/>
        <v>1137</v>
      </c>
      <c r="X9" s="73">
        <f t="shared" si="3"/>
        <v>36004022</v>
      </c>
      <c r="Y9" s="73">
        <f t="shared" si="3"/>
        <v>1203931036.2385011</v>
      </c>
      <c r="Z9" s="208">
        <f>R9/C9</f>
        <v>0.10751379736671533</v>
      </c>
      <c r="AA9" s="208">
        <f>Y9/C9</f>
        <v>0.11082815612244515</v>
      </c>
      <c r="AB9" s="591">
        <f>X9/R9</f>
        <v>3.0827287631046831E-2</v>
      </c>
      <c r="AC9" s="129"/>
      <c r="AD9" s="72"/>
      <c r="AF9" s="72"/>
    </row>
    <row r="10" spans="1:32" x14ac:dyDescent="0.2">
      <c r="A10" s="107">
        <f t="shared" ref="A10:A40" si="5">+A9+1</f>
        <v>3</v>
      </c>
      <c r="B10" s="107"/>
      <c r="C10" s="101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72"/>
      <c r="R10" s="72"/>
      <c r="T10" s="309"/>
      <c r="U10" s="310"/>
      <c r="V10" s="114"/>
      <c r="W10" s="310"/>
      <c r="X10" s="114"/>
      <c r="Y10" s="114"/>
      <c r="Z10" s="240"/>
      <c r="AA10" s="240"/>
      <c r="AB10" s="590"/>
      <c r="AD10" s="72"/>
      <c r="AF10" s="72"/>
    </row>
    <row r="11" spans="1:32" x14ac:dyDescent="0.2">
      <c r="A11" s="107">
        <f t="shared" si="5"/>
        <v>4</v>
      </c>
      <c r="B11" s="106" t="s">
        <v>77</v>
      </c>
      <c r="C11" s="101">
        <f>SUM(Schedule_RateImpacts!C11:C12)</f>
        <v>2586338527.0017586</v>
      </c>
      <c r="D11" s="133">
        <f>SUM(Schedule_RateImpacts!D11:D12)</f>
        <v>266717014</v>
      </c>
      <c r="E11" s="133">
        <f>SUM(Schedule_RateImpacts!E11:E12)</f>
        <v>5573098</v>
      </c>
      <c r="F11" s="133">
        <f>SUM(Schedule_RateImpacts!F11:F12)</f>
        <v>-3752777</v>
      </c>
      <c r="G11" s="133">
        <f>SUM(Schedule_RateImpacts!G11:G12)</f>
        <v>9957403</v>
      </c>
      <c r="H11" s="133">
        <f>SUM(Schedule_RateImpacts!H11:H12)</f>
        <v>2625134</v>
      </c>
      <c r="I11" s="133">
        <f>SUM(Schedule_RateImpacts!I11:I12)</f>
        <v>-113799</v>
      </c>
      <c r="J11" s="133">
        <f>SUM(Schedule_RateImpacts!J11:J12)</f>
        <v>-168132</v>
      </c>
      <c r="K11" s="133">
        <f>SUM(Schedule_RateImpacts!K11:K12)</f>
        <v>6825347</v>
      </c>
      <c r="L11" s="133">
        <f>SUM(Schedule_RateImpacts!L11:L12)</f>
        <v>-6292561</v>
      </c>
      <c r="M11" s="133">
        <f>SUM(Schedule_RateImpacts!M11:M12)</f>
        <v>-129317</v>
      </c>
      <c r="N11" s="133">
        <f>SUM(Schedule_RateImpacts!N11:N12)</f>
        <v>-1844060</v>
      </c>
      <c r="O11" s="133">
        <f>SUM(Schedule_RateImpacts!O11:O12)</f>
        <v>11589383</v>
      </c>
      <c r="P11" s="133">
        <f>SUM(Schedule_RateImpacts!P11:P12)</f>
        <v>-1863985</v>
      </c>
      <c r="Q11" s="72">
        <f>SUM(E11:P11)</f>
        <v>22405734</v>
      </c>
      <c r="R11" s="72">
        <f>SUM(Q11,D11)</f>
        <v>289122748</v>
      </c>
      <c r="T11" s="309">
        <f>SUM(Schedule_RateImpacts!T11:T12)</f>
        <v>-5573098</v>
      </c>
      <c r="U11" s="310">
        <f>SUM(Schedule_RateImpacts!U11:U12)</f>
        <v>168132</v>
      </c>
      <c r="V11" s="114">
        <f>SUM(Schedule_RateImpacts!V11:V12)</f>
        <v>14492592</v>
      </c>
      <c r="W11" s="310">
        <f>SUM(Schedule_RateImpacts!W11:W12)</f>
        <v>1414778</v>
      </c>
      <c r="X11" s="114">
        <f>SUM(T11:W11)</f>
        <v>10502404</v>
      </c>
      <c r="Y11" s="114">
        <f>SUM(R11,X11)</f>
        <v>299625152</v>
      </c>
      <c r="Z11" s="240">
        <f>R11/C11</f>
        <v>0.11178843951846038</v>
      </c>
      <c r="AA11" s="240">
        <f>Y11/C11</f>
        <v>0.11584916238607935</v>
      </c>
      <c r="AB11" s="590">
        <f>X11/R11</f>
        <v>3.6325069793539735E-2</v>
      </c>
      <c r="AC11" s="129"/>
      <c r="AD11" s="72"/>
      <c r="AE11" s="133"/>
      <c r="AF11" s="72"/>
    </row>
    <row r="12" spans="1:32" x14ac:dyDescent="0.2">
      <c r="A12" s="107">
        <f t="shared" si="5"/>
        <v>5</v>
      </c>
      <c r="B12" s="106" t="s">
        <v>187</v>
      </c>
      <c r="C12" s="101">
        <f>SUM(Schedule_RateImpacts!C13:C15)</f>
        <v>2884671453.8191686</v>
      </c>
      <c r="D12" s="133">
        <f>SUM(Schedule_RateImpacts!D13:D15)</f>
        <v>271468431</v>
      </c>
      <c r="E12" s="133">
        <f>SUM(Schedule_RateImpacts!E13:E15)</f>
        <v>6414072</v>
      </c>
      <c r="F12" s="133">
        <f>SUM(Schedule_RateImpacts!F13:F15)</f>
        <v>-4321237</v>
      </c>
      <c r="G12" s="133">
        <f>SUM(Schedule_RateImpacts!G13:G15)</f>
        <v>11792537</v>
      </c>
      <c r="H12" s="133">
        <f>SUM(Schedule_RateImpacts!H13:H15)</f>
        <v>2639474</v>
      </c>
      <c r="I12" s="133">
        <f>SUM(Schedule_RateImpacts!I13:I15)</f>
        <v>-129810</v>
      </c>
      <c r="J12" s="133">
        <f>SUM(Schedule_RateImpacts!J13:J15)</f>
        <v>-41965</v>
      </c>
      <c r="K12" s="133">
        <f>SUM(Schedule_RateImpacts!K13:K15)</f>
        <v>7006867</v>
      </c>
      <c r="L12" s="133">
        <f>SUM(Schedule_RateImpacts!L13:L15)</f>
        <v>-6582821</v>
      </c>
      <c r="M12" s="133">
        <f>SUM(Schedule_RateImpacts!M13:M15)</f>
        <v>-129810</v>
      </c>
      <c r="N12" s="133">
        <f>SUM(Schedule_RateImpacts!N13:N15)</f>
        <v>-1929845</v>
      </c>
      <c r="O12" s="133">
        <f>SUM(Schedule_RateImpacts!O13:O15)</f>
        <v>8351124</v>
      </c>
      <c r="P12" s="133">
        <f>SUM(Schedule_RateImpacts!P13:P15)</f>
        <v>-1021759</v>
      </c>
      <c r="Q12" s="72">
        <f>SUM(E12:P12)</f>
        <v>22046827</v>
      </c>
      <c r="R12" s="72">
        <f>SUM(Q12,D12)</f>
        <v>293515258</v>
      </c>
      <c r="T12" s="309">
        <f>SUM(Schedule_RateImpacts!T13:T15)</f>
        <v>-6414072</v>
      </c>
      <c r="U12" s="310">
        <f>SUM(Schedule_RateImpacts!U13:U15)</f>
        <v>41965</v>
      </c>
      <c r="V12" s="114">
        <f>SUM(Schedule_RateImpacts!V13:V15)</f>
        <v>16198332</v>
      </c>
      <c r="W12" s="310">
        <f>SUM(Schedule_RateImpacts!W13:W15)</f>
        <v>394434</v>
      </c>
      <c r="X12" s="114">
        <f>SUM(T12:W12)</f>
        <v>10220659</v>
      </c>
      <c r="Y12" s="114">
        <f>SUM(R12,X12)</f>
        <v>303735917</v>
      </c>
      <c r="Z12" s="240">
        <f>R12/C12</f>
        <v>0.10174997835937249</v>
      </c>
      <c r="AA12" s="240">
        <f>Y12/C12</f>
        <v>0.10529307127779422</v>
      </c>
      <c r="AB12" s="590">
        <f>X12/R12</f>
        <v>3.4821559429799726E-2</v>
      </c>
      <c r="AC12" s="129"/>
      <c r="AD12" s="72"/>
      <c r="AE12" s="133"/>
      <c r="AF12" s="581"/>
    </row>
    <row r="13" spans="1:32" x14ac:dyDescent="0.2">
      <c r="A13" s="107">
        <f t="shared" si="5"/>
        <v>6</v>
      </c>
      <c r="B13" s="106" t="s">
        <v>78</v>
      </c>
      <c r="C13" s="101">
        <f>SUM(Schedule_RateImpacts!C16:C17)</f>
        <v>1841173274.7668719</v>
      </c>
      <c r="D13" s="133">
        <f>SUM(Schedule_RateImpacts!D16:D17)</f>
        <v>159383675</v>
      </c>
      <c r="E13" s="133">
        <f>SUM(Schedule_RateImpacts!E16:E17)</f>
        <v>4283949</v>
      </c>
      <c r="F13" s="133">
        <f>SUM(Schedule_RateImpacts!F16:F17)</f>
        <v>-2888800</v>
      </c>
      <c r="G13" s="133">
        <f>SUM(Schedule_RateImpacts!G16:G17)</f>
        <v>7732928</v>
      </c>
      <c r="H13" s="133">
        <f>SUM(Schedule_RateImpacts!H16:H17)</f>
        <v>1563156</v>
      </c>
      <c r="I13" s="133">
        <f>SUM(Schedule_RateImpacts!I16:I17)</f>
        <v>-86535</v>
      </c>
      <c r="J13" s="133">
        <f>SUM(Schedule_RateImpacts!J16:J17)</f>
        <v>-34620</v>
      </c>
      <c r="K13" s="133">
        <f>SUM(Schedule_RateImpacts!K16:K17)</f>
        <v>4247587</v>
      </c>
      <c r="L13" s="133">
        <f>SUM(Schedule_RateImpacts!L16:L17)</f>
        <v>-3625271</v>
      </c>
      <c r="M13" s="133">
        <f>SUM(Schedule_RateImpacts!M16:M17)</f>
        <v>-82852</v>
      </c>
      <c r="N13" s="133">
        <f>SUM(Schedule_RateImpacts!N16:N17)</f>
        <v>-1062357</v>
      </c>
      <c r="O13" s="133">
        <f>SUM(Schedule_RateImpacts!O16:O17)</f>
        <v>5614271</v>
      </c>
      <c r="P13" s="133">
        <f>SUM(Schedule_RateImpacts!P16:P17)</f>
        <v>-121354</v>
      </c>
      <c r="Q13" s="72">
        <f>SUM(E13:P13)</f>
        <v>15540102</v>
      </c>
      <c r="R13" s="72">
        <f>SUM(Q13,D13)</f>
        <v>174923777</v>
      </c>
      <c r="T13" s="309">
        <f>SUM(Schedule_RateImpacts!T16:T17)</f>
        <v>-4283949</v>
      </c>
      <c r="U13" s="310">
        <f>SUM(Schedule_RateImpacts!U16:U17)</f>
        <v>34620</v>
      </c>
      <c r="V13" s="114">
        <f>SUM(Schedule_RateImpacts!V16:V17)</f>
        <v>10337923</v>
      </c>
      <c r="W13" s="310">
        <f>SUM(Schedule_RateImpacts!W16:W17)</f>
        <v>412425</v>
      </c>
      <c r="X13" s="114">
        <f>SUM(T13:W13)</f>
        <v>6501019</v>
      </c>
      <c r="Y13" s="114">
        <f>SUM(R13,X13)</f>
        <v>181424796</v>
      </c>
      <c r="Z13" s="240">
        <f>R13/C13</f>
        <v>9.5006689157026092E-2</v>
      </c>
      <c r="AA13" s="240">
        <f>Y13/C13</f>
        <v>9.853760017398247E-2</v>
      </c>
      <c r="AB13" s="590">
        <f>X13/R13</f>
        <v>3.7164867529701238E-2</v>
      </c>
      <c r="AC13" s="129"/>
      <c r="AD13" s="72"/>
      <c r="AE13" s="133"/>
      <c r="AF13" s="72"/>
    </row>
    <row r="14" spans="1:32" x14ac:dyDescent="0.2">
      <c r="A14" s="107">
        <f t="shared" si="5"/>
        <v>7</v>
      </c>
      <c r="B14" s="107">
        <v>29</v>
      </c>
      <c r="C14" s="101">
        <f>+Schedule_RateImpacts!C18</f>
        <v>11424740.434375001</v>
      </c>
      <c r="D14" s="133">
        <f>+Schedule_RateImpacts!D18</f>
        <v>1039246</v>
      </c>
      <c r="E14" s="133">
        <f>+Schedule_RateImpacts!E18</f>
        <v>21164</v>
      </c>
      <c r="F14" s="133">
        <f>+Schedule_RateImpacts!F18</f>
        <v>-14235</v>
      </c>
      <c r="G14" s="133">
        <f>+Schedule_RateImpacts!G18</f>
        <v>39073</v>
      </c>
      <c r="H14" s="133">
        <f>+Schedule_RateImpacts!H18</f>
        <v>9208</v>
      </c>
      <c r="I14" s="133">
        <f>+Schedule_RateImpacts!I18</f>
        <v>-423</v>
      </c>
      <c r="J14" s="133">
        <f>+Schedule_RateImpacts!J18</f>
        <v>0</v>
      </c>
      <c r="K14" s="133">
        <f>+Schedule_RateImpacts!K18</f>
        <v>27751</v>
      </c>
      <c r="L14" s="133">
        <f>+Schedule_RateImpacts!L18</f>
        <v>-26071</v>
      </c>
      <c r="M14" s="133">
        <f>+Schedule_RateImpacts!M18</f>
        <v>-514</v>
      </c>
      <c r="N14" s="133">
        <f>+Schedule_RateImpacts!N18</f>
        <v>-7643</v>
      </c>
      <c r="O14" s="133">
        <f>+Schedule_RateImpacts!O18</f>
        <v>33075</v>
      </c>
      <c r="P14" s="133">
        <f>+Schedule_RateImpacts!P18</f>
        <v>-84385</v>
      </c>
      <c r="Q14" s="72">
        <f>SUM(E14:P14)</f>
        <v>-3000</v>
      </c>
      <c r="R14" s="72">
        <f>SUM(Q14,D14)</f>
        <v>1036246</v>
      </c>
      <c r="T14" s="309">
        <f>+Schedule_RateImpacts!T18</f>
        <v>-21164</v>
      </c>
      <c r="U14" s="310">
        <f>+Schedule_RateImpacts!U18</f>
        <v>0</v>
      </c>
      <c r="V14" s="114">
        <f>+Schedule_RateImpacts!V18</f>
        <v>62680</v>
      </c>
      <c r="W14" s="310">
        <f>+Schedule_RateImpacts!W18</f>
        <v>0</v>
      </c>
      <c r="X14" s="114">
        <f>SUM(T14:W14)</f>
        <v>41516</v>
      </c>
      <c r="Y14" s="114">
        <f>SUM(R14,X14)</f>
        <v>1077762</v>
      </c>
      <c r="Z14" s="240">
        <f>R14/C14</f>
        <v>9.0701929374440854E-2</v>
      </c>
      <c r="AA14" s="240">
        <f>Y14/C14</f>
        <v>9.4335797490611412E-2</v>
      </c>
      <c r="AB14" s="590">
        <f>X14/R14</f>
        <v>4.0063845843554526E-2</v>
      </c>
      <c r="AC14" s="129"/>
      <c r="AD14" s="72"/>
      <c r="AE14" s="133"/>
      <c r="AF14" s="72"/>
    </row>
    <row r="15" spans="1:32" x14ac:dyDescent="0.2">
      <c r="A15" s="107">
        <f t="shared" si="5"/>
        <v>8</v>
      </c>
      <c r="B15" s="106" t="s">
        <v>191</v>
      </c>
      <c r="C15" s="117">
        <f>SUM(C11:C14)</f>
        <v>7323607996.0221739</v>
      </c>
      <c r="D15" s="136">
        <f t="shared" ref="D15:O15" si="6">SUM(D11:D14)</f>
        <v>698608366</v>
      </c>
      <c r="E15" s="136">
        <f t="shared" si="6"/>
        <v>16292283</v>
      </c>
      <c r="F15" s="136">
        <f t="shared" si="6"/>
        <v>-10977049</v>
      </c>
      <c r="G15" s="136">
        <f t="shared" si="6"/>
        <v>29521941</v>
      </c>
      <c r="H15" s="136">
        <f t="shared" si="6"/>
        <v>6836972</v>
      </c>
      <c r="I15" s="136">
        <f t="shared" si="6"/>
        <v>-330567</v>
      </c>
      <c r="J15" s="136">
        <f t="shared" ref="J15" si="7">SUM(J11:J14)</f>
        <v>-244717</v>
      </c>
      <c r="K15" s="136">
        <f t="shared" si="6"/>
        <v>18107552</v>
      </c>
      <c r="L15" s="136">
        <f t="shared" si="6"/>
        <v>-16526724</v>
      </c>
      <c r="M15" s="136">
        <f t="shared" si="6"/>
        <v>-342493</v>
      </c>
      <c r="N15" s="136">
        <f t="shared" ref="N15" si="8">SUM(N11:N14)</f>
        <v>-4843905</v>
      </c>
      <c r="O15" s="136">
        <f t="shared" si="6"/>
        <v>25587853</v>
      </c>
      <c r="P15" s="136">
        <f>SUM(P11:P14)</f>
        <v>-3091483</v>
      </c>
      <c r="Q15" s="73">
        <f>SUM(Q11:Q14)</f>
        <v>59989663</v>
      </c>
      <c r="R15" s="73">
        <f>SUM(R11:R14)</f>
        <v>758598029</v>
      </c>
      <c r="T15" s="311">
        <f t="shared" ref="T15:Y15" si="9">SUM(T11:T14)</f>
        <v>-16292283</v>
      </c>
      <c r="U15" s="312">
        <f t="shared" ref="U15:W15" si="10">SUM(U11:U14)</f>
        <v>244717</v>
      </c>
      <c r="V15" s="73">
        <f t="shared" si="10"/>
        <v>41091527</v>
      </c>
      <c r="W15" s="312">
        <f t="shared" si="10"/>
        <v>2221637</v>
      </c>
      <c r="X15" s="73">
        <f t="shared" si="9"/>
        <v>27265598</v>
      </c>
      <c r="Y15" s="73">
        <f t="shared" si="9"/>
        <v>785863627</v>
      </c>
      <c r="Z15" s="208">
        <f>R15/C15</f>
        <v>0.10358255513020814</v>
      </c>
      <c r="AA15" s="208">
        <f>Y15/C15</f>
        <v>0.10730552856281259</v>
      </c>
      <c r="AB15" s="591">
        <f>X15/R15</f>
        <v>3.5942089166698853E-2</v>
      </c>
      <c r="AC15" s="129"/>
      <c r="AD15" s="72"/>
      <c r="AE15" s="133"/>
      <c r="AF15" s="72"/>
    </row>
    <row r="16" spans="1:32" x14ac:dyDescent="0.2">
      <c r="A16" s="107">
        <f t="shared" si="5"/>
        <v>9</v>
      </c>
      <c r="B16" s="107"/>
      <c r="C16" s="101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72"/>
      <c r="R16" s="72"/>
      <c r="T16" s="309"/>
      <c r="U16" s="310"/>
      <c r="V16" s="114"/>
      <c r="W16" s="310"/>
      <c r="X16" s="114"/>
      <c r="Y16" s="114"/>
      <c r="Z16" s="240"/>
      <c r="AA16" s="240"/>
      <c r="AB16" s="590"/>
      <c r="AD16" s="72"/>
      <c r="AE16" s="133"/>
      <c r="AF16" s="72"/>
    </row>
    <row r="17" spans="1:32" x14ac:dyDescent="0.2">
      <c r="A17" s="107">
        <f t="shared" si="5"/>
        <v>10</v>
      </c>
      <c r="B17" s="107" t="s">
        <v>79</v>
      </c>
      <c r="C17" s="101">
        <f>SUM(Schedule_RateImpacts!C21:C22)</f>
        <v>1335654341.1168144</v>
      </c>
      <c r="D17" s="133">
        <f>SUM(Schedule_RateImpacts!D21:D22)</f>
        <v>114022050</v>
      </c>
      <c r="E17" s="133">
        <f>SUM(Schedule_RateImpacts!E21:E22)</f>
        <v>2844020</v>
      </c>
      <c r="F17" s="133">
        <f>SUM(Schedule_RateImpacts!F21:F22)</f>
        <v>-1916664</v>
      </c>
      <c r="G17" s="133">
        <f>SUM(Schedule_RateImpacts!G21:G22)</f>
        <v>5104871</v>
      </c>
      <c r="H17" s="133">
        <f>SUM(Schedule_RateImpacts!H21:H22)</f>
        <v>1124621</v>
      </c>
      <c r="I17" s="133">
        <f>SUM(Schedule_RateImpacts!I21:I22)</f>
        <v>-57433</v>
      </c>
      <c r="J17" s="133">
        <f>SUM(Schedule_RateImpacts!J21:J22)</f>
        <v>-34905</v>
      </c>
      <c r="K17" s="133">
        <f>SUM(Schedule_RateImpacts!K21:K22)</f>
        <v>2967824</v>
      </c>
      <c r="L17" s="133">
        <f>SUM(Schedule_RateImpacts!L21:L22)</f>
        <v>-2690008</v>
      </c>
      <c r="M17" s="133">
        <f>SUM(Schedule_RateImpacts!M21:M22)</f>
        <v>-56097</v>
      </c>
      <c r="N17" s="133">
        <f>SUM(Schedule_RateImpacts!N21:N22)</f>
        <v>-788036</v>
      </c>
      <c r="O17" s="133">
        <f>SUM(Schedule_RateImpacts!O21:O22)</f>
        <v>4698945</v>
      </c>
      <c r="P17" s="133">
        <f>SUM(Schedule_RateImpacts!P21:P22)</f>
        <v>-188893</v>
      </c>
      <c r="Q17" s="72">
        <f>SUM(E17:P17)</f>
        <v>11008245</v>
      </c>
      <c r="R17" s="72">
        <f>SUM(Q17,D17)</f>
        <v>125030295</v>
      </c>
      <c r="T17" s="309">
        <f>SUM(Schedule_RateImpacts!T21:T22)</f>
        <v>-2844020</v>
      </c>
      <c r="U17" s="310">
        <f>SUM(Schedule_RateImpacts!U21:U22)</f>
        <v>34905</v>
      </c>
      <c r="V17" s="114">
        <f>SUM(Schedule_RateImpacts!V21:V22)</f>
        <v>7069466</v>
      </c>
      <c r="W17" s="310">
        <f>SUM(Schedule_RateImpacts!W21:W22)</f>
        <v>335835</v>
      </c>
      <c r="X17" s="114">
        <f>SUM(T17:W17)</f>
        <v>4596186</v>
      </c>
      <c r="Y17" s="114">
        <f>SUM(R17,X17)</f>
        <v>129626481</v>
      </c>
      <c r="Z17" s="240">
        <f>R17/C17</f>
        <v>9.3609769497290191E-2</v>
      </c>
      <c r="AA17" s="240">
        <f>Y17/C17</f>
        <v>9.7050918796559402E-2</v>
      </c>
      <c r="AB17" s="590">
        <f>X17/R17</f>
        <v>3.6760578706144777E-2</v>
      </c>
      <c r="AC17" s="129"/>
      <c r="AD17" s="72"/>
      <c r="AE17" s="133"/>
      <c r="AF17" s="72"/>
    </row>
    <row r="18" spans="1:32" x14ac:dyDescent="0.2">
      <c r="A18" s="107">
        <f t="shared" si="5"/>
        <v>11</v>
      </c>
      <c r="B18" s="107">
        <v>35</v>
      </c>
      <c r="C18" s="101">
        <f>+Schedule_RateImpacts!C23</f>
        <v>5945040</v>
      </c>
      <c r="D18" s="133">
        <f>+Schedule_RateImpacts!D23</f>
        <v>399858</v>
      </c>
      <c r="E18" s="133">
        <f>+Schedule_RateImpacts!E23</f>
        <v>9446</v>
      </c>
      <c r="F18" s="133">
        <f>+Schedule_RateImpacts!F23</f>
        <v>-6355</v>
      </c>
      <c r="G18" s="133">
        <f>+Schedule_RateImpacts!G23</f>
        <v>16747</v>
      </c>
      <c r="H18" s="133">
        <f>+Schedule_RateImpacts!H23</f>
        <v>3579</v>
      </c>
      <c r="I18" s="133">
        <f>+Schedule_RateImpacts!I23</f>
        <v>-190</v>
      </c>
      <c r="J18" s="133">
        <f>+Schedule_RateImpacts!J23</f>
        <v>0</v>
      </c>
      <c r="K18" s="133">
        <f>+Schedule_RateImpacts!K23</f>
        <v>13210</v>
      </c>
      <c r="L18" s="133">
        <f>+Schedule_RateImpacts!L23</f>
        <v>-19827</v>
      </c>
      <c r="M18" s="133">
        <f>+Schedule_RateImpacts!M23</f>
        <v>-250</v>
      </c>
      <c r="N18" s="133">
        <f>+Schedule_RateImpacts!N23</f>
        <v>-5814</v>
      </c>
      <c r="O18" s="133">
        <f>+Schedule_RateImpacts!O23</f>
        <v>17211</v>
      </c>
      <c r="P18" s="133">
        <f>+Schedule_RateImpacts!P23</f>
        <v>-43911</v>
      </c>
      <c r="Q18" s="72">
        <f>SUM(E18:P18)</f>
        <v>-16154</v>
      </c>
      <c r="R18" s="72">
        <f>SUM(Q18,D18)</f>
        <v>383704</v>
      </c>
      <c r="T18" s="309">
        <f>+Schedule_RateImpacts!T23</f>
        <v>-9446</v>
      </c>
      <c r="U18" s="310">
        <f>+Schedule_RateImpacts!U23</f>
        <v>0</v>
      </c>
      <c r="V18" s="114">
        <f>+Schedule_RateImpacts!V23</f>
        <v>20012</v>
      </c>
      <c r="W18" s="310">
        <f>+Schedule_RateImpacts!W23</f>
        <v>0</v>
      </c>
      <c r="X18" s="114">
        <f>SUM(T18:W18)</f>
        <v>10566</v>
      </c>
      <c r="Y18" s="114">
        <f>SUM(R18,X18)</f>
        <v>394270</v>
      </c>
      <c r="Z18" s="240">
        <f>R18/C18</f>
        <v>6.454187019767739E-2</v>
      </c>
      <c r="AA18" s="240">
        <f>Y18/C18</f>
        <v>6.6319150081412398E-2</v>
      </c>
      <c r="AB18" s="590">
        <f>X18/R18</f>
        <v>2.7536851322894733E-2</v>
      </c>
      <c r="AC18" s="129"/>
      <c r="AD18" s="72"/>
      <c r="AE18" s="133"/>
      <c r="AF18" s="72"/>
    </row>
    <row r="19" spans="1:32" x14ac:dyDescent="0.2">
      <c r="A19" s="107">
        <f t="shared" si="5"/>
        <v>12</v>
      </c>
      <c r="B19" s="107">
        <v>43</v>
      </c>
      <c r="C19" s="101">
        <f>+Schedule_RateImpacts!C24</f>
        <v>116280759.88464826</v>
      </c>
      <c r="D19" s="133">
        <f>+Schedule_RateImpacts!D24</f>
        <v>10673527</v>
      </c>
      <c r="E19" s="133">
        <f>+Schedule_RateImpacts!E24</f>
        <v>197712</v>
      </c>
      <c r="F19" s="133">
        <f>+Schedule_RateImpacts!F24</f>
        <v>-133258</v>
      </c>
      <c r="G19" s="133">
        <f>+Schedule_RateImpacts!G24</f>
        <v>356517</v>
      </c>
      <c r="H19" s="133">
        <f>+Schedule_RateImpacts!H24</f>
        <v>103490</v>
      </c>
      <c r="I19" s="133">
        <f>+Schedule_RateImpacts!I24</f>
        <v>-3954</v>
      </c>
      <c r="J19" s="133">
        <f>+Schedule_RateImpacts!J24</f>
        <v>-513</v>
      </c>
      <c r="K19" s="133">
        <f>+Schedule_RateImpacts!K24</f>
        <v>355354</v>
      </c>
      <c r="L19" s="133">
        <f>+Schedule_RateImpacts!L24</f>
        <v>-322447</v>
      </c>
      <c r="M19" s="133">
        <f>+Schedule_RateImpacts!M24</f>
        <v>-6861</v>
      </c>
      <c r="N19" s="133">
        <f>+Schedule_RateImpacts!N24</f>
        <v>-94536</v>
      </c>
      <c r="O19" s="133">
        <f>+Schedule_RateImpacts!O24</f>
        <v>336633</v>
      </c>
      <c r="P19" s="133">
        <f>+Schedule_RateImpacts!P24</f>
        <v>0</v>
      </c>
      <c r="Q19" s="72">
        <f>SUM(E19:P19)</f>
        <v>788137</v>
      </c>
      <c r="R19" s="72">
        <f>SUM(Q19,D19)</f>
        <v>11461664</v>
      </c>
      <c r="T19" s="309">
        <f>+Schedule_RateImpacts!T24</f>
        <v>-197712</v>
      </c>
      <c r="U19" s="310">
        <f>+Schedule_RateImpacts!U24</f>
        <v>513</v>
      </c>
      <c r="V19" s="114">
        <f>+Schedule_RateImpacts!V24</f>
        <v>488491</v>
      </c>
      <c r="W19" s="310">
        <f>+Schedule_RateImpacts!W24</f>
        <v>7360</v>
      </c>
      <c r="X19" s="114">
        <f>SUM(T19:W19)</f>
        <v>298652</v>
      </c>
      <c r="Y19" s="114">
        <f>SUM(R19,X19)</f>
        <v>11760316</v>
      </c>
      <c r="Z19" s="240">
        <f>R19/C19</f>
        <v>9.8568877700576527E-2</v>
      </c>
      <c r="AA19" s="240">
        <f>Y19/C19</f>
        <v>0.10113724756930001</v>
      </c>
      <c r="AB19" s="590">
        <f>X19/R19</f>
        <v>2.605660050757028E-2</v>
      </c>
      <c r="AC19" s="129"/>
      <c r="AD19" s="72"/>
      <c r="AE19" s="133"/>
      <c r="AF19" s="72"/>
    </row>
    <row r="20" spans="1:32" x14ac:dyDescent="0.2">
      <c r="A20" s="107">
        <f t="shared" si="5"/>
        <v>13</v>
      </c>
      <c r="B20" s="106" t="s">
        <v>192</v>
      </c>
      <c r="C20" s="117">
        <f>SUM(C17:C19)</f>
        <v>1457880141.0014627</v>
      </c>
      <c r="D20" s="136">
        <f t="shared" ref="D20:O20" si="11">SUM(D17:D19)</f>
        <v>125095435</v>
      </c>
      <c r="E20" s="136">
        <f t="shared" si="11"/>
        <v>3051178</v>
      </c>
      <c r="F20" s="136">
        <f t="shared" si="11"/>
        <v>-2056277</v>
      </c>
      <c r="G20" s="136">
        <f t="shared" si="11"/>
        <v>5478135</v>
      </c>
      <c r="H20" s="136">
        <f t="shared" si="11"/>
        <v>1231690</v>
      </c>
      <c r="I20" s="136">
        <f t="shared" si="11"/>
        <v>-61577</v>
      </c>
      <c r="J20" s="136">
        <f t="shared" ref="J20" si="12">SUM(J17:J19)</f>
        <v>-35418</v>
      </c>
      <c r="K20" s="136">
        <f t="shared" si="11"/>
        <v>3336388</v>
      </c>
      <c r="L20" s="136">
        <f t="shared" si="11"/>
        <v>-3032282</v>
      </c>
      <c r="M20" s="136">
        <f t="shared" si="11"/>
        <v>-63208</v>
      </c>
      <c r="N20" s="136">
        <f t="shared" ref="N20" si="13">SUM(N17:N19)</f>
        <v>-888386</v>
      </c>
      <c r="O20" s="136">
        <f t="shared" si="11"/>
        <v>5052789</v>
      </c>
      <c r="P20" s="136">
        <f>SUM(P17:P19)</f>
        <v>-232804</v>
      </c>
      <c r="Q20" s="73">
        <f>SUM(Q17:Q19)</f>
        <v>11780228</v>
      </c>
      <c r="R20" s="73">
        <f>SUM(R17:R19)</f>
        <v>136875663</v>
      </c>
      <c r="T20" s="311">
        <f t="shared" ref="T20:Y20" si="14">SUM(T17:T19)</f>
        <v>-3051178</v>
      </c>
      <c r="U20" s="312">
        <f t="shared" ref="U20:W20" si="15">SUM(U17:U19)</f>
        <v>35418</v>
      </c>
      <c r="V20" s="73">
        <f t="shared" si="15"/>
        <v>7577969</v>
      </c>
      <c r="W20" s="312">
        <f t="shared" si="15"/>
        <v>343195</v>
      </c>
      <c r="X20" s="73">
        <f t="shared" si="14"/>
        <v>4905404</v>
      </c>
      <c r="Y20" s="73">
        <f t="shared" si="14"/>
        <v>141781067</v>
      </c>
      <c r="Z20" s="208">
        <f>R20/C20</f>
        <v>9.3886773782360392E-2</v>
      </c>
      <c r="AA20" s="208">
        <f>Y20/C20</f>
        <v>9.7251525013987927E-2</v>
      </c>
      <c r="AB20" s="591">
        <f>X20/R20</f>
        <v>3.583839444123825E-2</v>
      </c>
      <c r="AC20" s="129"/>
      <c r="AD20" s="72"/>
      <c r="AE20" s="133"/>
      <c r="AF20" s="72"/>
    </row>
    <row r="21" spans="1:32" x14ac:dyDescent="0.2">
      <c r="A21" s="379">
        <f t="shared" si="5"/>
        <v>14</v>
      </c>
      <c r="B21" s="107"/>
      <c r="C21" s="101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72"/>
      <c r="R21" s="72"/>
      <c r="T21" s="309"/>
      <c r="U21" s="310"/>
      <c r="V21" s="114"/>
      <c r="W21" s="310"/>
      <c r="X21" s="114"/>
      <c r="Y21" s="114"/>
      <c r="Z21" s="240"/>
      <c r="AA21" s="240"/>
      <c r="AB21" s="590"/>
      <c r="AD21" s="72"/>
      <c r="AE21" s="133"/>
      <c r="AF21" s="72"/>
    </row>
    <row r="22" spans="1:32" x14ac:dyDescent="0.2">
      <c r="A22" s="379">
        <f t="shared" si="5"/>
        <v>15</v>
      </c>
      <c r="B22" s="107">
        <v>46</v>
      </c>
      <c r="C22" s="101">
        <f>+Schedule_RateImpacts!C27</f>
        <v>81635228</v>
      </c>
      <c r="D22" s="133">
        <f>+Schedule_RateImpacts!D27</f>
        <v>5647851</v>
      </c>
      <c r="E22" s="133">
        <f>+Schedule_RateImpacts!E27</f>
        <v>148375</v>
      </c>
      <c r="F22" s="133">
        <f>+Schedule_RateImpacts!F27</f>
        <v>-100003</v>
      </c>
      <c r="G22" s="133">
        <f>+Schedule_RateImpacts!G27</f>
        <v>290540</v>
      </c>
      <c r="H22" s="133">
        <f>+Schedule_RateImpacts!H27</f>
        <v>55594</v>
      </c>
      <c r="I22" s="133">
        <f>+Schedule_RateImpacts!I27</f>
        <v>-3021</v>
      </c>
      <c r="J22" s="133">
        <f>+Schedule_RateImpacts!J27</f>
        <v>-10403</v>
      </c>
      <c r="K22" s="133">
        <f>+Schedule_RateImpacts!K27</f>
        <v>136168</v>
      </c>
      <c r="L22" s="133">
        <f>+Schedule_RateImpacts!L27</f>
        <v>-125310</v>
      </c>
      <c r="M22" s="133">
        <f>+Schedule_RateImpacts!M27</f>
        <v>-2776</v>
      </c>
      <c r="N22" s="133">
        <f>+Schedule_RateImpacts!N27</f>
        <v>-36736</v>
      </c>
      <c r="O22" s="133">
        <f>+Schedule_RateImpacts!O27</f>
        <v>0</v>
      </c>
      <c r="P22" s="133">
        <f>+Schedule_RateImpacts!P27</f>
        <v>0</v>
      </c>
      <c r="Q22" s="72">
        <f>SUM(E22:P22)</f>
        <v>352428</v>
      </c>
      <c r="R22" s="72">
        <f>SUM(Q22,D22)</f>
        <v>6000279</v>
      </c>
      <c r="T22" s="309">
        <f>+Schedule_RateImpacts!T27</f>
        <v>-148375</v>
      </c>
      <c r="U22" s="310">
        <f>+Schedule_RateImpacts!U27</f>
        <v>10403</v>
      </c>
      <c r="V22" s="114">
        <f>+Schedule_RateImpacts!V27</f>
        <v>330723</v>
      </c>
      <c r="W22" s="310">
        <f>+Schedule_RateImpacts!W27</f>
        <v>58665</v>
      </c>
      <c r="X22" s="114">
        <f>SUM(T22:W22)</f>
        <v>251416</v>
      </c>
      <c r="Y22" s="114">
        <f>SUM(R22,X22)</f>
        <v>6251695</v>
      </c>
      <c r="Z22" s="240">
        <f>R22/C22</f>
        <v>7.3501099304824624E-2</v>
      </c>
      <c r="AA22" s="240">
        <f>Y22/C22</f>
        <v>7.6580848160306483E-2</v>
      </c>
      <c r="AB22" s="590">
        <f>X22/R22</f>
        <v>4.1900718283266497E-2</v>
      </c>
      <c r="AC22" s="129"/>
      <c r="AD22" s="72"/>
      <c r="AE22" s="133"/>
      <c r="AF22" s="72"/>
    </row>
    <row r="23" spans="1:32" x14ac:dyDescent="0.2">
      <c r="A23" s="379">
        <f t="shared" si="5"/>
        <v>16</v>
      </c>
      <c r="B23" s="107">
        <v>49</v>
      </c>
      <c r="C23" s="101">
        <f>+Schedule_RateImpacts!C28</f>
        <v>563071445.51999998</v>
      </c>
      <c r="D23" s="133">
        <f>+Schedule_RateImpacts!D28</f>
        <v>38129814</v>
      </c>
      <c r="E23" s="133">
        <f>+Schedule_RateImpacts!E28</f>
        <v>1107541</v>
      </c>
      <c r="F23" s="133">
        <f>+Schedule_RateImpacts!F28</f>
        <v>-746633</v>
      </c>
      <c r="G23" s="133">
        <f>+Schedule_RateImpacts!G28</f>
        <v>1965119</v>
      </c>
      <c r="H23" s="133">
        <f>+Schedule_RateImpacts!H28</f>
        <v>375006</v>
      </c>
      <c r="I23" s="133">
        <f>+Schedule_RateImpacts!I28</f>
        <v>-22523</v>
      </c>
      <c r="J23" s="133">
        <f>+Schedule_RateImpacts!J28</f>
        <v>-55702</v>
      </c>
      <c r="K23" s="133">
        <f>+Schedule_RateImpacts!K28</f>
        <v>939203</v>
      </c>
      <c r="L23" s="133">
        <f>+Schedule_RateImpacts!L28</f>
        <v>-864315</v>
      </c>
      <c r="M23" s="133">
        <f>+Schedule_RateImpacts!M28</f>
        <v>-19144</v>
      </c>
      <c r="N23" s="133">
        <f>+Schedule_RateImpacts!N28</f>
        <v>-253382</v>
      </c>
      <c r="O23" s="133">
        <f>+Schedule_RateImpacts!O28</f>
        <v>0</v>
      </c>
      <c r="P23" s="133">
        <f>+Schedule_RateImpacts!P28</f>
        <v>0</v>
      </c>
      <c r="Q23" s="72">
        <f>SUM(E23:P23)</f>
        <v>2425170</v>
      </c>
      <c r="R23" s="72">
        <f>SUM(Q23,D23)</f>
        <v>40554984</v>
      </c>
      <c r="T23" s="309">
        <f>+Schedule_RateImpacts!T28</f>
        <v>-1107541</v>
      </c>
      <c r="U23" s="310">
        <f>+Schedule_RateImpacts!U28</f>
        <v>55702</v>
      </c>
      <c r="V23" s="114">
        <f>+Schedule_RateImpacts!V28</f>
        <v>2671312</v>
      </c>
      <c r="W23" s="310">
        <f>+Schedule_RateImpacts!W28</f>
        <v>609547</v>
      </c>
      <c r="X23" s="114">
        <f>SUM(T23:W23)</f>
        <v>2229020</v>
      </c>
      <c r="Y23" s="114">
        <f>SUM(R23,X23)</f>
        <v>42784004</v>
      </c>
      <c r="Z23" s="240">
        <f>R23/C23</f>
        <v>7.2024579336547989E-2</v>
      </c>
      <c r="AA23" s="240">
        <f>Y23/C23</f>
        <v>7.598325992270609E-2</v>
      </c>
      <c r="AB23" s="590">
        <f>X23/R23</f>
        <v>5.4962911586896444E-2</v>
      </c>
      <c r="AC23" s="129"/>
      <c r="AD23" s="72"/>
      <c r="AE23" s="133"/>
      <c r="AF23" s="72"/>
    </row>
    <row r="24" spans="1:32" x14ac:dyDescent="0.2">
      <c r="A24" s="379">
        <f t="shared" si="5"/>
        <v>17</v>
      </c>
      <c r="B24" s="107" t="s">
        <v>15</v>
      </c>
      <c r="C24" s="117">
        <f>SUM(C22:C23)</f>
        <v>644706673.51999998</v>
      </c>
      <c r="D24" s="136">
        <f>SUM(D22:D23)</f>
        <v>43777665</v>
      </c>
      <c r="E24" s="136">
        <f t="shared" ref="E24:O24" si="16">SUM(E22:E23)</f>
        <v>1255916</v>
      </c>
      <c r="F24" s="136">
        <f t="shared" si="16"/>
        <v>-846636</v>
      </c>
      <c r="G24" s="136">
        <f t="shared" si="16"/>
        <v>2255659</v>
      </c>
      <c r="H24" s="136">
        <f t="shared" si="16"/>
        <v>430600</v>
      </c>
      <c r="I24" s="136">
        <f t="shared" si="16"/>
        <v>-25544</v>
      </c>
      <c r="J24" s="136">
        <f t="shared" ref="J24" si="17">SUM(J22:J23)</f>
        <v>-66105</v>
      </c>
      <c r="K24" s="136">
        <f t="shared" si="16"/>
        <v>1075371</v>
      </c>
      <c r="L24" s="136">
        <f t="shared" si="16"/>
        <v>-989625</v>
      </c>
      <c r="M24" s="136">
        <f t="shared" si="16"/>
        <v>-21920</v>
      </c>
      <c r="N24" s="136">
        <f t="shared" ref="N24" si="18">SUM(N22:N23)</f>
        <v>-290118</v>
      </c>
      <c r="O24" s="136">
        <f t="shared" si="16"/>
        <v>0</v>
      </c>
      <c r="P24" s="136">
        <f>SUM(P22:P23)</f>
        <v>0</v>
      </c>
      <c r="Q24" s="73">
        <f>SUM(Q22:Q23)</f>
        <v>2777598</v>
      </c>
      <c r="R24" s="73">
        <f>SUM(R22:R23)</f>
        <v>46555263</v>
      </c>
      <c r="T24" s="311">
        <f t="shared" ref="T24:Y24" si="19">SUM(T22:T23)</f>
        <v>-1255916</v>
      </c>
      <c r="U24" s="312">
        <f t="shared" ref="U24:W24" si="20">SUM(U22:U23)</f>
        <v>66105</v>
      </c>
      <c r="V24" s="73">
        <f t="shared" si="20"/>
        <v>3002035</v>
      </c>
      <c r="W24" s="312">
        <f t="shared" si="20"/>
        <v>668212</v>
      </c>
      <c r="X24" s="73">
        <f t="shared" si="19"/>
        <v>2480436</v>
      </c>
      <c r="Y24" s="73">
        <f t="shared" si="19"/>
        <v>49035699</v>
      </c>
      <c r="Z24" s="208">
        <f>R24/C24</f>
        <v>7.2211541949481262E-2</v>
      </c>
      <c r="AA24" s="208">
        <f>Y24/C24</f>
        <v>7.6058928833902972E-2</v>
      </c>
      <c r="AB24" s="591">
        <f>X24/R24</f>
        <v>5.3279389700794946E-2</v>
      </c>
      <c r="AC24" s="129"/>
      <c r="AD24" s="72"/>
      <c r="AE24" s="133"/>
      <c r="AF24" s="72"/>
    </row>
    <row r="25" spans="1:32" x14ac:dyDescent="0.2">
      <c r="A25" s="379">
        <f t="shared" si="5"/>
        <v>18</v>
      </c>
      <c r="B25" s="107"/>
      <c r="C25" s="101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72"/>
      <c r="R25" s="72"/>
      <c r="T25" s="309"/>
      <c r="U25" s="310"/>
      <c r="V25" s="114"/>
      <c r="W25" s="310"/>
      <c r="X25" s="114"/>
      <c r="Y25" s="114"/>
      <c r="Z25" s="240"/>
      <c r="AA25" s="240"/>
      <c r="AB25" s="590"/>
      <c r="AD25" s="72"/>
      <c r="AE25" s="133"/>
      <c r="AF25" s="72"/>
    </row>
    <row r="26" spans="1:32" x14ac:dyDescent="0.2">
      <c r="A26" s="379">
        <f t="shared" si="5"/>
        <v>19</v>
      </c>
      <c r="B26" s="249" t="s">
        <v>16</v>
      </c>
      <c r="C26" s="101">
        <f>+Schedule_RateImpacts!C31</f>
        <v>68936797.67750001</v>
      </c>
      <c r="D26" s="133">
        <f>+Schedule_RateImpacts!D31</f>
        <v>17648843</v>
      </c>
      <c r="E26" s="133">
        <f>+Schedule_RateImpacts!E31</f>
        <v>146866</v>
      </c>
      <c r="F26" s="133">
        <f>+Schedule_RateImpacts!F31</f>
        <v>-99131</v>
      </c>
      <c r="G26" s="133">
        <f>+Schedule_RateImpacts!G31</f>
        <v>248655</v>
      </c>
      <c r="H26" s="133">
        <f>+Schedule_RateImpacts!H31</f>
        <v>164070</v>
      </c>
      <c r="I26" s="133">
        <f>+Schedule_RateImpacts!I31</f>
        <v>-2964</v>
      </c>
      <c r="J26" s="133">
        <f>+Schedule_RateImpacts!J31</f>
        <v>0</v>
      </c>
      <c r="K26" s="133">
        <f>+Schedule_RateImpacts!K31</f>
        <v>640423</v>
      </c>
      <c r="L26" s="133">
        <f>+Schedule_RateImpacts!L31</f>
        <v>-588376</v>
      </c>
      <c r="M26" s="133">
        <f>+Schedule_RateImpacts!M31</f>
        <v>-12478</v>
      </c>
      <c r="N26" s="133">
        <f>+Schedule_RateImpacts!N31</f>
        <v>-172549</v>
      </c>
      <c r="O26" s="133">
        <f>+Schedule_RateImpacts!O31</f>
        <v>0</v>
      </c>
      <c r="P26" s="133">
        <f>+Schedule_RateImpacts!P31</f>
        <v>-13604</v>
      </c>
      <c r="Q26" s="72">
        <f>SUM(E26:P26)</f>
        <v>310912</v>
      </c>
      <c r="R26" s="72">
        <f>SUM(Q26,D26)</f>
        <v>17959755</v>
      </c>
      <c r="T26" s="309">
        <f>+Schedule_RateImpacts!T31</f>
        <v>-146866</v>
      </c>
      <c r="U26" s="310">
        <f>+Schedule_RateImpacts!U31</f>
        <v>0</v>
      </c>
      <c r="V26" s="114">
        <f>+Schedule_RateImpacts!V31</f>
        <v>355737</v>
      </c>
      <c r="W26" s="310">
        <f>+Schedule_RateImpacts!W31</f>
        <v>5</v>
      </c>
      <c r="X26" s="114">
        <f>SUM(T26:W26)</f>
        <v>208876</v>
      </c>
      <c r="Y26" s="114">
        <f>SUM(R26,X26)</f>
        <v>18168631</v>
      </c>
      <c r="Z26" s="240">
        <f>R26/C26</f>
        <v>0.2605249388580434</v>
      </c>
      <c r="AA26" s="240">
        <f>Y26/C26</f>
        <v>0.26355490263699882</v>
      </c>
      <c r="AB26" s="590">
        <f>X26/R26</f>
        <v>1.1630225467997754E-2</v>
      </c>
      <c r="AC26" s="129"/>
      <c r="AD26" s="72"/>
      <c r="AE26" s="133"/>
      <c r="AF26" s="72"/>
    </row>
    <row r="27" spans="1:32" x14ac:dyDescent="0.2">
      <c r="A27" s="232">
        <f t="shared" si="5"/>
        <v>20</v>
      </c>
      <c r="B27" s="249" t="s">
        <v>344</v>
      </c>
      <c r="C27" s="101">
        <f>+Schedule_RateImpacts!C32</f>
        <v>1993508561.5469999</v>
      </c>
      <c r="D27" s="133">
        <f>+Schedule_RateImpacts!D32</f>
        <v>9257176.9800000004</v>
      </c>
      <c r="E27" s="133">
        <f>+Schedule_RateImpacts!E32</f>
        <v>0</v>
      </c>
      <c r="F27" s="133">
        <f>+Schedule_RateImpacts!F32</f>
        <v>0</v>
      </c>
      <c r="G27" s="133">
        <f>+Schedule_RateImpacts!G32</f>
        <v>2087203</v>
      </c>
      <c r="H27" s="133">
        <f>+Schedule_RateImpacts!H32</f>
        <v>85721</v>
      </c>
      <c r="I27" s="133">
        <f>+Schedule_RateImpacts!I32</f>
        <v>0</v>
      </c>
      <c r="J27" s="133">
        <f>+Schedule_RateImpacts!J32</f>
        <v>0</v>
      </c>
      <c r="K27" s="133">
        <f>+Schedule_RateImpacts!K32</f>
        <v>43857</v>
      </c>
      <c r="L27" s="133">
        <f>+Schedule_RateImpacts!L32</f>
        <v>-31896</v>
      </c>
      <c r="M27" s="133">
        <f>+Schedule_RateImpacts!M32</f>
        <v>-13955</v>
      </c>
      <c r="N27" s="133">
        <f>+Schedule_RateImpacts!N32</f>
        <v>-9968</v>
      </c>
      <c r="O27" s="133">
        <f>+Schedule_RateImpacts!O32</f>
        <v>0</v>
      </c>
      <c r="P27" s="133">
        <f>+Schedule_RateImpacts!P32</f>
        <v>0</v>
      </c>
      <c r="Q27" s="72">
        <f>SUM(E27:P27)</f>
        <v>2160962</v>
      </c>
      <c r="R27" s="72">
        <f>SUM(Q27,D27)</f>
        <v>11418138.98</v>
      </c>
      <c r="T27" s="309">
        <f>+Schedule_RateImpacts!T32</f>
        <v>0</v>
      </c>
      <c r="U27" s="310">
        <f>+Schedule_RateImpacts!U32</f>
        <v>0</v>
      </c>
      <c r="V27" s="114">
        <f>+Schedule_RateImpacts!V32</f>
        <v>0</v>
      </c>
      <c r="W27" s="310">
        <f>+Schedule_RateImpacts!W32</f>
        <v>0</v>
      </c>
      <c r="X27" s="114">
        <f>SUM(T27:W27)</f>
        <v>0</v>
      </c>
      <c r="Y27" s="114">
        <f>SUM(R27,X27)</f>
        <v>11418138.98</v>
      </c>
      <c r="Z27" s="240">
        <f>R27/C27</f>
        <v>5.7276598657491152E-3</v>
      </c>
      <c r="AA27" s="240">
        <f>Y27/C27</f>
        <v>5.7276598657491152E-3</v>
      </c>
      <c r="AB27" s="590">
        <f>X27/R27</f>
        <v>0</v>
      </c>
      <c r="AC27" s="72"/>
      <c r="AD27" s="72"/>
      <c r="AE27" s="133"/>
      <c r="AF27" s="72"/>
    </row>
    <row r="28" spans="1:32" x14ac:dyDescent="0.2">
      <c r="A28" s="254">
        <f t="shared" si="5"/>
        <v>21</v>
      </c>
      <c r="B28" s="106" t="s">
        <v>265</v>
      </c>
      <c r="C28" s="101">
        <f>+Schedule_RateImpacts!C33</f>
        <v>303234527.03700018</v>
      </c>
      <c r="D28" s="133">
        <f>+Schedule_RateImpacts!D33</f>
        <v>4716790.9999999981</v>
      </c>
      <c r="E28" s="133">
        <f>+Schedule_RateImpacts!E33</f>
        <v>0</v>
      </c>
      <c r="F28" s="133">
        <f>+Schedule_RateImpacts!F33</f>
        <v>0</v>
      </c>
      <c r="G28" s="133">
        <f>+Schedule_RateImpacts!G33</f>
        <v>688949</v>
      </c>
      <c r="H28" s="133">
        <f>+Schedule_RateImpacts!H33</f>
        <v>186186</v>
      </c>
      <c r="I28" s="133">
        <f>+Schedule_RateImpacts!I33</f>
        <v>0</v>
      </c>
      <c r="J28" s="133">
        <f>+Schedule_RateImpacts!J33</f>
        <v>0</v>
      </c>
      <c r="K28" s="133">
        <f>+Schedule_RateImpacts!K33</f>
        <v>147069</v>
      </c>
      <c r="L28" s="133">
        <f>+Schedule_RateImpacts!L33</f>
        <v>-290195</v>
      </c>
      <c r="M28" s="133">
        <f>+Schedule_RateImpacts!M33</f>
        <v>-12129</v>
      </c>
      <c r="N28" s="133">
        <f>+Schedule_RateImpacts!N33</f>
        <v>-85209</v>
      </c>
      <c r="O28" s="133">
        <f>+Schedule_RateImpacts!O33</f>
        <v>971867</v>
      </c>
      <c r="P28" s="133">
        <f>+Schedule_RateImpacts!P33</f>
        <v>0</v>
      </c>
      <c r="Q28" s="72">
        <f>SUM(E28:P28)</f>
        <v>1606538</v>
      </c>
      <c r="R28" s="72">
        <f>SUM(Q28,D28)</f>
        <v>6323328.9999999981</v>
      </c>
      <c r="T28" s="309">
        <f>+Schedule_RateImpacts!T33</f>
        <v>0</v>
      </c>
      <c r="U28" s="310">
        <f>+Schedule_RateImpacts!U33</f>
        <v>0</v>
      </c>
      <c r="V28" s="114">
        <f>+Schedule_RateImpacts!V33</f>
        <v>0</v>
      </c>
      <c r="W28" s="310">
        <f>+Schedule_RateImpacts!W33</f>
        <v>0</v>
      </c>
      <c r="X28" s="114">
        <f>SUM(T28:W28)</f>
        <v>0</v>
      </c>
      <c r="Y28" s="114">
        <f>SUM(R28,X28)</f>
        <v>6323328.9999999981</v>
      </c>
      <c r="Z28" s="240">
        <f>R28/C28</f>
        <v>2.0852932091167956E-2</v>
      </c>
      <c r="AA28" s="240">
        <f>Y28/C28</f>
        <v>2.0852932091167956E-2</v>
      </c>
      <c r="AB28" s="590">
        <f>X28/R28</f>
        <v>0</v>
      </c>
      <c r="AC28" s="72"/>
      <c r="AD28" s="72"/>
      <c r="AE28" s="133"/>
      <c r="AF28" s="72"/>
    </row>
    <row r="29" spans="1:32" x14ac:dyDescent="0.2">
      <c r="A29" s="254">
        <f t="shared" si="5"/>
        <v>22</v>
      </c>
      <c r="B29" s="249"/>
      <c r="C29" s="121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14"/>
      <c r="R29" s="114"/>
      <c r="T29" s="309"/>
      <c r="U29" s="310"/>
      <c r="V29" s="114"/>
      <c r="W29" s="310"/>
      <c r="X29" s="114"/>
      <c r="Y29" s="114"/>
      <c r="Z29" s="240"/>
      <c r="AA29" s="240"/>
      <c r="AB29" s="590"/>
      <c r="AC29" s="72"/>
      <c r="AD29" s="72"/>
      <c r="AE29" s="133"/>
      <c r="AF29" s="72"/>
    </row>
    <row r="30" spans="1:32" ht="12" thickBot="1" x14ac:dyDescent="0.25">
      <c r="A30" s="254">
        <f t="shared" si="5"/>
        <v>23</v>
      </c>
      <c r="B30" s="249" t="s">
        <v>345</v>
      </c>
      <c r="C30" s="120">
        <f>SUM(C9,C15,C20,C24,C26:C28)</f>
        <v>22654917793.077297</v>
      </c>
      <c r="D30" s="137">
        <f>SUM(D9,D15,D20,D24,D26:D28)</f>
        <v>2097855263.2185011</v>
      </c>
      <c r="E30" s="137">
        <f t="shared" ref="E30:R30" si="21">SUM(E9,E15,E20,E24,E26:E28)</f>
        <v>43934781</v>
      </c>
      <c r="F30" s="137">
        <f t="shared" si="21"/>
        <v>-29621875</v>
      </c>
      <c r="G30" s="137">
        <f t="shared" si="21"/>
        <v>81831682</v>
      </c>
      <c r="H30" s="137">
        <f t="shared" si="21"/>
        <v>20493517</v>
      </c>
      <c r="I30" s="137">
        <f t="shared" si="21"/>
        <v>-887763</v>
      </c>
      <c r="J30" s="137">
        <f t="shared" ref="J30" si="22">SUM(J9,J15,J20,J24,J26:J28)</f>
        <v>-346320</v>
      </c>
      <c r="K30" s="137">
        <f t="shared" si="21"/>
        <v>56721928</v>
      </c>
      <c r="L30" s="137">
        <f t="shared" si="21"/>
        <v>-54222036</v>
      </c>
      <c r="M30" s="137">
        <f t="shared" si="21"/>
        <v>-1128829</v>
      </c>
      <c r="N30" s="137">
        <f t="shared" ref="N30" si="23">SUM(N9,N15,N20,N24,N26:N28)</f>
        <v>-15893065</v>
      </c>
      <c r="O30" s="137">
        <f t="shared" si="21"/>
        <v>30493616</v>
      </c>
      <c r="P30" s="137">
        <f t="shared" si="21"/>
        <v>-83573707</v>
      </c>
      <c r="Q30" s="137">
        <f t="shared" si="21"/>
        <v>47801929</v>
      </c>
      <c r="R30" s="137">
        <f t="shared" si="21"/>
        <v>2145657192.2185011</v>
      </c>
      <c r="T30" s="313">
        <f>SUM(T9,T15,T20,T24,T26:T28)</f>
        <v>-43934781</v>
      </c>
      <c r="U30" s="314">
        <f t="shared" ref="U30:W30" si="24">SUM(U9,U15,U20,U24,U26:U28)</f>
        <v>346320</v>
      </c>
      <c r="V30" s="137">
        <f t="shared" si="24"/>
        <v>111218611</v>
      </c>
      <c r="W30" s="314">
        <f t="shared" si="24"/>
        <v>3234186</v>
      </c>
      <c r="X30" s="137">
        <f>SUM(X9,X15,X20,X24,X26:X28)</f>
        <v>70864336</v>
      </c>
      <c r="Y30" s="137">
        <f>SUM(Y9,Y15,Y20,Y24,Y26:Y28)</f>
        <v>2216521528.2185011</v>
      </c>
      <c r="Z30" s="468">
        <f>R30/C30</f>
        <v>9.471043822874313E-2</v>
      </c>
      <c r="AA30" s="468">
        <f>Y30/C30</f>
        <v>9.7838427332356398E-2</v>
      </c>
      <c r="AB30" s="592">
        <f>X30/R30</f>
        <v>3.3026867598886969E-2</v>
      </c>
      <c r="AC30" s="72"/>
      <c r="AD30" s="72"/>
      <c r="AE30" s="133"/>
      <c r="AF30" s="72"/>
    </row>
    <row r="31" spans="1:32" ht="12" thickTop="1" x14ac:dyDescent="0.2">
      <c r="A31" s="254">
        <f t="shared" si="5"/>
        <v>24</v>
      </c>
      <c r="B31" s="249"/>
      <c r="C31" s="121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14"/>
      <c r="R31" s="114"/>
      <c r="T31" s="309"/>
      <c r="U31" s="310"/>
      <c r="V31" s="114"/>
      <c r="W31" s="310"/>
      <c r="X31" s="114"/>
      <c r="Y31" s="114"/>
      <c r="Z31" s="240"/>
      <c r="AA31" s="240"/>
      <c r="AB31" s="590"/>
      <c r="AC31" s="72"/>
      <c r="AD31" s="72"/>
      <c r="AE31" s="133"/>
      <c r="AF31" s="72"/>
    </row>
    <row r="32" spans="1:32" x14ac:dyDescent="0.2">
      <c r="A32" s="254">
        <f t="shared" si="5"/>
        <v>25</v>
      </c>
      <c r="B32" s="249">
        <v>5</v>
      </c>
      <c r="C32" s="117">
        <f>+Schedule_RateImpacts!C37</f>
        <v>7369853.2214806583</v>
      </c>
      <c r="D32" s="136">
        <f>+Schedule_RateImpacts!D37</f>
        <v>346070.24</v>
      </c>
      <c r="E32" s="136">
        <f>+Schedule_RateImpacts!E37</f>
        <v>15016</v>
      </c>
      <c r="F32" s="136">
        <f>+Schedule_RateImpacts!F37</f>
        <v>0</v>
      </c>
      <c r="G32" s="136">
        <f>+Schedule_RateImpacts!G37</f>
        <v>0</v>
      </c>
      <c r="H32" s="136">
        <f>+Schedule_RateImpacts!H37</f>
        <v>0</v>
      </c>
      <c r="I32" s="136">
        <f>+Schedule_RateImpacts!I37</f>
        <v>-302</v>
      </c>
      <c r="J32" s="136">
        <f>+Schedule_RateImpacts!J37</f>
        <v>0</v>
      </c>
      <c r="K32" s="136">
        <f>+Schedule_RateImpacts!K37</f>
        <v>0</v>
      </c>
      <c r="L32" s="136">
        <f>+Schedule_RateImpacts!L37</f>
        <v>0</v>
      </c>
      <c r="M32" s="136">
        <f>+Schedule_RateImpacts!M37</f>
        <v>0</v>
      </c>
      <c r="N32" s="136">
        <f>+Schedule_RateImpacts!N37</f>
        <v>0</v>
      </c>
      <c r="O32" s="136">
        <f>+Schedule_RateImpacts!O37</f>
        <v>0</v>
      </c>
      <c r="P32" s="136">
        <f>+Schedule_RateImpacts!P37</f>
        <v>0</v>
      </c>
      <c r="Q32" s="136">
        <f>+Schedule_RateImpacts!Q37</f>
        <v>14714</v>
      </c>
      <c r="R32" s="136">
        <f>+Schedule_RateImpacts!R37</f>
        <v>360784.24</v>
      </c>
      <c r="T32" s="315">
        <f>+Schedule_RateImpacts!T37</f>
        <v>-15016</v>
      </c>
      <c r="U32" s="316">
        <f>+Schedule_RateImpacts!U37</f>
        <v>0</v>
      </c>
      <c r="V32" s="136">
        <f>+Schedule_RateImpacts!V37</f>
        <v>38234</v>
      </c>
      <c r="W32" s="316">
        <f>+Schedule_RateImpacts!W37</f>
        <v>0</v>
      </c>
      <c r="X32" s="73">
        <f>SUM(T32:W32)</f>
        <v>23218</v>
      </c>
      <c r="Y32" s="73">
        <f>SUM(R32,X32)</f>
        <v>384002.24</v>
      </c>
      <c r="Z32" s="208">
        <f>R32/C32</f>
        <v>4.8954060434804124E-2</v>
      </c>
      <c r="AA32" s="208">
        <f>Y32/C32</f>
        <v>5.210446239020905E-2</v>
      </c>
      <c r="AB32" s="591">
        <f>X32/R32</f>
        <v>6.4354252281086335E-2</v>
      </c>
      <c r="AC32" s="72"/>
      <c r="AD32" s="72"/>
      <c r="AE32" s="133"/>
      <c r="AF32" s="72"/>
    </row>
    <row r="33" spans="1:32" ht="12" thickBot="1" x14ac:dyDescent="0.25">
      <c r="A33" s="254">
        <f t="shared" si="5"/>
        <v>26</v>
      </c>
      <c r="B33" s="249"/>
      <c r="C33" s="121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14"/>
      <c r="R33" s="114"/>
      <c r="T33" s="309"/>
      <c r="U33" s="310"/>
      <c r="V33" s="114"/>
      <c r="W33" s="310"/>
      <c r="X33" s="478"/>
      <c r="Y33" s="478"/>
      <c r="Z33" s="593"/>
      <c r="AA33" s="593"/>
      <c r="AB33" s="594"/>
      <c r="AC33" s="72"/>
      <c r="AD33" s="72"/>
      <c r="AE33" s="133"/>
      <c r="AF33" s="72"/>
    </row>
    <row r="34" spans="1:32" ht="12" thickBot="1" x14ac:dyDescent="0.25">
      <c r="A34" s="254">
        <f t="shared" si="5"/>
        <v>27</v>
      </c>
      <c r="B34" s="249" t="s">
        <v>81</v>
      </c>
      <c r="C34" s="120">
        <f>SUM(C30,C32)</f>
        <v>22662287646.298779</v>
      </c>
      <c r="D34" s="137">
        <f>SUM(D30,D32)</f>
        <v>2098201333.4585011</v>
      </c>
      <c r="E34" s="137">
        <f t="shared" ref="E34:Y34" si="25">SUM(E30,E32)</f>
        <v>43949797</v>
      </c>
      <c r="F34" s="137">
        <f t="shared" si="25"/>
        <v>-29621875</v>
      </c>
      <c r="G34" s="137">
        <f t="shared" si="25"/>
        <v>81831682</v>
      </c>
      <c r="H34" s="137">
        <f>SUM(H30,H32)</f>
        <v>20493517</v>
      </c>
      <c r="I34" s="137">
        <f t="shared" si="25"/>
        <v>-888065</v>
      </c>
      <c r="J34" s="137">
        <f t="shared" ref="J34" si="26">SUM(J30,J32)</f>
        <v>-346320</v>
      </c>
      <c r="K34" s="137">
        <f t="shared" si="25"/>
        <v>56721928</v>
      </c>
      <c r="L34" s="137">
        <f t="shared" si="25"/>
        <v>-54222036</v>
      </c>
      <c r="M34" s="137">
        <f t="shared" si="25"/>
        <v>-1128829</v>
      </c>
      <c r="N34" s="137">
        <f t="shared" ref="N34" si="27">SUM(N30,N32)</f>
        <v>-15893065</v>
      </c>
      <c r="O34" s="137">
        <f t="shared" si="25"/>
        <v>30493616</v>
      </c>
      <c r="P34" s="137">
        <f>SUM(P30,P32)</f>
        <v>-83573707</v>
      </c>
      <c r="Q34" s="137">
        <f t="shared" si="25"/>
        <v>47816643</v>
      </c>
      <c r="R34" s="137">
        <f t="shared" si="25"/>
        <v>2146017976.4585011</v>
      </c>
      <c r="T34" s="313">
        <f t="shared" si="25"/>
        <v>-43949797</v>
      </c>
      <c r="U34" s="314">
        <f t="shared" ref="U34:W34" si="28">SUM(U30,U32)</f>
        <v>346320</v>
      </c>
      <c r="V34" s="137">
        <f t="shared" si="28"/>
        <v>111256845</v>
      </c>
      <c r="W34" s="314">
        <f t="shared" si="28"/>
        <v>3234186</v>
      </c>
      <c r="X34" s="595">
        <f t="shared" si="25"/>
        <v>70887554</v>
      </c>
      <c r="Y34" s="595">
        <f t="shared" si="25"/>
        <v>2216905530.4585009</v>
      </c>
      <c r="Z34" s="593">
        <f>R34/C34</f>
        <v>9.4695558098654278E-2</v>
      </c>
      <c r="AA34" s="593">
        <f>Y34/C34</f>
        <v>9.7823554491003356E-2</v>
      </c>
      <c r="AB34" s="596">
        <f>X34/R34</f>
        <v>3.3032134295996565E-2</v>
      </c>
      <c r="AC34" s="72"/>
    </row>
    <row r="35" spans="1:32" ht="12" thickTop="1" x14ac:dyDescent="0.2">
      <c r="A35" s="388">
        <f t="shared" si="5"/>
        <v>28</v>
      </c>
      <c r="D35" s="82"/>
      <c r="T35" s="430"/>
      <c r="U35" s="431"/>
      <c r="V35" s="141"/>
      <c r="W35" s="431"/>
    </row>
    <row r="36" spans="1:32" x14ac:dyDescent="0.2">
      <c r="A36" s="388">
        <f t="shared" si="5"/>
        <v>29</v>
      </c>
      <c r="B36" s="88" t="s">
        <v>76</v>
      </c>
      <c r="C36" s="251">
        <f>+Schedule_RateImpacts!C39</f>
        <v>22662287646.298779</v>
      </c>
      <c r="D36" s="133">
        <f>+Schedule_RateImpacts!D39</f>
        <v>2098201333.4585011</v>
      </c>
      <c r="E36" s="133">
        <f>+Schedule_RateImpacts!E39</f>
        <v>43949797</v>
      </c>
      <c r="F36" s="133">
        <f>+Schedule_RateImpacts!F39</f>
        <v>-29621875</v>
      </c>
      <c r="G36" s="133">
        <f>+Schedule_RateImpacts!G39</f>
        <v>81831682</v>
      </c>
      <c r="H36" s="133">
        <f>+Schedule_RateImpacts!H39</f>
        <v>20493517</v>
      </c>
      <c r="I36" s="133">
        <f>+Schedule_RateImpacts!I39</f>
        <v>-888065</v>
      </c>
      <c r="J36" s="133">
        <f>+Schedule_RateImpacts!J39</f>
        <v>-346320</v>
      </c>
      <c r="K36" s="133">
        <f>+Schedule_RateImpacts!K39</f>
        <v>56721928</v>
      </c>
      <c r="L36" s="133">
        <f>+Schedule_RateImpacts!L39</f>
        <v>-54222036</v>
      </c>
      <c r="M36" s="133">
        <f>+Schedule_RateImpacts!M39</f>
        <v>-1128829</v>
      </c>
      <c r="N36" s="133">
        <f>+Schedule_RateImpacts!N39</f>
        <v>-15893065</v>
      </c>
      <c r="O36" s="133">
        <f>+Schedule_RateImpacts!O39</f>
        <v>30493616</v>
      </c>
      <c r="P36" s="133">
        <f>+Schedule_RateImpacts!P39</f>
        <v>-83573707</v>
      </c>
      <c r="Q36" s="133">
        <f>+Schedule_RateImpacts!Q39</f>
        <v>47816643</v>
      </c>
      <c r="R36" s="133">
        <f>+Schedule_RateImpacts!R39</f>
        <v>2146017976.4585011</v>
      </c>
      <c r="T36" s="397">
        <f>+Schedule_RateImpacts!T39</f>
        <v>-43949797</v>
      </c>
      <c r="U36" s="398">
        <f>+Schedule_RateImpacts!U39</f>
        <v>346320</v>
      </c>
      <c r="V36" s="134">
        <f>+Schedule_RateImpacts!V39</f>
        <v>111256845</v>
      </c>
      <c r="W36" s="398">
        <f>+Schedule_RateImpacts!W39</f>
        <v>3234186</v>
      </c>
      <c r="X36" s="133">
        <f>+Schedule_RateImpacts!X39</f>
        <v>70887554</v>
      </c>
      <c r="Y36" s="133">
        <f>+Schedule_RateImpacts!Y39</f>
        <v>2216905530.4585009</v>
      </c>
    </row>
    <row r="37" spans="1:32" ht="12" thickBot="1" x14ac:dyDescent="0.25">
      <c r="A37" s="576">
        <f t="shared" si="5"/>
        <v>30</v>
      </c>
      <c r="T37" s="317"/>
      <c r="U37" s="318"/>
      <c r="V37" s="426"/>
      <c r="W37" s="318"/>
    </row>
    <row r="38" spans="1:32" x14ac:dyDescent="0.2">
      <c r="A38" s="576">
        <f t="shared" si="5"/>
        <v>31</v>
      </c>
    </row>
    <row r="39" spans="1:32" x14ac:dyDescent="0.2">
      <c r="A39" s="576">
        <f t="shared" si="5"/>
        <v>32</v>
      </c>
      <c r="W39" s="584" t="s">
        <v>499</v>
      </c>
      <c r="X39" s="72">
        <f>+V36+T36</f>
        <v>67307048</v>
      </c>
    </row>
    <row r="40" spans="1:32" x14ac:dyDescent="0.2">
      <c r="A40" s="576">
        <f t="shared" si="5"/>
        <v>33</v>
      </c>
      <c r="W40" s="585" t="s">
        <v>498</v>
      </c>
      <c r="X40" s="72">
        <f>+W36+U36</f>
        <v>3580506</v>
      </c>
    </row>
  </sheetData>
  <mergeCells count="2">
    <mergeCell ref="T5:U5"/>
    <mergeCell ref="V5:W5"/>
  </mergeCells>
  <printOptions horizontalCentered="1"/>
  <pageMargins left="0.7" right="0.7" top="0.75" bottom="0.75" header="0.3" footer="0.3"/>
  <pageSetup scale="60" fitToWidth="0" orientation="landscape" r:id="rId1"/>
  <headerFooter>
    <oddFooter>&amp;L&amp;"Times New Roman,Regular"&amp;F&amp;R&amp;"Times New Roman,Regular"&amp;A</oddFooter>
  </headerFooter>
  <colBreaks count="1" manualBreakCount="1">
    <brk id="17" max="33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M3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7" sqref="G7"/>
    </sheetView>
  </sheetViews>
  <sheetFormatPr defaultColWidth="8.85546875" defaultRowHeight="11.25" x14ac:dyDescent="0.2"/>
  <cols>
    <col min="1" max="1" width="7.7109375" style="88" bestFit="1" customWidth="1"/>
    <col min="2" max="2" width="10.28515625" style="88" bestFit="1" customWidth="1"/>
    <col min="3" max="3" width="21" style="88" bestFit="1" customWidth="1"/>
    <col min="4" max="4" width="17.7109375" style="88" bestFit="1" customWidth="1"/>
    <col min="5" max="5" width="13.42578125" style="88" customWidth="1"/>
    <col min="6" max="6" width="13.28515625" style="88" bestFit="1" customWidth="1"/>
    <col min="7" max="8" width="12.7109375" style="88" customWidth="1"/>
    <col min="9" max="9" width="12.140625" style="88" bestFit="1" customWidth="1"/>
    <col min="10" max="10" width="9.85546875" style="88" bestFit="1" customWidth="1"/>
    <col min="11" max="11" width="12.85546875" style="88" bestFit="1" customWidth="1"/>
    <col min="12" max="12" width="8.85546875" style="88"/>
    <col min="13" max="13" width="12.5703125" style="88" bestFit="1" customWidth="1"/>
    <col min="14" max="16384" width="8.85546875" style="88"/>
  </cols>
  <sheetData>
    <row r="1" spans="1:13" x14ac:dyDescent="0.2">
      <c r="A1" s="616" t="s">
        <v>0</v>
      </c>
      <c r="B1" s="616"/>
      <c r="C1" s="616"/>
      <c r="D1" s="616"/>
      <c r="E1" s="616"/>
      <c r="F1" s="616"/>
    </row>
    <row r="2" spans="1:13" x14ac:dyDescent="0.2">
      <c r="A2" s="618" t="s">
        <v>320</v>
      </c>
      <c r="B2" s="616"/>
      <c r="C2" s="616"/>
      <c r="D2" s="616"/>
      <c r="E2" s="616"/>
      <c r="F2" s="616"/>
    </row>
    <row r="3" spans="1:13" x14ac:dyDescent="0.2">
      <c r="A3" s="616" t="str">
        <f>+'Exh BDJ-8 p1-2 (Rate Impacts)'!A3</f>
        <v>Test Year Ended June 30, 2020</v>
      </c>
      <c r="B3" s="616"/>
      <c r="C3" s="616"/>
      <c r="D3" s="616"/>
      <c r="E3" s="616"/>
      <c r="F3" s="616"/>
    </row>
    <row r="4" spans="1:13" x14ac:dyDescent="0.2">
      <c r="A4" s="618"/>
      <c r="B4" s="616"/>
      <c r="C4" s="616"/>
      <c r="D4" s="616"/>
      <c r="E4" s="616"/>
      <c r="F4" s="616"/>
    </row>
    <row r="5" spans="1:13" x14ac:dyDescent="0.2">
      <c r="A5" s="237"/>
      <c r="B5" s="237"/>
      <c r="C5" s="237"/>
      <c r="D5" s="237"/>
      <c r="E5" s="237"/>
      <c r="F5" s="237"/>
    </row>
    <row r="6" spans="1:13" ht="56.25" x14ac:dyDescent="0.2">
      <c r="A6" s="215" t="s">
        <v>3</v>
      </c>
      <c r="B6" s="215" t="s">
        <v>4</v>
      </c>
      <c r="C6" s="215" t="s">
        <v>34</v>
      </c>
      <c r="D6" s="216" t="str">
        <f>+'Exh BDJ-8 p1-2 (Rate Impacts)'!C6</f>
        <v>Annual kWh Normalized &amp; Delivered Sales  07/01/19 to 06/30/20</v>
      </c>
      <c r="E6" s="216" t="s">
        <v>470</v>
      </c>
      <c r="F6" s="216" t="s">
        <v>321</v>
      </c>
      <c r="G6" s="671" t="s">
        <v>528</v>
      </c>
      <c r="H6" s="216" t="s">
        <v>522</v>
      </c>
      <c r="I6" s="216" t="s">
        <v>471</v>
      </c>
    </row>
    <row r="7" spans="1:13" x14ac:dyDescent="0.2">
      <c r="A7" s="237">
        <v>1</v>
      </c>
      <c r="B7" s="237">
        <v>7</v>
      </c>
      <c r="D7" s="101">
        <f>+'TY June 2020 Proforma Rev'!E8</f>
        <v>10863043096.272161</v>
      </c>
      <c r="E7" s="247">
        <f>+'UE-200893 Sch 95 Eff 12-01-2020'!H8</f>
        <v>2.1346263238885407E-3</v>
      </c>
      <c r="F7" s="72">
        <f>ROUND(D7*E7,0)</f>
        <v>23188538</v>
      </c>
      <c r="G7" s="247">
        <f>+'UE-200980 Sch 95 PCORC Complian'!$L$7</f>
        <v>3.3142467321893932E-3</v>
      </c>
      <c r="H7" s="247">
        <f>+G7+E7</f>
        <v>5.4488730560779339E-3</v>
      </c>
      <c r="I7" s="72">
        <f>ROUND(D7*H7,0)</f>
        <v>59191343</v>
      </c>
      <c r="K7" s="82"/>
      <c r="M7" s="133"/>
    </row>
    <row r="8" spans="1:13" x14ac:dyDescent="0.2">
      <c r="A8" s="237">
        <f t="shared" ref="A8:A35" si="0">+A7+1</f>
        <v>2</v>
      </c>
      <c r="B8" s="106" t="s">
        <v>186</v>
      </c>
      <c r="D8" s="101">
        <f>+'TY June 2020 Proforma Rev'!E9</f>
        <v>2376000</v>
      </c>
      <c r="E8" s="247">
        <f>+'UE-200893 Sch 95 Eff 12-01-2020'!H13</f>
        <v>2.2235019667564571E-3</v>
      </c>
      <c r="F8" s="72">
        <f>ROUND(D8*E8,0)</f>
        <v>5283</v>
      </c>
      <c r="G8" s="247">
        <f>+'UE-200980 Sch 95 PCORC Complian'!$L$9</f>
        <v>3.391810657944712E-3</v>
      </c>
      <c r="H8" s="247">
        <f>+G8+E8</f>
        <v>5.6153126247011692E-3</v>
      </c>
      <c r="I8" s="72">
        <f>ROUND(D8*H8,0)</f>
        <v>13342</v>
      </c>
      <c r="K8" s="82"/>
    </row>
    <row r="9" spans="1:13" x14ac:dyDescent="0.2">
      <c r="A9" s="237">
        <f t="shared" si="0"/>
        <v>3</v>
      </c>
      <c r="B9" s="237"/>
      <c r="C9" s="88" t="s">
        <v>11</v>
      </c>
      <c r="D9" s="117">
        <f>SUM(D7:D8)</f>
        <v>10865419096.272161</v>
      </c>
      <c r="E9" s="240"/>
      <c r="F9" s="73">
        <f>SUM(F7:F8)</f>
        <v>23193821</v>
      </c>
      <c r="G9" s="240"/>
      <c r="H9" s="240"/>
      <c r="I9" s="73">
        <f>SUM(I7:I8)</f>
        <v>59204685</v>
      </c>
      <c r="K9" s="82"/>
    </row>
    <row r="10" spans="1:13" x14ac:dyDescent="0.2">
      <c r="A10" s="237">
        <f t="shared" si="0"/>
        <v>4</v>
      </c>
      <c r="B10" s="237"/>
      <c r="D10" s="101"/>
      <c r="E10" s="122"/>
      <c r="F10" s="72"/>
      <c r="G10" s="122"/>
      <c r="H10" s="122"/>
      <c r="I10" s="72"/>
      <c r="K10" s="82"/>
    </row>
    <row r="11" spans="1:13" x14ac:dyDescent="0.2">
      <c r="A11" s="237">
        <f t="shared" si="0"/>
        <v>5</v>
      </c>
      <c r="B11" s="237">
        <v>8</v>
      </c>
      <c r="D11" s="101">
        <f>+'TY June 2020 Proforma Rev'!E12</f>
        <v>252362620.54679149</v>
      </c>
      <c r="E11" s="247">
        <f>+'UE-200893 Sch 95 Eff 12-01-2020'!H12</f>
        <v>2.1548217661402514E-3</v>
      </c>
      <c r="F11" s="72">
        <f t="shared" ref="F11:F17" si="1">ROUND(D11*E11,0)</f>
        <v>543796</v>
      </c>
      <c r="G11" s="247">
        <f>+'UE-200980 Sch 95 PCORC Complian'!$L$8</f>
        <v>3.4486955638168013E-3</v>
      </c>
      <c r="H11" s="247">
        <f>+G11+E11</f>
        <v>5.6035173299570527E-3</v>
      </c>
      <c r="I11" s="72">
        <f t="shared" ref="I11:I17" si="2">ROUND(D11*H11,0)</f>
        <v>1414118</v>
      </c>
      <c r="J11" s="72"/>
      <c r="K11" s="82"/>
      <c r="M11" s="82"/>
    </row>
    <row r="12" spans="1:13" x14ac:dyDescent="0.2">
      <c r="A12" s="237">
        <f t="shared" si="0"/>
        <v>6</v>
      </c>
      <c r="B12" s="237">
        <v>24</v>
      </c>
      <c r="D12" s="101">
        <f>+'TY June 2020 Proforma Rev'!E13</f>
        <v>2333975906.454967</v>
      </c>
      <c r="E12" s="122">
        <f>+E11</f>
        <v>2.1548217661402514E-3</v>
      </c>
      <c r="F12" s="72">
        <f t="shared" si="1"/>
        <v>5029302</v>
      </c>
      <c r="G12" s="122">
        <f>+G11</f>
        <v>3.4486955638168013E-3</v>
      </c>
      <c r="H12" s="122">
        <f>+H11</f>
        <v>5.6035173299570527E-3</v>
      </c>
      <c r="I12" s="72">
        <f t="shared" si="2"/>
        <v>13078474</v>
      </c>
      <c r="K12" s="82"/>
    </row>
    <row r="13" spans="1:13" x14ac:dyDescent="0.2">
      <c r="A13" s="237">
        <f t="shared" si="0"/>
        <v>7</v>
      </c>
      <c r="B13" s="106">
        <v>11</v>
      </c>
      <c r="D13" s="101">
        <f>+'TY June 2020 Proforma Rev'!E14</f>
        <v>135958671.66260606</v>
      </c>
      <c r="E13" s="122">
        <f>E8</f>
        <v>2.2235019667564571E-3</v>
      </c>
      <c r="F13" s="72">
        <f t="shared" si="1"/>
        <v>302304</v>
      </c>
      <c r="G13" s="122">
        <f>G8</f>
        <v>3.391810657944712E-3</v>
      </c>
      <c r="H13" s="122">
        <f>H8</f>
        <v>5.6153126247011692E-3</v>
      </c>
      <c r="I13" s="72">
        <f t="shared" si="2"/>
        <v>763450</v>
      </c>
      <c r="K13" s="82"/>
    </row>
    <row r="14" spans="1:13" x14ac:dyDescent="0.2">
      <c r="A14" s="237">
        <f t="shared" si="0"/>
        <v>8</v>
      </c>
      <c r="B14" s="106">
        <v>25</v>
      </c>
      <c r="D14" s="101">
        <f>+'TY June 2020 Proforma Rev'!E15</f>
        <v>2746336782.1565623</v>
      </c>
      <c r="E14" s="122">
        <f>+E13</f>
        <v>2.2235019667564571E-3</v>
      </c>
      <c r="F14" s="72">
        <f t="shared" si="1"/>
        <v>6106485</v>
      </c>
      <c r="G14" s="122">
        <f>+G13</f>
        <v>3.391810657944712E-3</v>
      </c>
      <c r="H14" s="122">
        <f>+H13</f>
        <v>5.6153126247011692E-3</v>
      </c>
      <c r="I14" s="72">
        <f t="shared" si="2"/>
        <v>15421540</v>
      </c>
      <c r="K14" s="82"/>
    </row>
    <row r="15" spans="1:13" x14ac:dyDescent="0.2">
      <c r="A15" s="237">
        <f t="shared" si="0"/>
        <v>9</v>
      </c>
      <c r="B15" s="237">
        <v>12</v>
      </c>
      <c r="D15" s="101">
        <f>+'TY June 2020 Proforma Rev'!E16</f>
        <v>16430488</v>
      </c>
      <c r="E15" s="247">
        <f>+'UE-200893 Sch 95 Eff 12-01-2020'!H14</f>
        <v>2.3267494191098565E-3</v>
      </c>
      <c r="F15" s="72">
        <f t="shared" si="1"/>
        <v>38230</v>
      </c>
      <c r="G15" s="247">
        <f>+'UE-200980 Sch 95 PCORC Complian'!$L$10</f>
        <v>3.2881063707595293E-3</v>
      </c>
      <c r="H15" s="247">
        <f>+G15+E15</f>
        <v>5.6148557898693854E-3</v>
      </c>
      <c r="I15" s="72">
        <f t="shared" si="2"/>
        <v>92255</v>
      </c>
      <c r="K15" s="82"/>
    </row>
    <row r="16" spans="1:13" x14ac:dyDescent="0.2">
      <c r="A16" s="237">
        <f t="shared" si="0"/>
        <v>10</v>
      </c>
      <c r="B16" s="237" t="s">
        <v>12</v>
      </c>
      <c r="D16" s="101">
        <f>+'TY June 2020 Proforma Rev'!E17</f>
        <v>1824742786.7668719</v>
      </c>
      <c r="E16" s="122">
        <f>+E15</f>
        <v>2.3267494191098565E-3</v>
      </c>
      <c r="F16" s="72">
        <f t="shared" si="1"/>
        <v>4245719</v>
      </c>
      <c r="G16" s="122">
        <f>+G15</f>
        <v>3.2881063707595293E-3</v>
      </c>
      <c r="H16" s="122">
        <f>+H15</f>
        <v>5.6148557898693854E-3</v>
      </c>
      <c r="I16" s="72">
        <f t="shared" si="2"/>
        <v>10245668</v>
      </c>
      <c r="K16" s="82"/>
    </row>
    <row r="17" spans="1:11" x14ac:dyDescent="0.2">
      <c r="A17" s="237">
        <f t="shared" si="0"/>
        <v>11</v>
      </c>
      <c r="B17" s="237">
        <v>29</v>
      </c>
      <c r="D17" s="101">
        <f>+'TY June 2020 Proforma Rev'!E18</f>
        <v>11424740.434375001</v>
      </c>
      <c r="E17" s="247">
        <f>+'UE-200893 Sch 95 Eff 12-01-2020'!H15</f>
        <v>1.8524867967086855E-3</v>
      </c>
      <c r="F17" s="72">
        <f t="shared" si="1"/>
        <v>21164</v>
      </c>
      <c r="G17" s="247">
        <f>+'UE-200980 Sch 95 PCORC Complian'!$L$11</f>
        <v>3.6338751446693849E-3</v>
      </c>
      <c r="H17" s="247">
        <f>+G17+E17</f>
        <v>5.4863619413780705E-3</v>
      </c>
      <c r="I17" s="72">
        <f t="shared" si="2"/>
        <v>62680</v>
      </c>
      <c r="K17" s="82"/>
    </row>
    <row r="18" spans="1:11" x14ac:dyDescent="0.2">
      <c r="A18" s="237">
        <f t="shared" si="0"/>
        <v>12</v>
      </c>
      <c r="B18" s="237"/>
      <c r="C18" s="239" t="s">
        <v>13</v>
      </c>
      <c r="D18" s="117">
        <f>SUM(D11:D17)</f>
        <v>7321231996.0221739</v>
      </c>
      <c r="E18" s="240"/>
      <c r="F18" s="73">
        <f>SUM(F11:F17)</f>
        <v>16287000</v>
      </c>
      <c r="G18" s="240"/>
      <c r="H18" s="240"/>
      <c r="I18" s="73">
        <f>SUM(I11:I17)</f>
        <v>41078185</v>
      </c>
      <c r="K18" s="82"/>
    </row>
    <row r="19" spans="1:11" x14ac:dyDescent="0.2">
      <c r="A19" s="237">
        <f t="shared" si="0"/>
        <v>13</v>
      </c>
      <c r="B19" s="237"/>
      <c r="D19" s="101"/>
      <c r="E19" s="240"/>
      <c r="F19" s="72"/>
      <c r="G19" s="240"/>
      <c r="H19" s="240"/>
      <c r="I19" s="72"/>
      <c r="K19" s="82"/>
    </row>
    <row r="20" spans="1:11" x14ac:dyDescent="0.2">
      <c r="A20" s="237">
        <f t="shared" si="0"/>
        <v>14</v>
      </c>
      <c r="B20" s="237">
        <v>10</v>
      </c>
      <c r="D20" s="101">
        <f>+'TY June 2020 Proforma Rev'!E21</f>
        <v>25573920</v>
      </c>
      <c r="E20" s="247">
        <f>+'UE-200893 Sch 95 Eff 12-01-2020'!H19</f>
        <v>2.1293083890334291E-3</v>
      </c>
      <c r="F20" s="72">
        <f>ROUND(D20*E20,0)</f>
        <v>54455</v>
      </c>
      <c r="G20" s="247">
        <f>+'UE-200980 Sch 95 PCORC Complian'!$L$12</f>
        <v>3.1635777349284674E-3</v>
      </c>
      <c r="H20" s="247">
        <f>+G20+E20</f>
        <v>5.2928861239618964E-3</v>
      </c>
      <c r="I20" s="72">
        <f t="shared" ref="I20:I23" si="3">ROUND(D20*H20,0)</f>
        <v>135360</v>
      </c>
      <c r="K20" s="82"/>
    </row>
    <row r="21" spans="1:11" x14ac:dyDescent="0.2">
      <c r="A21" s="237">
        <f t="shared" si="0"/>
        <v>15</v>
      </c>
      <c r="B21" s="237">
        <v>31</v>
      </c>
      <c r="D21" s="101">
        <f>+'TY June 2020 Proforma Rev'!E22</f>
        <v>1310080421.1168144</v>
      </c>
      <c r="E21" s="122">
        <f>+E20</f>
        <v>2.1293083890334291E-3</v>
      </c>
      <c r="F21" s="72">
        <f>ROUND(D21*E21,0)</f>
        <v>2789565</v>
      </c>
      <c r="G21" s="122">
        <f>+G20</f>
        <v>3.1635777349284674E-3</v>
      </c>
      <c r="H21" s="122">
        <f>+H20</f>
        <v>5.2928861239618964E-3</v>
      </c>
      <c r="I21" s="72">
        <f t="shared" si="3"/>
        <v>6934106</v>
      </c>
      <c r="K21" s="82"/>
    </row>
    <row r="22" spans="1:11" x14ac:dyDescent="0.2">
      <c r="A22" s="237">
        <f t="shared" si="0"/>
        <v>16</v>
      </c>
      <c r="B22" s="237">
        <v>35</v>
      </c>
      <c r="D22" s="101">
        <f>+'TY June 2020 Proforma Rev'!E23</f>
        <v>5945040</v>
      </c>
      <c r="E22" s="247">
        <f>+'UE-200893 Sch 95 Eff 12-01-2020'!H20</f>
        <v>1.5888462451272998E-3</v>
      </c>
      <c r="F22" s="72">
        <f>ROUND(D22*E22,0)</f>
        <v>9446</v>
      </c>
      <c r="G22" s="247">
        <f>+'UE-200980 Sch 95 PCORC Complian'!$L$13</f>
        <v>1.7772843865933472E-3</v>
      </c>
      <c r="H22" s="247">
        <f>+G22+E22</f>
        <v>3.3661306317206473E-3</v>
      </c>
      <c r="I22" s="72">
        <f t="shared" si="3"/>
        <v>20012</v>
      </c>
      <c r="K22" s="82"/>
    </row>
    <row r="23" spans="1:11" x14ac:dyDescent="0.2">
      <c r="A23" s="237">
        <f t="shared" si="0"/>
        <v>17</v>
      </c>
      <c r="B23" s="237">
        <v>43</v>
      </c>
      <c r="D23" s="101">
        <f>+'TY June 2020 Proforma Rev'!E24</f>
        <v>116280759.88464826</v>
      </c>
      <c r="E23" s="247">
        <f>+'UE-200893 Sch 95 Eff 12-01-2020'!H21</f>
        <v>1.7002983018005256E-3</v>
      </c>
      <c r="F23" s="72">
        <f>ROUND(D23*E23,0)</f>
        <v>197712</v>
      </c>
      <c r="G23" s="247">
        <f>+'UE-200980 Sch 95 PCORC Complian'!$L$14</f>
        <v>2.5006617592349652E-3</v>
      </c>
      <c r="H23" s="247">
        <f>+G23+E23</f>
        <v>4.200960061035491E-3</v>
      </c>
      <c r="I23" s="72">
        <f t="shared" si="3"/>
        <v>488491</v>
      </c>
      <c r="K23" s="82"/>
    </row>
    <row r="24" spans="1:11" x14ac:dyDescent="0.2">
      <c r="A24" s="237">
        <f t="shared" si="0"/>
        <v>18</v>
      </c>
      <c r="B24" s="237"/>
      <c r="C24" s="88" t="s">
        <v>14</v>
      </c>
      <c r="D24" s="117">
        <f>SUM(D20:D23)</f>
        <v>1457880141.0014627</v>
      </c>
      <c r="E24" s="240"/>
      <c r="F24" s="73">
        <f>SUM(F20:F23)</f>
        <v>3051178</v>
      </c>
      <c r="G24" s="240"/>
      <c r="H24" s="240"/>
      <c r="I24" s="73">
        <f>SUM(I20:I23)</f>
        <v>7577969</v>
      </c>
      <c r="K24" s="82"/>
    </row>
    <row r="25" spans="1:11" x14ac:dyDescent="0.2">
      <c r="A25" s="237">
        <f t="shared" si="0"/>
        <v>19</v>
      </c>
      <c r="B25" s="237"/>
      <c r="D25" s="101"/>
      <c r="E25" s="122"/>
      <c r="F25" s="72"/>
      <c r="G25" s="122"/>
      <c r="H25" s="122"/>
      <c r="I25" s="72"/>
      <c r="K25" s="82"/>
    </row>
    <row r="26" spans="1:11" x14ac:dyDescent="0.2">
      <c r="A26" s="379">
        <f t="shared" si="0"/>
        <v>20</v>
      </c>
      <c r="B26" s="237">
        <v>46</v>
      </c>
      <c r="D26" s="101">
        <f>+'TY June 2020 Proforma Rev'!E27</f>
        <v>81635228</v>
      </c>
      <c r="E26" s="247">
        <f>+'UE-200893 Sch 95 Eff 12-01-2020'!I25</f>
        <v>1.8175352066230359E-3</v>
      </c>
      <c r="F26" s="72">
        <f>ROUND(D26*E26,0)</f>
        <v>148375</v>
      </c>
      <c r="G26" s="247">
        <f>+'UE-200980 Sch 95 PCORC Complian'!$L$16</f>
        <v>2.2336941320597399E-3</v>
      </c>
      <c r="H26" s="247">
        <f>+G26+E26</f>
        <v>4.0512293386827762E-3</v>
      </c>
      <c r="I26" s="72">
        <f t="shared" ref="I26:I27" si="4">ROUND(D26*H26,0)</f>
        <v>330723</v>
      </c>
      <c r="K26" s="82"/>
    </row>
    <row r="27" spans="1:11" x14ac:dyDescent="0.2">
      <c r="A27" s="379">
        <f t="shared" si="0"/>
        <v>21</v>
      </c>
      <c r="B27" s="237">
        <v>49</v>
      </c>
      <c r="D27" s="101">
        <f>+'TY June 2020 Proforma Rev'!E28</f>
        <v>563071445.51999998</v>
      </c>
      <c r="E27" s="247">
        <f>+'UE-200893 Sch 95 Eff 12-01-2020'!I26</f>
        <v>1.9669639552832604E-3</v>
      </c>
      <c r="F27" s="72">
        <f>ROUND(D27*E27,0)</f>
        <v>1107541</v>
      </c>
      <c r="G27" s="247">
        <f>+'UE-200980 Sch 95 PCORC Complian'!$L$17</f>
        <v>2.7772155560288891E-3</v>
      </c>
      <c r="H27" s="247">
        <f>+G27+E27</f>
        <v>4.74417951131215E-3</v>
      </c>
      <c r="I27" s="72">
        <f t="shared" si="4"/>
        <v>2671312</v>
      </c>
      <c r="K27" s="82"/>
    </row>
    <row r="28" spans="1:11" x14ac:dyDescent="0.2">
      <c r="A28" s="379">
        <f t="shared" si="0"/>
        <v>22</v>
      </c>
      <c r="B28" s="237"/>
      <c r="C28" s="88" t="s">
        <v>15</v>
      </c>
      <c r="D28" s="117">
        <f>SUM(D26:D27)</f>
        <v>644706673.51999998</v>
      </c>
      <c r="E28" s="240"/>
      <c r="F28" s="73">
        <f>SUM(F26:F27)</f>
        <v>1255916</v>
      </c>
      <c r="G28" s="240"/>
      <c r="H28" s="240"/>
      <c r="I28" s="73">
        <f>SUM(I26:I27)</f>
        <v>3002035</v>
      </c>
      <c r="K28" s="82"/>
    </row>
    <row r="29" spans="1:11" x14ac:dyDescent="0.2">
      <c r="A29" s="379">
        <f t="shared" si="0"/>
        <v>23</v>
      </c>
      <c r="B29" s="237"/>
      <c r="D29" s="101"/>
      <c r="E29" s="122"/>
      <c r="F29" s="72"/>
      <c r="G29" s="122"/>
      <c r="H29" s="122"/>
      <c r="I29" s="72"/>
      <c r="K29" s="82"/>
    </row>
    <row r="30" spans="1:11" x14ac:dyDescent="0.2">
      <c r="A30" s="379">
        <f t="shared" si="0"/>
        <v>24</v>
      </c>
      <c r="B30" s="244" t="s">
        <v>16</v>
      </c>
      <c r="C30" s="88" t="s">
        <v>108</v>
      </c>
      <c r="D30" s="101">
        <f>+'TY June 2020 Proforma Rev'!E31</f>
        <v>68936797.67750001</v>
      </c>
      <c r="E30" s="247">
        <f>+'UE-200893 Sch 95 Eff 12-01-2020'!H29</f>
        <v>2.1304423544318677E-3</v>
      </c>
      <c r="F30" s="72">
        <f>ROUND(D30*E30,0)</f>
        <v>146866</v>
      </c>
      <c r="G30" s="247">
        <f>+'UE-200980 Sch 95 PCORC Complian'!$L$19</f>
        <v>3.0298995648176466E-3</v>
      </c>
      <c r="H30" s="247">
        <f>+G30+E30</f>
        <v>5.1603419192495139E-3</v>
      </c>
      <c r="I30" s="72">
        <f t="shared" ref="I30:I33" si="5">ROUND(D30*H30,0)</f>
        <v>355737</v>
      </c>
      <c r="K30" s="82"/>
    </row>
    <row r="31" spans="1:11" x14ac:dyDescent="0.2">
      <c r="A31" s="379">
        <f t="shared" si="0"/>
        <v>25</v>
      </c>
      <c r="B31" s="244" t="s">
        <v>17</v>
      </c>
      <c r="C31" s="88" t="s">
        <v>110</v>
      </c>
      <c r="D31" s="101">
        <f>+'TY June 2020 Proforma Rev'!E32</f>
        <v>1993508561.5469999</v>
      </c>
      <c r="E31" s="247">
        <v>0</v>
      </c>
      <c r="F31" s="72">
        <f>ROUND(D31*E31,0)</f>
        <v>0</v>
      </c>
      <c r="G31" s="247">
        <v>0</v>
      </c>
      <c r="H31" s="247">
        <f>+G31+E31</f>
        <v>0</v>
      </c>
      <c r="I31" s="72">
        <f t="shared" si="5"/>
        <v>0</v>
      </c>
      <c r="K31" s="82"/>
    </row>
    <row r="32" spans="1:11" x14ac:dyDescent="0.2">
      <c r="A32" s="379">
        <f t="shared" si="0"/>
        <v>26</v>
      </c>
      <c r="B32" s="244" t="s">
        <v>347</v>
      </c>
      <c r="C32" s="88" t="s">
        <v>265</v>
      </c>
      <c r="D32" s="101">
        <f>+'TY June 2020 Proforma Rev'!E33</f>
        <v>303234527.03700018</v>
      </c>
      <c r="E32" s="122">
        <f>+E31</f>
        <v>0</v>
      </c>
      <c r="F32" s="72">
        <f>ROUND(D32*E32,0)</f>
        <v>0</v>
      </c>
      <c r="G32" s="122">
        <f>+G31</f>
        <v>0</v>
      </c>
      <c r="H32" s="122">
        <f>+H31</f>
        <v>0</v>
      </c>
      <c r="I32" s="72">
        <f t="shared" si="5"/>
        <v>0</v>
      </c>
      <c r="K32" s="82"/>
    </row>
    <row r="33" spans="1:11" x14ac:dyDescent="0.2">
      <c r="A33" s="379">
        <f t="shared" si="0"/>
        <v>27</v>
      </c>
      <c r="B33" s="244">
        <v>5</v>
      </c>
      <c r="C33" s="88" t="s">
        <v>80</v>
      </c>
      <c r="D33" s="101">
        <f>+'TY June 2020 Proforma Rev'!E34</f>
        <v>7369853.2214806583</v>
      </c>
      <c r="E33" s="247">
        <f>+'UE-200893 Sch 95 Eff 12-01-2020'!H31</f>
        <v>2.0375333241719703E-3</v>
      </c>
      <c r="F33" s="72">
        <f>ROUND(D33*E33,0)</f>
        <v>15016</v>
      </c>
      <c r="G33" s="247">
        <f>+'UE-200980 Sch 95 PCORC Complian'!$L$21</f>
        <v>3.1503478515939312E-3</v>
      </c>
      <c r="H33" s="247">
        <f>+G33+E33</f>
        <v>5.1878811757659019E-3</v>
      </c>
      <c r="I33" s="72">
        <f t="shared" si="5"/>
        <v>38234</v>
      </c>
      <c r="K33" s="82"/>
    </row>
    <row r="34" spans="1:11" x14ac:dyDescent="0.2">
      <c r="A34" s="379">
        <f t="shared" si="0"/>
        <v>28</v>
      </c>
      <c r="B34" s="244"/>
      <c r="D34" s="101"/>
      <c r="F34" s="72"/>
      <c r="I34" s="72"/>
    </row>
    <row r="35" spans="1:11" ht="12" thickBot="1" x14ac:dyDescent="0.25">
      <c r="A35" s="379">
        <f t="shared" si="0"/>
        <v>29</v>
      </c>
      <c r="B35" s="244"/>
      <c r="C35" s="246" t="s">
        <v>81</v>
      </c>
      <c r="D35" s="120">
        <f>SUM(D30:D33,D28,D24,D18,D9)</f>
        <v>22662287646.298782</v>
      </c>
      <c r="E35" s="72"/>
      <c r="F35" s="137">
        <f>SUM(F30:F33,F28,F24,F18,F9)</f>
        <v>43949797</v>
      </c>
      <c r="G35" s="72"/>
      <c r="H35" s="72"/>
      <c r="I35" s="137">
        <f>SUM(I30:I33,I28,I24,I18,I9)</f>
        <v>111256845</v>
      </c>
      <c r="K35" s="82"/>
    </row>
    <row r="36" spans="1:11" ht="12" thickTop="1" x14ac:dyDescent="0.2">
      <c r="D36" s="101"/>
    </row>
    <row r="37" spans="1:11" x14ac:dyDescent="0.2">
      <c r="D37" s="101">
        <f>+Schedule_RateImpacts!C41</f>
        <v>22662287646.298779</v>
      </c>
    </row>
    <row r="38" spans="1:11" x14ac:dyDescent="0.2">
      <c r="D38" s="101">
        <f>+D37-D35</f>
        <v>0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8" header="0.3" footer="0.3"/>
  <pageSetup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7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7" sqref="G7"/>
    </sheetView>
  </sheetViews>
  <sheetFormatPr defaultColWidth="8.85546875" defaultRowHeight="11.25" x14ac:dyDescent="0.2"/>
  <cols>
    <col min="1" max="1" width="7.7109375" style="88" bestFit="1" customWidth="1"/>
    <col min="2" max="2" width="10.28515625" style="88" bestFit="1" customWidth="1"/>
    <col min="3" max="3" width="21" style="88" bestFit="1" customWidth="1"/>
    <col min="4" max="4" width="15.140625" style="88" bestFit="1" customWidth="1"/>
    <col min="5" max="5" width="0.7109375" style="88" customWidth="1"/>
    <col min="6" max="6" width="14" style="88" bestFit="1" customWidth="1"/>
    <col min="7" max="7" width="14.140625" style="88" bestFit="1" customWidth="1"/>
    <col min="8" max="8" width="2.28515625" style="88" customWidth="1"/>
    <col min="9" max="16384" width="8.85546875" style="88"/>
  </cols>
  <sheetData>
    <row r="1" spans="1:7" ht="12.75" x14ac:dyDescent="0.2">
      <c r="A1" s="616" t="s">
        <v>0</v>
      </c>
      <c r="B1" s="616"/>
      <c r="C1" s="616"/>
      <c r="D1" s="616"/>
      <c r="E1" s="619"/>
      <c r="F1" s="619"/>
      <c r="G1" s="619"/>
    </row>
    <row r="2" spans="1:7" ht="12.75" x14ac:dyDescent="0.2">
      <c r="A2" s="616" t="s">
        <v>82</v>
      </c>
      <c r="B2" s="616"/>
      <c r="C2" s="616"/>
      <c r="D2" s="616"/>
      <c r="E2" s="619"/>
      <c r="F2" s="619"/>
      <c r="G2" s="619"/>
    </row>
    <row r="3" spans="1:7" ht="12.75" x14ac:dyDescent="0.2">
      <c r="A3" s="616" t="str">
        <f>+'Exh BDJ-8 p1-2 (Rate Impacts)'!A3</f>
        <v>Test Year Ended June 30, 2020</v>
      </c>
      <c r="B3" s="616"/>
      <c r="C3" s="616"/>
      <c r="D3" s="616"/>
      <c r="E3" s="619"/>
      <c r="F3" s="619"/>
      <c r="G3" s="619"/>
    </row>
    <row r="4" spans="1:7" x14ac:dyDescent="0.2">
      <c r="A4" s="609"/>
      <c r="B4" s="609"/>
      <c r="C4" s="609"/>
      <c r="D4" s="609"/>
    </row>
    <row r="5" spans="1:7" x14ac:dyDescent="0.2">
      <c r="A5" s="106"/>
      <c r="B5" s="123"/>
      <c r="C5" s="123"/>
      <c r="D5" s="123"/>
    </row>
    <row r="6" spans="1:7" ht="56.25" x14ac:dyDescent="0.2">
      <c r="A6" s="215" t="s">
        <v>3</v>
      </c>
      <c r="B6" s="215" t="s">
        <v>4</v>
      </c>
      <c r="C6" s="215" t="s">
        <v>34</v>
      </c>
      <c r="D6" s="269" t="str">
        <f>+'Exh BDJ-8 p1-2 (Rate Impacts)'!C6</f>
        <v>Annual kWh Normalized &amp; Delivered Sales  07/01/19 to 06/30/20</v>
      </c>
      <c r="E6" s="158"/>
      <c r="F6" s="216" t="s">
        <v>536</v>
      </c>
      <c r="G6" s="216" t="s">
        <v>178</v>
      </c>
    </row>
    <row r="7" spans="1:7" x14ac:dyDescent="0.2">
      <c r="A7" s="123">
        <v>1</v>
      </c>
      <c r="B7" s="123">
        <v>7</v>
      </c>
      <c r="D7" s="101">
        <f>+'TY June 2020 Proforma Rev'!E8</f>
        <v>10863043096.272161</v>
      </c>
      <c r="F7" s="122">
        <f>+'UE-200897 Sch 95A'!G8</f>
        <v>-1.4400000000000001E-3</v>
      </c>
      <c r="G7" s="72">
        <f>ROUND(D7*F7,0)</f>
        <v>-15642782</v>
      </c>
    </row>
    <row r="8" spans="1:7" x14ac:dyDescent="0.2">
      <c r="A8" s="123">
        <f t="shared" ref="A8:A35" si="0">+A7+1</f>
        <v>2</v>
      </c>
      <c r="B8" s="106" t="s">
        <v>10</v>
      </c>
      <c r="D8" s="101">
        <f>+'TY June 2020 Proforma Rev'!E9</f>
        <v>2376000</v>
      </c>
      <c r="F8" s="122">
        <f>+'UE-200897 Sch 95A'!G11</f>
        <v>-1.498E-3</v>
      </c>
      <c r="G8" s="72">
        <f>ROUND(D8*F8,0)</f>
        <v>-3559</v>
      </c>
    </row>
    <row r="9" spans="1:7" x14ac:dyDescent="0.2">
      <c r="A9" s="123">
        <f t="shared" si="0"/>
        <v>3</v>
      </c>
      <c r="B9" s="123"/>
      <c r="C9" s="88" t="s">
        <v>11</v>
      </c>
      <c r="D9" s="117">
        <f>SUM(D7:D8)</f>
        <v>10865419096.272161</v>
      </c>
      <c r="F9" s="208"/>
      <c r="G9" s="73">
        <f>SUM(G7:G8)</f>
        <v>-15646341</v>
      </c>
    </row>
    <row r="10" spans="1:7" x14ac:dyDescent="0.2">
      <c r="A10" s="123">
        <f t="shared" si="0"/>
        <v>4</v>
      </c>
      <c r="B10" s="123"/>
      <c r="D10" s="101"/>
      <c r="F10" s="122"/>
      <c r="G10" s="72"/>
    </row>
    <row r="11" spans="1:7" x14ac:dyDescent="0.2">
      <c r="A11" s="123">
        <f t="shared" si="0"/>
        <v>5</v>
      </c>
      <c r="B11" s="123">
        <v>8</v>
      </c>
      <c r="D11" s="101">
        <f>+'TY June 2020 Proforma Rev'!E12</f>
        <v>252362620.54679149</v>
      </c>
      <c r="F11" s="122">
        <f>+'UE-200897 Sch 95A'!G10</f>
        <v>-1.451E-3</v>
      </c>
      <c r="G11" s="72">
        <f t="shared" ref="G11:G17" si="1">ROUND(D11*F11,0)</f>
        <v>-366178</v>
      </c>
    </row>
    <row r="12" spans="1:7" x14ac:dyDescent="0.2">
      <c r="A12" s="123">
        <f t="shared" si="0"/>
        <v>6</v>
      </c>
      <c r="B12" s="123">
        <v>24</v>
      </c>
      <c r="D12" s="101">
        <f>+'TY June 2020 Proforma Rev'!E13</f>
        <v>2333975906.454967</v>
      </c>
      <c r="F12" s="122">
        <f>+F11</f>
        <v>-1.451E-3</v>
      </c>
      <c r="G12" s="72">
        <f t="shared" si="1"/>
        <v>-3386599</v>
      </c>
    </row>
    <row r="13" spans="1:7" x14ac:dyDescent="0.2">
      <c r="A13" s="123">
        <f t="shared" si="0"/>
        <v>7</v>
      </c>
      <c r="B13" s="106">
        <v>11</v>
      </c>
      <c r="D13" s="101">
        <f>+'TY June 2020 Proforma Rev'!E14</f>
        <v>135958671.66260606</v>
      </c>
      <c r="F13" s="122">
        <f>+F8</f>
        <v>-1.498E-3</v>
      </c>
      <c r="G13" s="72">
        <f t="shared" si="1"/>
        <v>-203666</v>
      </c>
    </row>
    <row r="14" spans="1:7" x14ac:dyDescent="0.2">
      <c r="A14" s="232">
        <f t="shared" si="0"/>
        <v>8</v>
      </c>
      <c r="B14" s="106">
        <v>25</v>
      </c>
      <c r="D14" s="101">
        <f>+'TY June 2020 Proforma Rev'!E15</f>
        <v>2746336782.1565623</v>
      </c>
      <c r="F14" s="122">
        <f>+F13</f>
        <v>-1.498E-3</v>
      </c>
      <c r="G14" s="72">
        <f t="shared" si="1"/>
        <v>-4114012</v>
      </c>
    </row>
    <row r="15" spans="1:7" x14ac:dyDescent="0.2">
      <c r="A15" s="232">
        <f t="shared" si="0"/>
        <v>9</v>
      </c>
      <c r="B15" s="123">
        <v>12</v>
      </c>
      <c r="D15" s="101">
        <f>+'TY June 2020 Proforma Rev'!E16</f>
        <v>16430488</v>
      </c>
      <c r="F15" s="122">
        <f>+'UE-200897 Sch 95A'!G12</f>
        <v>-1.5690000000000001E-3</v>
      </c>
      <c r="G15" s="72">
        <f t="shared" si="1"/>
        <v>-25779</v>
      </c>
    </row>
    <row r="16" spans="1:7" x14ac:dyDescent="0.2">
      <c r="A16" s="232">
        <f t="shared" si="0"/>
        <v>10</v>
      </c>
      <c r="B16" s="123" t="s">
        <v>12</v>
      </c>
      <c r="D16" s="101">
        <f>+'TY June 2020 Proforma Rev'!E17</f>
        <v>1824742786.7668719</v>
      </c>
      <c r="F16" s="122">
        <f>+F15</f>
        <v>-1.5690000000000001E-3</v>
      </c>
      <c r="G16" s="72">
        <f t="shared" si="1"/>
        <v>-2863021</v>
      </c>
    </row>
    <row r="17" spans="1:7" x14ac:dyDescent="0.2">
      <c r="A17" s="232">
        <f t="shared" si="0"/>
        <v>11</v>
      </c>
      <c r="B17" s="123">
        <v>29</v>
      </c>
      <c r="D17" s="101">
        <f>+'TY June 2020 Proforma Rev'!E18</f>
        <v>11424740.434375001</v>
      </c>
      <c r="F17" s="122">
        <f>+'UE-200897 Sch 95A'!G13</f>
        <v>-1.2459999999999999E-3</v>
      </c>
      <c r="G17" s="72">
        <f t="shared" si="1"/>
        <v>-14235</v>
      </c>
    </row>
    <row r="18" spans="1:7" x14ac:dyDescent="0.2">
      <c r="A18" s="232">
        <f t="shared" si="0"/>
        <v>12</v>
      </c>
      <c r="B18" s="123"/>
      <c r="C18" s="207" t="s">
        <v>13</v>
      </c>
      <c r="D18" s="117">
        <f>SUM(D11:D17)</f>
        <v>7321231996.0221739</v>
      </c>
      <c r="F18" s="208"/>
      <c r="G18" s="73">
        <f>SUM(G11:G17)</f>
        <v>-10973490</v>
      </c>
    </row>
    <row r="19" spans="1:7" x14ac:dyDescent="0.2">
      <c r="A19" s="232">
        <f t="shared" si="0"/>
        <v>13</v>
      </c>
      <c r="B19" s="123"/>
      <c r="D19" s="101"/>
      <c r="F19" s="122"/>
      <c r="G19" s="72"/>
    </row>
    <row r="20" spans="1:7" x14ac:dyDescent="0.2">
      <c r="A20" s="232">
        <f t="shared" si="0"/>
        <v>14</v>
      </c>
      <c r="B20" s="123">
        <v>10</v>
      </c>
      <c r="D20" s="101">
        <f>+'TY June 2020 Proforma Rev'!E21</f>
        <v>25573920</v>
      </c>
      <c r="F20" s="122">
        <f>+'UE-200897 Sch 95A'!G17</f>
        <v>-1.4350000000000001E-3</v>
      </c>
      <c r="G20" s="72">
        <f>ROUND(D20*F20,0)</f>
        <v>-36699</v>
      </c>
    </row>
    <row r="21" spans="1:7" x14ac:dyDescent="0.2">
      <c r="A21" s="232">
        <f t="shared" si="0"/>
        <v>15</v>
      </c>
      <c r="B21" s="123">
        <v>31</v>
      </c>
      <c r="D21" s="101">
        <f>+'TY June 2020 Proforma Rev'!E22</f>
        <v>1310080421.1168144</v>
      </c>
      <c r="F21" s="122">
        <f>+F20</f>
        <v>-1.4350000000000001E-3</v>
      </c>
      <c r="G21" s="72">
        <f>ROUND(D21*F21,0)</f>
        <v>-1879965</v>
      </c>
    </row>
    <row r="22" spans="1:7" x14ac:dyDescent="0.2">
      <c r="A22" s="232">
        <f t="shared" si="0"/>
        <v>16</v>
      </c>
      <c r="B22" s="123">
        <v>35</v>
      </c>
      <c r="D22" s="101">
        <f>+'TY June 2020 Proforma Rev'!E23</f>
        <v>5945040</v>
      </c>
      <c r="F22" s="122">
        <f>+'UE-200897 Sch 95A'!G18</f>
        <v>-1.0690000000000001E-3</v>
      </c>
      <c r="G22" s="72">
        <f>ROUND(D22*F22,0)</f>
        <v>-6355</v>
      </c>
    </row>
    <row r="23" spans="1:7" x14ac:dyDescent="0.2">
      <c r="A23" s="232">
        <f t="shared" si="0"/>
        <v>17</v>
      </c>
      <c r="B23" s="123">
        <v>43</v>
      </c>
      <c r="D23" s="101">
        <f>+'TY June 2020 Proforma Rev'!E24</f>
        <v>116280759.88464826</v>
      </c>
      <c r="F23" s="122">
        <f>+'UE-200897 Sch 95A'!G19</f>
        <v>-1.1460000000000001E-3</v>
      </c>
      <c r="G23" s="72">
        <f>ROUND(D23*F23,0)</f>
        <v>-133258</v>
      </c>
    </row>
    <row r="24" spans="1:7" x14ac:dyDescent="0.2">
      <c r="A24" s="232">
        <f t="shared" si="0"/>
        <v>18</v>
      </c>
      <c r="B24" s="123"/>
      <c r="C24" s="88" t="s">
        <v>14</v>
      </c>
      <c r="D24" s="117">
        <f>SUM(D20:D23)</f>
        <v>1457880141.0014627</v>
      </c>
      <c r="F24" s="208"/>
      <c r="G24" s="73">
        <f>SUM(G20:G23)</f>
        <v>-2056277</v>
      </c>
    </row>
    <row r="25" spans="1:7" x14ac:dyDescent="0.2">
      <c r="A25" s="232">
        <f t="shared" si="0"/>
        <v>19</v>
      </c>
      <c r="B25" s="123"/>
      <c r="D25" s="101"/>
      <c r="F25" s="122"/>
      <c r="G25" s="72"/>
    </row>
    <row r="26" spans="1:7" x14ac:dyDescent="0.2">
      <c r="A26" s="379">
        <f t="shared" si="0"/>
        <v>20</v>
      </c>
      <c r="B26" s="123">
        <v>46</v>
      </c>
      <c r="D26" s="101">
        <f>+'TY June 2020 Proforma Rev'!E27</f>
        <v>81635228</v>
      </c>
      <c r="F26" s="122">
        <f>+'UE-200897 Sch 95A'!G23</f>
        <v>-1.225E-3</v>
      </c>
      <c r="G26" s="72">
        <f>ROUND(D26*F26,0)</f>
        <v>-100003</v>
      </c>
    </row>
    <row r="27" spans="1:7" x14ac:dyDescent="0.2">
      <c r="A27" s="379">
        <f t="shared" si="0"/>
        <v>21</v>
      </c>
      <c r="B27" s="123">
        <v>49</v>
      </c>
      <c r="D27" s="101">
        <f>+'TY June 2020 Proforma Rev'!E28</f>
        <v>563071445.51999998</v>
      </c>
      <c r="F27" s="122">
        <f>+'UE-200897 Sch 95A'!G24</f>
        <v>-1.3259999999999999E-3</v>
      </c>
      <c r="G27" s="72">
        <f>ROUND(D27*F27,0)</f>
        <v>-746633</v>
      </c>
    </row>
    <row r="28" spans="1:7" x14ac:dyDescent="0.2">
      <c r="A28" s="379">
        <f t="shared" si="0"/>
        <v>22</v>
      </c>
      <c r="B28" s="123"/>
      <c r="C28" s="88" t="s">
        <v>15</v>
      </c>
      <c r="D28" s="117">
        <f>SUM(D26:D27)</f>
        <v>644706673.51999998</v>
      </c>
      <c r="F28" s="208"/>
      <c r="G28" s="73">
        <f>SUM(G26:G27)</f>
        <v>-846636</v>
      </c>
    </row>
    <row r="29" spans="1:7" x14ac:dyDescent="0.2">
      <c r="A29" s="379">
        <f t="shared" si="0"/>
        <v>23</v>
      </c>
      <c r="B29" s="123"/>
      <c r="D29" s="101"/>
      <c r="F29" s="122"/>
      <c r="G29" s="72"/>
    </row>
    <row r="30" spans="1:7" x14ac:dyDescent="0.2">
      <c r="A30" s="379">
        <f t="shared" si="0"/>
        <v>24</v>
      </c>
      <c r="B30" s="244" t="s">
        <v>16</v>
      </c>
      <c r="C30" s="88" t="s">
        <v>108</v>
      </c>
      <c r="D30" s="101">
        <f>+'TY June 2020 Proforma Rev'!E31</f>
        <v>68936797.67750001</v>
      </c>
      <c r="F30" s="122">
        <f>+'UE-200897 Sch 95A'!G28</f>
        <v>-1.438E-3</v>
      </c>
      <c r="G30" s="72">
        <f>ROUND(D30*F30,0)</f>
        <v>-99131</v>
      </c>
    </row>
    <row r="31" spans="1:7" x14ac:dyDescent="0.2">
      <c r="A31" s="245">
        <f t="shared" si="0"/>
        <v>25</v>
      </c>
      <c r="B31" s="244" t="s">
        <v>17</v>
      </c>
      <c r="C31" s="88" t="s">
        <v>110</v>
      </c>
      <c r="D31" s="101">
        <f>+'TY June 2020 Proforma Rev'!E32</f>
        <v>1993508561.5469999</v>
      </c>
      <c r="F31" s="122">
        <v>0</v>
      </c>
      <c r="G31" s="72">
        <f>ROUND(D31*F31,0)</f>
        <v>0</v>
      </c>
    </row>
    <row r="32" spans="1:7" x14ac:dyDescent="0.2">
      <c r="A32" s="245">
        <f t="shared" si="0"/>
        <v>26</v>
      </c>
      <c r="B32" s="244" t="s">
        <v>347</v>
      </c>
      <c r="C32" s="88" t="s">
        <v>265</v>
      </c>
      <c r="D32" s="101">
        <f>+'TY June 2020 Proforma Rev'!E33</f>
        <v>303234527.03700018</v>
      </c>
      <c r="F32" s="122">
        <v>0</v>
      </c>
      <c r="G32" s="72">
        <f>ROUND(D32*F32,0)</f>
        <v>0</v>
      </c>
    </row>
    <row r="33" spans="1:7" x14ac:dyDescent="0.2">
      <c r="A33" s="245">
        <f t="shared" si="0"/>
        <v>27</v>
      </c>
      <c r="B33" s="244">
        <v>5</v>
      </c>
      <c r="C33" s="88" t="s">
        <v>80</v>
      </c>
      <c r="D33" s="101">
        <f>+'TY June 2020 Proforma Rev'!E34</f>
        <v>7369853.2214806583</v>
      </c>
      <c r="F33" s="122">
        <v>0</v>
      </c>
      <c r="G33" s="72">
        <f>ROUND(D33*F33,0)</f>
        <v>0</v>
      </c>
    </row>
    <row r="34" spans="1:7" x14ac:dyDescent="0.2">
      <c r="A34" s="245">
        <f t="shared" si="0"/>
        <v>28</v>
      </c>
      <c r="B34" s="244"/>
      <c r="D34" s="101"/>
      <c r="G34" s="72"/>
    </row>
    <row r="35" spans="1:7" ht="12" thickBot="1" x14ac:dyDescent="0.25">
      <c r="A35" s="245">
        <f t="shared" si="0"/>
        <v>29</v>
      </c>
      <c r="B35" s="244"/>
      <c r="C35" s="246" t="s">
        <v>81</v>
      </c>
      <c r="D35" s="120">
        <f>SUM(D30:D33,D28,D24,D18,D9)</f>
        <v>22662287646.298782</v>
      </c>
      <c r="G35" s="137">
        <f>SUM(G30:G33,G28,G24,G18,G9)</f>
        <v>-29621875</v>
      </c>
    </row>
    <row r="36" spans="1:7" ht="12" thickTop="1" x14ac:dyDescent="0.2">
      <c r="G36" s="72"/>
    </row>
    <row r="37" spans="1:7" x14ac:dyDescent="0.2">
      <c r="D37" s="101"/>
    </row>
  </sheetData>
  <mergeCells count="4">
    <mergeCell ref="A4:D4"/>
    <mergeCell ref="A1:G1"/>
    <mergeCell ref="A2:G2"/>
    <mergeCell ref="A3:G3"/>
  </mergeCells>
  <printOptions horizontalCentered="1"/>
  <pageMargins left="0.7" right="0.7" top="0.75" bottom="0.85" header="0.3" footer="0.3"/>
  <pageSetup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37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7" sqref="G7"/>
    </sheetView>
  </sheetViews>
  <sheetFormatPr defaultColWidth="8.85546875" defaultRowHeight="11.25" x14ac:dyDescent="0.2"/>
  <cols>
    <col min="1" max="1" width="7.7109375" style="88" bestFit="1" customWidth="1"/>
    <col min="2" max="2" width="10.28515625" style="88" bestFit="1" customWidth="1"/>
    <col min="3" max="3" width="21" style="88" bestFit="1" customWidth="1"/>
    <col min="4" max="4" width="15.140625" style="88" bestFit="1" customWidth="1"/>
    <col min="5" max="5" width="0.7109375" style="88" customWidth="1"/>
    <col min="6" max="6" width="10.85546875" style="88" bestFit="1" customWidth="1"/>
    <col min="7" max="7" width="13.5703125" style="88" bestFit="1" customWidth="1"/>
    <col min="8" max="8" width="1.140625" style="88" customWidth="1"/>
    <col min="9" max="16384" width="8.85546875" style="88"/>
  </cols>
  <sheetData>
    <row r="1" spans="1:8" ht="12.75" x14ac:dyDescent="0.2">
      <c r="A1" s="616" t="s">
        <v>0</v>
      </c>
      <c r="B1" s="616"/>
      <c r="C1" s="616"/>
      <c r="D1" s="616"/>
      <c r="E1" s="619"/>
      <c r="F1" s="619"/>
      <c r="G1" s="619"/>
      <c r="H1" s="619"/>
    </row>
    <row r="2" spans="1:8" ht="12.75" x14ac:dyDescent="0.2">
      <c r="A2" s="616" t="s">
        <v>176</v>
      </c>
      <c r="B2" s="616"/>
      <c r="C2" s="616"/>
      <c r="D2" s="616"/>
      <c r="E2" s="619"/>
      <c r="F2" s="619"/>
      <c r="G2" s="619"/>
      <c r="H2" s="619"/>
    </row>
    <row r="3" spans="1:8" ht="12.75" x14ac:dyDescent="0.2">
      <c r="A3" s="616" t="str">
        <f>+'Exh BDJ-8 p1-2 (Rate Impacts)'!A3</f>
        <v>Test Year Ended June 30, 2020</v>
      </c>
      <c r="B3" s="616"/>
      <c r="C3" s="616"/>
      <c r="D3" s="616"/>
      <c r="E3" s="619"/>
      <c r="F3" s="619"/>
      <c r="G3" s="619"/>
      <c r="H3" s="619"/>
    </row>
    <row r="4" spans="1:8" x14ac:dyDescent="0.2">
      <c r="A4" s="609"/>
      <c r="B4" s="609"/>
      <c r="C4" s="609"/>
      <c r="D4" s="609"/>
    </row>
    <row r="5" spans="1:8" x14ac:dyDescent="0.2">
      <c r="A5" s="106"/>
      <c r="B5" s="123"/>
      <c r="C5" s="123"/>
      <c r="D5" s="123"/>
    </row>
    <row r="6" spans="1:8" ht="56.25" x14ac:dyDescent="0.2">
      <c r="A6" s="215" t="s">
        <v>3</v>
      </c>
      <c r="B6" s="215" t="s">
        <v>4</v>
      </c>
      <c r="C6" s="215" t="s">
        <v>34</v>
      </c>
      <c r="D6" s="216" t="str">
        <f>+'Exh BDJ-8 p1-2 (Rate Impacts)'!C6</f>
        <v>Annual kWh Normalized &amp; Delivered Sales  07/01/19 to 06/30/20</v>
      </c>
      <c r="E6" s="158"/>
      <c r="F6" s="216" t="s">
        <v>542</v>
      </c>
      <c r="G6" s="216" t="s">
        <v>177</v>
      </c>
      <c r="H6" s="158"/>
    </row>
    <row r="7" spans="1:8" x14ac:dyDescent="0.2">
      <c r="A7" s="123">
        <v>1</v>
      </c>
      <c r="B7" s="123">
        <v>7</v>
      </c>
      <c r="D7" s="101">
        <f>+'TY June 2020 Proforma Rev'!E8</f>
        <v>10863043096.272161</v>
      </c>
      <c r="E7" s="122"/>
      <c r="F7" s="122">
        <f>+'UE-210140 Sch 120'!G7</f>
        <v>3.8249999999999998E-3</v>
      </c>
      <c r="G7" s="72">
        <f>ROUND(D7*F7,0)</f>
        <v>41551140</v>
      </c>
    </row>
    <row r="8" spans="1:8" x14ac:dyDescent="0.2">
      <c r="A8" s="123">
        <f t="shared" ref="A8:A35" si="0">+A7+1</f>
        <v>2</v>
      </c>
      <c r="B8" s="106" t="s">
        <v>10</v>
      </c>
      <c r="D8" s="101">
        <f>+'TY June 2020 Proforma Rev'!E9</f>
        <v>2376000</v>
      </c>
      <c r="E8" s="122"/>
      <c r="F8" s="122">
        <f>+'UE-210140 Sch 120'!G10</f>
        <v>4.0879999999999996E-3</v>
      </c>
      <c r="G8" s="72">
        <f>ROUND(D8*F8,0)</f>
        <v>9713</v>
      </c>
    </row>
    <row r="9" spans="1:8" x14ac:dyDescent="0.2">
      <c r="A9" s="123">
        <f t="shared" si="0"/>
        <v>3</v>
      </c>
      <c r="B9" s="123"/>
      <c r="C9" s="88" t="s">
        <v>11</v>
      </c>
      <c r="D9" s="117">
        <f>SUM(D7:D8)</f>
        <v>10865419096.272161</v>
      </c>
      <c r="E9" s="208"/>
      <c r="F9" s="208"/>
      <c r="G9" s="73">
        <f>SUM(G7:G8)</f>
        <v>41560853</v>
      </c>
    </row>
    <row r="10" spans="1:8" x14ac:dyDescent="0.2">
      <c r="A10" s="123">
        <f t="shared" si="0"/>
        <v>4</v>
      </c>
      <c r="B10" s="123"/>
      <c r="D10" s="101"/>
      <c r="E10" s="122"/>
      <c r="F10" s="122"/>
      <c r="G10" s="72"/>
    </row>
    <row r="11" spans="1:8" x14ac:dyDescent="0.2">
      <c r="A11" s="123">
        <f t="shared" si="0"/>
        <v>5</v>
      </c>
      <c r="B11" s="123">
        <v>8</v>
      </c>
      <c r="D11" s="101">
        <f>+'TY June 2020 Proforma Rev'!E12</f>
        <v>252362620.54679149</v>
      </c>
      <c r="E11" s="122"/>
      <c r="F11" s="122">
        <f>+'UE-210140 Sch 120'!G9</f>
        <v>3.8500000000000001E-3</v>
      </c>
      <c r="G11" s="72">
        <f t="shared" ref="G11:G17" si="1">ROUND(D11*F11,0)</f>
        <v>971596</v>
      </c>
    </row>
    <row r="12" spans="1:8" x14ac:dyDescent="0.2">
      <c r="A12" s="123">
        <f t="shared" si="0"/>
        <v>6</v>
      </c>
      <c r="B12" s="123">
        <v>24</v>
      </c>
      <c r="D12" s="101">
        <f>+'TY June 2020 Proforma Rev'!E13</f>
        <v>2333975906.454967</v>
      </c>
      <c r="E12" s="122"/>
      <c r="F12" s="122">
        <f>+F11</f>
        <v>3.8500000000000001E-3</v>
      </c>
      <c r="G12" s="72">
        <f t="shared" si="1"/>
        <v>8985807</v>
      </c>
    </row>
    <row r="13" spans="1:8" x14ac:dyDescent="0.2">
      <c r="A13" s="123">
        <f t="shared" si="0"/>
        <v>7</v>
      </c>
      <c r="B13" s="106">
        <v>11</v>
      </c>
      <c r="D13" s="101">
        <f>+'TY June 2020 Proforma Rev'!E14</f>
        <v>135958671.66260606</v>
      </c>
      <c r="E13" s="122"/>
      <c r="F13" s="122">
        <f>+F8</f>
        <v>4.0879999999999996E-3</v>
      </c>
      <c r="G13" s="72">
        <f t="shared" si="1"/>
        <v>555799</v>
      </c>
    </row>
    <row r="14" spans="1:8" x14ac:dyDescent="0.2">
      <c r="A14" s="123">
        <f t="shared" si="0"/>
        <v>8</v>
      </c>
      <c r="B14" s="106">
        <v>25</v>
      </c>
      <c r="D14" s="101">
        <f>+'TY June 2020 Proforma Rev'!E15</f>
        <v>2746336782.1565623</v>
      </c>
      <c r="E14" s="122"/>
      <c r="F14" s="122">
        <f>+F13</f>
        <v>4.0879999999999996E-3</v>
      </c>
      <c r="G14" s="72">
        <f t="shared" si="1"/>
        <v>11227025</v>
      </c>
    </row>
    <row r="15" spans="1:8" x14ac:dyDescent="0.2">
      <c r="A15" s="123">
        <f t="shared" si="0"/>
        <v>9</v>
      </c>
      <c r="B15" s="123">
        <v>12</v>
      </c>
      <c r="D15" s="101">
        <f>+'TY June 2020 Proforma Rev'!E16</f>
        <v>16430488</v>
      </c>
      <c r="E15" s="122"/>
      <c r="F15" s="122">
        <f>+'UE-210140 Sch 120'!G11</f>
        <v>4.1999999999999997E-3</v>
      </c>
      <c r="G15" s="72">
        <f t="shared" si="1"/>
        <v>69008</v>
      </c>
    </row>
    <row r="16" spans="1:8" x14ac:dyDescent="0.2">
      <c r="A16" s="123">
        <f t="shared" si="0"/>
        <v>10</v>
      </c>
      <c r="B16" s="123" t="s">
        <v>12</v>
      </c>
      <c r="D16" s="101">
        <f>+'TY June 2020 Proforma Rev'!E17</f>
        <v>1824742786.7668719</v>
      </c>
      <c r="E16" s="122"/>
      <c r="F16" s="122">
        <f>+F15</f>
        <v>4.1999999999999997E-3</v>
      </c>
      <c r="G16" s="72">
        <f t="shared" si="1"/>
        <v>7663920</v>
      </c>
    </row>
    <row r="17" spans="1:7" x14ac:dyDescent="0.2">
      <c r="A17" s="123">
        <f t="shared" si="0"/>
        <v>11</v>
      </c>
      <c r="B17" s="123">
        <v>29</v>
      </c>
      <c r="D17" s="101">
        <f>+'TY June 2020 Proforma Rev'!E18</f>
        <v>11424740.434375001</v>
      </c>
      <c r="E17" s="122"/>
      <c r="F17" s="122">
        <f>+'UE-210140 Sch 120'!G12</f>
        <v>3.4199999999999999E-3</v>
      </c>
      <c r="G17" s="72">
        <f t="shared" si="1"/>
        <v>39073</v>
      </c>
    </row>
    <row r="18" spans="1:7" x14ac:dyDescent="0.2">
      <c r="A18" s="123">
        <f t="shared" si="0"/>
        <v>12</v>
      </c>
      <c r="B18" s="123"/>
      <c r="C18" s="207" t="s">
        <v>13</v>
      </c>
      <c r="D18" s="117">
        <f>SUM(D11:D17)</f>
        <v>7321231996.0221739</v>
      </c>
      <c r="E18" s="208"/>
      <c r="F18" s="208"/>
      <c r="G18" s="73">
        <f>SUM(G11:G17)</f>
        <v>29512228</v>
      </c>
    </row>
    <row r="19" spans="1:7" x14ac:dyDescent="0.2">
      <c r="A19" s="123">
        <f t="shared" si="0"/>
        <v>13</v>
      </c>
      <c r="B19" s="123"/>
      <c r="D19" s="101"/>
      <c r="E19" s="122"/>
      <c r="F19" s="122"/>
      <c r="G19" s="72"/>
    </row>
    <row r="20" spans="1:7" x14ac:dyDescent="0.2">
      <c r="A20" s="123">
        <f t="shared" si="0"/>
        <v>14</v>
      </c>
      <c r="B20" s="123">
        <v>10</v>
      </c>
      <c r="D20" s="101">
        <f>+'TY June 2020 Proforma Rev'!E21</f>
        <v>25573920</v>
      </c>
      <c r="E20" s="122"/>
      <c r="F20" s="122">
        <f>+'UE-210140 Sch 120'!G16</f>
        <v>3.8219999999999999E-3</v>
      </c>
      <c r="G20" s="72">
        <f>ROUND(D20*F20,0)</f>
        <v>97744</v>
      </c>
    </row>
    <row r="21" spans="1:7" x14ac:dyDescent="0.2">
      <c r="A21" s="123">
        <f t="shared" si="0"/>
        <v>15</v>
      </c>
      <c r="B21" s="123">
        <v>31</v>
      </c>
      <c r="D21" s="101">
        <f>+'TY June 2020 Proforma Rev'!E22</f>
        <v>1310080421.1168144</v>
      </c>
      <c r="E21" s="122"/>
      <c r="F21" s="122">
        <f>+F20</f>
        <v>3.8219999999999999E-3</v>
      </c>
      <c r="G21" s="72">
        <f>ROUND(D21*F21,0)</f>
        <v>5007127</v>
      </c>
    </row>
    <row r="22" spans="1:7" x14ac:dyDescent="0.2">
      <c r="A22" s="379">
        <f t="shared" si="0"/>
        <v>16</v>
      </c>
      <c r="B22" s="123">
        <v>35</v>
      </c>
      <c r="D22" s="101">
        <f>+'TY June 2020 Proforma Rev'!E23</f>
        <v>5945040</v>
      </c>
      <c r="E22" s="122"/>
      <c r="F22" s="122">
        <f>+'UE-210140 Sch 120'!G17</f>
        <v>2.8170000000000001E-3</v>
      </c>
      <c r="G22" s="72">
        <f>ROUND(D22*F22,0)</f>
        <v>16747</v>
      </c>
    </row>
    <row r="23" spans="1:7" x14ac:dyDescent="0.2">
      <c r="A23" s="379">
        <f t="shared" si="0"/>
        <v>17</v>
      </c>
      <c r="B23" s="123">
        <v>43</v>
      </c>
      <c r="D23" s="101">
        <f>+'TY June 2020 Proforma Rev'!E24</f>
        <v>116280759.88464826</v>
      </c>
      <c r="E23" s="122"/>
      <c r="F23" s="122">
        <f>+'UE-210140 Sch 120'!G18</f>
        <v>3.0660000000000001E-3</v>
      </c>
      <c r="G23" s="72">
        <f>ROUND(D23*F23,0)</f>
        <v>356517</v>
      </c>
    </row>
    <row r="24" spans="1:7" x14ac:dyDescent="0.2">
      <c r="A24" s="379">
        <f t="shared" si="0"/>
        <v>18</v>
      </c>
      <c r="B24" s="123"/>
      <c r="C24" s="88" t="s">
        <v>14</v>
      </c>
      <c r="D24" s="117">
        <f>SUM(D20:D23)</f>
        <v>1457880141.0014627</v>
      </c>
      <c r="E24" s="208"/>
      <c r="F24" s="208"/>
      <c r="G24" s="73">
        <f>SUM(G20:G23)</f>
        <v>5478135</v>
      </c>
    </row>
    <row r="25" spans="1:7" x14ac:dyDescent="0.2">
      <c r="A25" s="379">
        <f t="shared" si="0"/>
        <v>19</v>
      </c>
      <c r="B25" s="123"/>
      <c r="D25" s="101"/>
      <c r="E25" s="122"/>
      <c r="F25" s="122"/>
      <c r="G25" s="72"/>
    </row>
    <row r="26" spans="1:7" x14ac:dyDescent="0.2">
      <c r="A26" s="379">
        <f t="shared" si="0"/>
        <v>20</v>
      </c>
      <c r="B26" s="123">
        <v>46</v>
      </c>
      <c r="D26" s="101">
        <f>+'TY June 2020 Proforma Rev'!E27</f>
        <v>81635228</v>
      </c>
      <c r="E26" s="122"/>
      <c r="F26" s="122">
        <f>+'UE-210140 Sch 120'!G22</f>
        <v>3.5590000000000001E-3</v>
      </c>
      <c r="G26" s="72">
        <f>ROUND(D26*F26,0)</f>
        <v>290540</v>
      </c>
    </row>
    <row r="27" spans="1:7" x14ac:dyDescent="0.2">
      <c r="A27" s="379">
        <f t="shared" si="0"/>
        <v>21</v>
      </c>
      <c r="B27" s="123">
        <v>49</v>
      </c>
      <c r="D27" s="101">
        <f>+'TY June 2020 Proforma Rev'!E28</f>
        <v>563071445.51999998</v>
      </c>
      <c r="E27" s="122"/>
      <c r="F27" s="122">
        <f>+'UE-210140 Sch 120'!G23</f>
        <v>3.49E-3</v>
      </c>
      <c r="G27" s="72">
        <f>ROUND(D27*F27,0)</f>
        <v>1965119</v>
      </c>
    </row>
    <row r="28" spans="1:7" x14ac:dyDescent="0.2">
      <c r="A28" s="379">
        <f t="shared" si="0"/>
        <v>22</v>
      </c>
      <c r="B28" s="123"/>
      <c r="C28" s="88" t="s">
        <v>15</v>
      </c>
      <c r="D28" s="117">
        <f>SUM(D26:D27)</f>
        <v>644706673.51999998</v>
      </c>
      <c r="E28" s="208"/>
      <c r="F28" s="208"/>
      <c r="G28" s="73">
        <f>SUM(G26:G27)</f>
        <v>2255659</v>
      </c>
    </row>
    <row r="29" spans="1:7" x14ac:dyDescent="0.2">
      <c r="A29" s="379">
        <f t="shared" si="0"/>
        <v>23</v>
      </c>
      <c r="B29" s="123"/>
      <c r="D29" s="101"/>
      <c r="E29" s="122"/>
      <c r="F29" s="122"/>
      <c r="G29" s="72"/>
    </row>
    <row r="30" spans="1:7" x14ac:dyDescent="0.2">
      <c r="A30" s="245">
        <f t="shared" si="0"/>
        <v>24</v>
      </c>
      <c r="B30" s="244" t="s">
        <v>16</v>
      </c>
      <c r="C30" s="88" t="s">
        <v>108</v>
      </c>
      <c r="D30" s="101">
        <f>+'TY June 2020 Proforma Rev'!E31</f>
        <v>68936797.67750001</v>
      </c>
      <c r="E30" s="122"/>
      <c r="F30" s="122">
        <f>+'UE-210140 Sch 120'!G31</f>
        <v>3.607E-3</v>
      </c>
      <c r="G30" s="72">
        <f>ROUND(D30*F30,0)</f>
        <v>248655</v>
      </c>
    </row>
    <row r="31" spans="1:7" x14ac:dyDescent="0.2">
      <c r="A31" s="245">
        <f t="shared" si="0"/>
        <v>25</v>
      </c>
      <c r="B31" s="244" t="s">
        <v>17</v>
      </c>
      <c r="C31" s="88" t="s">
        <v>110</v>
      </c>
      <c r="D31" s="101">
        <f>+'TY June 2020 Proforma Rev'!E32</f>
        <v>1993508561.5469999</v>
      </c>
      <c r="E31" s="122"/>
      <c r="F31" s="122">
        <f>+'UE-210140 Sch 120'!G27</f>
        <v>1.047E-3</v>
      </c>
      <c r="G31" s="72">
        <f>ROUND(D31*F31,0)</f>
        <v>2087203</v>
      </c>
    </row>
    <row r="32" spans="1:7" x14ac:dyDescent="0.2">
      <c r="A32" s="245">
        <f t="shared" si="0"/>
        <v>26</v>
      </c>
      <c r="B32" s="244" t="s">
        <v>347</v>
      </c>
      <c r="C32" s="88" t="s">
        <v>265</v>
      </c>
      <c r="D32" s="101">
        <f>+'TY June 2020 Proforma Rev'!E33</f>
        <v>303234527.03700018</v>
      </c>
      <c r="E32" s="122"/>
      <c r="F32" s="122">
        <f>+'UE-210140 Sch 120'!G29</f>
        <v>2.2720000000000001E-3</v>
      </c>
      <c r="G32" s="72">
        <f>ROUND(D32*F32,0)</f>
        <v>688949</v>
      </c>
    </row>
    <row r="33" spans="1:7" x14ac:dyDescent="0.2">
      <c r="A33" s="245">
        <f t="shared" si="0"/>
        <v>27</v>
      </c>
      <c r="B33" s="244">
        <v>5</v>
      </c>
      <c r="C33" s="88" t="s">
        <v>80</v>
      </c>
      <c r="D33" s="101">
        <f>+'TY June 2020 Proforma Rev'!E34</f>
        <v>7369853.2214806583</v>
      </c>
      <c r="E33" s="122"/>
      <c r="F33" s="122">
        <v>0</v>
      </c>
      <c r="G33" s="72">
        <f>ROUND(D33*F33,0)</f>
        <v>0</v>
      </c>
    </row>
    <row r="34" spans="1:7" x14ac:dyDescent="0.2">
      <c r="A34" s="245">
        <f t="shared" si="0"/>
        <v>28</v>
      </c>
      <c r="B34" s="244"/>
      <c r="D34" s="101"/>
      <c r="G34" s="72"/>
    </row>
    <row r="35" spans="1:7" ht="12" thickBot="1" x14ac:dyDescent="0.25">
      <c r="A35" s="245">
        <f t="shared" si="0"/>
        <v>29</v>
      </c>
      <c r="B35" s="244"/>
      <c r="C35" s="246" t="s">
        <v>81</v>
      </c>
      <c r="D35" s="120">
        <f>SUM(D30:D33,D28,D24,D18,D9)</f>
        <v>22662287646.298782</v>
      </c>
      <c r="E35" s="122"/>
      <c r="G35" s="137">
        <f>SUM(G30:G33,G28,G24,G18,G9)</f>
        <v>81831682</v>
      </c>
    </row>
    <row r="36" spans="1:7" ht="12" thickTop="1" x14ac:dyDescent="0.2"/>
    <row r="37" spans="1:7" x14ac:dyDescent="0.2">
      <c r="G37" s="72"/>
    </row>
  </sheetData>
  <mergeCells count="4">
    <mergeCell ref="A4:D4"/>
    <mergeCell ref="A1:H1"/>
    <mergeCell ref="A2:H2"/>
    <mergeCell ref="A3:H3"/>
  </mergeCells>
  <printOptions horizontalCentered="1"/>
  <pageMargins left="0.7" right="0.7" top="0.75" bottom="0.81" header="0.3" footer="0.3"/>
  <pageSetup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37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7" sqref="F7"/>
    </sheetView>
  </sheetViews>
  <sheetFormatPr defaultColWidth="8.85546875" defaultRowHeight="11.25" x14ac:dyDescent="0.2"/>
  <cols>
    <col min="1" max="1" width="7.7109375" style="88" bestFit="1" customWidth="1"/>
    <col min="2" max="2" width="10.28515625" style="88" bestFit="1" customWidth="1"/>
    <col min="3" max="3" width="21" style="88" bestFit="1" customWidth="1"/>
    <col min="4" max="4" width="15.140625" style="88" bestFit="1" customWidth="1"/>
    <col min="5" max="5" width="14" style="88" bestFit="1" customWidth="1"/>
    <col min="6" max="6" width="10.7109375" style="88" bestFit="1" customWidth="1"/>
    <col min="7" max="7" width="8.85546875" style="88"/>
    <col min="8" max="8" width="10.5703125" style="88" bestFit="1" customWidth="1"/>
    <col min="9" max="16384" width="8.85546875" style="88"/>
  </cols>
  <sheetData>
    <row r="1" spans="1:8" ht="12.75" x14ac:dyDescent="0.2">
      <c r="A1" s="616" t="s">
        <v>0</v>
      </c>
      <c r="B1" s="616"/>
      <c r="C1" s="616"/>
      <c r="D1" s="616"/>
      <c r="E1" s="619"/>
      <c r="F1" s="619"/>
    </row>
    <row r="2" spans="1:8" ht="12.75" x14ac:dyDescent="0.2">
      <c r="A2" s="616" t="s">
        <v>179</v>
      </c>
      <c r="B2" s="616"/>
      <c r="C2" s="616"/>
      <c r="D2" s="616"/>
      <c r="E2" s="619"/>
      <c r="F2" s="619"/>
    </row>
    <row r="3" spans="1:8" ht="12.75" x14ac:dyDescent="0.2">
      <c r="A3" s="616" t="str">
        <f>+'Exh BDJ-8 p1-2 (Rate Impacts)'!A3</f>
        <v>Test Year Ended June 30, 2020</v>
      </c>
      <c r="B3" s="616"/>
      <c r="C3" s="616"/>
      <c r="D3" s="616"/>
      <c r="E3" s="619"/>
      <c r="F3" s="619"/>
    </row>
    <row r="4" spans="1:8" x14ac:dyDescent="0.2">
      <c r="A4" s="609"/>
      <c r="B4" s="609"/>
      <c r="C4" s="609"/>
      <c r="D4" s="609"/>
    </row>
    <row r="5" spans="1:8" x14ac:dyDescent="0.2">
      <c r="A5" s="106"/>
      <c r="B5" s="123"/>
      <c r="C5" s="123"/>
      <c r="D5" s="256"/>
    </row>
    <row r="6" spans="1:8" ht="56.25" x14ac:dyDescent="0.2">
      <c r="A6" s="215" t="s">
        <v>3</v>
      </c>
      <c r="B6" s="215" t="s">
        <v>4</v>
      </c>
      <c r="C6" s="215" t="s">
        <v>34</v>
      </c>
      <c r="D6" s="269" t="str">
        <f>+'Exh BDJ-8 p1-2 (Rate Impacts)'!C6</f>
        <v>Annual kWh Normalized &amp; Delivered Sales  07/01/19 to 06/30/20</v>
      </c>
      <c r="E6" s="216" t="s">
        <v>395</v>
      </c>
      <c r="F6" s="216" t="s">
        <v>394</v>
      </c>
    </row>
    <row r="7" spans="1:8" x14ac:dyDescent="0.2">
      <c r="A7" s="123">
        <v>1</v>
      </c>
      <c r="B7" s="123">
        <v>7</v>
      </c>
      <c r="D7" s="101">
        <f>+'TY June 2020 Proforma Rev'!E8</f>
        <v>10863043096.272161</v>
      </c>
      <c r="E7" s="122">
        <f>+'UE-200770 Sch 129'!G9</f>
        <v>1.0640000000000001E-3</v>
      </c>
      <c r="F7" s="72">
        <f>ROUND(D7*E7,0)</f>
        <v>11558278</v>
      </c>
      <c r="H7" s="72"/>
    </row>
    <row r="8" spans="1:8" x14ac:dyDescent="0.2">
      <c r="A8" s="123">
        <f t="shared" ref="A8:A35" si="0">+A7+1</f>
        <v>2</v>
      </c>
      <c r="B8" s="106" t="s">
        <v>10</v>
      </c>
      <c r="D8" s="101">
        <f>+'TY June 2020 Proforma Rev'!E9</f>
        <v>2376000</v>
      </c>
      <c r="E8" s="122">
        <f>E13</f>
        <v>9.1500000000000001E-4</v>
      </c>
      <c r="F8" s="72">
        <f>ROUND(D8*E8,0)</f>
        <v>2174</v>
      </c>
      <c r="H8" s="72"/>
    </row>
    <row r="9" spans="1:8" x14ac:dyDescent="0.2">
      <c r="A9" s="123">
        <f t="shared" si="0"/>
        <v>3</v>
      </c>
      <c r="B9" s="123"/>
      <c r="C9" s="88" t="s">
        <v>11</v>
      </c>
      <c r="D9" s="117">
        <f>SUM(D7:D8)</f>
        <v>10865419096.272161</v>
      </c>
      <c r="E9" s="208"/>
      <c r="F9" s="73">
        <f>SUM(F7:F8)</f>
        <v>11560452</v>
      </c>
      <c r="H9" s="72"/>
    </row>
    <row r="10" spans="1:8" x14ac:dyDescent="0.2">
      <c r="A10" s="123">
        <f t="shared" si="0"/>
        <v>4</v>
      </c>
      <c r="B10" s="123"/>
      <c r="D10" s="101"/>
      <c r="E10" s="122"/>
      <c r="F10" s="72"/>
      <c r="H10" s="72"/>
    </row>
    <row r="11" spans="1:8" x14ac:dyDescent="0.2">
      <c r="A11" s="123">
        <f t="shared" si="0"/>
        <v>5</v>
      </c>
      <c r="B11" s="123">
        <v>8</v>
      </c>
      <c r="D11" s="101">
        <f>+'TY June 2020 Proforma Rev'!E12</f>
        <v>252362620.54679149</v>
      </c>
      <c r="E11" s="122">
        <f>'UE-200770 Sch 129'!G11</f>
        <v>1.0150000000000001E-3</v>
      </c>
      <c r="F11" s="72">
        <f t="shared" ref="F11:F17" si="1">ROUND(D11*E11,0)</f>
        <v>256148</v>
      </c>
      <c r="H11" s="72"/>
    </row>
    <row r="12" spans="1:8" x14ac:dyDescent="0.2">
      <c r="A12" s="123">
        <f t="shared" si="0"/>
        <v>6</v>
      </c>
      <c r="B12" s="123">
        <v>24</v>
      </c>
      <c r="D12" s="101">
        <f>+'TY June 2020 Proforma Rev'!E13</f>
        <v>2333975906.454967</v>
      </c>
      <c r="E12" s="122">
        <f>+E11</f>
        <v>1.0150000000000001E-3</v>
      </c>
      <c r="F12" s="72">
        <f t="shared" si="1"/>
        <v>2368986</v>
      </c>
      <c r="H12" s="72"/>
    </row>
    <row r="13" spans="1:8" x14ac:dyDescent="0.2">
      <c r="A13" s="123">
        <f t="shared" si="0"/>
        <v>7</v>
      </c>
      <c r="B13" s="106">
        <v>11</v>
      </c>
      <c r="D13" s="101">
        <f>+'TY June 2020 Proforma Rev'!E14</f>
        <v>135958671.66260606</v>
      </c>
      <c r="E13" s="122">
        <f>'UE-200770 Sch 129'!G12</f>
        <v>9.1500000000000001E-4</v>
      </c>
      <c r="F13" s="72">
        <f t="shared" si="1"/>
        <v>124402</v>
      </c>
      <c r="H13" s="72"/>
    </row>
    <row r="14" spans="1:8" x14ac:dyDescent="0.2">
      <c r="A14" s="123">
        <f t="shared" si="0"/>
        <v>8</v>
      </c>
      <c r="B14" s="106">
        <v>25</v>
      </c>
      <c r="D14" s="101">
        <f>+'TY June 2020 Proforma Rev'!E15</f>
        <v>2746336782.1565623</v>
      </c>
      <c r="E14" s="122">
        <f>+E13</f>
        <v>9.1500000000000001E-4</v>
      </c>
      <c r="F14" s="72">
        <f t="shared" si="1"/>
        <v>2512898</v>
      </c>
      <c r="H14" s="72"/>
    </row>
    <row r="15" spans="1:8" x14ac:dyDescent="0.2">
      <c r="A15" s="123">
        <f t="shared" si="0"/>
        <v>9</v>
      </c>
      <c r="B15" s="123">
        <v>12</v>
      </c>
      <c r="D15" s="101">
        <f>+'TY June 2020 Proforma Rev'!E16</f>
        <v>16430488</v>
      </c>
      <c r="E15" s="122">
        <f>'UE-200770 Sch 129'!G13</f>
        <v>8.4900000000000004E-4</v>
      </c>
      <c r="F15" s="72">
        <f t="shared" si="1"/>
        <v>13949</v>
      </c>
      <c r="H15" s="72"/>
    </row>
    <row r="16" spans="1:8" x14ac:dyDescent="0.2">
      <c r="A16" s="123">
        <f t="shared" si="0"/>
        <v>10</v>
      </c>
      <c r="B16" s="123" t="s">
        <v>12</v>
      </c>
      <c r="D16" s="101">
        <f>+'TY June 2020 Proforma Rev'!E17</f>
        <v>1824742786.7668719</v>
      </c>
      <c r="E16" s="122">
        <f>+E15</f>
        <v>8.4900000000000004E-4</v>
      </c>
      <c r="F16" s="72">
        <f t="shared" si="1"/>
        <v>1549207</v>
      </c>
      <c r="H16" s="72"/>
    </row>
    <row r="17" spans="1:8" x14ac:dyDescent="0.2">
      <c r="A17" s="123">
        <f t="shared" si="0"/>
        <v>11</v>
      </c>
      <c r="B17" s="123">
        <v>29</v>
      </c>
      <c r="D17" s="101">
        <f>+'TY June 2020 Proforma Rev'!E18</f>
        <v>11424740.434375001</v>
      </c>
      <c r="E17" s="122">
        <f>'UE-200770 Sch 129'!G14</f>
        <v>8.0599999999999997E-4</v>
      </c>
      <c r="F17" s="72">
        <f t="shared" si="1"/>
        <v>9208</v>
      </c>
      <c r="H17" s="72"/>
    </row>
    <row r="18" spans="1:8" x14ac:dyDescent="0.2">
      <c r="A18" s="123">
        <f t="shared" si="0"/>
        <v>12</v>
      </c>
      <c r="B18" s="123"/>
      <c r="C18" s="207" t="s">
        <v>13</v>
      </c>
      <c r="D18" s="117">
        <f>SUM(D11:D17)</f>
        <v>7321231996.0221739</v>
      </c>
      <c r="E18" s="208"/>
      <c r="F18" s="73">
        <f>SUM(F11:F17)</f>
        <v>6834798</v>
      </c>
      <c r="H18" s="72"/>
    </row>
    <row r="19" spans="1:8" x14ac:dyDescent="0.2">
      <c r="A19" s="123">
        <f t="shared" si="0"/>
        <v>13</v>
      </c>
      <c r="B19" s="123"/>
      <c r="D19" s="101"/>
      <c r="E19" s="122"/>
      <c r="F19" s="72"/>
      <c r="H19" s="72"/>
    </row>
    <row r="20" spans="1:8" x14ac:dyDescent="0.2">
      <c r="A20" s="123">
        <f t="shared" si="0"/>
        <v>14</v>
      </c>
      <c r="B20" s="123">
        <v>10</v>
      </c>
      <c r="D20" s="101">
        <f>+'TY June 2020 Proforma Rev'!E21</f>
        <v>25573920</v>
      </c>
      <c r="E20" s="122">
        <f>'UE-200770 Sch 129'!G18</f>
        <v>8.4199999999999998E-4</v>
      </c>
      <c r="F20" s="72">
        <f>ROUND(D20*E20,0)</f>
        <v>21533</v>
      </c>
      <c r="H20" s="72"/>
    </row>
    <row r="21" spans="1:8" x14ac:dyDescent="0.2">
      <c r="A21" s="123">
        <f t="shared" si="0"/>
        <v>15</v>
      </c>
      <c r="B21" s="123">
        <v>31</v>
      </c>
      <c r="D21" s="101">
        <f>+'TY June 2020 Proforma Rev'!E22</f>
        <v>1310080421.1168144</v>
      </c>
      <c r="E21" s="122">
        <f>+E20</f>
        <v>8.4199999999999998E-4</v>
      </c>
      <c r="F21" s="72">
        <f>ROUND(D21*E21,0)</f>
        <v>1103088</v>
      </c>
      <c r="H21" s="72"/>
    </row>
    <row r="22" spans="1:8" x14ac:dyDescent="0.2">
      <c r="A22" s="123">
        <f t="shared" si="0"/>
        <v>16</v>
      </c>
      <c r="B22" s="123">
        <v>35</v>
      </c>
      <c r="D22" s="101">
        <f>+'TY June 2020 Proforma Rev'!E23</f>
        <v>5945040</v>
      </c>
      <c r="E22" s="122">
        <f>'UE-200770 Sch 129'!G19</f>
        <v>6.02E-4</v>
      </c>
      <c r="F22" s="72">
        <f>ROUND(D22*E22,0)</f>
        <v>3579</v>
      </c>
      <c r="H22" s="72"/>
    </row>
    <row r="23" spans="1:8" x14ac:dyDescent="0.2">
      <c r="A23" s="123">
        <f t="shared" si="0"/>
        <v>17</v>
      </c>
      <c r="B23" s="123">
        <v>43</v>
      </c>
      <c r="D23" s="101">
        <f>+'TY June 2020 Proforma Rev'!E24</f>
        <v>116280759.88464826</v>
      </c>
      <c r="E23" s="122">
        <f>'UE-200770 Sch 129'!G20</f>
        <v>8.8999999999999995E-4</v>
      </c>
      <c r="F23" s="72">
        <f>ROUND(D23*E23,0)</f>
        <v>103490</v>
      </c>
      <c r="H23" s="72"/>
    </row>
    <row r="24" spans="1:8" x14ac:dyDescent="0.2">
      <c r="A24" s="386">
        <f t="shared" si="0"/>
        <v>18</v>
      </c>
      <c r="B24" s="123"/>
      <c r="C24" s="88" t="s">
        <v>14</v>
      </c>
      <c r="D24" s="117">
        <f>SUM(D20:D23)</f>
        <v>1457880141.0014627</v>
      </c>
      <c r="E24" s="208"/>
      <c r="F24" s="73">
        <f>SUM(F20:F23)</f>
        <v>1231690</v>
      </c>
      <c r="H24" s="72"/>
    </row>
    <row r="25" spans="1:8" x14ac:dyDescent="0.2">
      <c r="A25" s="386">
        <f t="shared" si="0"/>
        <v>19</v>
      </c>
      <c r="B25" s="123"/>
      <c r="D25" s="101"/>
      <c r="E25" s="122"/>
      <c r="F25" s="72"/>
      <c r="H25" s="72"/>
    </row>
    <row r="26" spans="1:8" x14ac:dyDescent="0.2">
      <c r="A26" s="386">
        <f t="shared" si="0"/>
        <v>20</v>
      </c>
      <c r="B26" s="123">
        <v>46</v>
      </c>
      <c r="D26" s="101">
        <f>+'TY June 2020 Proforma Rev'!E27</f>
        <v>81635228</v>
      </c>
      <c r="E26" s="122">
        <f>'UE-200770 Sch 129'!G26</f>
        <v>6.8099999999999996E-4</v>
      </c>
      <c r="F26" s="72">
        <f>ROUND(D26*E26,0)</f>
        <v>55594</v>
      </c>
      <c r="H26" s="72"/>
    </row>
    <row r="27" spans="1:8" x14ac:dyDescent="0.2">
      <c r="A27" s="123">
        <f t="shared" si="0"/>
        <v>21</v>
      </c>
      <c r="B27" s="123">
        <v>49</v>
      </c>
      <c r="D27" s="101">
        <f>+'TY June 2020 Proforma Rev'!E28</f>
        <v>563071445.51999998</v>
      </c>
      <c r="E27" s="122">
        <f>'UE-200770 Sch 129'!G27</f>
        <v>6.6600000000000003E-4</v>
      </c>
      <c r="F27" s="72">
        <f>ROUND(D27*E27,0)</f>
        <v>375006</v>
      </c>
      <c r="H27" s="72"/>
    </row>
    <row r="28" spans="1:8" x14ac:dyDescent="0.2">
      <c r="A28" s="123">
        <f t="shared" si="0"/>
        <v>22</v>
      </c>
      <c r="B28" s="123"/>
      <c r="C28" s="88" t="s">
        <v>15</v>
      </c>
      <c r="D28" s="117">
        <f>SUM(D26:D27)</f>
        <v>644706673.51999998</v>
      </c>
      <c r="E28" s="208"/>
      <c r="F28" s="73">
        <f>SUM(F26:F27)</f>
        <v>430600</v>
      </c>
      <c r="H28" s="72"/>
    </row>
    <row r="29" spans="1:8" x14ac:dyDescent="0.2">
      <c r="A29" s="232">
        <f t="shared" si="0"/>
        <v>23</v>
      </c>
      <c r="B29" s="123"/>
      <c r="D29" s="101"/>
      <c r="E29" s="122"/>
      <c r="F29" s="72"/>
      <c r="H29" s="72"/>
    </row>
    <row r="30" spans="1:8" x14ac:dyDescent="0.2">
      <c r="A30" s="245">
        <f t="shared" si="0"/>
        <v>24</v>
      </c>
      <c r="B30" s="244" t="s">
        <v>16</v>
      </c>
      <c r="C30" s="88" t="s">
        <v>108</v>
      </c>
      <c r="D30" s="101">
        <f>+'TY June 2020 Proforma Rev'!E31</f>
        <v>68936797.67750001</v>
      </c>
      <c r="E30" s="122">
        <f>'UE-200770 Sch 129'!G31</f>
        <v>2.3800000000000002E-3</v>
      </c>
      <c r="F30" s="72">
        <f>ROUND(D30*E30,0)</f>
        <v>164070</v>
      </c>
      <c r="H30" s="72"/>
    </row>
    <row r="31" spans="1:8" x14ac:dyDescent="0.2">
      <c r="A31" s="245">
        <f t="shared" si="0"/>
        <v>25</v>
      </c>
      <c r="B31" s="244" t="s">
        <v>17</v>
      </c>
      <c r="C31" s="88" t="s">
        <v>110</v>
      </c>
      <c r="D31" s="101">
        <f>+'TY June 2020 Proforma Rev'!E32</f>
        <v>1993508561.5469999</v>
      </c>
      <c r="E31" s="122">
        <f>'UE-200770 Sch 129'!G33</f>
        <v>4.3000000000000002E-5</v>
      </c>
      <c r="F31" s="72">
        <f>ROUND(D31*E31,0)</f>
        <v>85721</v>
      </c>
      <c r="H31" s="72"/>
    </row>
    <row r="32" spans="1:8" x14ac:dyDescent="0.2">
      <c r="A32" s="245">
        <f t="shared" si="0"/>
        <v>26</v>
      </c>
      <c r="B32" s="244" t="s">
        <v>347</v>
      </c>
      <c r="C32" s="88" t="s">
        <v>265</v>
      </c>
      <c r="D32" s="101">
        <f>+'TY June 2020 Proforma Rev'!E33</f>
        <v>303234527.03700018</v>
      </c>
      <c r="E32" s="122">
        <f>'UE-200770 Sch 129'!G35</f>
        <v>6.1399999999999996E-4</v>
      </c>
      <c r="F32" s="72">
        <f>ROUND(D32*E32,0)</f>
        <v>186186</v>
      </c>
      <c r="H32" s="72"/>
    </row>
    <row r="33" spans="1:12" x14ac:dyDescent="0.2">
      <c r="A33" s="245">
        <f t="shared" si="0"/>
        <v>27</v>
      </c>
      <c r="B33" s="244">
        <v>5</v>
      </c>
      <c r="C33" s="88" t="s">
        <v>80</v>
      </c>
      <c r="D33" s="101">
        <f>+'TY June 2020 Proforma Rev'!E34</f>
        <v>7369853.2214806583</v>
      </c>
      <c r="E33" s="122">
        <v>0</v>
      </c>
      <c r="F33" s="72">
        <f>ROUND(D33*E33,0)</f>
        <v>0</v>
      </c>
    </row>
    <row r="34" spans="1:12" x14ac:dyDescent="0.2">
      <c r="A34" s="245">
        <f t="shared" si="0"/>
        <v>28</v>
      </c>
      <c r="B34" s="244"/>
      <c r="D34" s="101"/>
      <c r="F34" s="72"/>
    </row>
    <row r="35" spans="1:12" ht="12" thickBot="1" x14ac:dyDescent="0.25">
      <c r="A35" s="245">
        <f t="shared" si="0"/>
        <v>29</v>
      </c>
      <c r="B35" s="244"/>
      <c r="C35" s="246" t="s">
        <v>81</v>
      </c>
      <c r="D35" s="120">
        <f>SUM(D30:D33,D28,D24,D18,D9)</f>
        <v>22662287646.298782</v>
      </c>
      <c r="F35" s="137">
        <f>SUM(F30:F33,F28,F24,F18,F9)</f>
        <v>20493517</v>
      </c>
    </row>
    <row r="36" spans="1:12" ht="12" thickTop="1" x14ac:dyDescent="0.2">
      <c r="D36" s="101"/>
    </row>
    <row r="37" spans="1:12" x14ac:dyDescent="0.2">
      <c r="L37" s="88" t="s">
        <v>396</v>
      </c>
    </row>
  </sheetData>
  <mergeCells count="4">
    <mergeCell ref="A4:D4"/>
    <mergeCell ref="A1:F1"/>
    <mergeCell ref="A2:F2"/>
    <mergeCell ref="A3:F3"/>
  </mergeCells>
  <printOptions horizontalCentered="1"/>
  <pageMargins left="0.7" right="0.7" top="0.75" bottom="0.86" header="0.3" footer="0.3"/>
  <pageSetup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36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7" sqref="F7"/>
    </sheetView>
  </sheetViews>
  <sheetFormatPr defaultColWidth="8.85546875" defaultRowHeight="11.25" x14ac:dyDescent="0.2"/>
  <cols>
    <col min="1" max="1" width="7.7109375" style="74" bestFit="1" customWidth="1"/>
    <col min="2" max="2" width="10.28515625" style="74" bestFit="1" customWidth="1"/>
    <col min="3" max="3" width="21" style="74" bestFit="1" customWidth="1"/>
    <col min="4" max="4" width="15.140625" style="74" bestFit="1" customWidth="1"/>
    <col min="5" max="5" width="11.5703125" style="74" bestFit="1" customWidth="1"/>
    <col min="6" max="6" width="12.5703125" style="74" bestFit="1" customWidth="1"/>
    <col min="7" max="16384" width="8.85546875" style="74"/>
  </cols>
  <sheetData>
    <row r="1" spans="1:6" x14ac:dyDescent="0.2">
      <c r="A1" s="616" t="s">
        <v>0</v>
      </c>
      <c r="B1" s="616"/>
      <c r="C1" s="616"/>
      <c r="D1" s="616"/>
      <c r="E1" s="616"/>
      <c r="F1" s="616"/>
    </row>
    <row r="2" spans="1:6" x14ac:dyDescent="0.2">
      <c r="A2" s="618" t="s">
        <v>180</v>
      </c>
      <c r="B2" s="616"/>
      <c r="C2" s="616"/>
      <c r="D2" s="616"/>
      <c r="E2" s="616"/>
      <c r="F2" s="616"/>
    </row>
    <row r="3" spans="1:6" x14ac:dyDescent="0.2">
      <c r="A3" s="616" t="str">
        <f>+'Exh BDJ-8 p1-2 (Rate Impacts)'!A3</f>
        <v>Test Year Ended June 30, 2020</v>
      </c>
      <c r="B3" s="616"/>
      <c r="C3" s="616"/>
      <c r="D3" s="616"/>
      <c r="E3" s="616"/>
      <c r="F3" s="616"/>
    </row>
    <row r="4" spans="1:6" x14ac:dyDescent="0.2">
      <c r="A4" s="616"/>
      <c r="B4" s="616"/>
      <c r="C4" s="616"/>
      <c r="D4" s="616"/>
      <c r="E4" s="616"/>
      <c r="F4" s="616"/>
    </row>
    <row r="5" spans="1:6" x14ac:dyDescent="0.2">
      <c r="A5" s="128"/>
      <c r="B5" s="127"/>
      <c r="C5" s="127"/>
      <c r="D5" s="127"/>
      <c r="E5" s="158"/>
      <c r="F5" s="158" t="s">
        <v>112</v>
      </c>
    </row>
    <row r="6" spans="1:6" ht="56.25" x14ac:dyDescent="0.2">
      <c r="A6" s="215" t="s">
        <v>3</v>
      </c>
      <c r="B6" s="215" t="s">
        <v>4</v>
      </c>
      <c r="C6" s="215" t="s">
        <v>34</v>
      </c>
      <c r="D6" s="216" t="str">
        <f>+'Exh BDJ-8 p1-2 (Rate Impacts)'!C6</f>
        <v>Annual kWh Normalized &amp; Delivered Sales  07/01/19 to 06/30/20</v>
      </c>
      <c r="E6" s="216" t="s">
        <v>536</v>
      </c>
      <c r="F6" s="216" t="s">
        <v>181</v>
      </c>
    </row>
    <row r="7" spans="1:6" x14ac:dyDescent="0.2">
      <c r="A7" s="123">
        <v>1</v>
      </c>
      <c r="B7" s="123">
        <v>7</v>
      </c>
      <c r="C7" s="88"/>
      <c r="D7" s="101">
        <f>+'TY June 2020 Proforma Rev'!E8</f>
        <v>10863043096.272161</v>
      </c>
      <c r="E7" s="122">
        <f>+'UE-200967 Sch 137'!G8</f>
        <v>-4.3000000000000002E-5</v>
      </c>
      <c r="F7" s="72">
        <f>ROUND(D7*E7,0)</f>
        <v>-467111</v>
      </c>
    </row>
    <row r="8" spans="1:6" x14ac:dyDescent="0.2">
      <c r="A8" s="123">
        <f t="shared" ref="A8:A35" si="0">+A7+1</f>
        <v>2</v>
      </c>
      <c r="B8" s="106" t="s">
        <v>10</v>
      </c>
      <c r="C8" s="88"/>
      <c r="D8" s="101">
        <f>+'TY June 2020 Proforma Rev'!E9</f>
        <v>2376000</v>
      </c>
      <c r="E8" s="122">
        <f>+'UE-200967 Sch 137'!G11</f>
        <v>-4.5000000000000003E-5</v>
      </c>
      <c r="F8" s="72">
        <f>ROUND(D8*E8,0)</f>
        <v>-107</v>
      </c>
    </row>
    <row r="9" spans="1:6" x14ac:dyDescent="0.2">
      <c r="A9" s="123">
        <f t="shared" si="0"/>
        <v>3</v>
      </c>
      <c r="B9" s="123"/>
      <c r="C9" s="88" t="s">
        <v>11</v>
      </c>
      <c r="D9" s="117">
        <f>SUM(D7:D8)</f>
        <v>10865419096.272161</v>
      </c>
      <c r="E9" s="208"/>
      <c r="F9" s="73">
        <f>SUM(F7:F8)</f>
        <v>-467218</v>
      </c>
    </row>
    <row r="10" spans="1:6" x14ac:dyDescent="0.2">
      <c r="A10" s="123">
        <f t="shared" si="0"/>
        <v>4</v>
      </c>
      <c r="B10" s="123"/>
      <c r="C10" s="88"/>
      <c r="D10" s="101"/>
      <c r="E10" s="122"/>
      <c r="F10" s="72"/>
    </row>
    <row r="11" spans="1:6" x14ac:dyDescent="0.2">
      <c r="A11" s="123">
        <f t="shared" si="0"/>
        <v>5</v>
      </c>
      <c r="B11" s="123">
        <v>8</v>
      </c>
      <c r="C11" s="88"/>
      <c r="D11" s="101">
        <f>+'TY June 2020 Proforma Rev'!E12</f>
        <v>252362620.54679149</v>
      </c>
      <c r="E11" s="122">
        <f>+'UE-200967 Sch 137'!G10</f>
        <v>-4.3999999999999999E-5</v>
      </c>
      <c r="F11" s="72">
        <f t="shared" ref="F11:F17" si="1">ROUND(D11*E11,0)</f>
        <v>-11104</v>
      </c>
    </row>
    <row r="12" spans="1:6" x14ac:dyDescent="0.2">
      <c r="A12" s="123">
        <f t="shared" si="0"/>
        <v>6</v>
      </c>
      <c r="B12" s="123">
        <v>24</v>
      </c>
      <c r="C12" s="88"/>
      <c r="D12" s="101">
        <f>+'TY June 2020 Proforma Rev'!E13</f>
        <v>2333975906.454967</v>
      </c>
      <c r="E12" s="122">
        <f>+E11</f>
        <v>-4.3999999999999999E-5</v>
      </c>
      <c r="F12" s="72">
        <f t="shared" si="1"/>
        <v>-102695</v>
      </c>
    </row>
    <row r="13" spans="1:6" x14ac:dyDescent="0.2">
      <c r="A13" s="123">
        <f t="shared" si="0"/>
        <v>7</v>
      </c>
      <c r="B13" s="106">
        <v>11</v>
      </c>
      <c r="C13" s="88"/>
      <c r="D13" s="101">
        <f>+'TY June 2020 Proforma Rev'!E14</f>
        <v>135958671.66260606</v>
      </c>
      <c r="E13" s="122">
        <f>+E8</f>
        <v>-4.5000000000000003E-5</v>
      </c>
      <c r="F13" s="72">
        <f t="shared" si="1"/>
        <v>-6118</v>
      </c>
    </row>
    <row r="14" spans="1:6" x14ac:dyDescent="0.2">
      <c r="A14" s="123">
        <f t="shared" si="0"/>
        <v>8</v>
      </c>
      <c r="B14" s="106">
        <v>25</v>
      </c>
      <c r="C14" s="88"/>
      <c r="D14" s="101">
        <f>+'TY June 2020 Proforma Rev'!E15</f>
        <v>2746336782.1565623</v>
      </c>
      <c r="E14" s="122">
        <f>+E13</f>
        <v>-4.5000000000000003E-5</v>
      </c>
      <c r="F14" s="72">
        <f t="shared" si="1"/>
        <v>-123585</v>
      </c>
    </row>
    <row r="15" spans="1:6" x14ac:dyDescent="0.2">
      <c r="A15" s="123">
        <f t="shared" si="0"/>
        <v>9</v>
      </c>
      <c r="B15" s="123">
        <v>12</v>
      </c>
      <c r="C15" s="88"/>
      <c r="D15" s="101">
        <f>+'TY June 2020 Proforma Rev'!E16</f>
        <v>16430488</v>
      </c>
      <c r="E15" s="122">
        <f>+'UE-200967 Sch 137'!G12</f>
        <v>-4.6999999999999997E-5</v>
      </c>
      <c r="F15" s="72">
        <f t="shared" si="1"/>
        <v>-772</v>
      </c>
    </row>
    <row r="16" spans="1:6" x14ac:dyDescent="0.2">
      <c r="A16" s="123">
        <f t="shared" si="0"/>
        <v>10</v>
      </c>
      <c r="B16" s="123" t="s">
        <v>12</v>
      </c>
      <c r="C16" s="88"/>
      <c r="D16" s="101">
        <f>+'TY June 2020 Proforma Rev'!E17</f>
        <v>1824742786.7668719</v>
      </c>
      <c r="E16" s="122">
        <f>+E15</f>
        <v>-4.6999999999999997E-5</v>
      </c>
      <c r="F16" s="72">
        <f t="shared" si="1"/>
        <v>-85763</v>
      </c>
    </row>
    <row r="17" spans="1:6" x14ac:dyDescent="0.2">
      <c r="A17" s="123">
        <f t="shared" si="0"/>
        <v>11</v>
      </c>
      <c r="B17" s="123">
        <v>29</v>
      </c>
      <c r="C17" s="88"/>
      <c r="D17" s="101">
        <f>+'TY June 2020 Proforma Rev'!E18</f>
        <v>11424740.434375001</v>
      </c>
      <c r="E17" s="122">
        <f>+'UE-200967 Sch 137'!G13</f>
        <v>-3.6999999999999998E-5</v>
      </c>
      <c r="F17" s="72">
        <f t="shared" si="1"/>
        <v>-423</v>
      </c>
    </row>
    <row r="18" spans="1:6" x14ac:dyDescent="0.2">
      <c r="A18" s="123">
        <f t="shared" si="0"/>
        <v>12</v>
      </c>
      <c r="B18" s="123"/>
      <c r="C18" s="207" t="s">
        <v>13</v>
      </c>
      <c r="D18" s="117">
        <f>SUM(D11:D17)</f>
        <v>7321231996.0221739</v>
      </c>
      <c r="E18" s="208"/>
      <c r="F18" s="73">
        <f>SUM(F11:F17)</f>
        <v>-330460</v>
      </c>
    </row>
    <row r="19" spans="1:6" x14ac:dyDescent="0.2">
      <c r="A19" s="123">
        <f t="shared" si="0"/>
        <v>13</v>
      </c>
      <c r="B19" s="123"/>
      <c r="C19" s="88"/>
      <c r="D19" s="101"/>
      <c r="E19" s="122"/>
      <c r="F19" s="72"/>
    </row>
    <row r="20" spans="1:6" x14ac:dyDescent="0.2">
      <c r="A20" s="123">
        <f t="shared" si="0"/>
        <v>14</v>
      </c>
      <c r="B20" s="123">
        <v>10</v>
      </c>
      <c r="C20" s="88"/>
      <c r="D20" s="101">
        <f>+'TY June 2020 Proforma Rev'!E21</f>
        <v>25573920</v>
      </c>
      <c r="E20" s="122">
        <f>+'UE-200967 Sch 137'!G17</f>
        <v>-4.3000000000000002E-5</v>
      </c>
      <c r="F20" s="72">
        <f>ROUND(D20*E20,0)</f>
        <v>-1100</v>
      </c>
    </row>
    <row r="21" spans="1:6" x14ac:dyDescent="0.2">
      <c r="A21" s="123">
        <f t="shared" si="0"/>
        <v>15</v>
      </c>
      <c r="B21" s="123">
        <v>31</v>
      </c>
      <c r="C21" s="88"/>
      <c r="D21" s="101">
        <f>+'TY June 2020 Proforma Rev'!E22</f>
        <v>1310080421.1168144</v>
      </c>
      <c r="E21" s="122">
        <f>+E20</f>
        <v>-4.3000000000000002E-5</v>
      </c>
      <c r="F21" s="72">
        <f>ROUND(D21*E21,0)</f>
        <v>-56333</v>
      </c>
    </row>
    <row r="22" spans="1:6" x14ac:dyDescent="0.2">
      <c r="A22" s="123">
        <f t="shared" si="0"/>
        <v>16</v>
      </c>
      <c r="B22" s="123">
        <v>35</v>
      </c>
      <c r="C22" s="88"/>
      <c r="D22" s="101">
        <f>+'TY June 2020 Proforma Rev'!E23</f>
        <v>5945040</v>
      </c>
      <c r="E22" s="122">
        <f>+'UE-200967 Sch 137'!G18</f>
        <v>-3.1999999999999999E-5</v>
      </c>
      <c r="F22" s="72">
        <f>ROUND(D22*E22,0)</f>
        <v>-190</v>
      </c>
    </row>
    <row r="23" spans="1:6" x14ac:dyDescent="0.2">
      <c r="A23" s="123">
        <f t="shared" si="0"/>
        <v>17</v>
      </c>
      <c r="B23" s="123">
        <v>43</v>
      </c>
      <c r="C23" s="88"/>
      <c r="D23" s="101">
        <f>+'TY June 2020 Proforma Rev'!E24</f>
        <v>116280759.88464826</v>
      </c>
      <c r="E23" s="122">
        <f>+'UE-200967 Sch 137'!G19</f>
        <v>-3.4E-5</v>
      </c>
      <c r="F23" s="72">
        <f>ROUND(D23*E23,0)</f>
        <v>-3954</v>
      </c>
    </row>
    <row r="24" spans="1:6" x14ac:dyDescent="0.2">
      <c r="A24" s="123">
        <f t="shared" si="0"/>
        <v>18</v>
      </c>
      <c r="B24" s="123"/>
      <c r="C24" s="88" t="s">
        <v>14</v>
      </c>
      <c r="D24" s="117">
        <f>SUM(D20:D23)</f>
        <v>1457880141.0014627</v>
      </c>
      <c r="E24" s="208"/>
      <c r="F24" s="73">
        <f>SUM(F20:F23)</f>
        <v>-61577</v>
      </c>
    </row>
    <row r="25" spans="1:6" x14ac:dyDescent="0.2">
      <c r="A25" s="123">
        <f t="shared" si="0"/>
        <v>19</v>
      </c>
      <c r="B25" s="123"/>
      <c r="C25" s="88"/>
      <c r="D25" s="101"/>
      <c r="E25" s="122"/>
      <c r="F25" s="72"/>
    </row>
    <row r="26" spans="1:6" x14ac:dyDescent="0.2">
      <c r="A26" s="386">
        <f t="shared" si="0"/>
        <v>20</v>
      </c>
      <c r="B26" s="123">
        <v>46</v>
      </c>
      <c r="C26" s="88"/>
      <c r="D26" s="101">
        <f>+'TY June 2020 Proforma Rev'!E27</f>
        <v>81635228</v>
      </c>
      <c r="E26" s="122">
        <f>+'UE-200967 Sch 137'!G23</f>
        <v>-3.6999999999999998E-5</v>
      </c>
      <c r="F26" s="72">
        <f>ROUND(D26*E26,0)</f>
        <v>-3021</v>
      </c>
    </row>
    <row r="27" spans="1:6" x14ac:dyDescent="0.2">
      <c r="A27" s="386">
        <f t="shared" si="0"/>
        <v>21</v>
      </c>
      <c r="B27" s="123">
        <v>49</v>
      </c>
      <c r="C27" s="88"/>
      <c r="D27" s="101">
        <f>+'TY June 2020 Proforma Rev'!E28</f>
        <v>563071445.51999998</v>
      </c>
      <c r="E27" s="122">
        <f>+'UE-200967 Sch 137'!G24</f>
        <v>-4.0000000000000003E-5</v>
      </c>
      <c r="F27" s="72">
        <f>ROUND(D27*E27,0)</f>
        <v>-22523</v>
      </c>
    </row>
    <row r="28" spans="1:6" x14ac:dyDescent="0.2">
      <c r="A28" s="123">
        <f t="shared" si="0"/>
        <v>22</v>
      </c>
      <c r="B28" s="123"/>
      <c r="C28" s="88" t="s">
        <v>15</v>
      </c>
      <c r="D28" s="117">
        <f>SUM(D26:D27)</f>
        <v>644706673.51999998</v>
      </c>
      <c r="E28" s="208"/>
      <c r="F28" s="73">
        <f>SUM(F26:F27)</f>
        <v>-25544</v>
      </c>
    </row>
    <row r="29" spans="1:6" x14ac:dyDescent="0.2">
      <c r="A29" s="123">
        <f t="shared" si="0"/>
        <v>23</v>
      </c>
      <c r="B29" s="123"/>
      <c r="C29" s="88"/>
      <c r="D29" s="101"/>
      <c r="E29" s="122"/>
      <c r="F29" s="72"/>
    </row>
    <row r="30" spans="1:6" x14ac:dyDescent="0.2">
      <c r="A30" s="245">
        <f t="shared" si="0"/>
        <v>24</v>
      </c>
      <c r="B30" s="244" t="s">
        <v>16</v>
      </c>
      <c r="C30" s="88" t="s">
        <v>108</v>
      </c>
      <c r="D30" s="101">
        <f>+'TY June 2020 Proforma Rev'!E31</f>
        <v>68936797.67750001</v>
      </c>
      <c r="E30" s="122">
        <f>+'UE-200967 Sch 137'!G28</f>
        <v>-4.3000000000000002E-5</v>
      </c>
      <c r="F30" s="72">
        <f>ROUND(D30*E30,0)</f>
        <v>-2964</v>
      </c>
    </row>
    <row r="31" spans="1:6" x14ac:dyDescent="0.2">
      <c r="A31" s="245">
        <f t="shared" si="0"/>
        <v>25</v>
      </c>
      <c r="B31" s="244" t="s">
        <v>17</v>
      </c>
      <c r="C31" s="88" t="s">
        <v>110</v>
      </c>
      <c r="D31" s="101">
        <f>+'TY June 2020 Proforma Rev'!E32</f>
        <v>1993508561.5469999</v>
      </c>
      <c r="E31" s="122">
        <v>0</v>
      </c>
      <c r="F31" s="72">
        <f>ROUND(D31*E31,0)</f>
        <v>0</v>
      </c>
    </row>
    <row r="32" spans="1:6" x14ac:dyDescent="0.2">
      <c r="A32" s="245">
        <f t="shared" si="0"/>
        <v>26</v>
      </c>
      <c r="B32" s="244" t="s">
        <v>347</v>
      </c>
      <c r="C32" s="88" t="s">
        <v>265</v>
      </c>
      <c r="D32" s="101">
        <f>+'TY June 2020 Proforma Rev'!E33</f>
        <v>303234527.03700018</v>
      </c>
      <c r="E32" s="122">
        <v>0</v>
      </c>
      <c r="F32" s="72">
        <f>ROUND(D32*E32,0)</f>
        <v>0</v>
      </c>
    </row>
    <row r="33" spans="1:6" x14ac:dyDescent="0.2">
      <c r="A33" s="245">
        <f t="shared" si="0"/>
        <v>27</v>
      </c>
      <c r="B33" s="244">
        <v>5</v>
      </c>
      <c r="C33" s="88" t="s">
        <v>80</v>
      </c>
      <c r="D33" s="101">
        <f>+'TY June 2020 Proforma Rev'!E34</f>
        <v>7369853.2214806583</v>
      </c>
      <c r="E33" s="122">
        <f>+'UE-200967 Sch 137'!G30</f>
        <v>-4.1E-5</v>
      </c>
      <c r="F33" s="72">
        <f>ROUND(D33*E33,0)</f>
        <v>-302</v>
      </c>
    </row>
    <row r="34" spans="1:6" x14ac:dyDescent="0.2">
      <c r="A34" s="245">
        <f t="shared" si="0"/>
        <v>28</v>
      </c>
      <c r="B34" s="244"/>
      <c r="C34" s="88"/>
      <c r="D34" s="101"/>
      <c r="E34" s="88"/>
      <c r="F34" s="72"/>
    </row>
    <row r="35" spans="1:6" ht="12" thickBot="1" x14ac:dyDescent="0.25">
      <c r="A35" s="245">
        <f t="shared" si="0"/>
        <v>29</v>
      </c>
      <c r="B35" s="244"/>
      <c r="C35" s="246" t="s">
        <v>81</v>
      </c>
      <c r="D35" s="120">
        <f>SUM(D30:D33,D28,D24,D18,D9)</f>
        <v>22662287646.298782</v>
      </c>
      <c r="E35" s="88"/>
      <c r="F35" s="137">
        <f>SUM(F30:F33,F28,F24,F18,F9)</f>
        <v>-888065</v>
      </c>
    </row>
    <row r="36" spans="1:6" ht="12" thickTop="1" x14ac:dyDescent="0.2">
      <c r="D36" s="88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9" header="0.3" footer="0.3"/>
  <pageSetup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3" workbookViewId="0">
      <selection activeCell="D6" sqref="D6:F35"/>
    </sheetView>
  </sheetViews>
  <sheetFormatPr defaultRowHeight="12.75" x14ac:dyDescent="0.2"/>
  <cols>
    <col min="3" max="3" width="11.28515625" customWidth="1"/>
    <col min="4" max="4" width="12.85546875" bestFit="1" customWidth="1"/>
    <col min="6" max="6" width="10.42578125" bestFit="1" customWidth="1"/>
  </cols>
  <sheetData>
    <row r="1" spans="1:6" x14ac:dyDescent="0.2">
      <c r="A1" s="616" t="s">
        <v>0</v>
      </c>
      <c r="B1" s="616"/>
      <c r="C1" s="616"/>
      <c r="D1" s="616"/>
      <c r="E1" s="616"/>
      <c r="F1" s="88"/>
    </row>
    <row r="2" spans="1:6" x14ac:dyDescent="0.2">
      <c r="A2" s="618" t="s">
        <v>467</v>
      </c>
      <c r="B2" s="616"/>
      <c r="C2" s="616"/>
      <c r="D2" s="616"/>
      <c r="E2" s="616"/>
      <c r="F2" s="88"/>
    </row>
    <row r="3" spans="1:6" x14ac:dyDescent="0.2">
      <c r="A3" s="616" t="str">
        <f>+'Exh BDJ-8 p1-2 (Rate Impacts)'!A3</f>
        <v>Test Year Ended June 30, 2020</v>
      </c>
      <c r="B3" s="616"/>
      <c r="C3" s="616"/>
      <c r="D3" s="616"/>
      <c r="E3" s="616"/>
      <c r="F3" s="88"/>
    </row>
    <row r="4" spans="1:6" x14ac:dyDescent="0.2">
      <c r="A4" s="618"/>
      <c r="B4" s="616"/>
      <c r="C4" s="616"/>
      <c r="D4" s="616"/>
      <c r="E4" s="616"/>
      <c r="F4" s="88"/>
    </row>
    <row r="5" spans="1:6" x14ac:dyDescent="0.2">
      <c r="A5" s="421"/>
      <c r="B5" s="421"/>
      <c r="C5" s="421"/>
      <c r="D5" s="421"/>
      <c r="E5" s="421"/>
      <c r="F5" s="88"/>
    </row>
    <row r="6" spans="1:6" ht="56.25" x14ac:dyDescent="0.2">
      <c r="A6" s="215" t="s">
        <v>3</v>
      </c>
      <c r="B6" s="215" t="s">
        <v>4</v>
      </c>
      <c r="C6" s="215" t="s">
        <v>34</v>
      </c>
      <c r="D6" s="216" t="s">
        <v>521</v>
      </c>
      <c r="E6" s="216" t="s">
        <v>523</v>
      </c>
      <c r="F6" s="216" t="s">
        <v>468</v>
      </c>
    </row>
    <row r="7" spans="1:6" x14ac:dyDescent="0.2">
      <c r="A7" s="421">
        <v>1</v>
      </c>
      <c r="B7" s="421">
        <v>7</v>
      </c>
      <c r="C7" s="88"/>
      <c r="D7" s="101">
        <f>+'[66]Sch 139 Eff 10-15-2020'!$F$10</f>
        <v>231204.44317567348</v>
      </c>
      <c r="E7" s="72">
        <f>'[66]Sch 139 Eff 1-1-2021'!$H$10</f>
        <v>-80</v>
      </c>
      <c r="F7" s="72">
        <f>+'[66]Sch 139 Eff 7-1-2021'!$H$10</f>
        <v>1137</v>
      </c>
    </row>
    <row r="8" spans="1:6" x14ac:dyDescent="0.2">
      <c r="A8" s="421">
        <f t="shared" ref="A8:A35" si="0">+A7+1</f>
        <v>2</v>
      </c>
      <c r="B8" s="422" t="s">
        <v>186</v>
      </c>
      <c r="C8" s="88"/>
      <c r="D8" s="101">
        <v>0</v>
      </c>
      <c r="E8" s="72">
        <v>0</v>
      </c>
      <c r="F8" s="72">
        <v>0</v>
      </c>
    </row>
    <row r="9" spans="1:6" x14ac:dyDescent="0.2">
      <c r="A9" s="421">
        <f t="shared" si="0"/>
        <v>3</v>
      </c>
      <c r="B9" s="421"/>
      <c r="C9" s="88" t="s">
        <v>11</v>
      </c>
      <c r="D9" s="117">
        <f>SUM(D7:D8)</f>
        <v>231204.44317567348</v>
      </c>
      <c r="E9" s="73">
        <f>SUM(E7:E8)</f>
        <v>-80</v>
      </c>
      <c r="F9" s="73">
        <f>SUM(F7:F8)</f>
        <v>1137</v>
      </c>
    </row>
    <row r="10" spans="1:6" x14ac:dyDescent="0.2">
      <c r="A10" s="421">
        <f t="shared" si="0"/>
        <v>4</v>
      </c>
      <c r="B10" s="421"/>
      <c r="C10" s="88"/>
      <c r="D10" s="101"/>
      <c r="E10" s="72"/>
      <c r="F10" s="72"/>
    </row>
    <row r="11" spans="1:6" x14ac:dyDescent="0.2">
      <c r="A11" s="421">
        <f t="shared" si="0"/>
        <v>5</v>
      </c>
      <c r="B11" s="421">
        <v>8</v>
      </c>
      <c r="C11" s="88"/>
      <c r="D11" s="101">
        <v>0</v>
      </c>
      <c r="E11" s="72">
        <v>0</v>
      </c>
      <c r="F11" s="72">
        <v>0</v>
      </c>
    </row>
    <row r="12" spans="1:6" x14ac:dyDescent="0.2">
      <c r="A12" s="421">
        <f t="shared" si="0"/>
        <v>6</v>
      </c>
      <c r="B12" s="421">
        <v>24</v>
      </c>
      <c r="C12" s="88"/>
      <c r="D12" s="101">
        <f>+'[66]Sch 139 Eff 10-15-2020'!$F$17</f>
        <v>300647452.45349169</v>
      </c>
      <c r="E12" s="72">
        <f>'[66]Sch 139 Eff 1-1-2021'!$H$17</f>
        <v>-168132</v>
      </c>
      <c r="F12" s="72">
        <f>+'[66]Sch 139 Eff 7-1-2021'!$H$17</f>
        <v>1414778</v>
      </c>
    </row>
    <row r="13" spans="1:6" x14ac:dyDescent="0.2">
      <c r="A13" s="421">
        <f t="shared" si="0"/>
        <v>7</v>
      </c>
      <c r="B13" s="422">
        <v>11</v>
      </c>
      <c r="C13" s="88"/>
      <c r="D13" s="101">
        <v>0</v>
      </c>
      <c r="E13" s="72">
        <v>0</v>
      </c>
      <c r="F13" s="72">
        <v>0</v>
      </c>
    </row>
    <row r="14" spans="1:6" x14ac:dyDescent="0.2">
      <c r="A14" s="421">
        <f t="shared" si="0"/>
        <v>8</v>
      </c>
      <c r="B14" s="422">
        <v>25</v>
      </c>
      <c r="C14" s="88"/>
      <c r="D14" s="101">
        <f>+'[66]Sch 139 Eff 10-15-2020'!$F$24</f>
        <v>82886656.786113888</v>
      </c>
      <c r="E14" s="72">
        <f>'[66]Sch 139 Eff 1-1-2021'!$H$24</f>
        <v>-41965</v>
      </c>
      <c r="F14" s="72">
        <f>+'[66]Sch 139 Eff 7-1-2021'!$H$24</f>
        <v>394434</v>
      </c>
    </row>
    <row r="15" spans="1:6" x14ac:dyDescent="0.2">
      <c r="A15" s="421">
        <f t="shared" si="0"/>
        <v>9</v>
      </c>
      <c r="B15" s="421">
        <v>12</v>
      </c>
      <c r="C15" s="88"/>
      <c r="D15" s="101">
        <v>0</v>
      </c>
      <c r="E15" s="72">
        <v>0</v>
      </c>
      <c r="F15" s="72">
        <v>0</v>
      </c>
    </row>
    <row r="16" spans="1:6" x14ac:dyDescent="0.2">
      <c r="A16" s="421">
        <f t="shared" si="0"/>
        <v>10</v>
      </c>
      <c r="B16" s="421" t="s">
        <v>12</v>
      </c>
      <c r="C16" s="88"/>
      <c r="D16" s="101">
        <f>+'[66]Sch 139 Eff 10-15-2020'!$F$31</f>
        <v>84909105.683771968</v>
      </c>
      <c r="E16" s="72">
        <f>'[66]Sch 139 Eff 1-1-2021'!$H$31</f>
        <v>-34620</v>
      </c>
      <c r="F16" s="72">
        <f>+'[66]Sch 139 Eff 7-1-2021'!$H$31</f>
        <v>412425</v>
      </c>
    </row>
    <row r="17" spans="1:6" x14ac:dyDescent="0.2">
      <c r="A17" s="421">
        <f t="shared" si="0"/>
        <v>11</v>
      </c>
      <c r="B17" s="421">
        <v>29</v>
      </c>
      <c r="C17" s="88"/>
      <c r="D17" s="101">
        <v>0</v>
      </c>
      <c r="E17" s="72">
        <v>0</v>
      </c>
      <c r="F17" s="72">
        <v>0</v>
      </c>
    </row>
    <row r="18" spans="1:6" x14ac:dyDescent="0.2">
      <c r="A18" s="421">
        <f t="shared" si="0"/>
        <v>12</v>
      </c>
      <c r="B18" s="421"/>
      <c r="C18" s="423" t="s">
        <v>13</v>
      </c>
      <c r="D18" s="117">
        <f>SUM(D11:D17)</f>
        <v>468443214.92337751</v>
      </c>
      <c r="E18" s="73">
        <f>SUM(E11:E17)</f>
        <v>-244717</v>
      </c>
      <c r="F18" s="73">
        <f>SUM(F11:F17)</f>
        <v>2221637</v>
      </c>
    </row>
    <row r="19" spans="1:6" x14ac:dyDescent="0.2">
      <c r="A19" s="421">
        <f t="shared" si="0"/>
        <v>13</v>
      </c>
      <c r="B19" s="421"/>
      <c r="C19" s="88"/>
      <c r="D19" s="101"/>
      <c r="E19" s="72"/>
      <c r="F19" s="72"/>
    </row>
    <row r="20" spans="1:6" x14ac:dyDescent="0.2">
      <c r="A20" s="421">
        <f t="shared" si="0"/>
        <v>14</v>
      </c>
      <c r="B20" s="421">
        <v>10</v>
      </c>
      <c r="C20" s="88"/>
      <c r="D20" s="101">
        <v>0</v>
      </c>
      <c r="E20" s="72">
        <v>0</v>
      </c>
      <c r="F20" s="72">
        <v>0</v>
      </c>
    </row>
    <row r="21" spans="1:6" x14ac:dyDescent="0.2">
      <c r="A21" s="421">
        <f t="shared" si="0"/>
        <v>15</v>
      </c>
      <c r="B21" s="421">
        <v>31</v>
      </c>
      <c r="C21" s="88"/>
      <c r="D21" s="101">
        <f>+'[66]Sch 139 Eff 10-15-2020'!$F$37</f>
        <v>70415822.572294518</v>
      </c>
      <c r="E21" s="72">
        <f>'[66]Sch 139 Eff 1-1-2021'!$H$37</f>
        <v>-34905</v>
      </c>
      <c r="F21" s="72">
        <f>+'[66]Sch 139 Eff 7-1-2021'!$H$37</f>
        <v>335835</v>
      </c>
    </row>
    <row r="22" spans="1:6" x14ac:dyDescent="0.2">
      <c r="A22" s="421">
        <f t="shared" si="0"/>
        <v>16</v>
      </c>
      <c r="B22" s="421">
        <v>35</v>
      </c>
      <c r="C22" s="88"/>
      <c r="D22" s="101">
        <v>0</v>
      </c>
      <c r="E22" s="72">
        <v>0</v>
      </c>
      <c r="F22" s="72">
        <v>0</v>
      </c>
    </row>
    <row r="23" spans="1:6" x14ac:dyDescent="0.2">
      <c r="A23" s="421">
        <f t="shared" si="0"/>
        <v>17</v>
      </c>
      <c r="B23" s="421">
        <v>43</v>
      </c>
      <c r="C23" s="88"/>
      <c r="D23" s="101">
        <f>+'[66]Sch 139 Eff 10-15-2020'!$F$39</f>
        <v>1495419.7737736609</v>
      </c>
      <c r="E23" s="72">
        <f>'[66]Sch 139 Eff 1-1-2021'!$H$39</f>
        <v>-513</v>
      </c>
      <c r="F23" s="72">
        <f>+'[66]Sch 139 Eff 7-1-2021'!$H$39</f>
        <v>7360</v>
      </c>
    </row>
    <row r="24" spans="1:6" x14ac:dyDescent="0.2">
      <c r="A24" s="421">
        <f t="shared" si="0"/>
        <v>18</v>
      </c>
      <c r="B24" s="421"/>
      <c r="C24" s="88" t="s">
        <v>14</v>
      </c>
      <c r="D24" s="117">
        <f>SUM(D20:D23)</f>
        <v>71911242.346068174</v>
      </c>
      <c r="E24" s="73">
        <f>SUM(E20:E23)</f>
        <v>-35418</v>
      </c>
      <c r="F24" s="73">
        <f>SUM(F20:F23)</f>
        <v>343195</v>
      </c>
    </row>
    <row r="25" spans="1:6" x14ac:dyDescent="0.2">
      <c r="A25" s="421">
        <f t="shared" si="0"/>
        <v>19</v>
      </c>
      <c r="B25" s="421"/>
      <c r="C25" s="88"/>
      <c r="D25" s="101"/>
      <c r="E25" s="72"/>
      <c r="F25" s="72"/>
    </row>
    <row r="26" spans="1:6" x14ac:dyDescent="0.2">
      <c r="A26" s="421">
        <f t="shared" si="0"/>
        <v>20</v>
      </c>
      <c r="B26" s="421">
        <v>46</v>
      </c>
      <c r="C26" s="88"/>
      <c r="D26" s="101">
        <f>+'[66]Sch 139 Eff 10-15-2020'!$F$41</f>
        <v>13118192</v>
      </c>
      <c r="E26" s="72">
        <f>'[66]Sch 139 Eff 1-1-2021'!$H$41</f>
        <v>-10403</v>
      </c>
      <c r="F26" s="72">
        <f>+'[66]Sch 139 Eff 7-1-2021'!$H$41</f>
        <v>58665</v>
      </c>
    </row>
    <row r="27" spans="1:6" x14ac:dyDescent="0.2">
      <c r="A27" s="421">
        <f t="shared" si="0"/>
        <v>21</v>
      </c>
      <c r="B27" s="421">
        <v>49</v>
      </c>
      <c r="C27" s="88"/>
      <c r="D27" s="101">
        <f>+'[66]Sch 139 Eff 10-15-2020'!$F$44</f>
        <v>126353174</v>
      </c>
      <c r="E27" s="72">
        <f>'[66]Sch 139 Eff 1-1-2021'!$H$44</f>
        <v>-55702</v>
      </c>
      <c r="F27" s="72">
        <f>+'[66]Sch 139 Eff 7-1-2021'!$H$44</f>
        <v>609547</v>
      </c>
    </row>
    <row r="28" spans="1:6" x14ac:dyDescent="0.2">
      <c r="A28" s="421">
        <f t="shared" si="0"/>
        <v>22</v>
      </c>
      <c r="B28" s="421"/>
      <c r="C28" s="88" t="s">
        <v>15</v>
      </c>
      <c r="D28" s="117">
        <f>SUM(D26:D27)</f>
        <v>139471366</v>
      </c>
      <c r="E28" s="73">
        <f>SUM(E26:E27)</f>
        <v>-66105</v>
      </c>
      <c r="F28" s="73">
        <f>SUM(F26:F27)</f>
        <v>668212</v>
      </c>
    </row>
    <row r="29" spans="1:6" x14ac:dyDescent="0.2">
      <c r="A29" s="421">
        <f t="shared" si="0"/>
        <v>23</v>
      </c>
      <c r="B29" s="421"/>
      <c r="C29" s="88"/>
      <c r="D29" s="101"/>
      <c r="E29" s="72"/>
      <c r="F29" s="72"/>
    </row>
    <row r="30" spans="1:6" x14ac:dyDescent="0.2">
      <c r="A30" s="421">
        <f t="shared" si="0"/>
        <v>24</v>
      </c>
      <c r="B30" s="421" t="s">
        <v>16</v>
      </c>
      <c r="C30" s="88" t="s">
        <v>108</v>
      </c>
      <c r="D30" s="101">
        <f>+'[66]Sch 139 Eff 10-15-2020'!$F$46</f>
        <v>983.91199999999969</v>
      </c>
      <c r="E30" s="72">
        <f>'[66]Sch 139 Eff 1-1-2021'!$H$46</f>
        <v>0</v>
      </c>
      <c r="F30" s="72">
        <f>+'[66]Sch 139 Eff 7-1-2021'!$H$46</f>
        <v>5</v>
      </c>
    </row>
    <row r="31" spans="1:6" x14ac:dyDescent="0.2">
      <c r="A31" s="421">
        <f t="shared" si="0"/>
        <v>25</v>
      </c>
      <c r="B31" s="421" t="s">
        <v>17</v>
      </c>
      <c r="C31" s="88" t="s">
        <v>110</v>
      </c>
      <c r="D31" s="101">
        <v>0</v>
      </c>
      <c r="E31" s="72">
        <v>0</v>
      </c>
      <c r="F31" s="72">
        <v>0</v>
      </c>
    </row>
    <row r="32" spans="1:6" x14ac:dyDescent="0.2">
      <c r="A32" s="421">
        <f t="shared" si="0"/>
        <v>26</v>
      </c>
      <c r="B32" s="421" t="s">
        <v>347</v>
      </c>
      <c r="C32" s="88" t="s">
        <v>265</v>
      </c>
      <c r="D32" s="101">
        <v>0</v>
      </c>
      <c r="E32" s="72">
        <v>0</v>
      </c>
      <c r="F32" s="72">
        <v>0</v>
      </c>
    </row>
    <row r="33" spans="1:6" x14ac:dyDescent="0.2">
      <c r="A33" s="421">
        <f t="shared" si="0"/>
        <v>27</v>
      </c>
      <c r="B33" s="421">
        <v>5</v>
      </c>
      <c r="C33" s="88" t="s">
        <v>80</v>
      </c>
      <c r="D33" s="101">
        <v>0</v>
      </c>
      <c r="E33" s="72">
        <v>0</v>
      </c>
      <c r="F33" s="72">
        <v>0</v>
      </c>
    </row>
    <row r="34" spans="1:6" x14ac:dyDescent="0.2">
      <c r="A34" s="421">
        <f t="shared" si="0"/>
        <v>28</v>
      </c>
      <c r="B34" s="421"/>
      <c r="C34" s="88"/>
      <c r="D34" s="101"/>
      <c r="E34" s="72"/>
      <c r="F34" s="72"/>
    </row>
    <row r="35" spans="1:6" ht="13.5" thickBot="1" x14ac:dyDescent="0.25">
      <c r="A35" s="421">
        <f t="shared" si="0"/>
        <v>29</v>
      </c>
      <c r="B35" s="421"/>
      <c r="C35" s="423" t="s">
        <v>81</v>
      </c>
      <c r="D35" s="120">
        <f>SUM(D30:D33,D28,D24,D18,D9)</f>
        <v>680058011.62462139</v>
      </c>
      <c r="E35" s="137">
        <f>SUM(E30:E33,E28,E24,E18,E9)</f>
        <v>-346320</v>
      </c>
      <c r="F35" s="137">
        <f>SUM(F30:F33,F28,F24,F18,F9)</f>
        <v>3234186</v>
      </c>
    </row>
    <row r="36" spans="1:6" ht="13.5" thickTop="1" x14ac:dyDescent="0.2">
      <c r="A36" s="88"/>
      <c r="B36" s="88"/>
      <c r="C36" s="88"/>
      <c r="D36" s="101"/>
      <c r="E36" s="88"/>
      <c r="F36" s="72"/>
    </row>
    <row r="37" spans="1:6" x14ac:dyDescent="0.2">
      <c r="A37" s="88"/>
      <c r="B37" s="88"/>
      <c r="C37" s="88"/>
      <c r="D37" s="101"/>
      <c r="E37" s="88"/>
      <c r="F37" s="88"/>
    </row>
    <row r="38" spans="1:6" x14ac:dyDescent="0.2">
      <c r="A38" s="88"/>
      <c r="B38" s="88"/>
      <c r="C38" s="88"/>
      <c r="D38" s="101"/>
      <c r="E38" s="88"/>
      <c r="F38" s="88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orientation="landscape" r:id="rId1"/>
  <headerFooter>
    <oddFooter>&amp;L&amp;F&amp;R&amp;A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6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7" sqref="F7"/>
    </sheetView>
  </sheetViews>
  <sheetFormatPr defaultColWidth="8.85546875" defaultRowHeight="11.25" x14ac:dyDescent="0.2"/>
  <cols>
    <col min="1" max="1" width="7.7109375" style="74" bestFit="1" customWidth="1"/>
    <col min="2" max="2" width="10.28515625" style="74" bestFit="1" customWidth="1"/>
    <col min="3" max="3" width="21" style="74" bestFit="1" customWidth="1"/>
    <col min="4" max="4" width="16.42578125" style="74" customWidth="1"/>
    <col min="5" max="5" width="10.85546875" style="74" bestFit="1" customWidth="1"/>
    <col min="6" max="6" width="12.42578125" style="74" bestFit="1" customWidth="1"/>
    <col min="7" max="16384" width="8.85546875" style="74"/>
  </cols>
  <sheetData>
    <row r="1" spans="1:7" ht="12.75" x14ac:dyDescent="0.2">
      <c r="A1" s="616" t="s">
        <v>0</v>
      </c>
      <c r="B1" s="616"/>
      <c r="C1" s="616"/>
      <c r="D1" s="616"/>
      <c r="E1" s="619"/>
      <c r="F1" s="619"/>
    </row>
    <row r="2" spans="1:7" ht="12.75" x14ac:dyDescent="0.2">
      <c r="A2" s="616" t="s">
        <v>184</v>
      </c>
      <c r="B2" s="616"/>
      <c r="C2" s="616"/>
      <c r="D2" s="616"/>
      <c r="E2" s="619"/>
      <c r="F2" s="619"/>
    </row>
    <row r="3" spans="1:7" ht="12.75" x14ac:dyDescent="0.2">
      <c r="A3" s="616" t="str">
        <f>+'Exh BDJ-8 p1-2 (Rate Impacts)'!A3</f>
        <v>Test Year Ended June 30, 2020</v>
      </c>
      <c r="B3" s="616"/>
      <c r="C3" s="616"/>
      <c r="D3" s="616"/>
      <c r="E3" s="619"/>
      <c r="F3" s="619"/>
    </row>
    <row r="4" spans="1:7" x14ac:dyDescent="0.2">
      <c r="A4" s="609"/>
      <c r="B4" s="609"/>
      <c r="C4" s="609"/>
      <c r="D4" s="609"/>
    </row>
    <row r="5" spans="1:7" x14ac:dyDescent="0.2">
      <c r="A5" s="106"/>
      <c r="B5" s="123"/>
      <c r="C5" s="123"/>
      <c r="D5" s="123"/>
    </row>
    <row r="6" spans="1:7" ht="45" x14ac:dyDescent="0.2">
      <c r="A6" s="215" t="s">
        <v>3</v>
      </c>
      <c r="B6" s="215" t="s">
        <v>4</v>
      </c>
      <c r="C6" s="215" t="s">
        <v>34</v>
      </c>
      <c r="D6" s="216" t="str">
        <f>+'Exh BDJ-8 p1-2 (Rate Impacts)'!C6</f>
        <v>Annual kWh Normalized &amp; Delivered Sales  07/01/19 to 06/30/20</v>
      </c>
      <c r="E6" s="216" t="s">
        <v>542</v>
      </c>
      <c r="F6" s="216" t="s">
        <v>185</v>
      </c>
      <c r="G6" s="88"/>
    </row>
    <row r="7" spans="1:7" x14ac:dyDescent="0.2">
      <c r="A7" s="123">
        <v>1</v>
      </c>
      <c r="B7" s="123">
        <v>7</v>
      </c>
      <c r="C7" s="88"/>
      <c r="D7" s="101">
        <f>+'TY June 2020 Proforma Rev'!E8</f>
        <v>10863043096.272161</v>
      </c>
      <c r="E7" s="122">
        <f>+'UE-210217 Sch 140'!G8</f>
        <v>3.0720000000000001E-3</v>
      </c>
      <c r="F7" s="72">
        <f>ROUND(D7*E7,0)</f>
        <v>33371268</v>
      </c>
      <c r="G7" s="88"/>
    </row>
    <row r="8" spans="1:7" x14ac:dyDescent="0.2">
      <c r="A8" s="123">
        <f t="shared" ref="A8:A35" si="0">+A7+1</f>
        <v>2</v>
      </c>
      <c r="B8" s="106" t="s">
        <v>10</v>
      </c>
      <c r="C8" s="88"/>
      <c r="D8" s="101">
        <f>+'TY June 2020 Proforma Rev'!E9</f>
        <v>2376000</v>
      </c>
      <c r="E8" s="122">
        <f>+'UE-210217 Sch 140'!G13</f>
        <v>2.4289999999999997E-3</v>
      </c>
      <c r="F8" s="72">
        <f>ROUND(D8*E8,0)</f>
        <v>5771</v>
      </c>
      <c r="G8" s="88"/>
    </row>
    <row r="9" spans="1:7" x14ac:dyDescent="0.2">
      <c r="A9" s="123">
        <f t="shared" si="0"/>
        <v>3</v>
      </c>
      <c r="B9" s="123"/>
      <c r="C9" s="88" t="s">
        <v>11</v>
      </c>
      <c r="D9" s="117">
        <f>SUM(D7:D8)</f>
        <v>10865419096.272161</v>
      </c>
      <c r="E9" s="208"/>
      <c r="F9" s="73">
        <f>SUM(F7:F8)</f>
        <v>33377039</v>
      </c>
      <c r="G9" s="88"/>
    </row>
    <row r="10" spans="1:7" x14ac:dyDescent="0.2">
      <c r="A10" s="123">
        <f t="shared" si="0"/>
        <v>4</v>
      </c>
      <c r="B10" s="123"/>
      <c r="C10" s="88"/>
      <c r="D10" s="101"/>
      <c r="E10" s="122"/>
      <c r="F10" s="72"/>
      <c r="G10" s="88"/>
    </row>
    <row r="11" spans="1:7" x14ac:dyDescent="0.2">
      <c r="A11" s="123">
        <f t="shared" si="0"/>
        <v>5</v>
      </c>
      <c r="B11" s="123">
        <v>8</v>
      </c>
      <c r="C11" s="88"/>
      <c r="D11" s="101">
        <f>+'TY June 2020 Proforma Rev'!E12</f>
        <v>252362620.54679149</v>
      </c>
      <c r="E11" s="122">
        <f>'UE-210217 Sch 140'!G12</f>
        <v>2.6389999999999999E-3</v>
      </c>
      <c r="F11" s="72">
        <f t="shared" ref="F11:F17" si="1">ROUND(D11*E11,0)</f>
        <v>665985</v>
      </c>
      <c r="G11" s="88"/>
    </row>
    <row r="12" spans="1:7" x14ac:dyDescent="0.2">
      <c r="A12" s="123">
        <f t="shared" si="0"/>
        <v>6</v>
      </c>
      <c r="B12" s="123">
        <v>24</v>
      </c>
      <c r="C12" s="88"/>
      <c r="D12" s="101">
        <f>+'TY June 2020 Proforma Rev'!E13</f>
        <v>2333975906.454967</v>
      </c>
      <c r="E12" s="122">
        <f>+E11</f>
        <v>2.6389999999999999E-3</v>
      </c>
      <c r="F12" s="72">
        <f t="shared" si="1"/>
        <v>6159362</v>
      </c>
      <c r="G12" s="88"/>
    </row>
    <row r="13" spans="1:7" x14ac:dyDescent="0.2">
      <c r="A13" s="123">
        <f t="shared" si="0"/>
        <v>7</v>
      </c>
      <c r="B13" s="106">
        <v>11</v>
      </c>
      <c r="C13" s="88"/>
      <c r="D13" s="101">
        <f>+'TY June 2020 Proforma Rev'!E14</f>
        <v>135958671.66260606</v>
      </c>
      <c r="E13" s="122">
        <f>+E8</f>
        <v>2.4289999999999997E-3</v>
      </c>
      <c r="F13" s="72">
        <f t="shared" si="1"/>
        <v>330244</v>
      </c>
      <c r="G13" s="88"/>
    </row>
    <row r="14" spans="1:7" x14ac:dyDescent="0.2">
      <c r="A14" s="123">
        <f t="shared" si="0"/>
        <v>8</v>
      </c>
      <c r="B14" s="106">
        <v>25</v>
      </c>
      <c r="C14" s="88"/>
      <c r="D14" s="101">
        <f>+'TY June 2020 Proforma Rev'!E15</f>
        <v>2746336782.1565623</v>
      </c>
      <c r="E14" s="122">
        <f>+E13</f>
        <v>2.4289999999999997E-3</v>
      </c>
      <c r="F14" s="72">
        <f t="shared" si="1"/>
        <v>6670852</v>
      </c>
      <c r="G14" s="88"/>
    </row>
    <row r="15" spans="1:7" x14ac:dyDescent="0.2">
      <c r="A15" s="123">
        <f t="shared" si="0"/>
        <v>9</v>
      </c>
      <c r="B15" s="123">
        <v>12</v>
      </c>
      <c r="C15" s="88"/>
      <c r="D15" s="101">
        <f>+'TY June 2020 Proforma Rev'!E16</f>
        <v>16430488</v>
      </c>
      <c r="E15" s="122">
        <f>+'UE-210217 Sch 140'!G14</f>
        <v>2.307E-3</v>
      </c>
      <c r="F15" s="72">
        <f t="shared" si="1"/>
        <v>37905</v>
      </c>
      <c r="G15" s="88"/>
    </row>
    <row r="16" spans="1:7" x14ac:dyDescent="0.2">
      <c r="A16" s="123">
        <f t="shared" si="0"/>
        <v>10</v>
      </c>
      <c r="B16" s="123" t="s">
        <v>12</v>
      </c>
      <c r="C16" s="88"/>
      <c r="D16" s="101">
        <f>+'TY June 2020 Proforma Rev'!E17</f>
        <v>1824742786.7668719</v>
      </c>
      <c r="E16" s="122">
        <f>+E15</f>
        <v>2.307E-3</v>
      </c>
      <c r="F16" s="72">
        <f t="shared" si="1"/>
        <v>4209682</v>
      </c>
      <c r="G16" s="88"/>
    </row>
    <row r="17" spans="1:7" x14ac:dyDescent="0.2">
      <c r="A17" s="123">
        <f t="shared" si="0"/>
        <v>11</v>
      </c>
      <c r="B17" s="123">
        <v>29</v>
      </c>
      <c r="C17" s="88"/>
      <c r="D17" s="101">
        <f>+'TY June 2020 Proforma Rev'!E18</f>
        <v>11424740.434375001</v>
      </c>
      <c r="E17" s="122">
        <f>+'UE-210217 Sch 140'!G15</f>
        <v>2.4289999999999997E-3</v>
      </c>
      <c r="F17" s="72">
        <f t="shared" si="1"/>
        <v>27751</v>
      </c>
      <c r="G17" s="88"/>
    </row>
    <row r="18" spans="1:7" x14ac:dyDescent="0.2">
      <c r="A18" s="123">
        <f t="shared" si="0"/>
        <v>12</v>
      </c>
      <c r="B18" s="123"/>
      <c r="C18" s="207" t="s">
        <v>13</v>
      </c>
      <c r="D18" s="117">
        <f>SUM(D11:D17)</f>
        <v>7321231996.0221739</v>
      </c>
      <c r="E18" s="208"/>
      <c r="F18" s="73">
        <f>SUM(F11:F17)</f>
        <v>18101781</v>
      </c>
      <c r="G18" s="88"/>
    </row>
    <row r="19" spans="1:7" x14ac:dyDescent="0.2">
      <c r="A19" s="123">
        <f t="shared" si="0"/>
        <v>13</v>
      </c>
      <c r="B19" s="123"/>
      <c r="C19" s="88"/>
      <c r="D19" s="101"/>
      <c r="E19" s="122"/>
      <c r="F19" s="72"/>
      <c r="G19" s="88"/>
    </row>
    <row r="20" spans="1:7" x14ac:dyDescent="0.2">
      <c r="A20" s="123">
        <f t="shared" si="0"/>
        <v>14</v>
      </c>
      <c r="B20" s="123">
        <v>10</v>
      </c>
      <c r="C20" s="88"/>
      <c r="D20" s="101">
        <f>+'TY June 2020 Proforma Rev'!E21</f>
        <v>25573920</v>
      </c>
      <c r="E20" s="122">
        <f>+'UE-210217 Sch 140'!G19</f>
        <v>2.222E-3</v>
      </c>
      <c r="F20" s="72">
        <f>ROUND(D20*E20,0)</f>
        <v>56825</v>
      </c>
      <c r="G20" s="88"/>
    </row>
    <row r="21" spans="1:7" x14ac:dyDescent="0.2">
      <c r="A21" s="232">
        <f t="shared" si="0"/>
        <v>15</v>
      </c>
      <c r="B21" s="123">
        <v>31</v>
      </c>
      <c r="C21" s="88"/>
      <c r="D21" s="101">
        <f>+'TY June 2020 Proforma Rev'!E22</f>
        <v>1310080421.1168144</v>
      </c>
      <c r="E21" s="122">
        <f>+E20</f>
        <v>2.222E-3</v>
      </c>
      <c r="F21" s="72">
        <f>ROUND(D21*E21,0)</f>
        <v>2910999</v>
      </c>
      <c r="G21" s="88"/>
    </row>
    <row r="22" spans="1:7" x14ac:dyDescent="0.2">
      <c r="A22" s="232">
        <f t="shared" si="0"/>
        <v>16</v>
      </c>
      <c r="B22" s="123">
        <v>35</v>
      </c>
      <c r="C22" s="88"/>
      <c r="D22" s="101">
        <f>+'TY June 2020 Proforma Rev'!E23</f>
        <v>5945040</v>
      </c>
      <c r="E22" s="122">
        <f>+'UE-210217 Sch 140'!G20</f>
        <v>2.222E-3</v>
      </c>
      <c r="F22" s="72">
        <f>ROUND(D22*E22,0)</f>
        <v>13210</v>
      </c>
      <c r="G22" s="88"/>
    </row>
    <row r="23" spans="1:7" x14ac:dyDescent="0.2">
      <c r="A23" s="232">
        <f t="shared" si="0"/>
        <v>17</v>
      </c>
      <c r="B23" s="123">
        <v>43</v>
      </c>
      <c r="C23" s="88"/>
      <c r="D23" s="101">
        <f>+'TY June 2020 Proforma Rev'!E24</f>
        <v>116280759.88464826</v>
      </c>
      <c r="E23" s="122">
        <f>+'UE-210217 Sch 140'!G21</f>
        <v>3.0560000000000001E-3</v>
      </c>
      <c r="F23" s="72">
        <f>ROUND(D23*E23,0)</f>
        <v>355354</v>
      </c>
      <c r="G23" s="88"/>
    </row>
    <row r="24" spans="1:7" x14ac:dyDescent="0.2">
      <c r="A24" s="386">
        <f t="shared" si="0"/>
        <v>18</v>
      </c>
      <c r="B24" s="123"/>
      <c r="C24" s="88" t="s">
        <v>14</v>
      </c>
      <c r="D24" s="117">
        <f>SUM(D20:D23)</f>
        <v>1457880141.0014627</v>
      </c>
      <c r="E24" s="208"/>
      <c r="F24" s="73">
        <f>SUM(F20:F23)</f>
        <v>3336388</v>
      </c>
      <c r="G24" s="88"/>
    </row>
    <row r="25" spans="1:7" x14ac:dyDescent="0.2">
      <c r="A25" s="386">
        <f t="shared" si="0"/>
        <v>19</v>
      </c>
      <c r="B25" s="123"/>
      <c r="C25" s="88"/>
      <c r="D25" s="101"/>
      <c r="E25" s="122"/>
      <c r="F25" s="72"/>
      <c r="G25" s="88"/>
    </row>
    <row r="26" spans="1:7" x14ac:dyDescent="0.2">
      <c r="A26" s="386">
        <f t="shared" si="0"/>
        <v>20</v>
      </c>
      <c r="B26" s="123">
        <v>46</v>
      </c>
      <c r="C26" s="88"/>
      <c r="D26" s="101">
        <f>+'TY June 2020 Proforma Rev'!E27</f>
        <v>81635228</v>
      </c>
      <c r="E26" s="122">
        <f>+'UE-210217 Sch 140'!G27</f>
        <v>1.668E-3</v>
      </c>
      <c r="F26" s="72">
        <f>ROUND(D26*E26,0)</f>
        <v>136168</v>
      </c>
      <c r="G26" s="88"/>
    </row>
    <row r="27" spans="1:7" x14ac:dyDescent="0.2">
      <c r="A27" s="386">
        <f t="shared" si="0"/>
        <v>21</v>
      </c>
      <c r="B27" s="123">
        <v>49</v>
      </c>
      <c r="C27" s="88"/>
      <c r="D27" s="101">
        <f>+'TY June 2020 Proforma Rev'!E28</f>
        <v>563071445.51999998</v>
      </c>
      <c r="E27" s="122">
        <f>+'UE-210217 Sch 140'!G28</f>
        <v>1.668E-3</v>
      </c>
      <c r="F27" s="72">
        <f>ROUND(D27*E27,0)</f>
        <v>939203</v>
      </c>
      <c r="G27" s="88"/>
    </row>
    <row r="28" spans="1:7" x14ac:dyDescent="0.2">
      <c r="A28" s="386">
        <f t="shared" si="0"/>
        <v>22</v>
      </c>
      <c r="B28" s="123"/>
      <c r="C28" s="88" t="s">
        <v>15</v>
      </c>
      <c r="D28" s="117">
        <f>SUM(D26:D27)</f>
        <v>644706673.51999998</v>
      </c>
      <c r="E28" s="208"/>
      <c r="F28" s="73">
        <f>SUM(F26:F27)</f>
        <v>1075371</v>
      </c>
      <c r="G28" s="88"/>
    </row>
    <row r="29" spans="1:7" x14ac:dyDescent="0.2">
      <c r="A29" s="232">
        <f t="shared" si="0"/>
        <v>23</v>
      </c>
      <c r="B29" s="123"/>
      <c r="C29" s="88"/>
      <c r="D29" s="101"/>
      <c r="E29" s="122"/>
      <c r="F29" s="72"/>
      <c r="G29" s="88"/>
    </row>
    <row r="30" spans="1:7" x14ac:dyDescent="0.2">
      <c r="A30" s="245">
        <f t="shared" si="0"/>
        <v>24</v>
      </c>
      <c r="B30" s="244" t="s">
        <v>16</v>
      </c>
      <c r="C30" s="88" t="s">
        <v>108</v>
      </c>
      <c r="D30" s="101">
        <f>+'TY June 2020 Proforma Rev'!E31</f>
        <v>68936797.67750001</v>
      </c>
      <c r="E30" s="122">
        <f>+'UE-210217 Sch 140'!G31</f>
        <v>9.2899999999999996E-3</v>
      </c>
      <c r="F30" s="72">
        <f>ROUND(D30*E30,0)</f>
        <v>640423</v>
      </c>
      <c r="G30" s="88"/>
    </row>
    <row r="31" spans="1:7" x14ac:dyDescent="0.2">
      <c r="A31" s="245">
        <f t="shared" si="0"/>
        <v>25</v>
      </c>
      <c r="B31" s="244" t="s">
        <v>17</v>
      </c>
      <c r="C31" s="88" t="s">
        <v>110</v>
      </c>
      <c r="D31" s="101">
        <f>+'TY June 2020 Proforma Rev'!E32</f>
        <v>1993508561.5469999</v>
      </c>
      <c r="E31" s="122">
        <f>+'UE-210217 Sch 140'!G33</f>
        <v>2.1999999999999999E-5</v>
      </c>
      <c r="F31" s="72">
        <f>ROUND(D31*E31,0)</f>
        <v>43857</v>
      </c>
      <c r="G31" s="88"/>
    </row>
    <row r="32" spans="1:7" x14ac:dyDescent="0.2">
      <c r="A32" s="245">
        <f t="shared" si="0"/>
        <v>26</v>
      </c>
      <c r="B32" s="244" t="s">
        <v>347</v>
      </c>
      <c r="C32" s="88" t="s">
        <v>265</v>
      </c>
      <c r="D32" s="101">
        <f>+'TY June 2020 Proforma Rev'!E33</f>
        <v>303234527.03700018</v>
      </c>
      <c r="E32" s="122">
        <f>+'UE-210217 Sch 140'!G24</f>
        <v>4.8499999999999997E-4</v>
      </c>
      <c r="F32" s="72">
        <f>ROUND(D32*E32,0)</f>
        <v>147069</v>
      </c>
      <c r="G32" s="88"/>
    </row>
    <row r="33" spans="1:7" x14ac:dyDescent="0.2">
      <c r="A33" s="245">
        <f t="shared" si="0"/>
        <v>27</v>
      </c>
      <c r="B33" s="244">
        <v>5</v>
      </c>
      <c r="C33" s="88" t="s">
        <v>80</v>
      </c>
      <c r="D33" s="101">
        <f>+'TY June 2020 Proforma Rev'!E34</f>
        <v>7369853.2214806583</v>
      </c>
      <c r="E33" s="122">
        <v>0</v>
      </c>
      <c r="F33" s="72">
        <f>ROUND(D33*E33,0)</f>
        <v>0</v>
      </c>
      <c r="G33" s="88"/>
    </row>
    <row r="34" spans="1:7" x14ac:dyDescent="0.2">
      <c r="A34" s="245">
        <f t="shared" si="0"/>
        <v>28</v>
      </c>
      <c r="B34" s="244"/>
      <c r="C34" s="88"/>
      <c r="D34" s="101"/>
      <c r="E34" s="88"/>
      <c r="F34" s="72"/>
      <c r="G34" s="88"/>
    </row>
    <row r="35" spans="1:7" ht="12" thickBot="1" x14ac:dyDescent="0.25">
      <c r="A35" s="245">
        <f t="shared" si="0"/>
        <v>29</v>
      </c>
      <c r="B35" s="244"/>
      <c r="C35" s="246" t="s">
        <v>81</v>
      </c>
      <c r="D35" s="120">
        <f>SUM(D30:D33,D28,D24,D18,D9)</f>
        <v>22662287646.298782</v>
      </c>
      <c r="E35" s="135"/>
      <c r="F35" s="137">
        <f>SUM(F30:F33,F28,F24,F18,F9)</f>
        <v>56721928</v>
      </c>
      <c r="G35" s="88"/>
    </row>
    <row r="36" spans="1:7" ht="12" thickTop="1" x14ac:dyDescent="0.2">
      <c r="D36" s="88"/>
      <c r="E36" s="135"/>
      <c r="F36" s="135"/>
    </row>
  </sheetData>
  <mergeCells count="4">
    <mergeCell ref="A4:D4"/>
    <mergeCell ref="A1:F1"/>
    <mergeCell ref="A2:F2"/>
    <mergeCell ref="A3:F3"/>
  </mergeCells>
  <printOptions horizontalCentered="1"/>
  <pageMargins left="0.7" right="0.7" top="0.75" bottom="0.87" header="0.3" footer="0.3"/>
  <pageSetup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6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G35"/>
    </sheetView>
  </sheetViews>
  <sheetFormatPr defaultColWidth="8.85546875" defaultRowHeight="11.25" x14ac:dyDescent="0.2"/>
  <cols>
    <col min="1" max="1" width="4.7109375" style="212" bestFit="1" customWidth="1"/>
    <col min="2" max="2" width="23.28515625" style="212" bestFit="1" customWidth="1"/>
    <col min="3" max="3" width="23.28515625" style="212" customWidth="1"/>
    <col min="4" max="4" width="13.85546875" style="212" customWidth="1"/>
    <col min="5" max="5" width="10" style="212" bestFit="1" customWidth="1"/>
    <col min="6" max="6" width="2.5703125" style="212" customWidth="1"/>
    <col min="7" max="7" width="13.28515625" style="212" bestFit="1" customWidth="1"/>
    <col min="8" max="16384" width="8.85546875" style="212"/>
  </cols>
  <sheetData>
    <row r="1" spans="1:7" s="211" customFormat="1" x14ac:dyDescent="0.2">
      <c r="A1" s="622" t="s">
        <v>188</v>
      </c>
      <c r="B1" s="622"/>
      <c r="C1" s="622"/>
      <c r="D1" s="622"/>
    </row>
    <row r="2" spans="1:7" s="211" customFormat="1" x14ac:dyDescent="0.2">
      <c r="A2" s="623" t="s">
        <v>363</v>
      </c>
      <c r="B2" s="622"/>
      <c r="C2" s="622"/>
      <c r="D2" s="622"/>
    </row>
    <row r="3" spans="1:7" x14ac:dyDescent="0.2">
      <c r="A3" s="620"/>
      <c r="B3" s="621"/>
      <c r="C3" s="238"/>
      <c r="D3" s="238"/>
    </row>
    <row r="5" spans="1:7" x14ac:dyDescent="0.2">
      <c r="E5" s="620" t="s">
        <v>455</v>
      </c>
      <c r="F5" s="621"/>
      <c r="G5" s="621"/>
    </row>
    <row r="6" spans="1:7" ht="56.25" x14ac:dyDescent="0.2">
      <c r="A6" s="209" t="s">
        <v>189</v>
      </c>
      <c r="B6" s="210" t="s">
        <v>34</v>
      </c>
      <c r="C6" s="210"/>
      <c r="D6" s="216" t="str">
        <f>+'Exh BDJ-8 p1-2 (Rate Impacts)'!C6</f>
        <v>Annual kWh Normalized &amp; Delivered Sales  07/01/19 to 06/30/20</v>
      </c>
      <c r="E6" s="209" t="s">
        <v>346</v>
      </c>
      <c r="F6" s="209"/>
      <c r="G6" s="209" t="s">
        <v>328</v>
      </c>
    </row>
    <row r="7" spans="1:7" x14ac:dyDescent="0.2">
      <c r="A7" s="213">
        <v>1</v>
      </c>
      <c r="B7" s="237">
        <v>7</v>
      </c>
      <c r="C7" s="88"/>
      <c r="D7" s="101">
        <f>+'TY June 2020 Proforma Rev'!E8</f>
        <v>10863043096.272161</v>
      </c>
      <c r="E7" s="248">
        <f>ROUND(+'UE-190529 Sch 141X &amp; 141Z'!M14,6)</f>
        <v>-3.016E-3</v>
      </c>
      <c r="F7" s="214"/>
      <c r="G7" s="133">
        <f>ROUND(E7*D7,0)</f>
        <v>-32762938</v>
      </c>
    </row>
    <row r="8" spans="1:7" x14ac:dyDescent="0.2">
      <c r="A8" s="213">
        <f>+A7+1</f>
        <v>2</v>
      </c>
      <c r="B8" s="106" t="s">
        <v>10</v>
      </c>
      <c r="C8" s="88"/>
      <c r="D8" s="101">
        <f>+'TY June 2020 Proforma Rev'!E9</f>
        <v>2376000</v>
      </c>
      <c r="E8" s="248">
        <f>ROUND(+'UE-190529 Sch 141X &amp; 141Z'!M19,6)</f>
        <v>-2.2820000000000002E-3</v>
      </c>
      <c r="G8" s="133">
        <f>ROUND(E8*D8,0)</f>
        <v>-5422</v>
      </c>
    </row>
    <row r="9" spans="1:7" x14ac:dyDescent="0.2">
      <c r="A9" s="234">
        <f t="shared" ref="A9:A35" si="0">+A8+1</f>
        <v>3</v>
      </c>
      <c r="B9" s="237"/>
      <c r="C9" s="88" t="s">
        <v>11</v>
      </c>
      <c r="D9" s="117">
        <f>SUM(D7:D8)</f>
        <v>10865419096.272161</v>
      </c>
      <c r="E9" s="248"/>
      <c r="F9" s="214"/>
      <c r="G9" s="136">
        <f>SUM(G7:G8)</f>
        <v>-32768360</v>
      </c>
    </row>
    <row r="10" spans="1:7" x14ac:dyDescent="0.2">
      <c r="A10" s="234">
        <f t="shared" si="0"/>
        <v>4</v>
      </c>
      <c r="B10" s="237"/>
      <c r="C10" s="88"/>
      <c r="D10" s="101"/>
      <c r="E10" s="248"/>
      <c r="F10" s="214"/>
      <c r="G10" s="133"/>
    </row>
    <row r="11" spans="1:7" x14ac:dyDescent="0.2">
      <c r="A11" s="234">
        <f t="shared" si="0"/>
        <v>5</v>
      </c>
      <c r="B11" s="237">
        <v>8</v>
      </c>
      <c r="C11" s="88"/>
      <c r="D11" s="101">
        <f>+'TY June 2020 Proforma Rev'!E12</f>
        <v>252362620.54679149</v>
      </c>
      <c r="E11" s="248">
        <f>ROUND(+'UE-190529 Sch 141X &amp; 141Z'!M18,6)</f>
        <v>-2.4329999999999998E-3</v>
      </c>
      <c r="F11" s="214"/>
      <c r="G11" s="133">
        <f t="shared" ref="G11:G17" si="1">ROUND(E11*D11,0)</f>
        <v>-613998</v>
      </c>
    </row>
    <row r="12" spans="1:7" x14ac:dyDescent="0.2">
      <c r="A12" s="234">
        <f t="shared" si="0"/>
        <v>6</v>
      </c>
      <c r="B12" s="237">
        <v>24</v>
      </c>
      <c r="C12" s="88"/>
      <c r="D12" s="101">
        <f>+'TY June 2020 Proforma Rev'!E13</f>
        <v>2333975906.454967</v>
      </c>
      <c r="E12" s="248">
        <f>+E11</f>
        <v>-2.4329999999999998E-3</v>
      </c>
      <c r="G12" s="133">
        <f t="shared" si="1"/>
        <v>-5678563</v>
      </c>
    </row>
    <row r="13" spans="1:7" x14ac:dyDescent="0.2">
      <c r="A13" s="234">
        <f t="shared" si="0"/>
        <v>7</v>
      </c>
      <c r="B13" s="106">
        <v>11</v>
      </c>
      <c r="C13" s="88"/>
      <c r="D13" s="101">
        <f>+'TY June 2020 Proforma Rev'!E14</f>
        <v>135958671.66260606</v>
      </c>
      <c r="E13" s="248">
        <f>+E8</f>
        <v>-2.2820000000000002E-3</v>
      </c>
      <c r="F13" s="214"/>
      <c r="G13" s="133">
        <f t="shared" si="1"/>
        <v>-310258</v>
      </c>
    </row>
    <row r="14" spans="1:7" x14ac:dyDescent="0.2">
      <c r="A14" s="234">
        <f t="shared" si="0"/>
        <v>8</v>
      </c>
      <c r="B14" s="106">
        <v>25</v>
      </c>
      <c r="C14" s="88"/>
      <c r="D14" s="101">
        <f>+'TY June 2020 Proforma Rev'!E15</f>
        <v>2746336782.1565623</v>
      </c>
      <c r="E14" s="248">
        <f>+E13</f>
        <v>-2.2820000000000002E-3</v>
      </c>
      <c r="G14" s="133">
        <f t="shared" si="1"/>
        <v>-6267141</v>
      </c>
    </row>
    <row r="15" spans="1:7" x14ac:dyDescent="0.2">
      <c r="A15" s="234">
        <f t="shared" si="0"/>
        <v>9</v>
      </c>
      <c r="B15" s="237">
        <v>12</v>
      </c>
      <c r="C15" s="88"/>
      <c r="D15" s="101">
        <f>+'TY June 2020 Proforma Rev'!E16</f>
        <v>16430488</v>
      </c>
      <c r="E15" s="248">
        <f>ROUND(+'UE-190529 Sch 141X &amp; 141Z'!M20,6)</f>
        <v>-1.9689999999999998E-3</v>
      </c>
      <c r="F15" s="214"/>
      <c r="G15" s="133">
        <f t="shared" si="1"/>
        <v>-32352</v>
      </c>
    </row>
    <row r="16" spans="1:7" x14ac:dyDescent="0.2">
      <c r="A16" s="234">
        <f t="shared" si="0"/>
        <v>10</v>
      </c>
      <c r="B16" s="237" t="s">
        <v>12</v>
      </c>
      <c r="C16" s="88"/>
      <c r="D16" s="101">
        <f>+'TY June 2020 Proforma Rev'!E17</f>
        <v>1824742786.7668719</v>
      </c>
      <c r="E16" s="248">
        <f>+E15</f>
        <v>-1.9689999999999998E-3</v>
      </c>
      <c r="G16" s="133">
        <f t="shared" si="1"/>
        <v>-3592919</v>
      </c>
    </row>
    <row r="17" spans="1:7" x14ac:dyDescent="0.2">
      <c r="A17" s="234">
        <f t="shared" si="0"/>
        <v>11</v>
      </c>
      <c r="B17" s="237">
        <v>29</v>
      </c>
      <c r="C17" s="88"/>
      <c r="D17" s="101">
        <f>+'TY June 2020 Proforma Rev'!E18</f>
        <v>11424740.434375001</v>
      </c>
      <c r="E17" s="248">
        <f>ROUND(+'UE-190529 Sch 141X &amp; 141Z'!M21,6)</f>
        <v>-2.2820000000000002E-3</v>
      </c>
      <c r="F17" s="214"/>
      <c r="G17" s="133">
        <f t="shared" si="1"/>
        <v>-26071</v>
      </c>
    </row>
    <row r="18" spans="1:7" x14ac:dyDescent="0.2">
      <c r="A18" s="234">
        <f t="shared" si="0"/>
        <v>12</v>
      </c>
      <c r="B18" s="237"/>
      <c r="C18" s="239" t="s">
        <v>13</v>
      </c>
      <c r="D18" s="117">
        <f>SUM(D11:D17)</f>
        <v>7321231996.0221739</v>
      </c>
      <c r="E18" s="248"/>
      <c r="F18" s="214"/>
      <c r="G18" s="136">
        <f>SUM(G11:G17)</f>
        <v>-16521302</v>
      </c>
    </row>
    <row r="19" spans="1:7" x14ac:dyDescent="0.2">
      <c r="A19" s="234">
        <f t="shared" si="0"/>
        <v>13</v>
      </c>
      <c r="B19" s="237"/>
      <c r="C19" s="88"/>
      <c r="D19" s="101"/>
      <c r="E19" s="248"/>
      <c r="F19" s="214"/>
      <c r="G19" s="133"/>
    </row>
    <row r="20" spans="1:7" x14ac:dyDescent="0.2">
      <c r="A20" s="234">
        <f t="shared" si="0"/>
        <v>14</v>
      </c>
      <c r="B20" s="237">
        <v>10</v>
      </c>
      <c r="C20" s="88"/>
      <c r="D20" s="101">
        <f>+'TY June 2020 Proforma Rev'!E21</f>
        <v>25573920</v>
      </c>
      <c r="E20" s="248">
        <f>ROUND(+'UE-190529 Sch 141X &amp; 141Z'!M25,6)</f>
        <v>-2.0140000000000002E-3</v>
      </c>
      <c r="F20" s="214"/>
      <c r="G20" s="133">
        <f>ROUND(E20*D20,0)</f>
        <v>-51506</v>
      </c>
    </row>
    <row r="21" spans="1:7" x14ac:dyDescent="0.2">
      <c r="A21" s="234">
        <f t="shared" si="0"/>
        <v>15</v>
      </c>
      <c r="B21" s="237">
        <v>31</v>
      </c>
      <c r="C21" s="88"/>
      <c r="D21" s="101">
        <f>+'TY June 2020 Proforma Rev'!E22</f>
        <v>1310080421.1168144</v>
      </c>
      <c r="E21" s="248">
        <f>+E20</f>
        <v>-2.0140000000000002E-3</v>
      </c>
      <c r="G21" s="133">
        <f>ROUND(E21*D21,0)</f>
        <v>-2638502</v>
      </c>
    </row>
    <row r="22" spans="1:7" x14ac:dyDescent="0.2">
      <c r="A22" s="234">
        <f t="shared" si="0"/>
        <v>16</v>
      </c>
      <c r="B22" s="237">
        <v>35</v>
      </c>
      <c r="C22" s="88"/>
      <c r="D22" s="101">
        <f>+'TY June 2020 Proforma Rev'!E23</f>
        <v>5945040</v>
      </c>
      <c r="E22" s="248">
        <f>ROUND(+'UE-190529 Sch 141X &amp; 141Z'!M26,6)</f>
        <v>-3.3349999999999999E-3</v>
      </c>
      <c r="F22" s="214"/>
      <c r="G22" s="133">
        <f>ROUND(E22*D22,0)</f>
        <v>-19827</v>
      </c>
    </row>
    <row r="23" spans="1:7" x14ac:dyDescent="0.2">
      <c r="A23" s="234">
        <f t="shared" si="0"/>
        <v>17</v>
      </c>
      <c r="B23" s="237">
        <v>43</v>
      </c>
      <c r="C23" s="88"/>
      <c r="D23" s="101">
        <f>+'TY June 2020 Proforma Rev'!E24</f>
        <v>116280759.88464826</v>
      </c>
      <c r="E23" s="248">
        <f>ROUND(+'UE-190529 Sch 141X &amp; 141Z'!M27,6)</f>
        <v>-2.7729999999999999E-3</v>
      </c>
      <c r="F23" s="214"/>
      <c r="G23" s="133">
        <f>ROUND(E23*D23,0)</f>
        <v>-322447</v>
      </c>
    </row>
    <row r="24" spans="1:7" x14ac:dyDescent="0.2">
      <c r="A24" s="387">
        <f t="shared" si="0"/>
        <v>18</v>
      </c>
      <c r="B24" s="237"/>
      <c r="C24" s="88" t="s">
        <v>14</v>
      </c>
      <c r="D24" s="117">
        <f>SUM(D20:D23)</f>
        <v>1457880141.0014627</v>
      </c>
      <c r="E24" s="248"/>
      <c r="F24" s="214"/>
      <c r="G24" s="136">
        <f>SUM(G20:G23)</f>
        <v>-3032282</v>
      </c>
    </row>
    <row r="25" spans="1:7" x14ac:dyDescent="0.2">
      <c r="A25" s="387">
        <f t="shared" si="0"/>
        <v>19</v>
      </c>
      <c r="B25" s="237"/>
      <c r="C25" s="88"/>
      <c r="D25" s="101"/>
      <c r="E25" s="248"/>
      <c r="F25" s="214"/>
      <c r="G25" s="133"/>
    </row>
    <row r="26" spans="1:7" x14ac:dyDescent="0.2">
      <c r="A26" s="387">
        <f t="shared" si="0"/>
        <v>20</v>
      </c>
      <c r="B26" s="237">
        <v>46</v>
      </c>
      <c r="C26" s="88"/>
      <c r="D26" s="101">
        <f>+'TY June 2020 Proforma Rev'!E27</f>
        <v>81635228</v>
      </c>
      <c r="E26" s="248">
        <f>ROUND(+'UE-190529 Sch 141X &amp; 141Z'!M31,6)</f>
        <v>-1.5349999999999999E-3</v>
      </c>
      <c r="F26" s="214"/>
      <c r="G26" s="133">
        <f>ROUND(E26*D26,0)</f>
        <v>-125310</v>
      </c>
    </row>
    <row r="27" spans="1:7" x14ac:dyDescent="0.2">
      <c r="A27" s="387">
        <f t="shared" si="0"/>
        <v>21</v>
      </c>
      <c r="B27" s="237">
        <v>49</v>
      </c>
      <c r="C27" s="88"/>
      <c r="D27" s="101">
        <f>+'TY June 2020 Proforma Rev'!E28</f>
        <v>563071445.51999998</v>
      </c>
      <c r="E27" s="248">
        <f>ROUND(+'UE-190529 Sch 141X &amp; 141Z'!M32,6)</f>
        <v>-1.5349999999999999E-3</v>
      </c>
      <c r="F27" s="214"/>
      <c r="G27" s="133">
        <f>ROUND(E27*D27,0)</f>
        <v>-864315</v>
      </c>
    </row>
    <row r="28" spans="1:7" x14ac:dyDescent="0.2">
      <c r="A28" s="387">
        <f t="shared" si="0"/>
        <v>22</v>
      </c>
      <c r="B28" s="237"/>
      <c r="C28" s="88" t="s">
        <v>15</v>
      </c>
      <c r="D28" s="117">
        <f>SUM(D26:D27)</f>
        <v>644706673.51999998</v>
      </c>
      <c r="E28" s="248"/>
      <c r="F28" s="214"/>
      <c r="G28" s="136">
        <f>SUM(G26:G27)</f>
        <v>-989625</v>
      </c>
    </row>
    <row r="29" spans="1:7" x14ac:dyDescent="0.2">
      <c r="A29" s="387">
        <f t="shared" si="0"/>
        <v>23</v>
      </c>
      <c r="B29" s="237"/>
      <c r="C29" s="88"/>
      <c r="D29" s="101"/>
      <c r="E29" s="248"/>
      <c r="F29" s="214"/>
      <c r="G29" s="133"/>
    </row>
    <row r="30" spans="1:7" x14ac:dyDescent="0.2">
      <c r="A30" s="238">
        <f t="shared" si="0"/>
        <v>24</v>
      </c>
      <c r="B30" s="237" t="s">
        <v>16</v>
      </c>
      <c r="C30" s="88" t="s">
        <v>108</v>
      </c>
      <c r="D30" s="101">
        <f>+'TY June 2020 Proforma Rev'!E31</f>
        <v>68936797.67750001</v>
      </c>
      <c r="E30" s="248">
        <f>ROUND(+'UE-190529 Sch 141X &amp; 141Z'!M40,6)</f>
        <v>-8.5349999999999992E-3</v>
      </c>
      <c r="F30" s="214"/>
      <c r="G30" s="133">
        <f>ROUND(E30*D30,0)</f>
        <v>-588376</v>
      </c>
    </row>
    <row r="31" spans="1:7" x14ac:dyDescent="0.2">
      <c r="A31" s="238">
        <f t="shared" si="0"/>
        <v>25</v>
      </c>
      <c r="B31" s="237" t="s">
        <v>17</v>
      </c>
      <c r="C31" s="88" t="s">
        <v>110</v>
      </c>
      <c r="D31" s="101">
        <f>+'TY June 2020 Proforma Rev'!E32</f>
        <v>1993508561.5469999</v>
      </c>
      <c r="E31" s="248">
        <f>ROUND(+'UE-190529 Sch 141X &amp; 141Z'!M36,6)</f>
        <v>-1.5999999999999999E-5</v>
      </c>
      <c r="F31" s="214"/>
      <c r="G31" s="133">
        <f>ROUND(E31*D31,0)</f>
        <v>-31896</v>
      </c>
    </row>
    <row r="32" spans="1:7" x14ac:dyDescent="0.2">
      <c r="A32" s="238">
        <f t="shared" si="0"/>
        <v>26</v>
      </c>
      <c r="B32" s="237" t="s">
        <v>347</v>
      </c>
      <c r="C32" s="88" t="s">
        <v>265</v>
      </c>
      <c r="D32" s="101">
        <f>+'TY June 2020 Proforma Rev'!E33</f>
        <v>303234527.03700018</v>
      </c>
      <c r="E32" s="248">
        <f>ROUND(+'UE-190529 Sch 141X &amp; 141Z'!M37,6)</f>
        <v>-9.5699999999999995E-4</v>
      </c>
      <c r="G32" s="133">
        <f>ROUND(E32*D32,0)</f>
        <v>-290195</v>
      </c>
    </row>
    <row r="33" spans="1:7" x14ac:dyDescent="0.2">
      <c r="A33" s="238">
        <f t="shared" si="0"/>
        <v>27</v>
      </c>
      <c r="B33" s="237">
        <v>5</v>
      </c>
      <c r="C33" s="88" t="s">
        <v>80</v>
      </c>
      <c r="D33" s="101">
        <f>+'TY June 2020 Proforma Rev'!E34</f>
        <v>7369853.2214806583</v>
      </c>
      <c r="E33" s="248"/>
      <c r="F33" s="214"/>
      <c r="G33" s="133">
        <f>ROUND(E33*D33,0)</f>
        <v>0</v>
      </c>
    </row>
    <row r="34" spans="1:7" x14ac:dyDescent="0.2">
      <c r="A34" s="238">
        <f t="shared" si="0"/>
        <v>28</v>
      </c>
      <c r="B34" s="237"/>
      <c r="C34" s="88"/>
      <c r="D34" s="101"/>
      <c r="E34" s="248"/>
      <c r="F34" s="214"/>
      <c r="G34" s="133"/>
    </row>
    <row r="35" spans="1:7" ht="12" thickBot="1" x14ac:dyDescent="0.25">
      <c r="A35" s="238">
        <f t="shared" si="0"/>
        <v>29</v>
      </c>
      <c r="B35" s="237"/>
      <c r="C35" s="239" t="s">
        <v>81</v>
      </c>
      <c r="D35" s="120">
        <f>SUM(D30:D33,D28,D24,D18,D9)</f>
        <v>22662287646.298782</v>
      </c>
      <c r="E35" s="248"/>
      <c r="F35" s="214"/>
      <c r="G35" s="137">
        <f>SUM(G30:G33,G28,G24,G18,G9)</f>
        <v>-54222036</v>
      </c>
    </row>
    <row r="36" spans="1:7" ht="12" thickTop="1" x14ac:dyDescent="0.2"/>
  </sheetData>
  <mergeCells count="4">
    <mergeCell ref="A3:B3"/>
    <mergeCell ref="A1:D1"/>
    <mergeCell ref="A2:D2"/>
    <mergeCell ref="E5:G5"/>
  </mergeCells>
  <printOptions horizontalCentered="1"/>
  <pageMargins left="0.7" right="0.7" top="0.75" bottom="0.88" header="0.3" footer="0.3"/>
  <pageSetup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6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F35"/>
    </sheetView>
  </sheetViews>
  <sheetFormatPr defaultColWidth="8.85546875" defaultRowHeight="11.25" x14ac:dyDescent="0.2"/>
  <cols>
    <col min="1" max="1" width="7.7109375" style="74" bestFit="1" customWidth="1"/>
    <col min="2" max="2" width="10.28515625" style="74" bestFit="1" customWidth="1"/>
    <col min="3" max="3" width="21" style="74" bestFit="1" customWidth="1"/>
    <col min="4" max="4" width="15.140625" style="74" bestFit="1" customWidth="1"/>
    <col min="5" max="5" width="11.5703125" style="74" bestFit="1" customWidth="1"/>
    <col min="6" max="6" width="13.28515625" style="74" bestFit="1" customWidth="1"/>
    <col min="7" max="16384" width="8.85546875" style="74"/>
  </cols>
  <sheetData>
    <row r="1" spans="1:7" ht="12.75" x14ac:dyDescent="0.2">
      <c r="A1" s="616" t="s">
        <v>0</v>
      </c>
      <c r="B1" s="616"/>
      <c r="C1" s="616"/>
      <c r="D1" s="616"/>
      <c r="E1" s="619"/>
      <c r="F1" s="619"/>
    </row>
    <row r="2" spans="1:7" ht="12.75" x14ac:dyDescent="0.2">
      <c r="A2" s="616" t="s">
        <v>324</v>
      </c>
      <c r="B2" s="616"/>
      <c r="C2" s="616"/>
      <c r="D2" s="616"/>
      <c r="E2" s="619"/>
      <c r="F2" s="619"/>
    </row>
    <row r="3" spans="1:7" ht="12.75" x14ac:dyDescent="0.2">
      <c r="A3" s="616" t="str">
        <f>+'Exh BDJ-8 p1-2 (Rate Impacts)'!A3</f>
        <v>Test Year Ended June 30, 2020</v>
      </c>
      <c r="B3" s="616"/>
      <c r="C3" s="616"/>
      <c r="D3" s="616"/>
      <c r="E3" s="619"/>
      <c r="F3" s="619"/>
    </row>
    <row r="4" spans="1:7" x14ac:dyDescent="0.2">
      <c r="A4" s="609"/>
      <c r="B4" s="609"/>
      <c r="C4" s="609"/>
      <c r="D4" s="609"/>
    </row>
    <row r="5" spans="1:7" x14ac:dyDescent="0.2">
      <c r="A5" s="106"/>
      <c r="B5" s="123"/>
      <c r="C5" s="123"/>
      <c r="D5" s="123"/>
    </row>
    <row r="6" spans="1:7" ht="56.25" x14ac:dyDescent="0.2">
      <c r="A6" s="109" t="s">
        <v>3</v>
      </c>
      <c r="B6" s="109" t="s">
        <v>4</v>
      </c>
      <c r="C6" s="109" t="s">
        <v>34</v>
      </c>
      <c r="D6" s="102" t="str">
        <f>+'Exh BDJ-8 p1-2 (Rate Impacts)'!C6</f>
        <v>Annual kWh Normalized &amp; Delivered Sales  07/01/19 to 06/30/20</v>
      </c>
      <c r="E6" s="102" t="s">
        <v>416</v>
      </c>
      <c r="F6" s="102" t="s">
        <v>325</v>
      </c>
      <c r="G6" s="88"/>
    </row>
    <row r="7" spans="1:7" x14ac:dyDescent="0.2">
      <c r="A7" s="123">
        <v>1</v>
      </c>
      <c r="B7" s="123">
        <v>7</v>
      </c>
      <c r="C7" s="88"/>
      <c r="D7" s="101">
        <f>+'TY June 2020 Proforma Rev'!E8</f>
        <v>10863043096.272161</v>
      </c>
      <c r="E7" s="122">
        <f>+'UE-200661 Sch 141Y'!G8</f>
        <v>-6.0999999999999999E-5</v>
      </c>
      <c r="F7" s="72">
        <f>ROUND(D7*E7,0)</f>
        <v>-662646</v>
      </c>
      <c r="G7" s="88"/>
    </row>
    <row r="8" spans="1:7" x14ac:dyDescent="0.2">
      <c r="A8" s="123">
        <f t="shared" ref="A8:A35" si="0">+A7+1</f>
        <v>2</v>
      </c>
      <c r="B8" s="106" t="s">
        <v>10</v>
      </c>
      <c r="C8" s="88"/>
      <c r="D8" s="101">
        <f>+'TY June 2020 Proforma Rev'!E9</f>
        <v>2376000</v>
      </c>
      <c r="E8" s="122">
        <f>+'UE-200661 Sch 141Y'!G13</f>
        <v>-4.5000000000000003E-5</v>
      </c>
      <c r="F8" s="72">
        <f>ROUND(D8*E8,0)</f>
        <v>-107</v>
      </c>
      <c r="G8" s="88"/>
    </row>
    <row r="9" spans="1:7" x14ac:dyDescent="0.2">
      <c r="A9" s="123">
        <f t="shared" si="0"/>
        <v>3</v>
      </c>
      <c r="B9" s="123"/>
      <c r="C9" s="88" t="s">
        <v>11</v>
      </c>
      <c r="D9" s="117">
        <f>SUM(D7:D8)</f>
        <v>10865419096.272161</v>
      </c>
      <c r="E9" s="208"/>
      <c r="F9" s="73">
        <f>SUM(F7:F8)</f>
        <v>-662753</v>
      </c>
      <c r="G9" s="88"/>
    </row>
    <row r="10" spans="1:7" x14ac:dyDescent="0.2">
      <c r="A10" s="123">
        <f t="shared" si="0"/>
        <v>4</v>
      </c>
      <c r="B10" s="123"/>
      <c r="C10" s="88"/>
      <c r="D10" s="101"/>
      <c r="E10" s="122"/>
      <c r="F10" s="72"/>
      <c r="G10" s="88"/>
    </row>
    <row r="11" spans="1:7" x14ac:dyDescent="0.2">
      <c r="A11" s="123">
        <f t="shared" si="0"/>
        <v>5</v>
      </c>
      <c r="B11" s="123">
        <v>8</v>
      </c>
      <c r="C11" s="88"/>
      <c r="D11" s="101">
        <f>+'TY June 2020 Proforma Rev'!E12</f>
        <v>252362620.54679149</v>
      </c>
      <c r="E11" s="122">
        <f>'UE-200661 Sch 141Y'!G12</f>
        <v>-5.0000000000000002E-5</v>
      </c>
      <c r="F11" s="72">
        <f t="shared" ref="F11:F17" si="1">ROUND(D11*E11,0)</f>
        <v>-12618</v>
      </c>
      <c r="G11" s="88"/>
    </row>
    <row r="12" spans="1:7" x14ac:dyDescent="0.2">
      <c r="A12" s="232">
        <f t="shared" si="0"/>
        <v>6</v>
      </c>
      <c r="B12" s="123">
        <v>24</v>
      </c>
      <c r="C12" s="88"/>
      <c r="D12" s="101">
        <f>+'TY June 2020 Proforma Rev'!E13</f>
        <v>2333975906.454967</v>
      </c>
      <c r="E12" s="122">
        <f>+E11</f>
        <v>-5.0000000000000002E-5</v>
      </c>
      <c r="F12" s="72">
        <f t="shared" si="1"/>
        <v>-116699</v>
      </c>
      <c r="G12" s="88"/>
    </row>
    <row r="13" spans="1:7" x14ac:dyDescent="0.2">
      <c r="A13" s="232">
        <f t="shared" si="0"/>
        <v>7</v>
      </c>
      <c r="B13" s="106">
        <v>11</v>
      </c>
      <c r="C13" s="88"/>
      <c r="D13" s="101">
        <f>+'TY June 2020 Proforma Rev'!E14</f>
        <v>135958671.66260606</v>
      </c>
      <c r="E13" s="122">
        <f>+E8</f>
        <v>-4.5000000000000003E-5</v>
      </c>
      <c r="F13" s="72">
        <f t="shared" si="1"/>
        <v>-6118</v>
      </c>
      <c r="G13" s="88"/>
    </row>
    <row r="14" spans="1:7" x14ac:dyDescent="0.2">
      <c r="A14" s="232">
        <f t="shared" si="0"/>
        <v>8</v>
      </c>
      <c r="B14" s="106">
        <v>25</v>
      </c>
      <c r="C14" s="88"/>
      <c r="D14" s="101">
        <f>+'TY June 2020 Proforma Rev'!E15</f>
        <v>2746336782.1565623</v>
      </c>
      <c r="E14" s="122">
        <f>+E13</f>
        <v>-4.5000000000000003E-5</v>
      </c>
      <c r="F14" s="72">
        <f t="shared" si="1"/>
        <v>-123585</v>
      </c>
      <c r="G14" s="88"/>
    </row>
    <row r="15" spans="1:7" x14ac:dyDescent="0.2">
      <c r="A15" s="232">
        <f t="shared" si="0"/>
        <v>9</v>
      </c>
      <c r="B15" s="123">
        <v>12</v>
      </c>
      <c r="C15" s="88"/>
      <c r="D15" s="101">
        <f>+'TY June 2020 Proforma Rev'!E16</f>
        <v>16430488</v>
      </c>
      <c r="E15" s="122">
        <f>+'UE-200661 Sch 141Y'!G14</f>
        <v>-4.5000000000000003E-5</v>
      </c>
      <c r="F15" s="72">
        <f t="shared" si="1"/>
        <v>-739</v>
      </c>
      <c r="G15" s="88"/>
    </row>
    <row r="16" spans="1:7" x14ac:dyDescent="0.2">
      <c r="A16" s="232">
        <f t="shared" si="0"/>
        <v>10</v>
      </c>
      <c r="B16" s="123" t="s">
        <v>12</v>
      </c>
      <c r="C16" s="88"/>
      <c r="D16" s="101">
        <f>+'TY June 2020 Proforma Rev'!E17</f>
        <v>1824742786.7668719</v>
      </c>
      <c r="E16" s="122">
        <f>+E15</f>
        <v>-4.5000000000000003E-5</v>
      </c>
      <c r="F16" s="72">
        <f t="shared" si="1"/>
        <v>-82113</v>
      </c>
      <c r="G16" s="88"/>
    </row>
    <row r="17" spans="1:7" x14ac:dyDescent="0.2">
      <c r="A17" s="232">
        <f t="shared" si="0"/>
        <v>11</v>
      </c>
      <c r="B17" s="123">
        <v>29</v>
      </c>
      <c r="C17" s="88"/>
      <c r="D17" s="101">
        <f>+'TY June 2020 Proforma Rev'!E18</f>
        <v>11424740.434375001</v>
      </c>
      <c r="E17" s="122">
        <f>+'UE-200661 Sch 141Y'!G15</f>
        <v>-4.5000000000000003E-5</v>
      </c>
      <c r="F17" s="72">
        <f t="shared" si="1"/>
        <v>-514</v>
      </c>
      <c r="G17" s="88"/>
    </row>
    <row r="18" spans="1:7" x14ac:dyDescent="0.2">
      <c r="A18" s="232">
        <f t="shared" si="0"/>
        <v>12</v>
      </c>
      <c r="B18" s="123"/>
      <c r="C18" s="207" t="s">
        <v>13</v>
      </c>
      <c r="D18" s="117">
        <f>SUM(D11:D17)</f>
        <v>7321231996.0221739</v>
      </c>
      <c r="E18" s="208"/>
      <c r="F18" s="73">
        <f>SUM(F11:F17)</f>
        <v>-342386</v>
      </c>
      <c r="G18" s="88"/>
    </row>
    <row r="19" spans="1:7" x14ac:dyDescent="0.2">
      <c r="A19" s="232">
        <f t="shared" si="0"/>
        <v>13</v>
      </c>
      <c r="B19" s="123"/>
      <c r="C19" s="88"/>
      <c r="D19" s="101"/>
      <c r="E19" s="122"/>
      <c r="F19" s="72"/>
      <c r="G19" s="88"/>
    </row>
    <row r="20" spans="1:7" x14ac:dyDescent="0.2">
      <c r="A20" s="232">
        <f t="shared" si="0"/>
        <v>14</v>
      </c>
      <c r="B20" s="123">
        <v>10</v>
      </c>
      <c r="C20" s="88"/>
      <c r="D20" s="101">
        <f>+'TY June 2020 Proforma Rev'!E21</f>
        <v>25573920</v>
      </c>
      <c r="E20" s="122">
        <f>+'UE-200661 Sch 141Y'!G19</f>
        <v>-4.1999999999999998E-5</v>
      </c>
      <c r="F20" s="72">
        <f>ROUND(D20*E20,0)</f>
        <v>-1074</v>
      </c>
      <c r="G20" s="88"/>
    </row>
    <row r="21" spans="1:7" x14ac:dyDescent="0.2">
      <c r="A21" s="232">
        <f t="shared" si="0"/>
        <v>15</v>
      </c>
      <c r="B21" s="123">
        <v>31</v>
      </c>
      <c r="C21" s="88"/>
      <c r="D21" s="101">
        <f>+'TY June 2020 Proforma Rev'!E22</f>
        <v>1310080421.1168144</v>
      </c>
      <c r="E21" s="122">
        <f>+E20</f>
        <v>-4.1999999999999998E-5</v>
      </c>
      <c r="F21" s="72">
        <f>ROUND(D21*E21,0)</f>
        <v>-55023</v>
      </c>
      <c r="G21" s="88"/>
    </row>
    <row r="22" spans="1:7" x14ac:dyDescent="0.2">
      <c r="A22" s="232">
        <f t="shared" si="0"/>
        <v>16</v>
      </c>
      <c r="B22" s="123">
        <v>35</v>
      </c>
      <c r="C22" s="88"/>
      <c r="D22" s="101">
        <f>+'TY June 2020 Proforma Rev'!E23</f>
        <v>5945040</v>
      </c>
      <c r="E22" s="122">
        <f>+'UE-200661 Sch 141Y'!G20</f>
        <v>-4.1999999999999998E-5</v>
      </c>
      <c r="F22" s="72">
        <f>ROUND(D22*E22,0)</f>
        <v>-250</v>
      </c>
      <c r="G22" s="88"/>
    </row>
    <row r="23" spans="1:7" x14ac:dyDescent="0.2">
      <c r="A23" s="232">
        <f t="shared" si="0"/>
        <v>17</v>
      </c>
      <c r="B23" s="123">
        <v>43</v>
      </c>
      <c r="C23" s="88"/>
      <c r="D23" s="101">
        <f>+'TY June 2020 Proforma Rev'!E24</f>
        <v>116280759.88464826</v>
      </c>
      <c r="E23" s="122">
        <f>+'UE-200661 Sch 141Y'!G21</f>
        <v>-5.8999999999999998E-5</v>
      </c>
      <c r="F23" s="72">
        <f>ROUND(D23*E23,0)</f>
        <v>-6861</v>
      </c>
      <c r="G23" s="88"/>
    </row>
    <row r="24" spans="1:7" x14ac:dyDescent="0.2">
      <c r="A24" s="386">
        <f t="shared" si="0"/>
        <v>18</v>
      </c>
      <c r="B24" s="123"/>
      <c r="C24" s="88" t="s">
        <v>14</v>
      </c>
      <c r="D24" s="117">
        <f>SUM(D20:D23)</f>
        <v>1457880141.0014627</v>
      </c>
      <c r="E24" s="208"/>
      <c r="F24" s="73">
        <f>SUM(F20:F23)</f>
        <v>-63208</v>
      </c>
      <c r="G24" s="88"/>
    </row>
    <row r="25" spans="1:7" x14ac:dyDescent="0.2">
      <c r="A25" s="386">
        <f t="shared" si="0"/>
        <v>19</v>
      </c>
      <c r="B25" s="123"/>
      <c r="C25" s="88"/>
      <c r="D25" s="101"/>
      <c r="E25" s="122"/>
      <c r="F25" s="72"/>
      <c r="G25" s="88"/>
    </row>
    <row r="26" spans="1:7" x14ac:dyDescent="0.2">
      <c r="A26" s="386">
        <f t="shared" si="0"/>
        <v>20</v>
      </c>
      <c r="B26" s="123">
        <v>46</v>
      </c>
      <c r="C26" s="88"/>
      <c r="D26" s="101">
        <f>+'TY June 2020 Proforma Rev'!E27</f>
        <v>81635228</v>
      </c>
      <c r="E26" s="122">
        <f>+'UE-200661 Sch 141Y'!G27</f>
        <v>-3.4E-5</v>
      </c>
      <c r="F26" s="72">
        <f>ROUND(D26*E26,0)</f>
        <v>-2776</v>
      </c>
      <c r="G26" s="88"/>
    </row>
    <row r="27" spans="1:7" x14ac:dyDescent="0.2">
      <c r="A27" s="386">
        <f t="shared" si="0"/>
        <v>21</v>
      </c>
      <c r="B27" s="123">
        <v>49</v>
      </c>
      <c r="C27" s="88"/>
      <c r="D27" s="101">
        <f>+'TY June 2020 Proforma Rev'!E28</f>
        <v>563071445.51999998</v>
      </c>
      <c r="E27" s="122">
        <f>+'UE-200661 Sch 141Y'!G28</f>
        <v>-3.4E-5</v>
      </c>
      <c r="F27" s="72">
        <f>ROUND(D27*E27,0)</f>
        <v>-19144</v>
      </c>
      <c r="G27" s="88"/>
    </row>
    <row r="28" spans="1:7" x14ac:dyDescent="0.2">
      <c r="A28" s="386">
        <f t="shared" si="0"/>
        <v>22</v>
      </c>
      <c r="B28" s="123"/>
      <c r="C28" s="88" t="s">
        <v>15</v>
      </c>
      <c r="D28" s="117">
        <f>SUM(D26:D27)</f>
        <v>644706673.51999998</v>
      </c>
      <c r="E28" s="208"/>
      <c r="F28" s="73">
        <f>SUM(F26:F27)</f>
        <v>-21920</v>
      </c>
      <c r="G28" s="88"/>
    </row>
    <row r="29" spans="1:7" x14ac:dyDescent="0.2">
      <c r="A29" s="232">
        <f t="shared" si="0"/>
        <v>23</v>
      </c>
      <c r="B29" s="123"/>
      <c r="C29" s="88"/>
      <c r="D29" s="101"/>
      <c r="E29" s="122"/>
      <c r="F29" s="72"/>
      <c r="G29" s="88"/>
    </row>
    <row r="30" spans="1:7" x14ac:dyDescent="0.2">
      <c r="A30" s="232">
        <f t="shared" si="0"/>
        <v>24</v>
      </c>
      <c r="B30" s="237" t="s">
        <v>16</v>
      </c>
      <c r="C30" s="88" t="s">
        <v>108</v>
      </c>
      <c r="D30" s="101">
        <f>+'TY June 2020 Proforma Rev'!E31</f>
        <v>68936797.67750001</v>
      </c>
      <c r="E30" s="122">
        <f>+'UE-200661 Sch 141Y'!G31</f>
        <v>-1.8100000000000001E-4</v>
      </c>
      <c r="F30" s="72">
        <f>ROUND(D30*E30,0)</f>
        <v>-12478</v>
      </c>
      <c r="G30" s="88"/>
    </row>
    <row r="31" spans="1:7" x14ac:dyDescent="0.2">
      <c r="A31" s="244">
        <f t="shared" si="0"/>
        <v>25</v>
      </c>
      <c r="B31" s="237" t="s">
        <v>17</v>
      </c>
      <c r="C31" s="88" t="s">
        <v>110</v>
      </c>
      <c r="D31" s="101">
        <f>+'TY June 2020 Proforma Rev'!E32</f>
        <v>1993508561.5469999</v>
      </c>
      <c r="E31" s="122">
        <f>+'UE-200661 Sch 141Y'!G33</f>
        <v>-6.9999999999999999E-6</v>
      </c>
      <c r="F31" s="72">
        <f>ROUND(D31*E31,0)</f>
        <v>-13955</v>
      </c>
      <c r="G31" s="88"/>
    </row>
    <row r="32" spans="1:7" x14ac:dyDescent="0.2">
      <c r="A32" s="244">
        <f t="shared" si="0"/>
        <v>26</v>
      </c>
      <c r="B32" s="237" t="s">
        <v>347</v>
      </c>
      <c r="C32" s="88" t="s">
        <v>265</v>
      </c>
      <c r="D32" s="101">
        <f>+'TY June 2020 Proforma Rev'!E33</f>
        <v>303234527.03700018</v>
      </c>
      <c r="E32" s="122">
        <f>+'UE-200661 Sch 141Y'!$G$24</f>
        <v>-4.0000000000000003E-5</v>
      </c>
      <c r="F32" s="72">
        <f>ROUND(D32*E32,0)</f>
        <v>-12129</v>
      </c>
      <c r="G32" s="88"/>
    </row>
    <row r="33" spans="1:7" x14ac:dyDescent="0.2">
      <c r="A33" s="244">
        <f t="shared" si="0"/>
        <v>27</v>
      </c>
      <c r="B33" s="237">
        <v>5</v>
      </c>
      <c r="C33" s="88" t="s">
        <v>80</v>
      </c>
      <c r="D33" s="101">
        <f>+'TY June 2020 Proforma Rev'!E34</f>
        <v>7369853.2214806583</v>
      </c>
      <c r="F33" s="72">
        <f>ROUND(D33*E33,0)</f>
        <v>0</v>
      </c>
      <c r="G33" s="88"/>
    </row>
    <row r="34" spans="1:7" x14ac:dyDescent="0.2">
      <c r="A34" s="244">
        <f t="shared" si="0"/>
        <v>28</v>
      </c>
      <c r="B34" s="123"/>
      <c r="C34" s="88"/>
      <c r="D34" s="101"/>
      <c r="F34" s="72"/>
      <c r="G34" s="88"/>
    </row>
    <row r="35" spans="1:7" ht="12" thickBot="1" x14ac:dyDescent="0.25">
      <c r="A35" s="244">
        <f t="shared" si="0"/>
        <v>29</v>
      </c>
      <c r="B35" s="123"/>
      <c r="C35" s="207" t="s">
        <v>81</v>
      </c>
      <c r="D35" s="120">
        <f>SUM(D30:D33,D28,D24,D18,D9)</f>
        <v>22662287646.298782</v>
      </c>
      <c r="F35" s="137">
        <f>SUM(F30:F33,F28,F24,F18,F9)</f>
        <v>-1128829</v>
      </c>
      <c r="G35" s="88"/>
    </row>
    <row r="36" spans="1:7" ht="12" thickTop="1" x14ac:dyDescent="0.2">
      <c r="D36" s="88"/>
    </row>
  </sheetData>
  <mergeCells count="4">
    <mergeCell ref="A4:D4"/>
    <mergeCell ref="A1:F1"/>
    <mergeCell ref="A2:F2"/>
    <mergeCell ref="A3:F3"/>
  </mergeCells>
  <printOptions horizontalCentered="1"/>
  <pageMargins left="0.7" right="0.7" top="0.75" bottom="0.87" header="0.3" footer="0.3"/>
  <pageSetup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36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sqref="A1:G35"/>
    </sheetView>
  </sheetViews>
  <sheetFormatPr defaultColWidth="2.7109375" defaultRowHeight="12.75" x14ac:dyDescent="0.2"/>
  <cols>
    <col min="2" max="2" width="9" bestFit="1" customWidth="1"/>
    <col min="3" max="3" width="18.28515625" bestFit="1" customWidth="1"/>
    <col min="4" max="4" width="12.85546875" bestFit="1" customWidth="1"/>
    <col min="5" max="5" width="10" bestFit="1" customWidth="1"/>
    <col min="7" max="7" width="13.7109375" customWidth="1"/>
  </cols>
  <sheetData>
    <row r="1" spans="1:7" x14ac:dyDescent="0.2">
      <c r="A1" s="622" t="s">
        <v>188</v>
      </c>
      <c r="B1" s="622"/>
      <c r="C1" s="622"/>
      <c r="D1" s="622"/>
      <c r="E1" s="211"/>
      <c r="F1" s="211"/>
      <c r="G1" s="211"/>
    </row>
    <row r="2" spans="1:7" x14ac:dyDescent="0.2">
      <c r="A2" s="623" t="s">
        <v>428</v>
      </c>
      <c r="B2" s="622"/>
      <c r="C2" s="622"/>
      <c r="D2" s="622"/>
      <c r="E2" s="211"/>
      <c r="F2" s="211"/>
      <c r="G2" s="211"/>
    </row>
    <row r="3" spans="1:7" x14ac:dyDescent="0.2">
      <c r="A3" s="620"/>
      <c r="B3" s="621"/>
      <c r="C3" s="393"/>
      <c r="D3" s="393"/>
      <c r="E3" s="212"/>
      <c r="F3" s="212"/>
      <c r="G3" s="212"/>
    </row>
    <row r="4" spans="1:7" x14ac:dyDescent="0.2">
      <c r="A4" s="212"/>
      <c r="B4" s="212"/>
      <c r="C4" s="212"/>
      <c r="D4" s="212"/>
      <c r="E4" s="212"/>
      <c r="F4" s="212"/>
      <c r="G4" s="212"/>
    </row>
    <row r="5" spans="1:7" x14ac:dyDescent="0.2">
      <c r="A5" s="212"/>
      <c r="B5" s="212"/>
      <c r="C5" s="212"/>
      <c r="D5" s="212"/>
      <c r="E5" s="620" t="s">
        <v>455</v>
      </c>
      <c r="F5" s="621"/>
      <c r="G5" s="621"/>
    </row>
    <row r="6" spans="1:7" ht="56.25" x14ac:dyDescent="0.2">
      <c r="A6" s="209" t="s">
        <v>189</v>
      </c>
      <c r="B6" s="210" t="s">
        <v>34</v>
      </c>
      <c r="C6" s="210"/>
      <c r="D6" s="216" t="str">
        <f>+'Exh BDJ-8 p1-2 (Rate Impacts)'!C6</f>
        <v>Annual kWh Normalized &amp; Delivered Sales  07/01/19 to 06/30/20</v>
      </c>
      <c r="E6" s="209" t="s">
        <v>346</v>
      </c>
      <c r="F6" s="209"/>
      <c r="G6" s="400" t="s">
        <v>429</v>
      </c>
    </row>
    <row r="7" spans="1:7" x14ac:dyDescent="0.2">
      <c r="A7" s="393">
        <v>1</v>
      </c>
      <c r="B7" s="389">
        <v>7</v>
      </c>
      <c r="C7" s="88"/>
      <c r="D7" s="101">
        <f>+'TY June 2020 Proforma Rev'!E8</f>
        <v>10863043096.272161</v>
      </c>
      <c r="E7" s="248">
        <f>ROUND(+'UE-190529 Sch 141X &amp; 141Z'!P14,6)</f>
        <v>-8.8400000000000002E-4</v>
      </c>
      <c r="F7" s="214"/>
      <c r="G7" s="133">
        <f>ROUND(E7*D7,0)</f>
        <v>-9602930</v>
      </c>
    </row>
    <row r="8" spans="1:7" x14ac:dyDescent="0.2">
      <c r="A8" s="393">
        <f>+A7+1</f>
        <v>2</v>
      </c>
      <c r="B8" s="391" t="s">
        <v>10</v>
      </c>
      <c r="C8" s="88"/>
      <c r="D8" s="101">
        <f>+'TY June 2020 Proforma Rev'!E9</f>
        <v>2376000</v>
      </c>
      <c r="E8" s="248">
        <f>ROUND(+'UE-190529 Sch 141X &amp; 141Z'!P19,6)</f>
        <v>-6.69E-4</v>
      </c>
      <c r="F8" s="212"/>
      <c r="G8" s="133">
        <f>ROUND(E8*D8,0)</f>
        <v>-1590</v>
      </c>
    </row>
    <row r="9" spans="1:7" x14ac:dyDescent="0.2">
      <c r="A9" s="393">
        <f t="shared" ref="A9:A35" si="0">+A8+1</f>
        <v>3</v>
      </c>
      <c r="B9" s="389"/>
      <c r="C9" s="88" t="s">
        <v>11</v>
      </c>
      <c r="D9" s="117">
        <f>SUM(D7:D8)</f>
        <v>10865419096.272161</v>
      </c>
      <c r="E9" s="248"/>
      <c r="F9" s="214"/>
      <c r="G9" s="136">
        <f>SUM(G7:G8)</f>
        <v>-9604520</v>
      </c>
    </row>
    <row r="10" spans="1:7" x14ac:dyDescent="0.2">
      <c r="A10" s="393">
        <f t="shared" si="0"/>
        <v>4</v>
      </c>
      <c r="B10" s="389"/>
      <c r="C10" s="88"/>
      <c r="D10" s="101"/>
      <c r="E10" s="248"/>
      <c r="F10" s="214"/>
      <c r="G10" s="133"/>
    </row>
    <row r="11" spans="1:7" x14ac:dyDescent="0.2">
      <c r="A11" s="393">
        <f t="shared" si="0"/>
        <v>5</v>
      </c>
      <c r="B11" s="389">
        <v>8</v>
      </c>
      <c r="C11" s="88"/>
      <c r="D11" s="101">
        <f>+'TY June 2020 Proforma Rev'!E12</f>
        <v>252362620.54679149</v>
      </c>
      <c r="E11" s="248">
        <f>ROUND(+'UE-190529 Sch 141X &amp; 141Z'!P18,6)</f>
        <v>-7.1299999999999998E-4</v>
      </c>
      <c r="F11" s="214"/>
      <c r="G11" s="133">
        <f t="shared" ref="G11:G17" si="1">ROUND(E11*D11,0)</f>
        <v>-179935</v>
      </c>
    </row>
    <row r="12" spans="1:7" x14ac:dyDescent="0.2">
      <c r="A12" s="393">
        <f t="shared" si="0"/>
        <v>6</v>
      </c>
      <c r="B12" s="389">
        <v>24</v>
      </c>
      <c r="C12" s="88"/>
      <c r="D12" s="101">
        <f>+'TY June 2020 Proforma Rev'!E13</f>
        <v>2333975906.454967</v>
      </c>
      <c r="E12" s="248">
        <f>+E11</f>
        <v>-7.1299999999999998E-4</v>
      </c>
      <c r="F12" s="212"/>
      <c r="G12" s="133">
        <f t="shared" si="1"/>
        <v>-1664125</v>
      </c>
    </row>
    <row r="13" spans="1:7" x14ac:dyDescent="0.2">
      <c r="A13" s="393">
        <f t="shared" si="0"/>
        <v>7</v>
      </c>
      <c r="B13" s="391">
        <v>11</v>
      </c>
      <c r="C13" s="88"/>
      <c r="D13" s="101">
        <f>+'TY June 2020 Proforma Rev'!E14</f>
        <v>135958671.66260606</v>
      </c>
      <c r="E13" s="248">
        <f>+E8</f>
        <v>-6.69E-4</v>
      </c>
      <c r="F13" s="214"/>
      <c r="G13" s="133">
        <f t="shared" si="1"/>
        <v>-90956</v>
      </c>
    </row>
    <row r="14" spans="1:7" x14ac:dyDescent="0.2">
      <c r="A14" s="393">
        <f t="shared" si="0"/>
        <v>8</v>
      </c>
      <c r="B14" s="391">
        <v>25</v>
      </c>
      <c r="C14" s="88"/>
      <c r="D14" s="101">
        <f>+'TY June 2020 Proforma Rev'!E15</f>
        <v>2746336782.1565623</v>
      </c>
      <c r="E14" s="248">
        <f>+E13</f>
        <v>-6.69E-4</v>
      </c>
      <c r="F14" s="212"/>
      <c r="G14" s="133">
        <f t="shared" si="1"/>
        <v>-1837299</v>
      </c>
    </row>
    <row r="15" spans="1:7" x14ac:dyDescent="0.2">
      <c r="A15" s="393">
        <f t="shared" si="0"/>
        <v>9</v>
      </c>
      <c r="B15" s="389">
        <v>12</v>
      </c>
      <c r="C15" s="88"/>
      <c r="D15" s="101">
        <f>+'TY June 2020 Proforma Rev'!E16</f>
        <v>16430488</v>
      </c>
      <c r="E15" s="248">
        <f>ROUND(+'UE-190529 Sch 141X &amp; 141Z'!P20,6)</f>
        <v>-5.7700000000000004E-4</v>
      </c>
      <c r="F15" s="214"/>
      <c r="G15" s="133">
        <f t="shared" si="1"/>
        <v>-9480</v>
      </c>
    </row>
    <row r="16" spans="1:7" x14ac:dyDescent="0.2">
      <c r="A16" s="393">
        <f t="shared" si="0"/>
        <v>10</v>
      </c>
      <c r="B16" s="389" t="s">
        <v>12</v>
      </c>
      <c r="C16" s="88"/>
      <c r="D16" s="101">
        <f>+'TY June 2020 Proforma Rev'!E17</f>
        <v>1824742786.7668719</v>
      </c>
      <c r="E16" s="248">
        <f>+E15</f>
        <v>-5.7700000000000004E-4</v>
      </c>
      <c r="F16" s="212"/>
      <c r="G16" s="133">
        <f t="shared" si="1"/>
        <v>-1052877</v>
      </c>
    </row>
    <row r="17" spans="1:7" x14ac:dyDescent="0.2">
      <c r="A17" s="393">
        <f t="shared" si="0"/>
        <v>11</v>
      </c>
      <c r="B17" s="389">
        <v>29</v>
      </c>
      <c r="C17" s="88"/>
      <c r="D17" s="101">
        <f>+'TY June 2020 Proforma Rev'!E18</f>
        <v>11424740.434375001</v>
      </c>
      <c r="E17" s="248">
        <f>ROUND(+'UE-190529 Sch 141X &amp; 141Z'!P21,6)</f>
        <v>-6.69E-4</v>
      </c>
      <c r="F17" s="214"/>
      <c r="G17" s="133">
        <f t="shared" si="1"/>
        <v>-7643</v>
      </c>
    </row>
    <row r="18" spans="1:7" x14ac:dyDescent="0.2">
      <c r="A18" s="393">
        <f t="shared" si="0"/>
        <v>12</v>
      </c>
      <c r="B18" s="389"/>
      <c r="C18" s="395" t="s">
        <v>13</v>
      </c>
      <c r="D18" s="117">
        <f>SUM(D11:D17)</f>
        <v>7321231996.0221739</v>
      </c>
      <c r="E18" s="248"/>
      <c r="F18" s="214"/>
      <c r="G18" s="136">
        <f>SUM(G11:G17)</f>
        <v>-4842315</v>
      </c>
    </row>
    <row r="19" spans="1:7" x14ac:dyDescent="0.2">
      <c r="A19" s="393">
        <f t="shared" si="0"/>
        <v>13</v>
      </c>
      <c r="B19" s="389"/>
      <c r="C19" s="88"/>
      <c r="D19" s="101"/>
      <c r="E19" s="248"/>
      <c r="F19" s="214"/>
      <c r="G19" s="133"/>
    </row>
    <row r="20" spans="1:7" x14ac:dyDescent="0.2">
      <c r="A20" s="393">
        <f t="shared" si="0"/>
        <v>14</v>
      </c>
      <c r="B20" s="389">
        <v>10</v>
      </c>
      <c r="C20" s="88"/>
      <c r="D20" s="101">
        <f>+'TY June 2020 Proforma Rev'!E21</f>
        <v>25573920</v>
      </c>
      <c r="E20" s="248">
        <f>ROUND(+'UE-190529 Sch 141X &amp; 141Z'!P25,6)</f>
        <v>-5.9000000000000003E-4</v>
      </c>
      <c r="F20" s="214"/>
      <c r="G20" s="133">
        <f>ROUND(E20*D20,0)</f>
        <v>-15089</v>
      </c>
    </row>
    <row r="21" spans="1:7" x14ac:dyDescent="0.2">
      <c r="A21" s="393">
        <f t="shared" si="0"/>
        <v>15</v>
      </c>
      <c r="B21" s="389">
        <v>31</v>
      </c>
      <c r="C21" s="88"/>
      <c r="D21" s="101">
        <f>+'TY June 2020 Proforma Rev'!E22</f>
        <v>1310080421.1168144</v>
      </c>
      <c r="E21" s="248">
        <f>+E20</f>
        <v>-5.9000000000000003E-4</v>
      </c>
      <c r="F21" s="212"/>
      <c r="G21" s="133">
        <f>ROUND(E21*D21,0)</f>
        <v>-772947</v>
      </c>
    </row>
    <row r="22" spans="1:7" x14ac:dyDescent="0.2">
      <c r="A22" s="393">
        <f t="shared" si="0"/>
        <v>16</v>
      </c>
      <c r="B22" s="389">
        <v>35</v>
      </c>
      <c r="C22" s="88"/>
      <c r="D22" s="101">
        <f>+'TY June 2020 Proforma Rev'!E23</f>
        <v>5945040</v>
      </c>
      <c r="E22" s="248">
        <f>ROUND(+'UE-190529 Sch 141X &amp; 141Z'!P26,6)</f>
        <v>-9.7799999999999992E-4</v>
      </c>
      <c r="F22" s="214"/>
      <c r="G22" s="133">
        <f>ROUND(E22*D22,0)</f>
        <v>-5814</v>
      </c>
    </row>
    <row r="23" spans="1:7" x14ac:dyDescent="0.2">
      <c r="A23" s="393">
        <f t="shared" si="0"/>
        <v>17</v>
      </c>
      <c r="B23" s="389">
        <v>43</v>
      </c>
      <c r="C23" s="88"/>
      <c r="D23" s="101">
        <f>+'TY June 2020 Proforma Rev'!E24</f>
        <v>116280759.88464826</v>
      </c>
      <c r="E23" s="248">
        <f>ROUND(+'UE-190529 Sch 141X &amp; 141Z'!P27,6)</f>
        <v>-8.1300000000000003E-4</v>
      </c>
      <c r="F23" s="214"/>
      <c r="G23" s="133">
        <f>ROUND(E23*D23,0)</f>
        <v>-94536</v>
      </c>
    </row>
    <row r="24" spans="1:7" x14ac:dyDescent="0.2">
      <c r="A24" s="393">
        <f t="shared" si="0"/>
        <v>18</v>
      </c>
      <c r="B24" s="389"/>
      <c r="C24" s="88" t="s">
        <v>14</v>
      </c>
      <c r="D24" s="117">
        <f>SUM(D20:D23)</f>
        <v>1457880141.0014627</v>
      </c>
      <c r="E24" s="248"/>
      <c r="F24" s="214"/>
      <c r="G24" s="136">
        <f>SUM(G20:G23)</f>
        <v>-888386</v>
      </c>
    </row>
    <row r="25" spans="1:7" x14ac:dyDescent="0.2">
      <c r="A25" s="393">
        <f t="shared" si="0"/>
        <v>19</v>
      </c>
      <c r="B25" s="389"/>
      <c r="C25" s="88"/>
      <c r="D25" s="101"/>
      <c r="E25" s="248"/>
      <c r="F25" s="214"/>
      <c r="G25" s="133"/>
    </row>
    <row r="26" spans="1:7" x14ac:dyDescent="0.2">
      <c r="A26" s="393">
        <f t="shared" si="0"/>
        <v>20</v>
      </c>
      <c r="B26" s="389">
        <v>46</v>
      </c>
      <c r="C26" s="88"/>
      <c r="D26" s="101">
        <f>+'TY June 2020 Proforma Rev'!E27</f>
        <v>81635228</v>
      </c>
      <c r="E26" s="248">
        <f>ROUND(+'UE-190529 Sch 141X &amp; 141Z'!P31,6)</f>
        <v>-4.4999999999999999E-4</v>
      </c>
      <c r="F26" s="214"/>
      <c r="G26" s="133">
        <f>ROUND(E26*D26,0)</f>
        <v>-36736</v>
      </c>
    </row>
    <row r="27" spans="1:7" x14ac:dyDescent="0.2">
      <c r="A27" s="393">
        <f t="shared" si="0"/>
        <v>21</v>
      </c>
      <c r="B27" s="389">
        <v>49</v>
      </c>
      <c r="C27" s="88"/>
      <c r="D27" s="101">
        <f>+'TY June 2020 Proforma Rev'!E28</f>
        <v>563071445.51999998</v>
      </c>
      <c r="E27" s="248">
        <f>ROUND(+'UE-190529 Sch 141X &amp; 141Z'!P32,6)</f>
        <v>-4.4999999999999999E-4</v>
      </c>
      <c r="F27" s="214"/>
      <c r="G27" s="133">
        <f>ROUND(E27*D27,0)</f>
        <v>-253382</v>
      </c>
    </row>
    <row r="28" spans="1:7" x14ac:dyDescent="0.2">
      <c r="A28" s="393">
        <f t="shared" si="0"/>
        <v>22</v>
      </c>
      <c r="B28" s="389"/>
      <c r="C28" s="88" t="s">
        <v>15</v>
      </c>
      <c r="D28" s="117">
        <f>SUM(D26:D27)</f>
        <v>644706673.51999998</v>
      </c>
      <c r="E28" s="248"/>
      <c r="F28" s="214"/>
      <c r="G28" s="136">
        <f>SUM(G26:G27)</f>
        <v>-290118</v>
      </c>
    </row>
    <row r="29" spans="1:7" x14ac:dyDescent="0.2">
      <c r="A29" s="393">
        <f t="shared" si="0"/>
        <v>23</v>
      </c>
      <c r="B29" s="389"/>
      <c r="C29" s="88"/>
      <c r="D29" s="101"/>
      <c r="E29" s="248"/>
      <c r="F29" s="214"/>
      <c r="G29" s="133"/>
    </row>
    <row r="30" spans="1:7" x14ac:dyDescent="0.2">
      <c r="A30" s="393">
        <f t="shared" si="0"/>
        <v>24</v>
      </c>
      <c r="B30" s="389" t="s">
        <v>16</v>
      </c>
      <c r="C30" s="88" t="s">
        <v>108</v>
      </c>
      <c r="D30" s="101">
        <f>+'TY June 2020 Proforma Rev'!E31</f>
        <v>68936797.67750001</v>
      </c>
      <c r="E30" s="248">
        <f>ROUND(+'UE-190529 Sch 141X &amp; 141Z'!P40,6)</f>
        <v>-2.503E-3</v>
      </c>
      <c r="F30" s="214"/>
      <c r="G30" s="133">
        <f>ROUND(E30*D30,0)</f>
        <v>-172549</v>
      </c>
    </row>
    <row r="31" spans="1:7" x14ac:dyDescent="0.2">
      <c r="A31" s="393">
        <f t="shared" si="0"/>
        <v>25</v>
      </c>
      <c r="B31" s="389" t="s">
        <v>17</v>
      </c>
      <c r="C31" s="88" t="s">
        <v>110</v>
      </c>
      <c r="D31" s="101">
        <f>+'TY June 2020 Proforma Rev'!E32</f>
        <v>1993508561.5469999</v>
      </c>
      <c r="E31" s="248">
        <f>ROUND(+'UE-190529 Sch 141X &amp; 141Z'!P36,6)</f>
        <v>-5.0000000000000004E-6</v>
      </c>
      <c r="F31" s="214"/>
      <c r="G31" s="133">
        <f>ROUND(E31*D31,0)</f>
        <v>-9968</v>
      </c>
    </row>
    <row r="32" spans="1:7" x14ac:dyDescent="0.2">
      <c r="A32" s="393">
        <f t="shared" si="0"/>
        <v>26</v>
      </c>
      <c r="B32" s="389" t="s">
        <v>347</v>
      </c>
      <c r="C32" s="88" t="s">
        <v>265</v>
      </c>
      <c r="D32" s="101">
        <f>+'TY June 2020 Proforma Rev'!E33</f>
        <v>303234527.03700018</v>
      </c>
      <c r="E32" s="248">
        <f>ROUND(+'UE-190529 Sch 141X &amp; 141Z'!P37,6)</f>
        <v>-2.81E-4</v>
      </c>
      <c r="F32" s="212"/>
      <c r="G32" s="133">
        <f>ROUND(E32*D32,0)</f>
        <v>-85209</v>
      </c>
    </row>
    <row r="33" spans="1:7" x14ac:dyDescent="0.2">
      <c r="A33" s="393">
        <f t="shared" si="0"/>
        <v>27</v>
      </c>
      <c r="B33" s="389">
        <v>5</v>
      </c>
      <c r="C33" s="88" t="s">
        <v>80</v>
      </c>
      <c r="D33" s="101">
        <f>+'TY June 2020 Proforma Rev'!E34</f>
        <v>7369853.2214806583</v>
      </c>
      <c r="E33" s="248"/>
      <c r="F33" s="214"/>
      <c r="G33" s="133">
        <f>ROUND(E33*D33,0)</f>
        <v>0</v>
      </c>
    </row>
    <row r="34" spans="1:7" x14ac:dyDescent="0.2">
      <c r="A34" s="393">
        <f t="shared" si="0"/>
        <v>28</v>
      </c>
      <c r="B34" s="389"/>
      <c r="C34" s="88"/>
      <c r="D34" s="101"/>
      <c r="E34" s="248"/>
      <c r="F34" s="214"/>
      <c r="G34" s="133"/>
    </row>
    <row r="35" spans="1:7" ht="13.5" thickBot="1" x14ac:dyDescent="0.25">
      <c r="A35" s="393">
        <f t="shared" si="0"/>
        <v>29</v>
      </c>
      <c r="B35" s="389"/>
      <c r="C35" s="395" t="s">
        <v>81</v>
      </c>
      <c r="D35" s="120">
        <f>SUM(D30:D33,D28,D24,D18,D9)</f>
        <v>22662287646.298782</v>
      </c>
      <c r="E35" s="248"/>
      <c r="F35" s="214"/>
      <c r="G35" s="137">
        <f>SUM(G30:G33,G28,G24,G18,G9)</f>
        <v>-15893065</v>
      </c>
    </row>
    <row r="36" spans="1:7" ht="13.5" thickTop="1" x14ac:dyDescent="0.2"/>
  </sheetData>
  <mergeCells count="4">
    <mergeCell ref="A1:D1"/>
    <mergeCell ref="A2:D2"/>
    <mergeCell ref="A3:B3"/>
    <mergeCell ref="E5:G5"/>
  </mergeCells>
  <printOptions horizontalCentered="1"/>
  <pageMargins left="0.7" right="0.7" top="0.75" bottom="0.75" header="0.3" footer="0.3"/>
  <pageSetup orientation="landscape" r:id="rId1"/>
  <headerFooter>
    <oddFooter>&amp;L&amp;F&amp;R&amp;A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1"/>
  <sheetViews>
    <sheetView zoomScaleNormal="100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E25" sqref="E25"/>
    </sheetView>
  </sheetViews>
  <sheetFormatPr defaultColWidth="8.85546875" defaultRowHeight="11.25" x14ac:dyDescent="0.2"/>
  <cols>
    <col min="1" max="1" width="21.5703125" style="74" customWidth="1"/>
    <col min="2" max="2" width="7.85546875" style="74" bestFit="1" customWidth="1"/>
    <col min="3" max="3" width="12.85546875" style="74" bestFit="1" customWidth="1"/>
    <col min="4" max="4" width="9.85546875" style="74" bestFit="1" customWidth="1"/>
    <col min="5" max="6" width="10" style="74" bestFit="1" customWidth="1"/>
    <col min="7" max="7" width="2" style="74" customWidth="1"/>
    <col min="8" max="8" width="7.140625" style="74" customWidth="1"/>
    <col min="9" max="9" width="9.140625" style="74" bestFit="1" customWidth="1"/>
    <col min="10" max="10" width="7.7109375" style="74" bestFit="1" customWidth="1"/>
    <col min="11" max="11" width="9" style="74" bestFit="1" customWidth="1"/>
    <col min="12" max="13" width="9" style="74" customWidth="1"/>
    <col min="14" max="14" width="4" style="74" customWidth="1"/>
    <col min="15" max="16384" width="8.85546875" style="74"/>
  </cols>
  <sheetData>
    <row r="1" spans="1:18" s="76" customFormat="1" x14ac:dyDescent="0.2">
      <c r="A1" s="308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8" s="76" customFormat="1" x14ac:dyDescent="0.2">
      <c r="A2" s="670" t="s">
        <v>527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8" x14ac:dyDescent="0.2">
      <c r="A3" s="308" t="str">
        <f>"Test Year Ended "&amp;TEXT(Controls!B8,"mmmm d, yyyy")</f>
        <v>Test Year Ended June 30, 2020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</row>
    <row r="5" spans="1:18" x14ac:dyDescent="0.2">
      <c r="C5" s="603" t="s">
        <v>397</v>
      </c>
      <c r="D5" s="603"/>
      <c r="E5" s="603"/>
      <c r="F5" s="603"/>
      <c r="G5" s="381"/>
      <c r="H5" s="603" t="s">
        <v>398</v>
      </c>
      <c r="I5" s="603"/>
      <c r="J5" s="603"/>
      <c r="K5" s="603"/>
      <c r="L5" s="382"/>
      <c r="M5" s="382"/>
      <c r="O5" s="383"/>
      <c r="P5" s="383"/>
      <c r="Q5" s="383"/>
      <c r="R5" s="383"/>
    </row>
    <row r="6" spans="1:18" ht="22.5" x14ac:dyDescent="0.2">
      <c r="A6" s="78" t="s">
        <v>206</v>
      </c>
      <c r="B6" s="78" t="s">
        <v>272</v>
      </c>
      <c r="C6" s="78" t="s">
        <v>399</v>
      </c>
      <c r="D6" s="78" t="s">
        <v>400</v>
      </c>
      <c r="E6" s="78" t="s">
        <v>401</v>
      </c>
      <c r="F6" s="78" t="s">
        <v>402</v>
      </c>
      <c r="G6" s="381"/>
      <c r="H6" s="78" t="s">
        <v>399</v>
      </c>
      <c r="I6" s="78" t="s">
        <v>400</v>
      </c>
      <c r="J6" s="78" t="s">
        <v>401</v>
      </c>
      <c r="K6" s="78" t="s">
        <v>402</v>
      </c>
      <c r="L6" s="79" t="s">
        <v>273</v>
      </c>
      <c r="M6" s="78" t="s">
        <v>274</v>
      </c>
    </row>
    <row r="7" spans="1:18" x14ac:dyDescent="0.2">
      <c r="A7" s="74" t="s">
        <v>275</v>
      </c>
      <c r="B7" s="81">
        <f t="shared" ref="B7:B18" si="0">ROUND(+E67,0)</f>
        <v>1167</v>
      </c>
      <c r="C7" s="384">
        <f>ROUND(+$E$27,2)</f>
        <v>7.49</v>
      </c>
      <c r="D7" s="384">
        <f t="shared" ref="D7:D18" si="1">ROUND(IF($B7&gt;600,600*$E$58,$B7*$E$37),2)</f>
        <v>54.14</v>
      </c>
      <c r="E7" s="384">
        <f t="shared" ref="E7:E18" si="2">ROUND(IF($B7&gt;600,($B7-600)*$E$59,0),2)</f>
        <v>62.62</v>
      </c>
      <c r="F7" s="83">
        <f t="shared" ref="F7:F18" si="3">SUM(C7:E7)</f>
        <v>124.25</v>
      </c>
      <c r="G7" s="381"/>
      <c r="H7" s="384">
        <f>ROUND(+$F$27,2)</f>
        <v>7.49</v>
      </c>
      <c r="I7" s="384">
        <f t="shared" ref="I7:I18" si="4">ROUND(IF($B7&gt;600,600*$F$58,$B7*$F$37),2)</f>
        <v>56.13</v>
      </c>
      <c r="J7" s="384">
        <f t="shared" ref="J7:J18" si="5">ROUND(IF($B7&gt;600,($B7-600)*$F$59,0),2)</f>
        <v>64.5</v>
      </c>
      <c r="K7" s="83">
        <f t="shared" ref="K7:K18" si="6">SUM(H7:J7)</f>
        <v>128.12</v>
      </c>
      <c r="L7" s="83">
        <f>+K7-F7</f>
        <v>3.8700000000000045</v>
      </c>
      <c r="M7" s="582">
        <f>+L7/F7</f>
        <v>3.1146881287726396E-2</v>
      </c>
    </row>
    <row r="8" spans="1:18" x14ac:dyDescent="0.2">
      <c r="A8" s="74" t="s">
        <v>276</v>
      </c>
      <c r="B8" s="81">
        <f t="shared" si="0"/>
        <v>953</v>
      </c>
      <c r="C8" s="384">
        <f t="shared" ref="C8:C18" si="7">ROUND(+$E$27,2)</f>
        <v>7.49</v>
      </c>
      <c r="D8" s="384">
        <f t="shared" si="1"/>
        <v>54.14</v>
      </c>
      <c r="E8" s="384">
        <f t="shared" si="2"/>
        <v>38.99</v>
      </c>
      <c r="F8" s="83">
        <f t="shared" si="3"/>
        <v>100.62</v>
      </c>
      <c r="G8" s="381"/>
      <c r="H8" s="384">
        <f t="shared" ref="H8:H18" si="8">ROUND(+$F$27,2)</f>
        <v>7.49</v>
      </c>
      <c r="I8" s="384">
        <f t="shared" si="4"/>
        <v>56.13</v>
      </c>
      <c r="J8" s="384">
        <f t="shared" si="5"/>
        <v>40.159999999999997</v>
      </c>
      <c r="K8" s="83">
        <f t="shared" si="6"/>
        <v>103.78</v>
      </c>
      <c r="L8" s="83">
        <f t="shared" ref="L8:L18" si="9">+K8-F8</f>
        <v>3.1599999999999966</v>
      </c>
      <c r="M8" s="582">
        <f t="shared" ref="M8:M18" si="10">+L8/F8</f>
        <v>3.1405287219240671E-2</v>
      </c>
    </row>
    <row r="9" spans="1:18" x14ac:dyDescent="0.2">
      <c r="A9" s="74" t="s">
        <v>277</v>
      </c>
      <c r="B9" s="81">
        <f t="shared" si="0"/>
        <v>991</v>
      </c>
      <c r="C9" s="384">
        <f t="shared" si="7"/>
        <v>7.49</v>
      </c>
      <c r="D9" s="384">
        <f t="shared" si="1"/>
        <v>54.14</v>
      </c>
      <c r="E9" s="384">
        <f t="shared" si="2"/>
        <v>43.18</v>
      </c>
      <c r="F9" s="83">
        <f t="shared" si="3"/>
        <v>104.81</v>
      </c>
      <c r="G9" s="381"/>
      <c r="H9" s="384">
        <f t="shared" si="8"/>
        <v>7.49</v>
      </c>
      <c r="I9" s="384">
        <f t="shared" si="4"/>
        <v>56.13</v>
      </c>
      <c r="J9" s="384">
        <f t="shared" si="5"/>
        <v>44.48</v>
      </c>
      <c r="K9" s="83">
        <f t="shared" si="6"/>
        <v>108.1</v>
      </c>
      <c r="L9" s="83">
        <f t="shared" si="9"/>
        <v>3.289999999999992</v>
      </c>
      <c r="M9" s="582">
        <f t="shared" si="10"/>
        <v>3.1390134529147906E-2</v>
      </c>
    </row>
    <row r="10" spans="1:18" x14ac:dyDescent="0.2">
      <c r="A10" s="74" t="s">
        <v>278</v>
      </c>
      <c r="B10" s="81">
        <f t="shared" si="0"/>
        <v>796</v>
      </c>
      <c r="C10" s="384">
        <f t="shared" si="7"/>
        <v>7.49</v>
      </c>
      <c r="D10" s="384">
        <f t="shared" si="1"/>
        <v>54.14</v>
      </c>
      <c r="E10" s="384">
        <f t="shared" si="2"/>
        <v>21.65</v>
      </c>
      <c r="F10" s="83">
        <f t="shared" si="3"/>
        <v>83.28</v>
      </c>
      <c r="G10" s="381"/>
      <c r="H10" s="384">
        <f t="shared" si="8"/>
        <v>7.49</v>
      </c>
      <c r="I10" s="384">
        <f t="shared" si="4"/>
        <v>56.13</v>
      </c>
      <c r="J10" s="384">
        <f t="shared" si="5"/>
        <v>22.3</v>
      </c>
      <c r="K10" s="83">
        <f t="shared" si="6"/>
        <v>85.92</v>
      </c>
      <c r="L10" s="83">
        <f t="shared" si="9"/>
        <v>2.6400000000000006</v>
      </c>
      <c r="M10" s="582">
        <f t="shared" si="10"/>
        <v>3.1700288184438048E-2</v>
      </c>
    </row>
    <row r="11" spans="1:18" x14ac:dyDescent="0.2">
      <c r="A11" s="74" t="s">
        <v>279</v>
      </c>
      <c r="B11" s="81">
        <f t="shared" si="0"/>
        <v>711</v>
      </c>
      <c r="C11" s="384">
        <f t="shared" si="7"/>
        <v>7.49</v>
      </c>
      <c r="D11" s="384">
        <f t="shared" si="1"/>
        <v>54.14</v>
      </c>
      <c r="E11" s="384">
        <f t="shared" si="2"/>
        <v>12.26</v>
      </c>
      <c r="F11" s="83">
        <f t="shared" si="3"/>
        <v>73.89</v>
      </c>
      <c r="G11" s="381"/>
      <c r="H11" s="384">
        <f t="shared" si="8"/>
        <v>7.49</v>
      </c>
      <c r="I11" s="384">
        <f t="shared" si="4"/>
        <v>56.13</v>
      </c>
      <c r="J11" s="384">
        <f t="shared" si="5"/>
        <v>12.63</v>
      </c>
      <c r="K11" s="83">
        <f t="shared" si="6"/>
        <v>76.25</v>
      </c>
      <c r="L11" s="83">
        <f t="shared" si="9"/>
        <v>2.3599999999999994</v>
      </c>
      <c r="M11" s="582">
        <f t="shared" si="10"/>
        <v>3.1939369332791977E-2</v>
      </c>
    </row>
    <row r="12" spans="1:18" x14ac:dyDescent="0.2">
      <c r="A12" s="74" t="s">
        <v>280</v>
      </c>
      <c r="B12" s="81">
        <f t="shared" si="0"/>
        <v>671</v>
      </c>
      <c r="C12" s="384">
        <f t="shared" si="7"/>
        <v>7.49</v>
      </c>
      <c r="D12" s="384">
        <f t="shared" si="1"/>
        <v>54.14</v>
      </c>
      <c r="E12" s="384">
        <f t="shared" si="2"/>
        <v>7.84</v>
      </c>
      <c r="F12" s="83">
        <f t="shared" si="3"/>
        <v>69.47</v>
      </c>
      <c r="G12" s="381"/>
      <c r="H12" s="384">
        <f t="shared" si="8"/>
        <v>7.49</v>
      </c>
      <c r="I12" s="384">
        <f t="shared" si="4"/>
        <v>56.13</v>
      </c>
      <c r="J12" s="384">
        <f t="shared" si="5"/>
        <v>8.08</v>
      </c>
      <c r="K12" s="83">
        <f t="shared" si="6"/>
        <v>71.7</v>
      </c>
      <c r="L12" s="83">
        <f t="shared" si="9"/>
        <v>2.230000000000004</v>
      </c>
      <c r="M12" s="582">
        <f t="shared" si="10"/>
        <v>3.2100187131135799E-2</v>
      </c>
    </row>
    <row r="13" spans="1:18" x14ac:dyDescent="0.2">
      <c r="A13" s="74" t="s">
        <v>281</v>
      </c>
      <c r="B13" s="81">
        <f t="shared" si="0"/>
        <v>666</v>
      </c>
      <c r="C13" s="384">
        <f t="shared" si="7"/>
        <v>7.49</v>
      </c>
      <c r="D13" s="384">
        <f t="shared" si="1"/>
        <v>54.14</v>
      </c>
      <c r="E13" s="384">
        <f t="shared" si="2"/>
        <v>7.29</v>
      </c>
      <c r="F13" s="83">
        <f t="shared" si="3"/>
        <v>68.92</v>
      </c>
      <c r="G13" s="381"/>
      <c r="H13" s="384">
        <f t="shared" si="8"/>
        <v>7.49</v>
      </c>
      <c r="I13" s="384">
        <f t="shared" si="4"/>
        <v>56.13</v>
      </c>
      <c r="J13" s="384">
        <f t="shared" si="5"/>
        <v>7.51</v>
      </c>
      <c r="K13" s="83">
        <f t="shared" si="6"/>
        <v>71.13000000000001</v>
      </c>
      <c r="L13" s="83">
        <f t="shared" si="9"/>
        <v>2.210000000000008</v>
      </c>
      <c r="M13" s="582">
        <f t="shared" si="10"/>
        <v>3.2066163668021008E-2</v>
      </c>
    </row>
    <row r="14" spans="1:18" x14ac:dyDescent="0.2">
      <c r="A14" s="74" t="s">
        <v>282</v>
      </c>
      <c r="B14" s="81">
        <f t="shared" si="0"/>
        <v>678</v>
      </c>
      <c r="C14" s="384">
        <f t="shared" si="7"/>
        <v>7.49</v>
      </c>
      <c r="D14" s="384">
        <f t="shared" si="1"/>
        <v>54.14</v>
      </c>
      <c r="E14" s="384">
        <f t="shared" si="2"/>
        <v>8.61</v>
      </c>
      <c r="F14" s="83">
        <f t="shared" si="3"/>
        <v>70.240000000000009</v>
      </c>
      <c r="G14" s="381"/>
      <c r="H14" s="384">
        <f t="shared" si="8"/>
        <v>7.49</v>
      </c>
      <c r="I14" s="384">
        <f t="shared" si="4"/>
        <v>56.13</v>
      </c>
      <c r="J14" s="384">
        <f t="shared" si="5"/>
        <v>8.8699999999999992</v>
      </c>
      <c r="K14" s="83">
        <f t="shared" si="6"/>
        <v>72.490000000000009</v>
      </c>
      <c r="L14" s="83">
        <f t="shared" si="9"/>
        <v>2.25</v>
      </c>
      <c r="M14" s="582">
        <f t="shared" si="10"/>
        <v>3.203302961275626E-2</v>
      </c>
    </row>
    <row r="15" spans="1:18" x14ac:dyDescent="0.2">
      <c r="A15" s="74" t="s">
        <v>283</v>
      </c>
      <c r="B15" s="81">
        <f t="shared" si="0"/>
        <v>623</v>
      </c>
      <c r="C15" s="384">
        <f t="shared" si="7"/>
        <v>7.49</v>
      </c>
      <c r="D15" s="384">
        <f t="shared" si="1"/>
        <v>54.14</v>
      </c>
      <c r="E15" s="384">
        <f t="shared" si="2"/>
        <v>2.54</v>
      </c>
      <c r="F15" s="83">
        <f t="shared" si="3"/>
        <v>64.17</v>
      </c>
      <c r="G15" s="381"/>
      <c r="H15" s="384">
        <f t="shared" si="8"/>
        <v>7.49</v>
      </c>
      <c r="I15" s="384">
        <f t="shared" si="4"/>
        <v>56.13</v>
      </c>
      <c r="J15" s="384">
        <f t="shared" si="5"/>
        <v>2.62</v>
      </c>
      <c r="K15" s="83">
        <f t="shared" si="6"/>
        <v>66.240000000000009</v>
      </c>
      <c r="L15" s="83">
        <f t="shared" si="9"/>
        <v>2.0700000000000074</v>
      </c>
      <c r="M15" s="582">
        <f t="shared" si="10"/>
        <v>3.2258064516129149E-2</v>
      </c>
    </row>
    <row r="16" spans="1:18" x14ac:dyDescent="0.2">
      <c r="A16" s="74" t="s">
        <v>284</v>
      </c>
      <c r="B16" s="81">
        <f t="shared" si="0"/>
        <v>805</v>
      </c>
      <c r="C16" s="384">
        <f t="shared" si="7"/>
        <v>7.49</v>
      </c>
      <c r="D16" s="384">
        <f t="shared" si="1"/>
        <v>54.14</v>
      </c>
      <c r="E16" s="384">
        <f t="shared" si="2"/>
        <v>22.64</v>
      </c>
      <c r="F16" s="83">
        <f t="shared" si="3"/>
        <v>84.27000000000001</v>
      </c>
      <c r="G16" s="381"/>
      <c r="H16" s="384">
        <f t="shared" si="8"/>
        <v>7.49</v>
      </c>
      <c r="I16" s="384">
        <f t="shared" si="4"/>
        <v>56.13</v>
      </c>
      <c r="J16" s="384">
        <f t="shared" si="5"/>
        <v>23.32</v>
      </c>
      <c r="K16" s="83">
        <f t="shared" si="6"/>
        <v>86.94</v>
      </c>
      <c r="L16" s="83">
        <f t="shared" si="9"/>
        <v>2.6699999999999875</v>
      </c>
      <c r="M16" s="582">
        <f t="shared" si="10"/>
        <v>3.1683873264506793E-2</v>
      </c>
    </row>
    <row r="17" spans="1:13" x14ac:dyDescent="0.2">
      <c r="A17" s="74" t="s">
        <v>285</v>
      </c>
      <c r="B17" s="81">
        <f t="shared" si="0"/>
        <v>1022</v>
      </c>
      <c r="C17" s="384">
        <f t="shared" si="7"/>
        <v>7.49</v>
      </c>
      <c r="D17" s="384">
        <f t="shared" si="1"/>
        <v>54.14</v>
      </c>
      <c r="E17" s="384">
        <f t="shared" si="2"/>
        <v>46.61</v>
      </c>
      <c r="F17" s="83">
        <f t="shared" si="3"/>
        <v>108.24000000000001</v>
      </c>
      <c r="G17" s="381"/>
      <c r="H17" s="384">
        <f t="shared" si="8"/>
        <v>7.49</v>
      </c>
      <c r="I17" s="384">
        <f t="shared" si="4"/>
        <v>56.13</v>
      </c>
      <c r="J17" s="384">
        <f t="shared" si="5"/>
        <v>48</v>
      </c>
      <c r="K17" s="83">
        <f t="shared" si="6"/>
        <v>111.62</v>
      </c>
      <c r="L17" s="83">
        <f t="shared" si="9"/>
        <v>3.3799999999999955</v>
      </c>
      <c r="M17" s="582">
        <f t="shared" si="10"/>
        <v>3.1226903178122645E-2</v>
      </c>
    </row>
    <row r="18" spans="1:13" x14ac:dyDescent="0.2">
      <c r="A18" s="74" t="s">
        <v>286</v>
      </c>
      <c r="B18" s="81">
        <f t="shared" si="0"/>
        <v>1163</v>
      </c>
      <c r="C18" s="384">
        <f t="shared" si="7"/>
        <v>7.49</v>
      </c>
      <c r="D18" s="384">
        <f t="shared" si="1"/>
        <v>54.14</v>
      </c>
      <c r="E18" s="384">
        <f t="shared" si="2"/>
        <v>62.18</v>
      </c>
      <c r="F18" s="83">
        <f t="shared" si="3"/>
        <v>123.81</v>
      </c>
      <c r="G18" s="381"/>
      <c r="H18" s="384">
        <f t="shared" si="8"/>
        <v>7.49</v>
      </c>
      <c r="I18" s="384">
        <f t="shared" si="4"/>
        <v>56.13</v>
      </c>
      <c r="J18" s="384">
        <f t="shared" si="5"/>
        <v>64.040000000000006</v>
      </c>
      <c r="K18" s="83">
        <f t="shared" si="6"/>
        <v>127.66000000000001</v>
      </c>
      <c r="L18" s="83">
        <f t="shared" si="9"/>
        <v>3.8500000000000085</v>
      </c>
      <c r="M18" s="582">
        <f t="shared" si="10"/>
        <v>3.1096034246022201E-2</v>
      </c>
    </row>
    <row r="19" spans="1:13" x14ac:dyDescent="0.2">
      <c r="C19" s="384"/>
      <c r="G19" s="381"/>
      <c r="H19" s="384"/>
      <c r="M19" s="582"/>
    </row>
    <row r="20" spans="1:13" ht="12" thickBot="1" x14ac:dyDescent="0.25">
      <c r="A20" s="84" t="s">
        <v>287</v>
      </c>
      <c r="B20" s="85">
        <f>SUM(B7:B19)</f>
        <v>10246</v>
      </c>
      <c r="C20" s="385">
        <f>SUM(C7:C19)</f>
        <v>89.88</v>
      </c>
      <c r="D20" s="385">
        <f>SUM(D7:D19)</f>
        <v>649.67999999999995</v>
      </c>
      <c r="E20" s="385">
        <f>SUM(E7:E19)</f>
        <v>336.41</v>
      </c>
      <c r="F20" s="385">
        <f>SUM(F7:F19)</f>
        <v>1075.97</v>
      </c>
      <c r="G20" s="381"/>
      <c r="H20" s="385">
        <f>SUM(H7:H19)</f>
        <v>89.88</v>
      </c>
      <c r="I20" s="385">
        <f>SUM(I7:I19)</f>
        <v>673.56000000000006</v>
      </c>
      <c r="J20" s="385">
        <f>SUM(J7:J19)</f>
        <v>346.51000000000005</v>
      </c>
      <c r="K20" s="385">
        <f>SUM(K7:K19)</f>
        <v>1109.95</v>
      </c>
      <c r="L20" s="385">
        <f t="shared" ref="L20" si="11">+K20-F20</f>
        <v>33.980000000000018</v>
      </c>
      <c r="M20" s="583">
        <f t="shared" ref="M20" si="12">+L20/F20</f>
        <v>3.1580806156305492E-2</v>
      </c>
    </row>
    <row r="21" spans="1:13" ht="12" thickTop="1" x14ac:dyDescent="0.2">
      <c r="G21" s="381"/>
      <c r="M21" s="582"/>
    </row>
    <row r="22" spans="1:13" ht="12" thickBot="1" x14ac:dyDescent="0.25">
      <c r="A22" s="378" t="s">
        <v>288</v>
      </c>
      <c r="B22" s="120">
        <f>ROUND(AVERAGE(B7:B18),-2)</f>
        <v>900</v>
      </c>
      <c r="C22" s="86">
        <f t="shared" ref="C22:C23" si="13">ROUND(+$E$27,2)</f>
        <v>7.49</v>
      </c>
      <c r="D22" s="86">
        <f>ROUND(IF($B22&gt;600,600*$E$58,$B22*$E$37),2)</f>
        <v>54.14</v>
      </c>
      <c r="E22" s="86">
        <f>ROUND(IF($B22&gt;600,($B22-600)*$E$59,0),2)</f>
        <v>33.130000000000003</v>
      </c>
      <c r="F22" s="86">
        <f>SUM(C22:E22)</f>
        <v>94.76</v>
      </c>
      <c r="G22" s="381"/>
      <c r="H22" s="86">
        <f t="shared" ref="H22:H23" si="14">ROUND(+$F$27,2)</f>
        <v>7.49</v>
      </c>
      <c r="I22" s="86">
        <f>ROUND(IF($B22&gt;600,600*$F$58,$B22*$F$37),2)</f>
        <v>56.13</v>
      </c>
      <c r="J22" s="86">
        <f>ROUND(IF($B22&gt;600,($B22-600)*$F$59,0),2)</f>
        <v>34.130000000000003</v>
      </c>
      <c r="K22" s="86">
        <f>SUM(H22:J22)</f>
        <v>97.75</v>
      </c>
      <c r="L22" s="86">
        <f t="shared" ref="L22:L23" si="15">+K22-F22</f>
        <v>2.9899999999999949</v>
      </c>
      <c r="M22" s="583">
        <f t="shared" ref="M22:M23" si="16">+L22/F22</f>
        <v>3.1553398058252372E-2</v>
      </c>
    </row>
    <row r="23" spans="1:13" ht="12.75" thickTop="1" thickBot="1" x14ac:dyDescent="0.25">
      <c r="A23" s="87" t="s">
        <v>288</v>
      </c>
      <c r="B23" s="85">
        <v>1000</v>
      </c>
      <c r="C23" s="86">
        <f t="shared" si="13"/>
        <v>7.49</v>
      </c>
      <c r="D23" s="86">
        <f>ROUND(IF($B23&gt;600,600*$E$58,$B23*$E$37),2)</f>
        <v>54.14</v>
      </c>
      <c r="E23" s="86">
        <f>ROUND(IF($B23&gt;600,($B23-600)*$E$59,0),2)</f>
        <v>44.18</v>
      </c>
      <c r="F23" s="86">
        <f>SUM(C23:E23)</f>
        <v>105.81</v>
      </c>
      <c r="G23" s="381"/>
      <c r="H23" s="86">
        <f t="shared" si="14"/>
        <v>7.49</v>
      </c>
      <c r="I23" s="86">
        <f>ROUND(IF($B23&gt;600,600*$F$58,$B23*$F$37),2)</f>
        <v>56.13</v>
      </c>
      <c r="J23" s="86">
        <f>ROUND(IF($B23&gt;600,($B23-600)*$F$59,0),2)</f>
        <v>45.5</v>
      </c>
      <c r="K23" s="86">
        <f>SUM(H23:J23)</f>
        <v>109.12</v>
      </c>
      <c r="L23" s="86">
        <f t="shared" si="15"/>
        <v>3.3100000000000023</v>
      </c>
      <c r="M23" s="583">
        <f t="shared" si="16"/>
        <v>3.1282487477554126E-2</v>
      </c>
    </row>
    <row r="24" spans="1:13" ht="12" thickTop="1" x14ac:dyDescent="0.2"/>
    <row r="25" spans="1:13" ht="45" x14ac:dyDescent="0.2">
      <c r="A25" s="90" t="s">
        <v>289</v>
      </c>
      <c r="B25" s="91"/>
      <c r="C25" s="91"/>
      <c r="D25" s="91"/>
      <c r="E25" s="480" t="s">
        <v>561</v>
      </c>
      <c r="F25" s="669" t="str">
        <f>"Proposed Rates Effective "&amp;TEXT(Controls!B1,"MM/DD/YYYY")</f>
        <v>Proposed Rates Effective 07/01/2021</v>
      </c>
    </row>
    <row r="26" spans="1:13" x14ac:dyDescent="0.2">
      <c r="A26" s="604" t="s">
        <v>290</v>
      </c>
      <c r="B26" s="604"/>
      <c r="C26" s="604"/>
      <c r="D26" s="604"/>
      <c r="E26" s="481"/>
      <c r="F26" s="481"/>
    </row>
    <row r="27" spans="1:13" x14ac:dyDescent="0.2">
      <c r="A27" s="602" t="s">
        <v>291</v>
      </c>
      <c r="B27" s="602"/>
      <c r="C27" s="602"/>
      <c r="D27" s="602"/>
      <c r="E27" s="92">
        <v>7.49</v>
      </c>
      <c r="F27" s="92">
        <f>+E27</f>
        <v>7.49</v>
      </c>
      <c r="G27" s="74" t="s">
        <v>292</v>
      </c>
    </row>
    <row r="28" spans="1:13" ht="12" thickBot="1" x14ac:dyDescent="0.25">
      <c r="A28" s="605" t="s">
        <v>293</v>
      </c>
      <c r="B28" s="605"/>
      <c r="C28" s="605"/>
      <c r="D28" s="605"/>
      <c r="E28" s="94">
        <f>SUM(E27)</f>
        <v>7.49</v>
      </c>
      <c r="F28" s="94">
        <f>SUM(F27:F27)</f>
        <v>7.49</v>
      </c>
    </row>
    <row r="29" spans="1:13" ht="12" thickTop="1" x14ac:dyDescent="0.2">
      <c r="A29" s="604" t="s">
        <v>294</v>
      </c>
      <c r="B29" s="604"/>
      <c r="C29" s="604"/>
      <c r="D29" s="604"/>
      <c r="E29" s="95"/>
      <c r="F29" s="95"/>
    </row>
    <row r="30" spans="1:13" x14ac:dyDescent="0.2">
      <c r="A30" s="602" t="s">
        <v>295</v>
      </c>
      <c r="B30" s="602"/>
      <c r="C30" s="602"/>
      <c r="D30" s="602"/>
      <c r="E30" s="96">
        <v>9.3071000000000001E-2</v>
      </c>
      <c r="F30" s="96">
        <f>+E30</f>
        <v>9.3071000000000001E-2</v>
      </c>
      <c r="G30" s="74" t="s">
        <v>296</v>
      </c>
    </row>
    <row r="31" spans="1:13" x14ac:dyDescent="0.2">
      <c r="A31" s="602" t="s">
        <v>179</v>
      </c>
      <c r="B31" s="602"/>
      <c r="C31" s="602"/>
      <c r="D31" s="602"/>
      <c r="E31" s="96">
        <f>ROUND(+'Sch 129'!E7,6)</f>
        <v>1.0640000000000001E-3</v>
      </c>
      <c r="F31" s="96">
        <f t="shared" ref="F31:F36" si="17">+E31</f>
        <v>1.0640000000000001E-3</v>
      </c>
      <c r="G31" s="74" t="s">
        <v>296</v>
      </c>
    </row>
    <row r="32" spans="1:13" x14ac:dyDescent="0.2">
      <c r="A32" s="602" t="s">
        <v>297</v>
      </c>
      <c r="B32" s="602"/>
      <c r="C32" s="602"/>
      <c r="D32" s="602"/>
      <c r="E32" s="96">
        <f>ROUND(+'Sch 140'!E7,6)</f>
        <v>3.0720000000000001E-3</v>
      </c>
      <c r="F32" s="96">
        <f t="shared" si="17"/>
        <v>3.0720000000000001E-3</v>
      </c>
      <c r="G32" s="88" t="s">
        <v>296</v>
      </c>
      <c r="H32" s="88"/>
      <c r="I32" s="88"/>
      <c r="J32" s="88"/>
    </row>
    <row r="33" spans="1:10" x14ac:dyDescent="0.2">
      <c r="A33" s="602" t="s">
        <v>452</v>
      </c>
      <c r="B33" s="602"/>
      <c r="C33" s="602"/>
      <c r="D33" s="602"/>
      <c r="E33" s="96">
        <f>ROUND(SUM('Sch 141X'!E7),6)</f>
        <v>-3.016E-3</v>
      </c>
      <c r="F33" s="96">
        <f t="shared" si="17"/>
        <v>-3.016E-3</v>
      </c>
      <c r="G33" s="88" t="s">
        <v>296</v>
      </c>
      <c r="H33" s="88"/>
      <c r="I33" s="88"/>
      <c r="J33" s="88"/>
    </row>
    <row r="34" spans="1:10" x14ac:dyDescent="0.2">
      <c r="A34" s="602" t="s">
        <v>326</v>
      </c>
      <c r="B34" s="602"/>
      <c r="C34" s="602"/>
      <c r="D34" s="602"/>
      <c r="E34" s="96">
        <f>ROUND('Sch 141Y'!E7,6)</f>
        <v>-6.0999999999999999E-5</v>
      </c>
      <c r="F34" s="96">
        <f t="shared" si="17"/>
        <v>-6.0999999999999999E-5</v>
      </c>
      <c r="G34" s="88" t="s">
        <v>296</v>
      </c>
      <c r="H34" s="88"/>
      <c r="I34" s="88"/>
      <c r="J34" s="88"/>
    </row>
    <row r="35" spans="1:10" x14ac:dyDescent="0.2">
      <c r="A35" s="602" t="s">
        <v>414</v>
      </c>
      <c r="B35" s="602"/>
      <c r="C35" s="602"/>
      <c r="D35" s="602"/>
      <c r="E35" s="96">
        <f>ROUND(SUM('Sch 141Z'!E7),6)</f>
        <v>-8.8400000000000002E-4</v>
      </c>
      <c r="F35" s="96">
        <f t="shared" ref="F35:F37" si="18">+E35</f>
        <v>-8.8400000000000002E-4</v>
      </c>
      <c r="G35" s="88" t="s">
        <v>296</v>
      </c>
      <c r="H35" s="88"/>
      <c r="I35" s="88"/>
      <c r="J35" s="88"/>
    </row>
    <row r="36" spans="1:10" x14ac:dyDescent="0.2">
      <c r="A36" s="602" t="s">
        <v>298</v>
      </c>
      <c r="B36" s="602"/>
      <c r="C36" s="602"/>
      <c r="D36" s="602"/>
      <c r="E36" s="96">
        <f>+'UE-190529-210214 Sch 142'!M12</f>
        <v>-1.0299999999999996E-4</v>
      </c>
      <c r="F36" s="96">
        <f>+'UE-190529-210214 Sch 142'!M12</f>
        <v>-1.0299999999999996E-4</v>
      </c>
      <c r="G36" s="88" t="s">
        <v>296</v>
      </c>
      <c r="H36" s="88"/>
      <c r="I36" s="88"/>
      <c r="J36" s="88"/>
    </row>
    <row r="37" spans="1:10" ht="12" thickBot="1" x14ac:dyDescent="0.25">
      <c r="A37" s="605" t="s">
        <v>299</v>
      </c>
      <c r="B37" s="605"/>
      <c r="C37" s="605"/>
      <c r="D37" s="605"/>
      <c r="E37" s="97">
        <f>SUM(E30:E36)</f>
        <v>9.314299999999999E-2</v>
      </c>
      <c r="F37" s="96">
        <f t="shared" si="18"/>
        <v>9.314299999999999E-2</v>
      </c>
      <c r="G37" s="88" t="s">
        <v>296</v>
      </c>
      <c r="H37" s="88"/>
      <c r="I37" s="88"/>
      <c r="J37" s="88"/>
    </row>
    <row r="38" spans="1:10" ht="12" thickTop="1" x14ac:dyDescent="0.2">
      <c r="A38" s="604"/>
      <c r="B38" s="604"/>
      <c r="C38" s="604"/>
      <c r="D38" s="604"/>
      <c r="E38" s="96"/>
      <c r="F38" s="96"/>
    </row>
    <row r="39" spans="1:10" x14ac:dyDescent="0.2">
      <c r="A39" s="604" t="s">
        <v>300</v>
      </c>
      <c r="B39" s="604"/>
      <c r="C39" s="604"/>
      <c r="D39" s="604"/>
      <c r="E39" s="96">
        <v>0.113277</v>
      </c>
      <c r="F39" s="96">
        <f>+E39</f>
        <v>0.113277</v>
      </c>
      <c r="G39" s="74" t="s">
        <v>296</v>
      </c>
    </row>
    <row r="40" spans="1:10" x14ac:dyDescent="0.2">
      <c r="A40" s="602" t="s">
        <v>179</v>
      </c>
      <c r="B40" s="602"/>
      <c r="C40" s="602"/>
      <c r="D40" s="602"/>
      <c r="E40" s="96">
        <f>+E31</f>
        <v>1.0640000000000001E-3</v>
      </c>
      <c r="F40" s="96">
        <f t="shared" ref="F40:F45" si="19">+E40</f>
        <v>1.0640000000000001E-3</v>
      </c>
      <c r="G40" s="74" t="s">
        <v>296</v>
      </c>
    </row>
    <row r="41" spans="1:10" x14ac:dyDescent="0.2">
      <c r="A41" s="377" t="s">
        <v>297</v>
      </c>
      <c r="B41" s="377"/>
      <c r="C41" s="377"/>
      <c r="D41" s="377"/>
      <c r="E41" s="96">
        <f t="shared" ref="E41:E45" si="20">+E32</f>
        <v>3.0720000000000001E-3</v>
      </c>
      <c r="F41" s="96">
        <f t="shared" si="19"/>
        <v>3.0720000000000001E-3</v>
      </c>
      <c r="G41" s="74" t="s">
        <v>296</v>
      </c>
    </row>
    <row r="42" spans="1:10" x14ac:dyDescent="0.2">
      <c r="A42" s="390" t="s">
        <v>453</v>
      </c>
      <c r="B42" s="377"/>
      <c r="C42" s="377"/>
      <c r="D42" s="377"/>
      <c r="E42" s="96">
        <f t="shared" si="20"/>
        <v>-3.016E-3</v>
      </c>
      <c r="F42" s="96">
        <f t="shared" si="19"/>
        <v>-3.016E-3</v>
      </c>
      <c r="G42" s="88" t="s">
        <v>296</v>
      </c>
      <c r="H42" s="88"/>
      <c r="I42" s="88"/>
      <c r="J42" s="88"/>
    </row>
    <row r="43" spans="1:10" x14ac:dyDescent="0.2">
      <c r="A43" s="377" t="s">
        <v>326</v>
      </c>
      <c r="B43" s="377"/>
      <c r="C43" s="377"/>
      <c r="D43" s="377"/>
      <c r="E43" s="96">
        <f t="shared" si="20"/>
        <v>-6.0999999999999999E-5</v>
      </c>
      <c r="F43" s="96">
        <f t="shared" si="19"/>
        <v>-6.0999999999999999E-5</v>
      </c>
      <c r="G43" s="88" t="s">
        <v>296</v>
      </c>
    </row>
    <row r="44" spans="1:10" x14ac:dyDescent="0.2">
      <c r="A44" s="602" t="s">
        <v>414</v>
      </c>
      <c r="B44" s="602"/>
      <c r="C44" s="602"/>
      <c r="D44" s="602"/>
      <c r="E44" s="96">
        <f t="shared" si="20"/>
        <v>-8.8400000000000002E-4</v>
      </c>
      <c r="F44" s="96">
        <f t="shared" si="19"/>
        <v>-8.8400000000000002E-4</v>
      </c>
      <c r="G44" s="88" t="s">
        <v>296</v>
      </c>
    </row>
    <row r="45" spans="1:10" x14ac:dyDescent="0.2">
      <c r="A45" s="377" t="s">
        <v>298</v>
      </c>
      <c r="B45" s="377"/>
      <c r="C45" s="377"/>
      <c r="D45" s="377"/>
      <c r="E45" s="96">
        <f t="shared" si="20"/>
        <v>-1.0299999999999996E-4</v>
      </c>
      <c r="F45" s="96">
        <f t="shared" si="19"/>
        <v>-1.0299999999999996E-4</v>
      </c>
      <c r="G45" s="88" t="s">
        <v>296</v>
      </c>
      <c r="H45" s="88"/>
      <c r="I45" s="88"/>
      <c r="J45" s="88"/>
    </row>
    <row r="46" spans="1:10" ht="12" thickBot="1" x14ac:dyDescent="0.25">
      <c r="A46" s="605" t="s">
        <v>301</v>
      </c>
      <c r="B46" s="605"/>
      <c r="C46" s="605"/>
      <c r="D46" s="605"/>
      <c r="E46" s="97">
        <f>SUM(E39:E45)</f>
        <v>0.11334899999999999</v>
      </c>
      <c r="F46" s="97">
        <f>SUM(F39:F45)</f>
        <v>0.11334899999999999</v>
      </c>
      <c r="G46" s="88" t="s">
        <v>296</v>
      </c>
      <c r="H46" s="88"/>
      <c r="I46" s="88"/>
      <c r="J46" s="88"/>
    </row>
    <row r="47" spans="1:10" ht="12" thickTop="1" x14ac:dyDescent="0.2">
      <c r="A47" s="604"/>
      <c r="B47" s="604"/>
      <c r="C47" s="604"/>
      <c r="D47" s="604"/>
      <c r="E47" s="96"/>
      <c r="F47" s="96"/>
      <c r="G47" s="88"/>
      <c r="H47" s="88"/>
      <c r="I47" s="88"/>
      <c r="J47" s="88"/>
    </row>
    <row r="48" spans="1:10" x14ac:dyDescent="0.2">
      <c r="A48" s="607" t="s">
        <v>302</v>
      </c>
      <c r="B48" s="607"/>
      <c r="C48" s="607"/>
      <c r="D48" s="607"/>
      <c r="E48" s="96">
        <f>-'UE-190753 Sch 194'!D18</f>
        <v>-7.3861270000000001E-3</v>
      </c>
      <c r="F48" s="96">
        <f>+E48</f>
        <v>-7.3861270000000001E-3</v>
      </c>
      <c r="G48" s="88" t="s">
        <v>296</v>
      </c>
      <c r="H48" s="88"/>
      <c r="I48" s="88"/>
      <c r="J48" s="88"/>
    </row>
    <row r="49" spans="1:10" x14ac:dyDescent="0.2">
      <c r="A49" s="604"/>
      <c r="B49" s="604"/>
      <c r="C49" s="604"/>
      <c r="D49" s="604"/>
      <c r="E49" s="96"/>
      <c r="F49" s="96"/>
    </row>
    <row r="50" spans="1:10" x14ac:dyDescent="0.2">
      <c r="A50" s="606" t="s">
        <v>303</v>
      </c>
      <c r="B50" s="606"/>
      <c r="C50" s="606"/>
      <c r="D50" s="606"/>
      <c r="E50" s="96"/>
      <c r="F50" s="96"/>
      <c r="G50" s="74" t="s">
        <v>296</v>
      </c>
    </row>
    <row r="51" spans="1:10" x14ac:dyDescent="0.2">
      <c r="A51" s="608" t="s">
        <v>304</v>
      </c>
      <c r="B51" s="608"/>
      <c r="C51" s="608"/>
      <c r="D51" s="608"/>
      <c r="E51" s="96">
        <f>ROUND(+'Sch 95'!E7,6)</f>
        <v>2.1350000000000002E-3</v>
      </c>
      <c r="F51" s="96">
        <f>+E51</f>
        <v>2.1350000000000002E-3</v>
      </c>
      <c r="G51" s="74" t="s">
        <v>296</v>
      </c>
      <c r="H51" s="88"/>
      <c r="I51" s="88"/>
      <c r="J51" s="88"/>
    </row>
    <row r="52" spans="1:10" x14ac:dyDescent="0.2">
      <c r="A52" s="608" t="s">
        <v>524</v>
      </c>
      <c r="B52" s="608"/>
      <c r="C52" s="608"/>
      <c r="D52" s="608"/>
      <c r="E52" s="96">
        <v>0</v>
      </c>
      <c r="F52" s="96">
        <f>ROUND(+'Sch 95'!G7,6)</f>
        <v>3.3140000000000001E-3</v>
      </c>
      <c r="G52" s="74" t="s">
        <v>296</v>
      </c>
      <c r="H52" s="88"/>
      <c r="I52" s="88"/>
      <c r="J52" s="88"/>
    </row>
    <row r="53" spans="1:10" x14ac:dyDescent="0.2">
      <c r="A53" s="377" t="s">
        <v>305</v>
      </c>
      <c r="B53" s="377"/>
      <c r="C53" s="377"/>
      <c r="D53" s="377"/>
      <c r="E53" s="96">
        <f>ROUND(+'Sch 95a'!F7,6)</f>
        <v>-1.4400000000000001E-3</v>
      </c>
      <c r="F53" s="96">
        <f>+E53</f>
        <v>-1.4400000000000001E-3</v>
      </c>
      <c r="G53" s="88" t="s">
        <v>296</v>
      </c>
      <c r="H53" s="88"/>
      <c r="I53" s="88"/>
      <c r="J53" s="88"/>
    </row>
    <row r="54" spans="1:10" x14ac:dyDescent="0.2">
      <c r="A54" s="602" t="s">
        <v>306</v>
      </c>
      <c r="B54" s="602"/>
      <c r="C54" s="602"/>
      <c r="D54" s="602"/>
      <c r="E54" s="96">
        <f>ROUND(+'Sch 120'!F7,6)</f>
        <v>3.8249999999999998E-3</v>
      </c>
      <c r="F54" s="96">
        <f>+E54</f>
        <v>3.8249999999999998E-3</v>
      </c>
      <c r="G54" s="88" t="s">
        <v>296</v>
      </c>
      <c r="H54" s="88"/>
      <c r="I54" s="88"/>
      <c r="J54" s="88"/>
    </row>
    <row r="55" spans="1:10" x14ac:dyDescent="0.2">
      <c r="A55" s="602" t="s">
        <v>307</v>
      </c>
      <c r="B55" s="602"/>
      <c r="C55" s="602"/>
      <c r="D55" s="602"/>
      <c r="E55" s="98">
        <f>ROUND('Sch 137'!E7,6)</f>
        <v>-4.3000000000000002E-5</v>
      </c>
      <c r="F55" s="98">
        <f>+E55</f>
        <v>-4.3000000000000002E-5</v>
      </c>
      <c r="G55" s="88" t="s">
        <v>296</v>
      </c>
      <c r="H55" s="88"/>
      <c r="I55" s="88"/>
      <c r="J55" s="88"/>
    </row>
    <row r="56" spans="1:10" ht="12" thickBot="1" x14ac:dyDescent="0.25">
      <c r="A56" s="605" t="s">
        <v>308</v>
      </c>
      <c r="B56" s="605"/>
      <c r="C56" s="605"/>
      <c r="D56" s="605"/>
      <c r="E56" s="97">
        <f>SUM(E51:E55)</f>
        <v>4.4770000000000001E-3</v>
      </c>
      <c r="F56" s="97">
        <f>SUM(F51:F55)</f>
        <v>7.791000000000001E-3</v>
      </c>
      <c r="G56" s="88" t="s">
        <v>296</v>
      </c>
    </row>
    <row r="57" spans="1:10" ht="12" thickTop="1" x14ac:dyDescent="0.2">
      <c r="A57" s="604"/>
      <c r="B57" s="604"/>
      <c r="C57" s="604"/>
      <c r="D57" s="604"/>
      <c r="E57" s="93"/>
      <c r="F57" s="93"/>
    </row>
    <row r="58" spans="1:10" x14ac:dyDescent="0.2">
      <c r="A58" s="605" t="s">
        <v>309</v>
      </c>
      <c r="B58" s="605"/>
      <c r="C58" s="605"/>
      <c r="D58" s="605"/>
      <c r="E58" s="93">
        <f>SUM(E37,E48:E48,E56)</f>
        <v>9.0233872999999978E-2</v>
      </c>
      <c r="F58" s="93">
        <f>SUM(F37,F48:F48,F56)</f>
        <v>9.354787299999999E-2</v>
      </c>
      <c r="G58" s="88" t="s">
        <v>296</v>
      </c>
      <c r="I58" s="99"/>
    </row>
    <row r="59" spans="1:10" x14ac:dyDescent="0.2">
      <c r="A59" s="605" t="s">
        <v>310</v>
      </c>
      <c r="B59" s="605"/>
      <c r="C59" s="605"/>
      <c r="D59" s="605"/>
      <c r="E59" s="100">
        <f>SUM(E46,E48:E48,E56)</f>
        <v>0.11043987299999998</v>
      </c>
      <c r="F59" s="100">
        <f>SUM(F46,F48:F48,F56)</f>
        <v>0.11375387299999999</v>
      </c>
      <c r="G59" s="88" t="s">
        <v>296</v>
      </c>
      <c r="I59" s="99"/>
    </row>
    <row r="61" spans="1:10" x14ac:dyDescent="0.2">
      <c r="F61" s="83"/>
    </row>
    <row r="62" spans="1:10" x14ac:dyDescent="0.2">
      <c r="F62" s="83"/>
    </row>
    <row r="64" spans="1:10" ht="12" thickBot="1" x14ac:dyDescent="0.25"/>
    <row r="65" spans="1:14" ht="12" thickBot="1" x14ac:dyDescent="0.25">
      <c r="A65" s="299" t="str">
        <f>"Average Residential Usage Rate Year Ended May 2022"</f>
        <v>Average Residential Usage Rate Year Ended May 2022</v>
      </c>
      <c r="B65" s="300"/>
      <c r="C65" s="300"/>
      <c r="D65" s="300"/>
      <c r="E65" s="301"/>
    </row>
    <row r="66" spans="1:14" ht="34.5" thickBot="1" x14ac:dyDescent="0.25">
      <c r="A66" s="297" t="s">
        <v>205</v>
      </c>
      <c r="B66" s="297" t="s">
        <v>358</v>
      </c>
      <c r="C66" s="297" t="s">
        <v>311</v>
      </c>
      <c r="D66" s="297" t="s">
        <v>312</v>
      </c>
      <c r="E66" s="298" t="s">
        <v>313</v>
      </c>
      <c r="F66" s="80"/>
      <c r="G66" s="80"/>
      <c r="H66" s="80"/>
      <c r="I66" s="80"/>
      <c r="J66" s="80"/>
      <c r="K66" s="80"/>
      <c r="L66" s="80"/>
      <c r="M66" s="80"/>
      <c r="N66" s="80"/>
    </row>
    <row r="67" spans="1:14" x14ac:dyDescent="0.2">
      <c r="A67" s="302">
        <v>2022</v>
      </c>
      <c r="B67" s="302">
        <v>1</v>
      </c>
      <c r="C67" s="292">
        <f>SUM('F2020 Sch Level Delivered Load'!E31:F31)</f>
        <v>1233473000.0000002</v>
      </c>
      <c r="D67" s="292">
        <f>SUM('F2020 Customers'!C32)</f>
        <v>1057402</v>
      </c>
      <c r="E67" s="293">
        <f>ROUND(+C67/D67,0)</f>
        <v>1167</v>
      </c>
    </row>
    <row r="68" spans="1:14" x14ac:dyDescent="0.2">
      <c r="A68" s="302">
        <v>2022</v>
      </c>
      <c r="B68" s="302">
        <v>2</v>
      </c>
      <c r="C68" s="292">
        <f>SUM('F2020 Sch Level Delivered Load'!E32:F32)</f>
        <v>1007809000</v>
      </c>
      <c r="D68" s="292">
        <f>SUM('F2020 Customers'!C33)</f>
        <v>1058018</v>
      </c>
      <c r="E68" s="293">
        <f t="shared" ref="E68:E78" si="21">ROUND(+C68/D68,0)</f>
        <v>953</v>
      </c>
    </row>
    <row r="69" spans="1:14" x14ac:dyDescent="0.2">
      <c r="A69" s="302">
        <v>2022</v>
      </c>
      <c r="B69" s="302">
        <v>3</v>
      </c>
      <c r="C69" s="292">
        <f>SUM('F2020 Sch Level Delivered Load'!E33:F33)</f>
        <v>1048899999.9999999</v>
      </c>
      <c r="D69" s="292">
        <f>SUM('F2020 Customers'!C34)</f>
        <v>1058633</v>
      </c>
      <c r="E69" s="293">
        <f t="shared" si="21"/>
        <v>991</v>
      </c>
    </row>
    <row r="70" spans="1:14" x14ac:dyDescent="0.2">
      <c r="A70" s="302">
        <v>2022</v>
      </c>
      <c r="B70" s="302">
        <v>4</v>
      </c>
      <c r="C70" s="292">
        <f>SUM('F2020 Sch Level Delivered Load'!E34:F34)</f>
        <v>843431000</v>
      </c>
      <c r="D70" s="292">
        <f>SUM('F2020 Customers'!C35)</f>
        <v>1059249</v>
      </c>
      <c r="E70" s="293">
        <f t="shared" si="21"/>
        <v>796</v>
      </c>
    </row>
    <row r="71" spans="1:14" x14ac:dyDescent="0.2">
      <c r="A71" s="302">
        <v>2022</v>
      </c>
      <c r="B71" s="302">
        <v>5</v>
      </c>
      <c r="C71" s="292">
        <f>SUM('F2020 Sch Level Delivered Load'!E35:F35)</f>
        <v>753997999.99999988</v>
      </c>
      <c r="D71" s="292">
        <f>SUM('F2020 Customers'!C36)</f>
        <v>1059754</v>
      </c>
      <c r="E71" s="293">
        <f t="shared" si="21"/>
        <v>711</v>
      </c>
    </row>
    <row r="72" spans="1:14" x14ac:dyDescent="0.2">
      <c r="A72" s="302">
        <v>2021</v>
      </c>
      <c r="B72" s="302">
        <v>6</v>
      </c>
      <c r="C72" s="292">
        <f>SUM('F2020 Sch Level Delivered Load'!E24:F24)</f>
        <v>704328000</v>
      </c>
      <c r="D72" s="292">
        <f>SUM('F2020 Customers'!C25)</f>
        <v>1050246</v>
      </c>
      <c r="E72" s="293">
        <f t="shared" si="21"/>
        <v>671</v>
      </c>
    </row>
    <row r="73" spans="1:14" x14ac:dyDescent="0.2">
      <c r="A73" s="302">
        <v>2021</v>
      </c>
      <c r="B73" s="302">
        <v>7</v>
      </c>
      <c r="C73" s="292">
        <f>SUM('F2020 Sch Level Delivered Load'!E25:F25)</f>
        <v>699409000.00000012</v>
      </c>
      <c r="D73" s="292">
        <f>SUM('F2020 Customers'!C26)</f>
        <v>1050812</v>
      </c>
      <c r="E73" s="293">
        <f t="shared" si="21"/>
        <v>666</v>
      </c>
    </row>
    <row r="74" spans="1:14" x14ac:dyDescent="0.2">
      <c r="A74" s="302">
        <v>2021</v>
      </c>
      <c r="B74" s="302">
        <v>8</v>
      </c>
      <c r="C74" s="292">
        <f>SUM('F2020 Sch Level Delivered Load'!E26:F26)</f>
        <v>713052999.99999988</v>
      </c>
      <c r="D74" s="292">
        <f>SUM('F2020 Customers'!C27)</f>
        <v>1051819</v>
      </c>
      <c r="E74" s="293">
        <f t="shared" si="21"/>
        <v>678</v>
      </c>
    </row>
    <row r="75" spans="1:14" x14ac:dyDescent="0.2">
      <c r="A75" s="302">
        <v>2021</v>
      </c>
      <c r="B75" s="302">
        <v>9</v>
      </c>
      <c r="C75" s="292">
        <f>SUM('F2020 Sch Level Delivered Load'!E27:F27)</f>
        <v>656152000</v>
      </c>
      <c r="D75" s="292">
        <f>SUM('F2020 Customers'!C28)</f>
        <v>1052826</v>
      </c>
      <c r="E75" s="293">
        <f t="shared" si="21"/>
        <v>623</v>
      </c>
    </row>
    <row r="76" spans="1:14" x14ac:dyDescent="0.2">
      <c r="A76" s="302">
        <v>2021</v>
      </c>
      <c r="B76" s="302">
        <v>10</v>
      </c>
      <c r="C76" s="292">
        <f>SUM('F2020 Sch Level Delivered Load'!E28:F28)</f>
        <v>848450000</v>
      </c>
      <c r="D76" s="292">
        <f>SUM('F2020 Customers'!C29)</f>
        <v>1053834</v>
      </c>
      <c r="E76" s="293">
        <f t="shared" si="21"/>
        <v>805</v>
      </c>
    </row>
    <row r="77" spans="1:14" x14ac:dyDescent="0.2">
      <c r="A77" s="302">
        <v>2021</v>
      </c>
      <c r="B77" s="302">
        <v>11</v>
      </c>
      <c r="C77" s="292">
        <f>SUM('F2020 Sch Level Delivered Load'!E29:F29)</f>
        <v>1078386000</v>
      </c>
      <c r="D77" s="292">
        <f>SUM('F2020 Customers'!C30)</f>
        <v>1055023</v>
      </c>
      <c r="E77" s="293">
        <f t="shared" si="21"/>
        <v>1022</v>
      </c>
    </row>
    <row r="78" spans="1:14" x14ac:dyDescent="0.2">
      <c r="A78" s="302">
        <v>2021</v>
      </c>
      <c r="B78" s="302">
        <v>12</v>
      </c>
      <c r="C78" s="292">
        <f>SUM('F2020 Sch Level Delivered Load'!E30:F30)</f>
        <v>1228696000.0000002</v>
      </c>
      <c r="D78" s="292">
        <f>SUM('F2020 Customers'!C31)</f>
        <v>1056213</v>
      </c>
      <c r="E78" s="293">
        <f t="shared" si="21"/>
        <v>1163</v>
      </c>
    </row>
    <row r="79" spans="1:14" x14ac:dyDescent="0.2">
      <c r="A79" s="291"/>
      <c r="B79" s="291" t="s">
        <v>18</v>
      </c>
      <c r="C79" s="292">
        <f>SUM(C67:C78)</f>
        <v>10816085000</v>
      </c>
      <c r="D79" s="292">
        <f>SUM(D67:D78)</f>
        <v>12663829</v>
      </c>
      <c r="E79" s="293">
        <f>SUM(E67:E78)</f>
        <v>10246</v>
      </c>
    </row>
    <row r="80" spans="1:14" x14ac:dyDescent="0.2">
      <c r="A80" s="291"/>
      <c r="B80" s="291"/>
      <c r="C80" s="291"/>
      <c r="D80" s="291"/>
      <c r="E80" s="293"/>
    </row>
    <row r="81" spans="1:5" ht="12" thickBot="1" x14ac:dyDescent="0.25">
      <c r="A81" s="294"/>
      <c r="B81" s="294" t="s">
        <v>314</v>
      </c>
      <c r="C81" s="295"/>
      <c r="D81" s="295"/>
      <c r="E81" s="296">
        <f>ROUND(AVERAGE(E67:E78),0)</f>
        <v>854</v>
      </c>
    </row>
  </sheetData>
  <mergeCells count="31">
    <mergeCell ref="A58:D58"/>
    <mergeCell ref="A59:D59"/>
    <mergeCell ref="A51:D51"/>
    <mergeCell ref="A54:D54"/>
    <mergeCell ref="A55:D55"/>
    <mergeCell ref="A56:D56"/>
    <mergeCell ref="A57:D57"/>
    <mergeCell ref="A52:D52"/>
    <mergeCell ref="A50:D50"/>
    <mergeCell ref="A34:D34"/>
    <mergeCell ref="A36:D36"/>
    <mergeCell ref="A37:D37"/>
    <mergeCell ref="A38:D38"/>
    <mergeCell ref="A39:D39"/>
    <mergeCell ref="A40:D40"/>
    <mergeCell ref="A35:D35"/>
    <mergeCell ref="A44:D44"/>
    <mergeCell ref="A46:D46"/>
    <mergeCell ref="A47:D47"/>
    <mergeCell ref="A48:D48"/>
    <mergeCell ref="A49:D49"/>
    <mergeCell ref="A33:D33"/>
    <mergeCell ref="C5:F5"/>
    <mergeCell ref="H5:K5"/>
    <mergeCell ref="A26:D26"/>
    <mergeCell ref="A27:D27"/>
    <mergeCell ref="A28:D28"/>
    <mergeCell ref="A29:D29"/>
    <mergeCell ref="A30:D30"/>
    <mergeCell ref="A31:D31"/>
    <mergeCell ref="A32:D32"/>
  </mergeCells>
  <printOptions horizontalCentered="1"/>
  <pageMargins left="0.25" right="0.25" top="0.75" bottom="0.75" header="0.3" footer="0.3"/>
  <pageSetup scale="73" orientation="landscape" r:id="rId1"/>
  <headerFooter>
    <oddFooter>&amp;L&amp;"Times New Roman,Regular"&amp;F&amp;R&amp;"Times New Roman,Regular"&amp;A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41"/>
  <sheetViews>
    <sheetView workbookViewId="0">
      <selection activeCell="G7" sqref="G7"/>
    </sheetView>
  </sheetViews>
  <sheetFormatPr defaultColWidth="8.85546875" defaultRowHeight="11.25" x14ac:dyDescent="0.2"/>
  <cols>
    <col min="1" max="2" width="8.85546875" style="88"/>
    <col min="3" max="3" width="21" style="88" bestFit="1" customWidth="1"/>
    <col min="4" max="4" width="14.28515625" style="88" customWidth="1"/>
    <col min="5" max="5" width="13.140625" style="88" bestFit="1" customWidth="1"/>
    <col min="6" max="6" width="0.7109375" style="88" customWidth="1"/>
    <col min="7" max="7" width="10" style="88" bestFit="1" customWidth="1"/>
    <col min="8" max="8" width="9.42578125" style="88" bestFit="1" customWidth="1"/>
    <col min="9" max="9" width="10.7109375" style="88" bestFit="1" customWidth="1"/>
    <col min="10" max="16384" width="8.85546875" style="88"/>
  </cols>
  <sheetData>
    <row r="1" spans="1:9" ht="12.75" x14ac:dyDescent="0.2">
      <c r="A1" s="616" t="s">
        <v>0</v>
      </c>
      <c r="B1" s="616"/>
      <c r="C1" s="616"/>
      <c r="D1" s="616"/>
      <c r="E1" s="616"/>
      <c r="F1" s="619"/>
    </row>
    <row r="2" spans="1:9" ht="12.75" x14ac:dyDescent="0.2">
      <c r="A2" s="616" t="s">
        <v>190</v>
      </c>
      <c r="B2" s="616"/>
      <c r="C2" s="616"/>
      <c r="D2" s="616"/>
      <c r="E2" s="616"/>
      <c r="F2" s="619"/>
    </row>
    <row r="3" spans="1:9" ht="12.75" x14ac:dyDescent="0.2">
      <c r="A3" s="616" t="str">
        <f>+'Exh BDJ-8 p1-2 (Rate Impacts)'!A3</f>
        <v>Test Year Ended June 30, 2020</v>
      </c>
      <c r="B3" s="616"/>
      <c r="C3" s="616"/>
      <c r="D3" s="616"/>
      <c r="E3" s="616"/>
      <c r="F3" s="619"/>
    </row>
    <row r="4" spans="1:9" x14ac:dyDescent="0.2">
      <c r="A4" s="609"/>
      <c r="B4" s="609"/>
      <c r="C4" s="609"/>
      <c r="D4" s="609"/>
      <c r="E4" s="609"/>
    </row>
    <row r="5" spans="1:9" x14ac:dyDescent="0.2">
      <c r="A5" s="106"/>
      <c r="B5" s="123"/>
      <c r="C5" s="123"/>
      <c r="D5" s="123"/>
      <c r="E5" s="123"/>
      <c r="G5" s="616" t="s">
        <v>559</v>
      </c>
      <c r="H5" s="616"/>
      <c r="I5" s="616"/>
    </row>
    <row r="6" spans="1:9" ht="56.25" x14ac:dyDescent="0.2">
      <c r="A6" s="215" t="s">
        <v>3</v>
      </c>
      <c r="B6" s="215" t="s">
        <v>4</v>
      </c>
      <c r="C6" s="215" t="s">
        <v>34</v>
      </c>
      <c r="D6" s="216" t="str">
        <f>+'Exh BDJ-8 p1-2 (Rate Impacts)'!C6</f>
        <v>Annual kWh Normalized &amp; Delivered Sales  07/01/19 to 06/30/20</v>
      </c>
      <c r="E6" s="216" t="s">
        <v>266</v>
      </c>
      <c r="F6" s="158"/>
      <c r="G6" s="216" t="s">
        <v>552</v>
      </c>
      <c r="H6" s="216" t="s">
        <v>553</v>
      </c>
      <c r="I6" s="216" t="s">
        <v>201</v>
      </c>
    </row>
    <row r="7" spans="1:9" x14ac:dyDescent="0.2">
      <c r="A7" s="123">
        <v>1</v>
      </c>
      <c r="B7" s="123">
        <v>7</v>
      </c>
      <c r="D7" s="101">
        <f>+'TY June 2020 Proforma Rev'!E8</f>
        <v>10863043096.272161</v>
      </c>
      <c r="E7" s="101"/>
      <c r="G7" s="122">
        <f>+'UE-190529-210214 Sch 142'!M12</f>
        <v>-1.0299999999999996E-4</v>
      </c>
      <c r="H7" s="122"/>
      <c r="I7" s="72">
        <f>ROUND(D7*G7+H7*E7,0)</f>
        <v>-1118893</v>
      </c>
    </row>
    <row r="8" spans="1:9" x14ac:dyDescent="0.2">
      <c r="A8" s="123">
        <f t="shared" ref="A8:A35" si="0">+A7+1</f>
        <v>2</v>
      </c>
      <c r="B8" s="106" t="s">
        <v>10</v>
      </c>
      <c r="D8" s="101">
        <f>+'TY June 2020 Proforma Rev'!E9</f>
        <v>2376000</v>
      </c>
      <c r="E8" s="101"/>
      <c r="G8" s="122">
        <f>+'UE-190529-210214 Sch 142'!M18</f>
        <v>2.895E-3</v>
      </c>
      <c r="H8" s="122"/>
      <c r="I8" s="72">
        <f>ROUND(D8*G8+H8*E8,0)</f>
        <v>6879</v>
      </c>
    </row>
    <row r="9" spans="1:9" x14ac:dyDescent="0.2">
      <c r="A9" s="123">
        <f t="shared" si="0"/>
        <v>3</v>
      </c>
      <c r="B9" s="123"/>
      <c r="C9" s="88" t="s">
        <v>11</v>
      </c>
      <c r="D9" s="117">
        <f>SUM(D7:D8)</f>
        <v>10865419096.272161</v>
      </c>
      <c r="E9" s="101"/>
      <c r="G9" s="101"/>
      <c r="H9" s="101"/>
      <c r="I9" s="73">
        <f>SUM(I7:I8)</f>
        <v>-1112014</v>
      </c>
    </row>
    <row r="10" spans="1:9" x14ac:dyDescent="0.2">
      <c r="A10" s="123">
        <f t="shared" si="0"/>
        <v>4</v>
      </c>
      <c r="B10" s="123"/>
      <c r="D10" s="101"/>
      <c r="E10" s="101"/>
      <c r="G10" s="122"/>
      <c r="H10" s="122"/>
      <c r="I10" s="72"/>
    </row>
    <row r="11" spans="1:9" x14ac:dyDescent="0.2">
      <c r="A11" s="123">
        <f t="shared" si="0"/>
        <v>5</v>
      </c>
      <c r="B11" s="123">
        <v>8</v>
      </c>
      <c r="D11" s="101">
        <f>+'TY June 2020 Proforma Rev'!E12</f>
        <v>252362620.54679149</v>
      </c>
      <c r="E11" s="101"/>
      <c r="G11" s="122">
        <f>+'UE-190529-210214 Sch 142'!M15</f>
        <v>4.4810000000000006E-3</v>
      </c>
      <c r="H11" s="122"/>
      <c r="I11" s="72">
        <f>ROUND(D11*G11+H11*E11,0)</f>
        <v>1130837</v>
      </c>
    </row>
    <row r="12" spans="1:9" x14ac:dyDescent="0.2">
      <c r="A12" s="123">
        <f t="shared" si="0"/>
        <v>6</v>
      </c>
      <c r="B12" s="123">
        <v>24</v>
      </c>
      <c r="D12" s="101">
        <f>+'TY June 2020 Proforma Rev'!E13</f>
        <v>2333975906.454967</v>
      </c>
      <c r="E12" s="101"/>
      <c r="G12" s="122">
        <f>+G11</f>
        <v>4.4810000000000006E-3</v>
      </c>
      <c r="H12" s="122"/>
      <c r="I12" s="72">
        <f>ROUND(D12*G12+H12*E12,0)</f>
        <v>10458546</v>
      </c>
    </row>
    <row r="13" spans="1:9" x14ac:dyDescent="0.2">
      <c r="A13" s="123">
        <f t="shared" si="0"/>
        <v>7</v>
      </c>
      <c r="B13" s="106">
        <v>11</v>
      </c>
      <c r="D13" s="101">
        <f>+'TY June 2020 Proforma Rev'!E14</f>
        <v>135958671.66260606</v>
      </c>
      <c r="E13" s="101"/>
      <c r="G13" s="122">
        <f>+G8</f>
        <v>2.895E-3</v>
      </c>
      <c r="H13" s="122"/>
      <c r="I13" s="72">
        <f>ROUND(D13*G13+H13*E13,0)</f>
        <v>393600</v>
      </c>
    </row>
    <row r="14" spans="1:9" x14ac:dyDescent="0.2">
      <c r="A14" s="123">
        <f t="shared" si="0"/>
        <v>8</v>
      </c>
      <c r="B14" s="106">
        <v>25</v>
      </c>
      <c r="D14" s="101">
        <f>+'TY June 2020 Proforma Rev'!E15</f>
        <v>2746336782.1565623</v>
      </c>
      <c r="E14" s="101"/>
      <c r="G14" s="122">
        <f>+G8</f>
        <v>2.895E-3</v>
      </c>
      <c r="H14" s="122"/>
      <c r="I14" s="72">
        <f>ROUND(D14*G14+H14*E14,0)</f>
        <v>7950645</v>
      </c>
    </row>
    <row r="15" spans="1:9" x14ac:dyDescent="0.2">
      <c r="A15" s="123">
        <f t="shared" si="0"/>
        <v>9</v>
      </c>
      <c r="B15" s="123">
        <v>12</v>
      </c>
      <c r="D15" s="101">
        <f>+'TY June 2020 Proforma Rev'!E16</f>
        <v>16430488</v>
      </c>
      <c r="E15" s="101">
        <f>+'[65]Sch 26 Large Sec'!P78</f>
        <v>43718</v>
      </c>
      <c r="G15" s="122">
        <f>+'UE-190529-210214 Sch 142'!M25</f>
        <v>1.614E-3</v>
      </c>
      <c r="H15" s="122">
        <f>+'UE-190529-210214 Sch 142'!M24</f>
        <v>0.57999999999999996</v>
      </c>
      <c r="I15" s="72">
        <f>ROUND(D15*G15+H15*E15,0)</f>
        <v>51875</v>
      </c>
    </row>
    <row r="16" spans="1:9" x14ac:dyDescent="0.2">
      <c r="A16" s="123">
        <f t="shared" si="0"/>
        <v>10</v>
      </c>
      <c r="B16" s="123" t="s">
        <v>12</v>
      </c>
      <c r="D16" s="101">
        <f>+'TY June 2020 Proforma Rev'!E17</f>
        <v>1824742786.7668719</v>
      </c>
      <c r="E16" s="101">
        <f>+'[65]Sch 26 Large Sec'!$C$14+'[65]Sch 26 Primary'!$C$14-E15</f>
        <v>4512520</v>
      </c>
      <c r="G16" s="122">
        <f>+G15</f>
        <v>1.614E-3</v>
      </c>
      <c r="H16" s="122">
        <f>+H15</f>
        <v>0.57999999999999996</v>
      </c>
      <c r="I16" s="72">
        <f>ROUND(D16*G16+H16*E16,0)</f>
        <v>5562396</v>
      </c>
    </row>
    <row r="17" spans="1:9" x14ac:dyDescent="0.2">
      <c r="A17" s="123">
        <f t="shared" si="0"/>
        <v>11</v>
      </c>
      <c r="B17" s="123">
        <v>29</v>
      </c>
      <c r="D17" s="101">
        <f>+'TY June 2020 Proforma Rev'!E18</f>
        <v>11424740.434375001</v>
      </c>
      <c r="E17" s="101"/>
      <c r="G17" s="122">
        <f>+G8</f>
        <v>2.895E-3</v>
      </c>
      <c r="H17" s="122"/>
      <c r="I17" s="72">
        <f>ROUND(D17*G17+H17*E17,0)</f>
        <v>33075</v>
      </c>
    </row>
    <row r="18" spans="1:9" x14ac:dyDescent="0.2">
      <c r="A18" s="123">
        <f t="shared" si="0"/>
        <v>12</v>
      </c>
      <c r="B18" s="123"/>
      <c r="C18" s="207" t="s">
        <v>13</v>
      </c>
      <c r="D18" s="117">
        <f>SUM(D11:D17)</f>
        <v>7321231996.0221739</v>
      </c>
      <c r="E18" s="117">
        <f>SUM(E11:E17)</f>
        <v>4556238</v>
      </c>
      <c r="G18" s="101"/>
      <c r="H18" s="101"/>
      <c r="I18" s="73">
        <f>SUM(I11:I17)</f>
        <v>25580974</v>
      </c>
    </row>
    <row r="19" spans="1:9" x14ac:dyDescent="0.2">
      <c r="A19" s="123">
        <f t="shared" si="0"/>
        <v>13</v>
      </c>
      <c r="B19" s="123"/>
      <c r="D19" s="101"/>
      <c r="E19" s="101"/>
      <c r="G19" s="122"/>
      <c r="H19" s="122"/>
      <c r="I19" s="72"/>
    </row>
    <row r="20" spans="1:9" x14ac:dyDescent="0.2">
      <c r="A20" s="123">
        <f t="shared" si="0"/>
        <v>14</v>
      </c>
      <c r="B20" s="123">
        <v>10</v>
      </c>
      <c r="D20" s="101">
        <f>+'TY June 2020 Proforma Rev'!E21</f>
        <v>25573920</v>
      </c>
      <c r="E20" s="101">
        <f>+'[65]Sch 31 Pri Gen Svc'!P78</f>
        <v>65959</v>
      </c>
      <c r="G20" s="122">
        <f>+'UE-190529-210214 Sch 142'!M29</f>
        <v>2.0750000000000005E-3</v>
      </c>
      <c r="H20" s="122">
        <f>+'UE-190529-210214 Sch 142'!M28</f>
        <v>0.61</v>
      </c>
      <c r="I20" s="72">
        <f>ROUND(D20*G20+H20*E20,0)</f>
        <v>93301</v>
      </c>
    </row>
    <row r="21" spans="1:9" x14ac:dyDescent="0.2">
      <c r="A21" s="123">
        <f t="shared" si="0"/>
        <v>15</v>
      </c>
      <c r="B21" s="123">
        <v>31</v>
      </c>
      <c r="D21" s="101">
        <f>+'TY June 2020 Proforma Rev'!E22</f>
        <v>1310080421.1168144</v>
      </c>
      <c r="E21" s="101">
        <f>+'[65]Sch 31 Pri Gen Svc'!$C$14-E20</f>
        <v>3093815</v>
      </c>
      <c r="G21" s="122">
        <f>+G20</f>
        <v>2.0750000000000005E-3</v>
      </c>
      <c r="H21" s="122">
        <f>+H20</f>
        <v>0.61</v>
      </c>
      <c r="I21" s="72">
        <f>ROUND(D21*G21+H21*E21,0)</f>
        <v>4605644</v>
      </c>
    </row>
    <row r="22" spans="1:9" x14ac:dyDescent="0.2">
      <c r="A22" s="123">
        <f t="shared" si="0"/>
        <v>16</v>
      </c>
      <c r="B22" s="123">
        <v>35</v>
      </c>
      <c r="D22" s="101">
        <f>+'TY June 2020 Proforma Rev'!E23</f>
        <v>5945040</v>
      </c>
      <c r="E22" s="101"/>
      <c r="G22" s="122">
        <f>+G8</f>
        <v>2.895E-3</v>
      </c>
      <c r="H22" s="122"/>
      <c r="I22" s="72">
        <f>ROUND(D22*G22+H22*E22,0)</f>
        <v>17211</v>
      </c>
    </row>
    <row r="23" spans="1:9" x14ac:dyDescent="0.2">
      <c r="A23" s="123">
        <f t="shared" si="0"/>
        <v>17</v>
      </c>
      <c r="B23" s="123">
        <v>43</v>
      </c>
      <c r="D23" s="101">
        <f>+'TY June 2020 Proforma Rev'!E24</f>
        <v>116280759.88464826</v>
      </c>
      <c r="E23" s="101"/>
      <c r="G23" s="122">
        <f>+G8</f>
        <v>2.895E-3</v>
      </c>
      <c r="H23" s="122"/>
      <c r="I23" s="72">
        <f>ROUND(D23*G23+H23*E23,0)</f>
        <v>336633</v>
      </c>
    </row>
    <row r="24" spans="1:9" x14ac:dyDescent="0.2">
      <c r="A24" s="123">
        <f t="shared" si="0"/>
        <v>18</v>
      </c>
      <c r="B24" s="123"/>
      <c r="C24" s="88" t="s">
        <v>14</v>
      </c>
      <c r="D24" s="117">
        <f>SUM(D20:D23)</f>
        <v>1457880141.0014627</v>
      </c>
      <c r="E24" s="117">
        <f>SUM(E20:E23)</f>
        <v>3159774</v>
      </c>
      <c r="G24" s="101"/>
      <c r="H24" s="101"/>
      <c r="I24" s="73">
        <f>SUM(I20:I23)</f>
        <v>5052789</v>
      </c>
    </row>
    <row r="25" spans="1:9" x14ac:dyDescent="0.2">
      <c r="A25" s="123">
        <f t="shared" si="0"/>
        <v>19</v>
      </c>
      <c r="B25" s="123"/>
      <c r="D25" s="101"/>
      <c r="E25" s="101"/>
      <c r="G25" s="122"/>
      <c r="H25" s="122"/>
      <c r="I25" s="72"/>
    </row>
    <row r="26" spans="1:9" x14ac:dyDescent="0.2">
      <c r="A26" s="386">
        <f t="shared" si="0"/>
        <v>20</v>
      </c>
      <c r="B26" s="123">
        <v>46</v>
      </c>
      <c r="D26" s="101">
        <f>+'TY June 2020 Proforma Rev'!E27</f>
        <v>81635228</v>
      </c>
      <c r="E26" s="101"/>
      <c r="G26" s="122">
        <v>0</v>
      </c>
      <c r="H26" s="122"/>
      <c r="I26" s="72">
        <f>ROUND(D26*G26+H26*E26,0)</f>
        <v>0</v>
      </c>
    </row>
    <row r="27" spans="1:9" x14ac:dyDescent="0.2">
      <c r="A27" s="386">
        <f t="shared" si="0"/>
        <v>21</v>
      </c>
      <c r="B27" s="123">
        <v>49</v>
      </c>
      <c r="D27" s="101">
        <f>+'TY June 2020 Proforma Rev'!E28</f>
        <v>563071445.51999998</v>
      </c>
      <c r="E27" s="101"/>
      <c r="G27" s="122">
        <f>+G26</f>
        <v>0</v>
      </c>
      <c r="H27" s="122"/>
      <c r="I27" s="72">
        <f>ROUND(D27*G27+H27*E27,0)</f>
        <v>0</v>
      </c>
    </row>
    <row r="28" spans="1:9" x14ac:dyDescent="0.2">
      <c r="A28" s="386">
        <f t="shared" si="0"/>
        <v>22</v>
      </c>
      <c r="B28" s="123"/>
      <c r="C28" s="88" t="s">
        <v>15</v>
      </c>
      <c r="D28" s="117">
        <f>SUM(D26:D27)</f>
        <v>644706673.51999998</v>
      </c>
      <c r="E28" s="101"/>
      <c r="G28" s="101"/>
      <c r="H28" s="101"/>
      <c r="I28" s="73">
        <f>SUM(I26:I27)</f>
        <v>0</v>
      </c>
    </row>
    <row r="29" spans="1:9" x14ac:dyDescent="0.2">
      <c r="A29" s="386">
        <f t="shared" si="0"/>
        <v>23</v>
      </c>
      <c r="B29" s="123"/>
      <c r="D29" s="101"/>
      <c r="E29" s="101"/>
      <c r="G29" s="122"/>
      <c r="H29" s="122"/>
      <c r="I29" s="72"/>
    </row>
    <row r="30" spans="1:9" x14ac:dyDescent="0.2">
      <c r="A30" s="386">
        <f t="shared" si="0"/>
        <v>24</v>
      </c>
      <c r="B30" s="244" t="s">
        <v>16</v>
      </c>
      <c r="C30" s="88" t="s">
        <v>108</v>
      </c>
      <c r="D30" s="101">
        <f>+'TY June 2020 Proforma Rev'!E31</f>
        <v>68936797.67750001</v>
      </c>
      <c r="E30" s="101"/>
      <c r="G30" s="101">
        <v>0</v>
      </c>
      <c r="H30" s="101"/>
      <c r="I30" s="72">
        <f>ROUND(D30*G30+H30*E30,0)</f>
        <v>0</v>
      </c>
    </row>
    <row r="31" spans="1:9" x14ac:dyDescent="0.2">
      <c r="A31" s="386">
        <f t="shared" si="0"/>
        <v>25</v>
      </c>
      <c r="B31" s="244" t="s">
        <v>17</v>
      </c>
      <c r="C31" s="88" t="s">
        <v>110</v>
      </c>
      <c r="D31" s="101">
        <f>+'TY June 2020 Proforma Rev'!E32</f>
        <v>1993508561.5469999</v>
      </c>
      <c r="E31" s="101"/>
      <c r="G31" s="101">
        <v>0</v>
      </c>
      <c r="H31" s="101"/>
      <c r="I31" s="72">
        <f>ROUND(D31*G31+H31*E31,0)</f>
        <v>0</v>
      </c>
    </row>
    <row r="32" spans="1:9" x14ac:dyDescent="0.2">
      <c r="A32" s="386">
        <f t="shared" si="0"/>
        <v>26</v>
      </c>
      <c r="B32" s="244" t="s">
        <v>347</v>
      </c>
      <c r="C32" s="88" t="s">
        <v>265</v>
      </c>
      <c r="D32" s="101">
        <f>+'TY June 2020 Proforma Rev'!E33</f>
        <v>303234527.03700018</v>
      </c>
      <c r="E32" s="101"/>
      <c r="G32" s="122">
        <f>+'UE-190529-210214 Sch 142'!M21</f>
        <v>3.2049999999999995E-3</v>
      </c>
      <c r="H32" s="101"/>
      <c r="I32" s="72">
        <f>ROUND(D32*G32+H32*E32,0)</f>
        <v>971867</v>
      </c>
    </row>
    <row r="33" spans="1:9" x14ac:dyDescent="0.2">
      <c r="A33" s="386">
        <f t="shared" si="0"/>
        <v>27</v>
      </c>
      <c r="B33" s="244">
        <v>5</v>
      </c>
      <c r="C33" s="88" t="s">
        <v>80</v>
      </c>
      <c r="D33" s="101">
        <f>+'TY June 2020 Proforma Rev'!E34</f>
        <v>7369853.2214806583</v>
      </c>
      <c r="E33" s="101"/>
      <c r="G33" s="101">
        <v>0</v>
      </c>
      <c r="H33" s="101"/>
      <c r="I33" s="72">
        <f>ROUND(D33*G33+H33*E33,0)</f>
        <v>0</v>
      </c>
    </row>
    <row r="34" spans="1:9" x14ac:dyDescent="0.2">
      <c r="A34" s="386">
        <f t="shared" si="0"/>
        <v>28</v>
      </c>
      <c r="B34" s="123"/>
      <c r="D34" s="101"/>
      <c r="E34" s="101"/>
      <c r="I34" s="72"/>
    </row>
    <row r="35" spans="1:9" ht="12" thickBot="1" x14ac:dyDescent="0.25">
      <c r="A35" s="386">
        <f t="shared" si="0"/>
        <v>29</v>
      </c>
      <c r="B35" s="123"/>
      <c r="C35" s="207" t="s">
        <v>81</v>
      </c>
      <c r="D35" s="120">
        <f>SUM(D30:D33,D28,D24,D18,D9)</f>
        <v>22662287646.298782</v>
      </c>
      <c r="E35" s="120">
        <f>SUM(E30:E33,E28,E24,E18,E9)</f>
        <v>7716012</v>
      </c>
      <c r="I35" s="137">
        <f>SUM(I30:I33,I28,I24,I18,I9)</f>
        <v>30493616</v>
      </c>
    </row>
    <row r="36" spans="1:9" ht="12" thickTop="1" x14ac:dyDescent="0.2">
      <c r="E36" s="101"/>
    </row>
    <row r="37" spans="1:9" x14ac:dyDescent="0.2">
      <c r="E37" s="101"/>
    </row>
    <row r="38" spans="1:9" x14ac:dyDescent="0.2">
      <c r="C38" s="207"/>
      <c r="E38" s="101"/>
    </row>
    <row r="39" spans="1:9" x14ac:dyDescent="0.2">
      <c r="E39" s="101"/>
    </row>
    <row r="40" spans="1:9" x14ac:dyDescent="0.2">
      <c r="E40" s="101"/>
    </row>
    <row r="41" spans="1:9" x14ac:dyDescent="0.2">
      <c r="E41" s="101"/>
    </row>
  </sheetData>
  <mergeCells count="5">
    <mergeCell ref="A4:E4"/>
    <mergeCell ref="A1:F1"/>
    <mergeCell ref="A2:F2"/>
    <mergeCell ref="A3:F3"/>
    <mergeCell ref="G5:I5"/>
  </mergeCells>
  <printOptions horizontalCentered="1"/>
  <pageMargins left="0.7" right="0.7" top="0.75" bottom="0.71" header="0.3" footer="0.3"/>
  <pageSetup scale="90"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sqref="A1:F38"/>
    </sheetView>
  </sheetViews>
  <sheetFormatPr defaultColWidth="8.85546875" defaultRowHeight="11.25" x14ac:dyDescent="0.2"/>
  <cols>
    <col min="1" max="1" width="7.7109375" style="74" bestFit="1" customWidth="1"/>
    <col min="2" max="2" width="10.28515625" style="74" bestFit="1" customWidth="1"/>
    <col min="3" max="3" width="21" style="74" bestFit="1" customWidth="1"/>
    <col min="4" max="4" width="16.28515625" style="74" customWidth="1"/>
    <col min="5" max="5" width="11.5703125" style="74" bestFit="1" customWidth="1"/>
    <col min="6" max="6" width="13.28515625" style="74" bestFit="1" customWidth="1"/>
    <col min="7" max="7" width="1.7109375" style="74" customWidth="1"/>
    <col min="8" max="8" width="10" style="74" bestFit="1" customWidth="1"/>
    <col min="9" max="9" width="11.28515625" style="74" bestFit="1" customWidth="1"/>
    <col min="10" max="16384" width="8.85546875" style="74"/>
  </cols>
  <sheetData>
    <row r="1" spans="1:6" x14ac:dyDescent="0.2">
      <c r="A1" s="616" t="s">
        <v>0</v>
      </c>
      <c r="B1" s="616"/>
      <c r="C1" s="616"/>
      <c r="D1" s="616"/>
      <c r="E1" s="616"/>
      <c r="F1" s="616"/>
    </row>
    <row r="2" spans="1:6" x14ac:dyDescent="0.2">
      <c r="A2" s="618" t="s">
        <v>194</v>
      </c>
      <c r="B2" s="616"/>
      <c r="C2" s="616"/>
      <c r="D2" s="616"/>
      <c r="E2" s="616"/>
      <c r="F2" s="616"/>
    </row>
    <row r="3" spans="1:6" x14ac:dyDescent="0.2">
      <c r="A3" s="616" t="s">
        <v>352</v>
      </c>
      <c r="B3" s="616"/>
      <c r="C3" s="616"/>
      <c r="D3" s="616"/>
      <c r="E3" s="616"/>
      <c r="F3" s="616"/>
    </row>
    <row r="4" spans="1:6" x14ac:dyDescent="0.2">
      <c r="A4" s="616"/>
      <c r="B4" s="616"/>
      <c r="C4" s="616"/>
      <c r="D4" s="616"/>
      <c r="E4" s="616"/>
      <c r="F4" s="616"/>
    </row>
    <row r="5" spans="1:6" x14ac:dyDescent="0.2">
      <c r="A5" s="128"/>
      <c r="B5" s="127"/>
      <c r="C5" s="127"/>
      <c r="D5" s="127"/>
      <c r="E5" s="158"/>
      <c r="F5" s="158" t="s">
        <v>112</v>
      </c>
    </row>
    <row r="6" spans="1:6" ht="45" x14ac:dyDescent="0.2">
      <c r="A6" s="215" t="s">
        <v>3</v>
      </c>
      <c r="B6" s="215" t="s">
        <v>4</v>
      </c>
      <c r="C6" s="215" t="s">
        <v>34</v>
      </c>
      <c r="D6" s="269" t="str">
        <f>+'Exh BDJ-8 p1-2 (Rate Impacts)'!C6</f>
        <v>Annual kWh Normalized &amp; Delivered Sales  07/01/19 to 06/30/20</v>
      </c>
      <c r="E6" s="216" t="s">
        <v>357</v>
      </c>
      <c r="F6" s="216" t="s">
        <v>195</v>
      </c>
    </row>
    <row r="7" spans="1:6" x14ac:dyDescent="0.2">
      <c r="A7" s="123">
        <v>1</v>
      </c>
      <c r="B7" s="123">
        <v>7</v>
      </c>
      <c r="C7" s="88"/>
      <c r="D7" s="101">
        <f>+'TY June 2020 Proforma Rev'!E8</f>
        <v>10863043096.272161</v>
      </c>
      <c r="E7" s="122">
        <f>-'UE-190753 Sch 194'!$D$18</f>
        <v>-7.3861270000000001E-3</v>
      </c>
      <c r="F7" s="72">
        <f>ROUND(D7*E7,0)</f>
        <v>-80235816</v>
      </c>
    </row>
    <row r="8" spans="1:6" x14ac:dyDescent="0.2">
      <c r="A8" s="123">
        <f t="shared" ref="A8:A38" si="0">+A7+1</f>
        <v>2</v>
      </c>
      <c r="B8" s="106" t="s">
        <v>10</v>
      </c>
      <c r="C8" s="88"/>
      <c r="D8" s="101">
        <f>+'TY June 2020 Proforma Rev'!E9</f>
        <v>2376000</v>
      </c>
      <c r="E8" s="122">
        <f>-'UE-190753 Sch 194'!$D$18</f>
        <v>-7.3861270000000001E-3</v>
      </c>
      <c r="F8" s="72">
        <f>ROUND(D8*E8,0)</f>
        <v>-17549</v>
      </c>
    </row>
    <row r="9" spans="1:6" x14ac:dyDescent="0.2">
      <c r="A9" s="123">
        <f t="shared" si="0"/>
        <v>3</v>
      </c>
      <c r="B9" s="123"/>
      <c r="C9" s="88" t="s">
        <v>11</v>
      </c>
      <c r="D9" s="117">
        <f>SUM(D7:D8)</f>
        <v>10865419096.272161</v>
      </c>
      <c r="E9" s="208"/>
      <c r="F9" s="73">
        <f>SUM(F7:F8)</f>
        <v>-80253365</v>
      </c>
    </row>
    <row r="10" spans="1:6" x14ac:dyDescent="0.2">
      <c r="A10" s="123">
        <f t="shared" si="0"/>
        <v>4</v>
      </c>
      <c r="B10" s="123"/>
      <c r="C10" s="88"/>
      <c r="D10" s="101"/>
      <c r="E10" s="122"/>
      <c r="F10" s="72"/>
    </row>
    <row r="11" spans="1:6" x14ac:dyDescent="0.2">
      <c r="A11" s="123">
        <f t="shared" si="0"/>
        <v>5</v>
      </c>
      <c r="B11" s="123">
        <v>8</v>
      </c>
      <c r="C11" s="88"/>
      <c r="D11" s="101">
        <f>ROUND(+'TY June 2020 Proforma Rev'!E12,-3)</f>
        <v>252363000</v>
      </c>
      <c r="E11" s="122">
        <f>-'UE-190753 Sch 194'!$D$18</f>
        <v>-7.3861270000000001E-3</v>
      </c>
      <c r="F11" s="72">
        <f t="shared" ref="F11:F17" si="1">ROUND(D11*E11,0)</f>
        <v>-1863985</v>
      </c>
    </row>
    <row r="12" spans="1:6" x14ac:dyDescent="0.2">
      <c r="A12" s="123">
        <f t="shared" si="0"/>
        <v>6</v>
      </c>
      <c r="B12" s="123">
        <v>24</v>
      </c>
      <c r="C12" s="88"/>
      <c r="D12" s="101">
        <f>ROUND(+'TY June 2020 Proforma Rev'!E13,-3)</f>
        <v>2333976000</v>
      </c>
      <c r="E12" s="122">
        <v>0</v>
      </c>
      <c r="F12" s="72">
        <f t="shared" si="1"/>
        <v>0</v>
      </c>
    </row>
    <row r="13" spans="1:6" x14ac:dyDescent="0.2">
      <c r="A13" s="123">
        <f t="shared" si="0"/>
        <v>7</v>
      </c>
      <c r="B13" s="106">
        <v>11</v>
      </c>
      <c r="C13" s="88"/>
      <c r="D13" s="101">
        <f>ROUND(+'TY June 2020 Proforma Rev'!E14,-3)</f>
        <v>135959000</v>
      </c>
      <c r="E13" s="122">
        <f>-'UE-190753 Sch 194'!$D$18</f>
        <v>-7.3861270000000001E-3</v>
      </c>
      <c r="F13" s="72">
        <f t="shared" si="1"/>
        <v>-1004210</v>
      </c>
    </row>
    <row r="14" spans="1:6" x14ac:dyDescent="0.2">
      <c r="A14" s="123">
        <f t="shared" si="0"/>
        <v>8</v>
      </c>
      <c r="B14" s="106">
        <v>25</v>
      </c>
      <c r="C14" s="88"/>
      <c r="D14" s="101">
        <f>ROUND(+'TY June 2020 Proforma Rev'!E15,-3)</f>
        <v>2746337000</v>
      </c>
      <c r="E14" s="122">
        <v>0</v>
      </c>
      <c r="F14" s="72">
        <f t="shared" si="1"/>
        <v>0</v>
      </c>
    </row>
    <row r="15" spans="1:6" x14ac:dyDescent="0.2">
      <c r="A15" s="123">
        <f t="shared" si="0"/>
        <v>9</v>
      </c>
      <c r="B15" s="123">
        <v>12</v>
      </c>
      <c r="C15" s="88"/>
      <c r="D15" s="101">
        <f>ROUND(+'TY June 2020 Proforma Rev'!E16,-3)</f>
        <v>16430000</v>
      </c>
      <c r="E15" s="122">
        <f>-'UE-190753 Sch 194'!$D$18</f>
        <v>-7.3861270000000001E-3</v>
      </c>
      <c r="F15" s="72">
        <f t="shared" si="1"/>
        <v>-121354</v>
      </c>
    </row>
    <row r="16" spans="1:6" x14ac:dyDescent="0.2">
      <c r="A16" s="123">
        <f t="shared" si="0"/>
        <v>10</v>
      </c>
      <c r="B16" s="123" t="s">
        <v>12</v>
      </c>
      <c r="C16" s="88"/>
      <c r="D16" s="101">
        <f>ROUND(+'TY June 2020 Proforma Rev'!E17,-3)</f>
        <v>1824743000</v>
      </c>
      <c r="E16" s="122">
        <v>0</v>
      </c>
      <c r="F16" s="72">
        <f t="shared" si="1"/>
        <v>0</v>
      </c>
    </row>
    <row r="17" spans="1:6" x14ac:dyDescent="0.2">
      <c r="A17" s="123">
        <f t="shared" si="0"/>
        <v>11</v>
      </c>
      <c r="B17" s="123">
        <v>29</v>
      </c>
      <c r="C17" s="88"/>
      <c r="D17" s="101">
        <f>+'TY June 2020 Proforma Rev'!E18</f>
        <v>11424740.434375001</v>
      </c>
      <c r="E17" s="122">
        <f>-'UE-190753 Sch 194'!$D$18</f>
        <v>-7.3861270000000001E-3</v>
      </c>
      <c r="F17" s="72">
        <f t="shared" si="1"/>
        <v>-84385</v>
      </c>
    </row>
    <row r="18" spans="1:6" x14ac:dyDescent="0.2">
      <c r="A18" s="123">
        <f t="shared" si="0"/>
        <v>12</v>
      </c>
      <c r="B18" s="123"/>
      <c r="C18" s="207" t="s">
        <v>13</v>
      </c>
      <c r="D18" s="117">
        <f>SUM(D11:D17)</f>
        <v>7321232740.4343748</v>
      </c>
      <c r="E18" s="208"/>
      <c r="F18" s="73">
        <f>SUM(F11:F17)</f>
        <v>-3073934</v>
      </c>
    </row>
    <row r="19" spans="1:6" x14ac:dyDescent="0.2">
      <c r="A19" s="123">
        <f t="shared" si="0"/>
        <v>13</v>
      </c>
      <c r="B19" s="123"/>
      <c r="C19" s="88"/>
      <c r="D19" s="101"/>
      <c r="E19" s="122"/>
      <c r="F19" s="72"/>
    </row>
    <row r="20" spans="1:6" x14ac:dyDescent="0.2">
      <c r="A20" s="123">
        <f t="shared" si="0"/>
        <v>14</v>
      </c>
      <c r="B20" s="123">
        <v>10</v>
      </c>
      <c r="C20" s="88"/>
      <c r="D20" s="101">
        <f>ROUND(+'TY June 2020 Proforma Rev'!E21,-3)</f>
        <v>25574000</v>
      </c>
      <c r="E20" s="122">
        <f>-'UE-190753 Sch 194'!$D$18</f>
        <v>-7.3861270000000001E-3</v>
      </c>
      <c r="F20" s="72">
        <f>ROUND(D20*E20,0)</f>
        <v>-188893</v>
      </c>
    </row>
    <row r="21" spans="1:6" x14ac:dyDescent="0.2">
      <c r="A21" s="123">
        <f t="shared" si="0"/>
        <v>15</v>
      </c>
      <c r="B21" s="123">
        <v>31</v>
      </c>
      <c r="C21" s="88"/>
      <c r="D21" s="101">
        <f>ROUND(+'TY June 2020 Proforma Rev'!E22,-3)</f>
        <v>1310080000</v>
      </c>
      <c r="E21" s="122">
        <v>0</v>
      </c>
      <c r="F21" s="72">
        <f>ROUND(D21*E21,0)</f>
        <v>0</v>
      </c>
    </row>
    <row r="22" spans="1:6" x14ac:dyDescent="0.2">
      <c r="A22" s="123">
        <f t="shared" si="0"/>
        <v>16</v>
      </c>
      <c r="B22" s="123">
        <v>35</v>
      </c>
      <c r="C22" s="88"/>
      <c r="D22" s="101">
        <f>+'TY June 2020 Proforma Rev'!E23</f>
        <v>5945040</v>
      </c>
      <c r="E22" s="122">
        <f>-'UE-190753 Sch 194'!$D$18</f>
        <v>-7.3861270000000001E-3</v>
      </c>
      <c r="F22" s="72">
        <f>ROUND(D22*E22,0)</f>
        <v>-43911</v>
      </c>
    </row>
    <row r="23" spans="1:6" x14ac:dyDescent="0.2">
      <c r="A23" s="123">
        <f t="shared" si="0"/>
        <v>17</v>
      </c>
      <c r="B23" s="123">
        <v>43</v>
      </c>
      <c r="C23" s="88"/>
      <c r="D23" s="101">
        <f>+'TY June 2020 Proforma Rev'!E24</f>
        <v>116280759.88464826</v>
      </c>
      <c r="E23" s="122">
        <v>0</v>
      </c>
      <c r="F23" s="72">
        <f>ROUND(D23*E23,0)</f>
        <v>0</v>
      </c>
    </row>
    <row r="24" spans="1:6" x14ac:dyDescent="0.2">
      <c r="A24" s="386">
        <f t="shared" si="0"/>
        <v>18</v>
      </c>
      <c r="B24" s="123"/>
      <c r="C24" s="88" t="s">
        <v>14</v>
      </c>
      <c r="D24" s="117">
        <f>SUM(D20:D23)</f>
        <v>1457879799.8846483</v>
      </c>
      <c r="E24" s="208"/>
      <c r="F24" s="73">
        <f>SUM(F20:F23)</f>
        <v>-232804</v>
      </c>
    </row>
    <row r="25" spans="1:6" x14ac:dyDescent="0.2">
      <c r="A25" s="386">
        <f t="shared" si="0"/>
        <v>19</v>
      </c>
      <c r="B25" s="123"/>
      <c r="C25" s="88"/>
      <c r="D25" s="101"/>
      <c r="E25" s="122"/>
      <c r="F25" s="72"/>
    </row>
    <row r="26" spans="1:6" x14ac:dyDescent="0.2">
      <c r="A26" s="386">
        <f t="shared" si="0"/>
        <v>20</v>
      </c>
      <c r="B26" s="123">
        <v>46</v>
      </c>
      <c r="C26" s="88"/>
      <c r="D26" s="101">
        <f>+'TY June 2020 Proforma Rev'!E27</f>
        <v>81635228</v>
      </c>
      <c r="E26" s="122">
        <v>0</v>
      </c>
      <c r="F26" s="72">
        <f>ROUND(D26*E26,0)</f>
        <v>0</v>
      </c>
    </row>
    <row r="27" spans="1:6" x14ac:dyDescent="0.2">
      <c r="A27" s="386">
        <f t="shared" si="0"/>
        <v>21</v>
      </c>
      <c r="B27" s="123">
        <v>49</v>
      </c>
      <c r="C27" s="88"/>
      <c r="D27" s="101">
        <f>+'TY June 2020 Proforma Rev'!E28</f>
        <v>563071445.51999998</v>
      </c>
      <c r="E27" s="122">
        <v>0</v>
      </c>
      <c r="F27" s="72">
        <f>ROUND(D27*E27,0)</f>
        <v>0</v>
      </c>
    </row>
    <row r="28" spans="1:6" x14ac:dyDescent="0.2">
      <c r="A28" s="386">
        <f t="shared" si="0"/>
        <v>22</v>
      </c>
      <c r="B28" s="123"/>
      <c r="C28" s="88" t="s">
        <v>15</v>
      </c>
      <c r="D28" s="117">
        <f>SUM(D26:D27)</f>
        <v>644706673.51999998</v>
      </c>
      <c r="E28" s="208"/>
      <c r="F28" s="73">
        <f>SUM(F26:F27)</f>
        <v>0</v>
      </c>
    </row>
    <row r="29" spans="1:6" x14ac:dyDescent="0.2">
      <c r="A29" s="386">
        <f t="shared" si="0"/>
        <v>23</v>
      </c>
      <c r="B29" s="123"/>
      <c r="C29" s="88"/>
      <c r="D29" s="101"/>
      <c r="E29" s="122"/>
      <c r="F29" s="72"/>
    </row>
    <row r="30" spans="1:6" x14ac:dyDescent="0.2">
      <c r="A30" s="386">
        <f t="shared" si="0"/>
        <v>24</v>
      </c>
      <c r="B30" s="123" t="s">
        <v>268</v>
      </c>
      <c r="C30" s="88"/>
      <c r="D30" s="101">
        <f>+'TY June 2020 Proforma Rev'!E31-'Sch 194'!D31</f>
        <v>67094935.788500011</v>
      </c>
      <c r="E30" s="122">
        <v>0</v>
      </c>
      <c r="F30" s="72">
        <f>ROUND(D30*E30,0)</f>
        <v>0</v>
      </c>
    </row>
    <row r="31" spans="1:6" x14ac:dyDescent="0.2">
      <c r="A31" s="386">
        <f t="shared" si="0"/>
        <v>25</v>
      </c>
      <c r="B31" s="123" t="s">
        <v>269</v>
      </c>
      <c r="C31" s="88"/>
      <c r="D31" s="101">
        <f>SUM('[65]Delivered kWh'!$E$30,'[65]Delivered kWh'!$E$32)</f>
        <v>1841861.8889999997</v>
      </c>
      <c r="E31" s="122">
        <f>-'UE-190753 Sch 194'!$D$18</f>
        <v>-7.3861270000000001E-3</v>
      </c>
      <c r="F31" s="72">
        <f>ROUND(D31*E31,0)</f>
        <v>-13604</v>
      </c>
    </row>
    <row r="32" spans="1:6" x14ac:dyDescent="0.2">
      <c r="A32" s="386">
        <f t="shared" si="0"/>
        <v>26</v>
      </c>
      <c r="B32" s="123"/>
      <c r="C32" s="88" t="s">
        <v>270</v>
      </c>
      <c r="D32" s="117">
        <f>SUM(D30:D31)</f>
        <v>68936797.67750001</v>
      </c>
      <c r="E32" s="208"/>
      <c r="F32" s="73">
        <f>SUM(F30:F31)</f>
        <v>-13604</v>
      </c>
    </row>
    <row r="33" spans="1:6" x14ac:dyDescent="0.2">
      <c r="A33" s="386">
        <f t="shared" si="0"/>
        <v>27</v>
      </c>
      <c r="B33" s="123"/>
      <c r="C33" s="88"/>
      <c r="D33" s="101"/>
      <c r="E33" s="88"/>
      <c r="F33" s="72"/>
    </row>
    <row r="34" spans="1:6" x14ac:dyDescent="0.2">
      <c r="A34" s="386">
        <f t="shared" si="0"/>
        <v>28</v>
      </c>
      <c r="B34" s="244" t="s">
        <v>17</v>
      </c>
      <c r="C34" s="88" t="s">
        <v>110</v>
      </c>
      <c r="D34" s="101">
        <f>+'TY June 2020 Proforma Rev'!E32</f>
        <v>1993508561.5469999</v>
      </c>
      <c r="E34" s="122">
        <v>0</v>
      </c>
      <c r="F34" s="72">
        <f>ROUND(D34*E34,0)</f>
        <v>0</v>
      </c>
    </row>
    <row r="35" spans="1:6" x14ac:dyDescent="0.2">
      <c r="A35" s="386">
        <f t="shared" si="0"/>
        <v>29</v>
      </c>
      <c r="B35" s="244" t="s">
        <v>347</v>
      </c>
      <c r="C35" s="88" t="s">
        <v>265</v>
      </c>
      <c r="D35" s="101">
        <f>+'TY June 2020 Proforma Rev'!E33</f>
        <v>303234527.03700018</v>
      </c>
      <c r="E35" s="122">
        <v>0</v>
      </c>
      <c r="F35" s="72">
        <f>ROUND(D35*E35,0)</f>
        <v>0</v>
      </c>
    </row>
    <row r="36" spans="1:6" x14ac:dyDescent="0.2">
      <c r="A36" s="386">
        <f t="shared" si="0"/>
        <v>30</v>
      </c>
      <c r="B36" s="123">
        <v>5</v>
      </c>
      <c r="C36" s="88" t="s">
        <v>80</v>
      </c>
      <c r="D36" s="101">
        <f>+'TY June 2020 Proforma Rev'!E34</f>
        <v>7369853.2214806583</v>
      </c>
      <c r="E36" s="122">
        <v>0</v>
      </c>
      <c r="F36" s="72">
        <f>ROUND(D36*E36,0)</f>
        <v>0</v>
      </c>
    </row>
    <row r="37" spans="1:6" x14ac:dyDescent="0.2">
      <c r="A37" s="386">
        <f t="shared" si="0"/>
        <v>31</v>
      </c>
      <c r="B37" s="123"/>
      <c r="C37" s="88"/>
      <c r="D37" s="101"/>
      <c r="E37" s="88"/>
      <c r="F37" s="72"/>
    </row>
    <row r="38" spans="1:6" ht="12" thickBot="1" x14ac:dyDescent="0.25">
      <c r="A38" s="386">
        <f t="shared" si="0"/>
        <v>32</v>
      </c>
      <c r="B38" s="123"/>
      <c r="C38" s="207" t="s">
        <v>81</v>
      </c>
      <c r="D38" s="139">
        <f>SUM(D34:D36,D32,D28,D24,D18,D9)</f>
        <v>22662288049.594162</v>
      </c>
      <c r="E38" s="88"/>
      <c r="F38" s="137">
        <f>SUM(F34:F36,F32,F28,F24,F18,F9)</f>
        <v>-83573707</v>
      </c>
    </row>
    <row r="39" spans="1:6" ht="12" thickTop="1" x14ac:dyDescent="0.2">
      <c r="D39" s="88"/>
    </row>
    <row r="40" spans="1:6" x14ac:dyDescent="0.2">
      <c r="D40" s="81"/>
    </row>
    <row r="41" spans="1:6" x14ac:dyDescent="0.2">
      <c r="D41" s="8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"/>
  <sheetViews>
    <sheetView workbookViewId="0">
      <selection activeCell="D43" sqref="D43"/>
    </sheetView>
  </sheetViews>
  <sheetFormatPr defaultColWidth="8.85546875" defaultRowHeight="12.75" x14ac:dyDescent="0.2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32"/>
  <sheetViews>
    <sheetView zoomScale="88" zoomScaleNormal="88" workbookViewId="0">
      <pane xSplit="1" ySplit="6" topLeftCell="B7" activePane="bottomRight" state="frozen"/>
      <selection pane="topRight" activeCell="D1" sqref="D1"/>
      <selection pane="bottomLeft" activeCell="A7" sqref="A7"/>
      <selection pane="bottomRight" activeCell="L7" sqref="L7"/>
    </sheetView>
  </sheetViews>
  <sheetFormatPr defaultColWidth="5" defaultRowHeight="11.25" x14ac:dyDescent="0.2"/>
  <cols>
    <col min="1" max="1" width="4.85546875" style="141" bestFit="1" customWidth="1"/>
    <col min="2" max="2" width="40.42578125" style="141" bestFit="1" customWidth="1"/>
    <col min="3" max="3" width="13.28515625" style="141" bestFit="1" customWidth="1"/>
    <col min="4" max="4" width="16.140625" style="141" bestFit="1" customWidth="1"/>
    <col min="5" max="5" width="10.5703125" style="141" bestFit="1" customWidth="1"/>
    <col min="6" max="6" width="11.140625" style="141" bestFit="1" customWidth="1"/>
    <col min="7" max="8" width="10.5703125" style="141" bestFit="1" customWidth="1"/>
    <col min="9" max="10" width="13.28515625" style="141" bestFit="1" customWidth="1"/>
    <col min="11" max="11" width="16.140625" style="141" bestFit="1" customWidth="1"/>
    <col min="12" max="12" width="11.7109375" style="141" bestFit="1" customWidth="1"/>
    <col min="13" max="16384" width="5" style="141"/>
  </cols>
  <sheetData>
    <row r="1" spans="1:12" ht="12.75" x14ac:dyDescent="0.2">
      <c r="A1" s="624" t="str">
        <f>'[67]Exh BDJ-6 p1 (Rate Spread)'!A1</f>
        <v>Puget Sound Energy</v>
      </c>
      <c r="B1" s="625"/>
      <c r="C1" s="625"/>
      <c r="D1" s="626"/>
      <c r="E1" s="626"/>
      <c r="F1" s="626"/>
      <c r="G1" s="626"/>
      <c r="H1" s="626"/>
      <c r="I1" s="626"/>
      <c r="J1" s="626"/>
      <c r="K1" s="626"/>
      <c r="L1" s="627"/>
    </row>
    <row r="2" spans="1:12" ht="12.75" x14ac:dyDescent="0.2">
      <c r="A2" s="628" t="str">
        <f>'[67]Exh BDJ-6 p1 (Rate Spread)'!A2</f>
        <v>Calculation of Schedule 95 Rate, Compliance Filing  Docket UE-200980, Rates Effective 7-1-2021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30"/>
    </row>
    <row r="3" spans="1:12" ht="12.75" x14ac:dyDescent="0.2">
      <c r="A3" s="322"/>
      <c r="B3" s="55"/>
      <c r="C3" s="51"/>
      <c r="D3" s="41"/>
      <c r="E3" s="55"/>
      <c r="F3" s="41"/>
      <c r="G3" s="55"/>
      <c r="H3" s="55"/>
      <c r="I3" s="55"/>
      <c r="J3" s="55"/>
      <c r="K3" s="55"/>
      <c r="L3" s="42"/>
    </row>
    <row r="4" spans="1:12" s="380" customFormat="1" ht="64.5" thickBot="1" x14ac:dyDescent="0.25">
      <c r="A4" s="19" t="str">
        <f>'[67]Exh BDJ-6 p1 (Rate Spread)'!A4</f>
        <v>Line No.</v>
      </c>
      <c r="B4" s="20" t="str">
        <f>'[67]Exh BDJ-6 p1 (Rate Spread)'!B4</f>
        <v>Customer Class</v>
      </c>
      <c r="C4" s="3" t="str">
        <f>'[67]Exh BDJ-6 p1 (Rate Spread)'!C4</f>
        <v>Rate Schedule</v>
      </c>
      <c r="D4" s="2" t="str">
        <f>'[67]Exh BDJ-6 p1 (Rate Spread)'!D4</f>
        <v>Docket No.
UE-190529
Energy
Allocator
(Note 1)</v>
      </c>
      <c r="E4" s="2" t="str">
        <f>'[67]Exh BDJ-6 p1 (Rate Spread)'!E4</f>
        <v>75%
Energy
(Note 2)</v>
      </c>
      <c r="F4" s="2" t="str">
        <f>'[67]Exh BDJ-6 p1 (Rate Spread)'!F4</f>
        <v>Docket No.
UE-190529
Demand
Allocator
(Note 3)</v>
      </c>
      <c r="G4" s="2" t="str">
        <f>'[67]Exh BDJ-6 p1 (Rate Spread)'!G4</f>
        <v>25%
Demand
(Note 2)</v>
      </c>
      <c r="H4" s="20" t="str">
        <f>'[67]Exh BDJ-6 p1 (Rate Spread)'!H4</f>
        <v>Weighted Allocation</v>
      </c>
      <c r="I4" s="3" t="str">
        <f>'[67]Exh BDJ-6 p1 (Rate Spread)'!I4</f>
        <v>2020 PCORC Variable Revenue Requirement</v>
      </c>
      <c r="J4" s="3" t="str">
        <f>'[67]Exh BDJ-6 p1 (Rate Spread)'!J4</f>
        <v>2020 PCORC Revenue Requirement</v>
      </c>
      <c r="K4" s="2" t="str">
        <f>'[67]Exh BDJ-6 p1 (Rate Spread)'!K4</f>
        <v>Proforma Normalized &amp; Delivered kWh
Test Year Ending 
June 2020</v>
      </c>
      <c r="L4" s="472" t="str">
        <f>'[67]Exh BDJ-6 p1 (Rate Spread)'!L4</f>
        <v>2020 PCORC $ per kWh Effective July 1, 2021</v>
      </c>
    </row>
    <row r="5" spans="1:12" s="380" customFormat="1" ht="25.5" x14ac:dyDescent="0.2">
      <c r="A5" s="22"/>
      <c r="B5" s="48"/>
      <c r="C5" s="48"/>
      <c r="D5" s="24" t="str">
        <f>'[67]Exh BDJ-6 p1 (Rate Spread)'!D5</f>
        <v>a</v>
      </c>
      <c r="E5" s="23" t="str">
        <f>'[67]Exh BDJ-6 p1 (Rate Spread)'!E5</f>
        <v>b = 75% * a / sum(a)</v>
      </c>
      <c r="F5" s="24" t="str">
        <f>'[67]Exh BDJ-6 p1 (Rate Spread)'!F5</f>
        <v>c</v>
      </c>
      <c r="G5" s="23" t="str">
        <f>'[67]Exh BDJ-6 p1 (Rate Spread)'!G5</f>
        <v>d = 25% * c / sum(c)</v>
      </c>
      <c r="H5" s="48" t="str">
        <f>'[67]Exh BDJ-6 p1 (Rate Spread)'!H5</f>
        <v>e = b + d</v>
      </c>
      <c r="I5" s="48" t="str">
        <f>'[67]Exh BDJ-6 p1 (Rate Spread)'!I5</f>
        <v xml:space="preserve">f </v>
      </c>
      <c r="J5" s="473" t="str">
        <f>'[67]Exh BDJ-6 p1 (Rate Spread)'!J5</f>
        <v>g = e * f</v>
      </c>
      <c r="K5" s="48" t="str">
        <f>'[67]Exh BDJ-6 p1 (Rate Spread)'!K5</f>
        <v>h</v>
      </c>
      <c r="L5" s="25" t="str">
        <f>'[67]Exh BDJ-6 p1 (Rate Spread)'!L5</f>
        <v>i = g / h</v>
      </c>
    </row>
    <row r="6" spans="1:12" s="380" customFormat="1" ht="12.75" x14ac:dyDescent="0.2">
      <c r="A6" s="15"/>
      <c r="B6" s="53"/>
      <c r="C6" s="53"/>
      <c r="D6" s="327"/>
      <c r="E6" s="17"/>
      <c r="F6" s="327"/>
      <c r="G6" s="17"/>
      <c r="H6" s="53"/>
      <c r="I6" s="53"/>
      <c r="J6" s="53"/>
      <c r="K6" s="53"/>
      <c r="L6" s="328"/>
    </row>
    <row r="7" spans="1:12" s="380" customFormat="1" ht="12.75" x14ac:dyDescent="0.2">
      <c r="A7" s="14">
        <f>'[67]Exh BDJ-6 p1 (Rate Spread)'!A7</f>
        <v>1</v>
      </c>
      <c r="B7" s="55" t="str">
        <f>'[67]Exh BDJ-6 p1 (Rate Spread)'!B7</f>
        <v>Residential</v>
      </c>
      <c r="C7" s="51">
        <f>'[67]Exh BDJ-6 p1 (Rate Spread)'!C7</f>
        <v>7</v>
      </c>
      <c r="D7" s="41">
        <f>'[67]Exh BDJ-6 p1 (Rate Spread)'!D7</f>
        <v>11476152247.161776</v>
      </c>
      <c r="E7" s="474">
        <f>'[67]Exh BDJ-6 p1 (Rate Spread)'!E7</f>
        <v>0.39072264776300736</v>
      </c>
      <c r="F7" s="41">
        <f>'[67]Exh BDJ-6 p1 (Rate Spread)'!F7</f>
        <v>2236474.2253660602</v>
      </c>
      <c r="G7" s="474">
        <f>'[67]Exh BDJ-6 p1 (Rate Spread)'!G7</f>
        <v>0.14418129406223315</v>
      </c>
      <c r="H7" s="474">
        <f>'[67]Exh BDJ-6 p1 (Rate Spread)'!H7</f>
        <v>0.53490394182524048</v>
      </c>
      <c r="I7" s="474"/>
      <c r="J7" s="46">
        <f>'[67]Exh BDJ-6 p1 (Rate Spread)'!J7</f>
        <v>36002805.08345256</v>
      </c>
      <c r="K7" s="41">
        <f>'[67]Exh BDJ-6 p1 (Rate Spread)'!K7</f>
        <v>10863043096.272161</v>
      </c>
      <c r="L7" s="475">
        <f>'[67]Exh BDJ-6 p1 (Rate Spread)'!L7</f>
        <v>3.3142467321893932E-3</v>
      </c>
    </row>
    <row r="8" spans="1:12" ht="12.75" x14ac:dyDescent="0.2">
      <c r="A8" s="14">
        <f>'[67]Exh BDJ-6 p1 (Rate Spread)'!A8</f>
        <v>2</v>
      </c>
      <c r="B8" s="28" t="str">
        <f>'[67]Exh BDJ-6 p1 (Rate Spread)'!B8</f>
        <v>Sec Gen Svc - Small</v>
      </c>
      <c r="C8" s="51" t="str">
        <f>'[67]Exh BDJ-6 p1 (Rate Spread)'!C8</f>
        <v>8 &amp; 24</v>
      </c>
      <c r="D8" s="41">
        <f>'[67]Exh BDJ-6 p1 (Rate Spread)'!D8</f>
        <v>2915955626.4103169</v>
      </c>
      <c r="E8" s="474">
        <f>'[67]Exh BDJ-6 p1 (Rate Spread)'!E8</f>
        <v>9.927804011072186E-2</v>
      </c>
      <c r="F8" s="41">
        <f>'[67]Exh BDJ-6 p1 (Rate Spread)'!F8</f>
        <v>515625.82524854271</v>
      </c>
      <c r="G8" s="474">
        <f>'[67]Exh BDJ-6 p1 (Rate Spread)'!G8</f>
        <v>3.3241428804784645E-2</v>
      </c>
      <c r="H8" s="474">
        <f>'[67]Exh BDJ-6 p1 (Rate Spread)'!H8</f>
        <v>0.13251946891550651</v>
      </c>
      <c r="I8" s="474"/>
      <c r="J8" s="46">
        <f>'[67]Exh BDJ-6 p1 (Rate Spread)'!J8</f>
        <v>8919494.2045994457</v>
      </c>
      <c r="K8" s="41">
        <f>'[67]Exh BDJ-6 p1 (Rate Spread)'!K8</f>
        <v>2586338527.0017586</v>
      </c>
      <c r="L8" s="475">
        <f>'[67]Exh BDJ-6 p1 (Rate Spread)'!L8</f>
        <v>3.4486955638168013E-3</v>
      </c>
    </row>
    <row r="9" spans="1:12" ht="12.75" x14ac:dyDescent="0.2">
      <c r="A9" s="14">
        <f>'[67]Exh BDJ-6 p1 (Rate Spread)'!A9</f>
        <v>3</v>
      </c>
      <c r="B9" s="55" t="str">
        <f>'[67]Exh BDJ-6 p1 (Rate Spread)'!B9</f>
        <v>Sec Gen Svc - Medium</v>
      </c>
      <c r="C9" s="51" t="str">
        <f>'[67]Exh BDJ-6 p1 (Rate Spread)'!C9</f>
        <v>11, 25 &amp; 7A</v>
      </c>
      <c r="D9" s="41">
        <f>'[67]Exh BDJ-6 p1 (Rate Spread)'!D9</f>
        <v>3225522141.4879136</v>
      </c>
      <c r="E9" s="474">
        <f>'[67]Exh BDJ-6 p1 (Rate Spread)'!E9</f>
        <v>0.10981769188815443</v>
      </c>
      <c r="F9" s="41">
        <f>'[67]Exh BDJ-6 p1 (Rate Spread)'!F9</f>
        <v>551432.84077501134</v>
      </c>
      <c r="G9" s="474">
        <f>'[67]Exh BDJ-6 p1 (Rate Spread)'!G9</f>
        <v>3.5549839863833498E-2</v>
      </c>
      <c r="H9" s="474">
        <f>'[67]Exh BDJ-6 p1 (Rate Spread)'!H9</f>
        <v>0.14536753175198794</v>
      </c>
      <c r="I9" s="474"/>
      <c r="J9" s="46">
        <f>'[67]Exh BDJ-6 p1 (Rate Spread)'!J9</f>
        <v>9784259.3817327227</v>
      </c>
      <c r="K9" s="41">
        <f>'[67]Exh BDJ-6 p1 (Rate Spread)'!K9</f>
        <v>2884671453.8191686</v>
      </c>
      <c r="L9" s="475">
        <f>'[67]Exh BDJ-6 p1 (Rate Spread)'!L9</f>
        <v>3.391810657944712E-3</v>
      </c>
    </row>
    <row r="10" spans="1:12" ht="12.75" x14ac:dyDescent="0.2">
      <c r="A10" s="14">
        <f>'[67]Exh BDJ-6 p1 (Rate Spread)'!A10</f>
        <v>4</v>
      </c>
      <c r="B10" s="55" t="str">
        <f>'[67]Exh BDJ-6 p1 (Rate Spread)'!B10</f>
        <v>Sec Gen Svc - Large</v>
      </c>
      <c r="C10" s="51" t="str">
        <f>'[67]Exh BDJ-6 p1 (Rate Spread)'!C10</f>
        <v>12, 26 &amp; 26P</v>
      </c>
      <c r="D10" s="41">
        <f>'[67]Exh BDJ-6 p1 (Rate Spread)'!D10</f>
        <v>2092770306.5275679</v>
      </c>
      <c r="E10" s="474">
        <f>'[67]Exh BDJ-6 p1 (Rate Spread)'!E10</f>
        <v>7.1251473291362041E-2</v>
      </c>
      <c r="F10" s="41">
        <f>'[67]Exh BDJ-6 p1 (Rate Spread)'!F10</f>
        <v>289974.91765494185</v>
      </c>
      <c r="G10" s="474">
        <f>'[67]Exh BDJ-6 p1 (Rate Spread)'!G10</f>
        <v>1.8694138478719036E-2</v>
      </c>
      <c r="H10" s="474">
        <f>'[67]Exh BDJ-6 p1 (Rate Spread)'!H10</f>
        <v>8.9945611770081077E-2</v>
      </c>
      <c r="I10" s="474"/>
      <c r="J10" s="46">
        <f>'[67]Exh BDJ-6 p1 (Rate Spread)'!J10</f>
        <v>6053973.5744331367</v>
      </c>
      <c r="K10" s="41">
        <f>'[67]Exh BDJ-6 p1 (Rate Spread)'!K10</f>
        <v>1841173274.7668719</v>
      </c>
      <c r="L10" s="475">
        <f>'[67]Exh BDJ-6 p1 (Rate Spread)'!L10</f>
        <v>3.2881063707595293E-3</v>
      </c>
    </row>
    <row r="11" spans="1:12" ht="12.75" x14ac:dyDescent="0.2">
      <c r="A11" s="14">
        <f>'[67]Exh BDJ-6 p1 (Rate Spread)'!A11</f>
        <v>5</v>
      </c>
      <c r="B11" s="55" t="str">
        <f>'[67]Exh BDJ-6 p1 (Rate Spread)'!B11</f>
        <v>Sec Irrigation Svc</v>
      </c>
      <c r="C11" s="51">
        <f>'[67]Exh BDJ-6 p1 (Rate Spread)'!C11</f>
        <v>29</v>
      </c>
      <c r="D11" s="41">
        <f>'[67]Exh BDJ-6 p1 (Rate Spread)'!D11</f>
        <v>17243818.472518876</v>
      </c>
      <c r="E11" s="474">
        <f>'[67]Exh BDJ-6 p1 (Rate Spread)'!E11</f>
        <v>5.8709141060702894E-4</v>
      </c>
      <c r="F11" s="41">
        <f>'[67]Exh BDJ-6 p1 (Rate Spread)'!F11</f>
        <v>461.07800540214549</v>
      </c>
      <c r="G11" s="474">
        <f>'[67]Exh BDJ-6 p1 (Rate Spread)'!G11</f>
        <v>2.9724833279325449E-5</v>
      </c>
      <c r="H11" s="474">
        <f>'[67]Exh BDJ-6 p1 (Rate Spread)'!H11</f>
        <v>6.1681624388635443E-4</v>
      </c>
      <c r="I11" s="474"/>
      <c r="J11" s="46">
        <f>'[67]Exh BDJ-6 p1 (Rate Spread)'!J11</f>
        <v>41516.080298774628</v>
      </c>
      <c r="K11" s="41">
        <f>'[67]Exh BDJ-6 p1 (Rate Spread)'!K11</f>
        <v>11424740.434375001</v>
      </c>
      <c r="L11" s="475">
        <f>'[67]Exh BDJ-6 p1 (Rate Spread)'!L11</f>
        <v>3.6338751446693849E-3</v>
      </c>
    </row>
    <row r="12" spans="1:12" ht="12.75" x14ac:dyDescent="0.2">
      <c r="A12" s="14">
        <f>'[67]Exh BDJ-6 p1 (Rate Spread)'!A12</f>
        <v>6</v>
      </c>
      <c r="B12" s="55" t="str">
        <f>'[67]Exh BDJ-6 p1 (Rate Spread)'!B12</f>
        <v>Pri Gen Svc</v>
      </c>
      <c r="C12" s="51" t="str">
        <f>'[67]Exh BDJ-6 p1 (Rate Spread)'!C12</f>
        <v>10 &amp; 31</v>
      </c>
      <c r="D12" s="41">
        <f>'[67]Exh BDJ-6 p1 (Rate Spread)'!D12</f>
        <v>1456029850.0547175</v>
      </c>
      <c r="E12" s="474">
        <f>'[67]Exh BDJ-6 p1 (Rate Spread)'!E12</f>
        <v>4.957269875676773E-2</v>
      </c>
      <c r="F12" s="41">
        <f>'[67]Exh BDJ-6 p1 (Rate Spread)'!F12</f>
        <v>204844.84270926949</v>
      </c>
      <c r="G12" s="474">
        <f>'[67]Exh BDJ-6 p1 (Rate Spread)'!G12</f>
        <v>1.3205962388841259E-2</v>
      </c>
      <c r="H12" s="474">
        <f>'[67]Exh BDJ-6 p1 (Rate Spread)'!H12</f>
        <v>6.2778661145608983E-2</v>
      </c>
      <c r="I12" s="474"/>
      <c r="J12" s="46">
        <f>'[67]Exh BDJ-6 p1 (Rate Spread)'!J12</f>
        <v>4225446.3351177061</v>
      </c>
      <c r="K12" s="41">
        <f>'[67]Exh BDJ-6 p1 (Rate Spread)'!K12</f>
        <v>1335654341.1168144</v>
      </c>
      <c r="L12" s="475">
        <f>'[67]Exh BDJ-6 p1 (Rate Spread)'!L12</f>
        <v>3.1635777349284674E-3</v>
      </c>
    </row>
    <row r="13" spans="1:12" ht="12.75" x14ac:dyDescent="0.2">
      <c r="A13" s="14">
        <f>'[67]Exh BDJ-6 p1 (Rate Spread)'!A13</f>
        <v>7</v>
      </c>
      <c r="B13" s="55" t="str">
        <f>'[67]Exh BDJ-6 p1 (Rate Spread)'!B13</f>
        <v>Pri Irrigation Svc</v>
      </c>
      <c r="C13" s="51">
        <f>'[67]Exh BDJ-6 p1 (Rate Spread)'!C13</f>
        <v>35</v>
      </c>
      <c r="D13" s="41">
        <f>'[67]Exh BDJ-6 p1 (Rate Spread)'!D13</f>
        <v>4597572.0317007378</v>
      </c>
      <c r="E13" s="474">
        <f>'[67]Exh BDJ-6 p1 (Rate Spread)'!E13</f>
        <v>1.5653116818413872E-4</v>
      </c>
      <c r="F13" s="41">
        <f>'[67]Exh BDJ-6 p1 (Rate Spread)'!F13</f>
        <v>7.0004300675974864</v>
      </c>
      <c r="G13" s="474">
        <f>'[67]Exh BDJ-6 p1 (Rate Spread)'!G13</f>
        <v>4.5130458231557189E-7</v>
      </c>
      <c r="H13" s="474">
        <f>'[67]Exh BDJ-6 p1 (Rate Spread)'!H13</f>
        <v>1.5698247276645428E-4</v>
      </c>
      <c r="I13" s="474"/>
      <c r="J13" s="46">
        <f>'[67]Exh BDJ-6 p1 (Rate Spread)'!J13</f>
        <v>10566.026769672913</v>
      </c>
      <c r="K13" s="41">
        <f>'[67]Exh BDJ-6 p1 (Rate Spread)'!K13</f>
        <v>5945040</v>
      </c>
      <c r="L13" s="475">
        <f>'[67]Exh BDJ-6 p1 (Rate Spread)'!L13</f>
        <v>1.7772843865933472E-3</v>
      </c>
    </row>
    <row r="14" spans="1:12" ht="12.75" x14ac:dyDescent="0.2">
      <c r="A14" s="14">
        <f>'[67]Exh BDJ-6 p1 (Rate Spread)'!A14</f>
        <v>8</v>
      </c>
      <c r="B14" s="55" t="str">
        <f>'[67]Exh BDJ-6 p1 (Rate Spread)'!B14</f>
        <v>Pri Interruptible Svc</v>
      </c>
      <c r="C14" s="51">
        <f>'[67]Exh BDJ-6 p1 (Rate Spread)'!C14</f>
        <v>43</v>
      </c>
      <c r="D14" s="41">
        <f>'[67]Exh BDJ-6 p1 (Rate Spread)'!D14</f>
        <v>126890757.18193617</v>
      </c>
      <c r="E14" s="474">
        <f>'[67]Exh BDJ-6 p1 (Rate Spread)'!E14</f>
        <v>4.3201842878165531E-3</v>
      </c>
      <c r="F14" s="41">
        <f>'[67]Exh BDJ-6 p1 (Rate Spread)'!F14</f>
        <v>0</v>
      </c>
      <c r="G14" s="474">
        <f>'[67]Exh BDJ-6 p1 (Rate Spread)'!G14</f>
        <v>0</v>
      </c>
      <c r="H14" s="474">
        <f>'[67]Exh BDJ-6 p1 (Rate Spread)'!H14</f>
        <v>4.3201842878165531E-3</v>
      </c>
      <c r="I14" s="474"/>
      <c r="J14" s="46">
        <f>'[67]Exh BDJ-6 p1 (Rate Spread)'!J14</f>
        <v>290778.84957832308</v>
      </c>
      <c r="K14" s="41">
        <f>'[67]Exh BDJ-6 p1 (Rate Spread)'!K14</f>
        <v>116280759.88464826</v>
      </c>
      <c r="L14" s="475">
        <f>'[67]Exh BDJ-6 p1 (Rate Spread)'!L14</f>
        <v>2.5006617592349652E-3</v>
      </c>
    </row>
    <row r="15" spans="1:12" ht="12.75" x14ac:dyDescent="0.2">
      <c r="A15" s="14">
        <f>'[67]Exh BDJ-6 p1 (Rate Spread)'!A15</f>
        <v>9</v>
      </c>
      <c r="B15" s="55"/>
      <c r="C15" s="51"/>
      <c r="D15" s="41"/>
      <c r="E15" s="474"/>
      <c r="F15" s="41"/>
      <c r="G15" s="474"/>
      <c r="H15" s="474"/>
      <c r="I15" s="474"/>
      <c r="J15" s="46"/>
      <c r="K15" s="41"/>
      <c r="L15" s="476"/>
    </row>
    <row r="16" spans="1:12" ht="12.75" x14ac:dyDescent="0.2">
      <c r="A16" s="14">
        <f>'[67]Exh BDJ-6 p1 (Rate Spread)'!A16</f>
        <v>10</v>
      </c>
      <c r="B16" s="30" t="str">
        <f>'[67]Exh BDJ-6 p1 (Rate Spread)'!B16</f>
        <v>High Voltage Interruptible</v>
      </c>
      <c r="C16" s="51">
        <f>'[67]Exh BDJ-6 p1 (Rate Spread)'!C16</f>
        <v>46</v>
      </c>
      <c r="D16" s="41">
        <f>'[67]Exh BDJ-6 p1 (Rate Spread)'!D16</f>
        <v>79573505.04899931</v>
      </c>
      <c r="E16" s="474">
        <f>'[67]Exh BDJ-6 p1 (Rate Spread)'!E16</f>
        <v>2.7091981628439405E-3</v>
      </c>
      <c r="F16" s="41">
        <f>'[67]Exh BDJ-6 p1 (Rate Spread)'!F16</f>
        <v>0</v>
      </c>
      <c r="G16" s="474">
        <f>'[67]Exh BDJ-6 p1 (Rate Spread)'!G16</f>
        <v>0</v>
      </c>
      <c r="H16" s="474">
        <f>'[67]Exh BDJ-6 p1 (Rate Spread)'!H16</f>
        <v>2.7091981628439405E-3</v>
      </c>
      <c r="I16" s="474"/>
      <c r="J16" s="46">
        <f>'[67]Exh BDJ-6 p1 (Rate Spread)'!J16</f>
        <v>182348.12975295898</v>
      </c>
      <c r="K16" s="41">
        <f>'[67]Exh BDJ-6 p1 (Rate Spread)'!K16</f>
        <v>81635228</v>
      </c>
      <c r="L16" s="475">
        <f>'[67]Exh BDJ-6 p1 (Rate Spread)'!L16</f>
        <v>2.2336941320597399E-3</v>
      </c>
    </row>
    <row r="17" spans="1:12" ht="12.75" x14ac:dyDescent="0.2">
      <c r="A17" s="14">
        <f>'[67]Exh BDJ-6 p1 (Rate Spread)'!A17</f>
        <v>11</v>
      </c>
      <c r="B17" s="30" t="str">
        <f>'[67]Exh BDJ-6 p1 (Rate Spread)'!B17</f>
        <v>High Voltage General Service</v>
      </c>
      <c r="C17" s="51">
        <f>'[67]Exh BDJ-6 p1 (Rate Spread)'!C17</f>
        <v>49</v>
      </c>
      <c r="D17" s="41">
        <f>'[67]Exh BDJ-6 p1 (Rate Spread)'!D17</f>
        <v>550655414.21762562</v>
      </c>
      <c r="E17" s="474">
        <f>'[67]Exh BDJ-6 p1 (Rate Spread)'!E17</f>
        <v>1.8747881416557269E-2</v>
      </c>
      <c r="F17" s="41">
        <f>'[67]Exh BDJ-6 p1 (Rate Spread)'!F17</f>
        <v>69577.130407689765</v>
      </c>
      <c r="G17" s="474">
        <f>'[67]Exh BDJ-6 p1 (Rate Spread)'!G17</f>
        <v>4.4855069580225088E-3</v>
      </c>
      <c r="H17" s="474">
        <f>'[67]Exh BDJ-6 p1 (Rate Spread)'!H17</f>
        <v>2.3233388374579778E-2</v>
      </c>
      <c r="I17" s="474"/>
      <c r="J17" s="46">
        <f>'[67]Exh BDJ-6 p1 (Rate Spread)'!J17</f>
        <v>1563770.7776538171</v>
      </c>
      <c r="K17" s="41">
        <f>'[67]Exh BDJ-6 p1 (Rate Spread)'!K17</f>
        <v>563071445.51999998</v>
      </c>
      <c r="L17" s="475">
        <f>'[67]Exh BDJ-6 p1 (Rate Spread)'!L17</f>
        <v>2.7772155560288891E-3</v>
      </c>
    </row>
    <row r="18" spans="1:12" ht="12.75" x14ac:dyDescent="0.2">
      <c r="A18" s="14">
        <f>'[67]Exh BDJ-6 p1 (Rate Spread)'!A18</f>
        <v>12</v>
      </c>
      <c r="B18" s="28"/>
      <c r="C18" s="437"/>
      <c r="D18" s="41"/>
      <c r="E18" s="474"/>
      <c r="F18" s="41"/>
      <c r="G18" s="474"/>
      <c r="H18" s="474"/>
      <c r="I18" s="474"/>
      <c r="J18" s="46"/>
      <c r="K18" s="41"/>
      <c r="L18" s="476"/>
    </row>
    <row r="19" spans="1:12" ht="12.75" x14ac:dyDescent="0.2">
      <c r="A19" s="14">
        <f>'[67]Exh BDJ-6 p1 (Rate Spread)'!A19</f>
        <v>13</v>
      </c>
      <c r="B19" s="55" t="str">
        <f>'[67]Exh BDJ-6 p1 (Rate Spread)'!B19</f>
        <v>Lights</v>
      </c>
      <c r="C19" s="51" t="str">
        <f>'[67]Exh BDJ-6 p1 (Rate Spread)'!C19</f>
        <v>50-59</v>
      </c>
      <c r="D19" s="41">
        <f>'[67]Exh BDJ-6 p1 (Rate Spread)'!D19</f>
        <v>75887375.026475519</v>
      </c>
      <c r="E19" s="474">
        <f>'[67]Exh BDJ-6 p1 (Rate Spread)'!E19</f>
        <v>2.5836983915459946E-3</v>
      </c>
      <c r="F19" s="41">
        <f>'[67]Exh BDJ-6 p1 (Rate Spread)'!F19</f>
        <v>8059.2720272472116</v>
      </c>
      <c r="G19" s="474">
        <f>'[67]Exh BDJ-6 p1 (Rate Spread)'!G19</f>
        <v>5.1956613535211553E-4</v>
      </c>
      <c r="H19" s="474">
        <f>'[67]Exh BDJ-6 p1 (Rate Spread)'!H19</f>
        <v>3.1032645268981099E-3</v>
      </c>
      <c r="I19" s="474"/>
      <c r="J19" s="46">
        <f>'[67]Exh BDJ-6 p1 (Rate Spread)'!J19</f>
        <v>208871.57328297943</v>
      </c>
      <c r="K19" s="41">
        <f>'[67]Exh BDJ-6 p1 (Rate Spread)'!K19</f>
        <v>68936797.67750001</v>
      </c>
      <c r="L19" s="475">
        <f>'[67]Exh BDJ-6 p1 (Rate Spread)'!L19</f>
        <v>3.0298995648176466E-3</v>
      </c>
    </row>
    <row r="20" spans="1:12" ht="12.75" x14ac:dyDescent="0.2">
      <c r="A20" s="14">
        <f>'[67]Exh BDJ-6 p1 (Rate Spread)'!A20</f>
        <v>14</v>
      </c>
      <c r="B20" s="55"/>
      <c r="C20" s="51"/>
      <c r="D20" s="41"/>
      <c r="E20" s="474"/>
      <c r="F20" s="41"/>
      <c r="G20" s="55"/>
      <c r="H20" s="55"/>
      <c r="I20" s="55"/>
      <c r="J20" s="46"/>
      <c r="K20" s="55"/>
      <c r="L20" s="476"/>
    </row>
    <row r="21" spans="1:12" ht="12.75" x14ac:dyDescent="0.2">
      <c r="A21" s="14">
        <f>'[67]Exh BDJ-6 p1 (Rate Spread)'!A21</f>
        <v>15</v>
      </c>
      <c r="B21" s="55" t="str">
        <f>'[67]Exh BDJ-6 p1 (Rate Spread)'!B21</f>
        <v>Firm Resale</v>
      </c>
      <c r="C21" s="51"/>
      <c r="D21" s="41">
        <f>'[67]Exh BDJ-6 p1 (Rate Spread)'!D21</f>
        <v>7427003.1359829875</v>
      </c>
      <c r="E21" s="474">
        <f>'[67]Exh BDJ-6 p1 (Rate Spread)'!E21</f>
        <v>2.5286335243183223E-4</v>
      </c>
      <c r="F21" s="41">
        <f>'[67]Exh BDJ-6 p1 (Rate Spread)'!F21</f>
        <v>1428.4140277629981</v>
      </c>
      <c r="G21" s="474">
        <f>'[67]Exh BDJ-6 p1 (Rate Spread)'!G21</f>
        <v>9.2087170352167269E-5</v>
      </c>
      <c r="H21" s="474">
        <f>'[67]Exh BDJ-6 p1 (Rate Spread)'!H21</f>
        <v>3.4495052278399948E-4</v>
      </c>
      <c r="I21" s="474"/>
      <c r="J21" s="46">
        <f>'[67]Exh BDJ-6 p1 (Rate Spread)'!J21</f>
        <v>23217.601262854205</v>
      </c>
      <c r="K21" s="41">
        <f>'[67]Exh BDJ-6 p1 (Rate Spread)'!K21</f>
        <v>7369853.2214806583</v>
      </c>
      <c r="L21" s="475">
        <f>'[67]Exh BDJ-6 p1 (Rate Spread)'!L21</f>
        <v>3.1503478515939312E-3</v>
      </c>
    </row>
    <row r="22" spans="1:12" ht="12.75" x14ac:dyDescent="0.2">
      <c r="A22" s="14">
        <f>'[67]Exh BDJ-6 p1 (Rate Spread)'!A22</f>
        <v>16</v>
      </c>
      <c r="B22" s="55"/>
      <c r="C22" s="51"/>
      <c r="D22" s="41"/>
      <c r="E22" s="474"/>
      <c r="F22" s="41"/>
      <c r="G22" s="55"/>
      <c r="H22" s="55"/>
      <c r="I22" s="55"/>
      <c r="J22" s="46"/>
      <c r="K22" s="55"/>
      <c r="L22" s="476"/>
    </row>
    <row r="23" spans="1:12" ht="12.75" x14ac:dyDescent="0.2">
      <c r="A23" s="14">
        <f>'[67]Exh BDJ-6 p1 (Rate Spread)'!A23</f>
        <v>17</v>
      </c>
      <c r="B23" s="55" t="str">
        <f>'[67]Exh BDJ-6 p1 (Rate Spread)'!B23</f>
        <v>Subtotal</v>
      </c>
      <c r="C23" s="51"/>
      <c r="D23" s="41">
        <f>'[67]Exh BDJ-6 p1 (Rate Spread)'!D23</f>
        <v>22028705616.757526</v>
      </c>
      <c r="E23" s="474">
        <f>'[67]Exh BDJ-6 p1 (Rate Spread)'!E23</f>
        <v>0.75000000000000022</v>
      </c>
      <c r="F23" s="41">
        <f>'[67]Exh BDJ-6 p1 (Rate Spread)'!F23</f>
        <v>3877885.5466519948</v>
      </c>
      <c r="G23" s="474">
        <f>'[67]Exh BDJ-6 p1 (Rate Spread)'!G23</f>
        <v>0.25</v>
      </c>
      <c r="H23" s="474">
        <f>'[67]Exh BDJ-6 p1 (Rate Spread)'!H23</f>
        <v>1</v>
      </c>
      <c r="I23" s="46">
        <f>'[67]Exh BDJ-6 p1 (Rate Spread)'!I23</f>
        <v>67307047.617934942</v>
      </c>
      <c r="J23" s="46">
        <f>'[67]Exh BDJ-6 p1 (Rate Spread)'!J23</f>
        <v>67307047.617934957</v>
      </c>
      <c r="K23" s="41">
        <f>'[67]Exh BDJ-6 p1 (Rate Spread)'!K23</f>
        <v>20365544557.714779</v>
      </c>
      <c r="L23" s="475">
        <f>'[67]Exh BDJ-6 p1 (Rate Spread)'!L23</f>
        <v>3.3049471094274284E-3</v>
      </c>
    </row>
    <row r="24" spans="1:12" ht="12.75" x14ac:dyDescent="0.2">
      <c r="A24" s="14">
        <f>'[67]Exh BDJ-6 p1 (Rate Spread)'!A24</f>
        <v>18</v>
      </c>
      <c r="B24" s="55"/>
      <c r="C24" s="51"/>
      <c r="D24" s="41"/>
      <c r="E24" s="55"/>
      <c r="F24" s="41"/>
      <c r="G24" s="55"/>
      <c r="H24" s="55"/>
      <c r="I24" s="55"/>
      <c r="J24" s="46"/>
      <c r="K24" s="55"/>
      <c r="L24" s="477"/>
    </row>
    <row r="25" spans="1:12" ht="12.75" x14ac:dyDescent="0.2">
      <c r="A25" s="14">
        <f>'[67]Exh BDJ-6 p1 (Rate Spread)'!A25</f>
        <v>19</v>
      </c>
      <c r="B25" s="28" t="str">
        <f>'[67]Exh BDJ-6 p1 (Rate Spread)'!B25</f>
        <v xml:space="preserve">Transportation </v>
      </c>
      <c r="C25" s="437" t="str">
        <f>'[67]Exh BDJ-6 p1 (Rate Spread)'!C25</f>
        <v>449 / 459 / SC</v>
      </c>
      <c r="D25" s="41"/>
      <c r="E25" s="474"/>
      <c r="F25" s="41"/>
      <c r="G25" s="474"/>
      <c r="H25" s="474"/>
      <c r="I25" s="474"/>
      <c r="J25" s="46"/>
      <c r="K25" s="41">
        <f>'[67]Exh BDJ-6 p1 (Rate Spread)'!K25</f>
        <v>2296743088.5840001</v>
      </c>
      <c r="L25" s="476"/>
    </row>
    <row r="26" spans="1:12" ht="12.75" x14ac:dyDescent="0.2">
      <c r="A26" s="14">
        <f>'[67]Exh BDJ-6 p1 (Rate Spread)'!A26</f>
        <v>20</v>
      </c>
      <c r="B26" s="28"/>
      <c r="C26" s="437"/>
      <c r="D26" s="41"/>
      <c r="E26" s="474"/>
      <c r="F26" s="41"/>
      <c r="G26" s="474"/>
      <c r="H26" s="474"/>
      <c r="I26" s="474"/>
      <c r="J26" s="46"/>
      <c r="K26" s="41"/>
      <c r="L26" s="476"/>
    </row>
    <row r="27" spans="1:12" ht="12.75" x14ac:dyDescent="0.2">
      <c r="A27" s="14">
        <f>'[67]Exh BDJ-6 p1 (Rate Spread)'!A27</f>
        <v>21</v>
      </c>
      <c r="B27" s="55" t="str">
        <f>'[67]Exh BDJ-6 p1 (Rate Spread)'!B27</f>
        <v>Total</v>
      </c>
      <c r="C27" s="51"/>
      <c r="D27" s="41">
        <f>'[67]Exh BDJ-6 p1 (Rate Spread)'!D27</f>
        <v>22028705616.757526</v>
      </c>
      <c r="E27" s="474"/>
      <c r="F27" s="41">
        <f>'[67]Exh BDJ-6 p1 (Rate Spread)'!F27</f>
        <v>3877885.5466519948</v>
      </c>
      <c r="G27" s="474"/>
      <c r="H27" s="474"/>
      <c r="I27" s="46"/>
      <c r="J27" s="46"/>
      <c r="K27" s="41">
        <f>'[67]Exh BDJ-6 p1 (Rate Spread)'!K27</f>
        <v>22662287646.298779</v>
      </c>
      <c r="L27" s="476"/>
    </row>
    <row r="28" spans="1:12" ht="12.75" x14ac:dyDescent="0.2">
      <c r="A28" s="322"/>
      <c r="B28" s="55"/>
      <c r="C28" s="51"/>
      <c r="D28" s="41"/>
      <c r="E28" s="55"/>
      <c r="F28" s="41"/>
      <c r="G28" s="55"/>
      <c r="H28" s="55"/>
      <c r="I28" s="55"/>
      <c r="J28" s="55"/>
      <c r="K28" s="55"/>
      <c r="L28" s="42"/>
    </row>
    <row r="29" spans="1:12" ht="12.75" x14ac:dyDescent="0.2">
      <c r="A29" s="631"/>
      <c r="B29" s="632"/>
      <c r="C29" s="632"/>
      <c r="D29" s="632"/>
      <c r="E29" s="632"/>
      <c r="F29" s="632"/>
      <c r="G29" s="632"/>
      <c r="H29" s="632"/>
      <c r="I29" s="632"/>
      <c r="J29" s="632"/>
      <c r="K29" s="632"/>
      <c r="L29" s="633"/>
    </row>
    <row r="30" spans="1:12" ht="12.75" x14ac:dyDescent="0.2">
      <c r="A30" s="631">
        <f>'[67]Exh BDJ-6 p1 (Rate Spread)'!A33</f>
        <v>0</v>
      </c>
      <c r="B30" s="632">
        <f>'[67]Exh BDJ-6 p1 (Rate Spread)'!B33</f>
        <v>0</v>
      </c>
      <c r="C30" s="632">
        <f>'[67]Exh BDJ-6 p1 (Rate Spread)'!C33</f>
        <v>0</v>
      </c>
      <c r="D30" s="632">
        <f>'[67]Exh BDJ-6 p1 (Rate Spread)'!D33</f>
        <v>0</v>
      </c>
      <c r="E30" s="632">
        <f>'[67]Exh BDJ-6 p1 (Rate Spread)'!E33</f>
        <v>0</v>
      </c>
      <c r="F30" s="632">
        <f>'[67]Exh BDJ-6 p1 (Rate Spread)'!F33</f>
        <v>0</v>
      </c>
      <c r="G30" s="632">
        <f>'[67]Exh BDJ-6 p1 (Rate Spread)'!G33</f>
        <v>0</v>
      </c>
      <c r="H30" s="632">
        <f>'[67]Exh BDJ-6 p1 (Rate Spread)'!H33</f>
        <v>0</v>
      </c>
      <c r="I30" s="632">
        <f>'[67]Exh BDJ-6 p1 (Rate Spread)'!I33</f>
        <v>0</v>
      </c>
      <c r="J30" s="632">
        <f>'[67]Exh BDJ-6 p1 (Rate Spread)'!J33</f>
        <v>0</v>
      </c>
      <c r="K30" s="632">
        <f>'[67]Exh BDJ-6 p1 (Rate Spread)'!K33</f>
        <v>0</v>
      </c>
      <c r="L30" s="633">
        <f>'[67]Exh BDJ-6 p1 (Rate Spread)'!L33</f>
        <v>0</v>
      </c>
    </row>
    <row r="31" spans="1:12" ht="13.5" thickBot="1" x14ac:dyDescent="0.25">
      <c r="A31" s="634">
        <f>'[67]Exh BDJ-6 p1 (Rate Spread)'!A34</f>
        <v>0</v>
      </c>
      <c r="B31" s="635">
        <f>'[67]Exh BDJ-6 p1 (Rate Spread)'!B34</f>
        <v>0</v>
      </c>
      <c r="C31" s="635">
        <f>'[67]Exh BDJ-6 p1 (Rate Spread)'!C34</f>
        <v>0</v>
      </c>
      <c r="D31" s="635">
        <f>'[67]Exh BDJ-6 p1 (Rate Spread)'!D34</f>
        <v>0</v>
      </c>
      <c r="E31" s="635">
        <f>'[67]Exh BDJ-6 p1 (Rate Spread)'!E34</f>
        <v>0</v>
      </c>
      <c r="F31" s="635">
        <f>'[67]Exh BDJ-6 p1 (Rate Spread)'!F34</f>
        <v>0</v>
      </c>
      <c r="G31" s="635">
        <f>'[67]Exh BDJ-6 p1 (Rate Spread)'!G34</f>
        <v>0</v>
      </c>
      <c r="H31" s="635">
        <f>'[67]Exh BDJ-6 p1 (Rate Spread)'!H34</f>
        <v>0</v>
      </c>
      <c r="I31" s="635">
        <f>'[67]Exh BDJ-6 p1 (Rate Spread)'!I34</f>
        <v>0</v>
      </c>
      <c r="J31" s="635">
        <f>'[67]Exh BDJ-6 p1 (Rate Spread)'!J34</f>
        <v>0</v>
      </c>
      <c r="K31" s="635">
        <f>'[67]Exh BDJ-6 p1 (Rate Spread)'!K34</f>
        <v>0</v>
      </c>
      <c r="L31" s="636">
        <f>'[67]Exh BDJ-6 p1 (Rate Spread)'!L34</f>
        <v>0</v>
      </c>
    </row>
    <row r="32" spans="1:12" ht="12.75" x14ac:dyDescent="0.2">
      <c r="A32" s="55"/>
      <c r="B32" s="55"/>
      <c r="C32" s="55"/>
      <c r="D32" s="41"/>
      <c r="E32" s="55"/>
      <c r="F32" s="41"/>
      <c r="G32" s="55"/>
      <c r="H32" s="55"/>
      <c r="I32" s="55"/>
      <c r="J32" s="55"/>
      <c r="K32" s="55"/>
      <c r="L32" s="55"/>
    </row>
  </sheetData>
  <mergeCells count="5">
    <mergeCell ref="A1:L1"/>
    <mergeCell ref="A2:L2"/>
    <mergeCell ref="A29:L29"/>
    <mergeCell ref="A30:L30"/>
    <mergeCell ref="A31:L31"/>
  </mergeCells>
  <printOptions horizontalCentered="1"/>
  <pageMargins left="0.7" right="0.7" top="0.75" bottom="0.71" header="0.3" footer="0.3"/>
  <pageSetup scale="72"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"/>
  <sheetViews>
    <sheetView workbookViewId="0">
      <selection activeCell="J26" sqref="J26"/>
    </sheetView>
  </sheetViews>
  <sheetFormatPr defaultColWidth="8.85546875" defaultRowHeight="12.75" x14ac:dyDescent="0.2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1" ySplit="4" topLeftCell="B8" activePane="bottomRight" state="frozen"/>
      <selection activeCell="F7" sqref="F7"/>
      <selection pane="topRight" activeCell="F7" sqref="F7"/>
      <selection pane="bottomLeft" activeCell="F7" sqref="F7"/>
      <selection pane="bottomRight" activeCell="H8" sqref="H8"/>
    </sheetView>
  </sheetViews>
  <sheetFormatPr defaultColWidth="9.140625" defaultRowHeight="12.75" x14ac:dyDescent="0.2"/>
  <cols>
    <col min="1" max="1" width="7.28515625" style="419" bestFit="1" customWidth="1"/>
    <col min="2" max="2" width="29.28515625" style="419" customWidth="1"/>
    <col min="3" max="3" width="9" style="419" bestFit="1" customWidth="1"/>
    <col min="4" max="5" width="12.85546875" style="419" bestFit="1" customWidth="1"/>
    <col min="6" max="6" width="3" style="419" customWidth="1"/>
    <col min="7" max="7" width="9" style="419" bestFit="1" customWidth="1"/>
    <col min="8" max="9" width="9.42578125" style="419" bestFit="1" customWidth="1"/>
    <col min="10" max="10" width="3" style="419" customWidth="1"/>
    <col min="11" max="12" width="12.85546875" style="419" bestFit="1" customWidth="1"/>
    <col min="13" max="13" width="10.7109375" style="419" bestFit="1" customWidth="1"/>
    <col min="14" max="16384" width="9.140625" style="419"/>
  </cols>
  <sheetData>
    <row r="1" spans="1:14" ht="12.75" customHeight="1" x14ac:dyDescent="0.2">
      <c r="A1" s="637" t="s">
        <v>0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</row>
    <row r="2" spans="1:14" ht="12.75" customHeight="1" x14ac:dyDescent="0.2">
      <c r="A2" s="637" t="s">
        <v>472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</row>
    <row r="3" spans="1:14" x14ac:dyDescent="0.2">
      <c r="A3" s="638" t="s">
        <v>473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</row>
    <row r="4" spans="1:14" s="420" customFormat="1" x14ac:dyDescent="0.2">
      <c r="A4" s="447"/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</row>
    <row r="5" spans="1:14" s="420" customFormat="1" ht="67.5" x14ac:dyDescent="0.2">
      <c r="A5" s="215" t="s">
        <v>3</v>
      </c>
      <c r="B5" s="215" t="s">
        <v>135</v>
      </c>
      <c r="C5" s="215" t="s">
        <v>118</v>
      </c>
      <c r="D5" s="216" t="s">
        <v>474</v>
      </c>
      <c r="E5" s="216" t="s">
        <v>475</v>
      </c>
      <c r="F5" s="216"/>
      <c r="G5" s="216" t="s">
        <v>476</v>
      </c>
      <c r="H5" s="216" t="s">
        <v>477</v>
      </c>
      <c r="I5" s="216" t="s">
        <v>478</v>
      </c>
      <c r="J5"/>
      <c r="K5" s="216" t="s">
        <v>479</v>
      </c>
      <c r="L5" s="216" t="s">
        <v>480</v>
      </c>
      <c r="M5" s="216" t="s">
        <v>481</v>
      </c>
      <c r="N5" s="216" t="s">
        <v>482</v>
      </c>
    </row>
    <row r="6" spans="1:14" ht="22.5" x14ac:dyDescent="0.2">
      <c r="A6" s="444"/>
      <c r="B6" s="448" t="s">
        <v>136</v>
      </c>
      <c r="C6" s="449" t="s">
        <v>137</v>
      </c>
      <c r="D6" s="449" t="s">
        <v>138</v>
      </c>
      <c r="E6" s="449" t="s">
        <v>139</v>
      </c>
      <c r="F6" s="449"/>
      <c r="G6" s="449" t="s">
        <v>140</v>
      </c>
      <c r="H6" s="449" t="s">
        <v>141</v>
      </c>
      <c r="I6" s="449" t="s">
        <v>483</v>
      </c>
      <c r="J6"/>
      <c r="K6" s="449" t="s">
        <v>484</v>
      </c>
      <c r="L6" s="449" t="s">
        <v>485</v>
      </c>
      <c r="M6" s="449" t="s">
        <v>486</v>
      </c>
      <c r="N6" s="449" t="s">
        <v>487</v>
      </c>
    </row>
    <row r="7" spans="1:14" x14ac:dyDescent="0.2">
      <c r="A7" s="450">
        <v>1</v>
      </c>
      <c r="B7" s="451" t="s">
        <v>11</v>
      </c>
      <c r="C7" s="444"/>
      <c r="D7" s="444"/>
      <c r="E7" s="443"/>
      <c r="F7" s="443"/>
      <c r="G7" s="452"/>
      <c r="H7" s="452"/>
      <c r="I7" s="452"/>
      <c r="J7"/>
      <c r="K7" s="443"/>
      <c r="L7" s="443"/>
      <c r="M7"/>
      <c r="N7"/>
    </row>
    <row r="8" spans="1:14" x14ac:dyDescent="0.2">
      <c r="A8" s="450">
        <v>2</v>
      </c>
      <c r="B8" s="453" t="s">
        <v>11</v>
      </c>
      <c r="C8" s="435">
        <v>7</v>
      </c>
      <c r="D8" s="454">
        <v>10994456000</v>
      </c>
      <c r="E8" s="455">
        <v>1207245000</v>
      </c>
      <c r="F8" s="443"/>
      <c r="G8" s="456">
        <v>0</v>
      </c>
      <c r="H8" s="456">
        <v>2.1346263238885407E-3</v>
      </c>
      <c r="I8" s="456">
        <v>2.1346263238885407E-3</v>
      </c>
      <c r="J8" s="457"/>
      <c r="K8" s="455">
        <v>1207245000</v>
      </c>
      <c r="L8" s="455">
        <v>1230714055.1944344</v>
      </c>
      <c r="M8" s="455">
        <v>23469055.194434404</v>
      </c>
      <c r="N8" s="458">
        <v>1.9440175933165518E-2</v>
      </c>
    </row>
    <row r="9" spans="1:14" x14ac:dyDescent="0.2">
      <c r="A9" s="450">
        <v>3</v>
      </c>
      <c r="B9" s="438" t="s">
        <v>144</v>
      </c>
      <c r="C9" s="88"/>
      <c r="D9" s="459">
        <v>10994456000</v>
      </c>
      <c r="E9" s="73">
        <v>1207245000</v>
      </c>
      <c r="F9" s="443"/>
      <c r="G9" s="208">
        <v>0</v>
      </c>
      <c r="H9" s="208">
        <v>2.1346263238885407E-3</v>
      </c>
      <c r="I9" s="208">
        <v>2.1346263238885407E-3</v>
      </c>
      <c r="J9"/>
      <c r="K9" s="73">
        <v>1207245000</v>
      </c>
      <c r="L9" s="73">
        <v>1230714055.1944344</v>
      </c>
      <c r="M9" s="73">
        <v>23469055.194434404</v>
      </c>
      <c r="N9" s="460">
        <v>1.9440175933165518E-2</v>
      </c>
    </row>
    <row r="10" spans="1:14" x14ac:dyDescent="0.2">
      <c r="A10" s="450">
        <v>4</v>
      </c>
      <c r="B10" s="88"/>
      <c r="C10" s="88"/>
      <c r="D10" s="262"/>
      <c r="E10" s="114"/>
      <c r="F10" s="443"/>
      <c r="G10" s="240"/>
      <c r="H10" s="240"/>
      <c r="I10" s="240"/>
      <c r="J10"/>
      <c r="K10" s="114"/>
      <c r="L10" s="114"/>
      <c r="M10" s="114"/>
      <c r="N10" s="461"/>
    </row>
    <row r="11" spans="1:14" x14ac:dyDescent="0.2">
      <c r="A11" s="450">
        <v>5</v>
      </c>
      <c r="B11" s="88" t="s">
        <v>145</v>
      </c>
      <c r="C11" s="88"/>
      <c r="D11" s="262"/>
      <c r="E11" s="114"/>
      <c r="F11" s="443"/>
      <c r="G11" s="240"/>
      <c r="H11" s="240"/>
      <c r="I11" s="240"/>
      <c r="J11"/>
      <c r="K11" s="114"/>
      <c r="L11" s="114"/>
      <c r="M11" s="114"/>
      <c r="N11" s="461"/>
    </row>
    <row r="12" spans="1:14" x14ac:dyDescent="0.2">
      <c r="A12" s="450">
        <v>6</v>
      </c>
      <c r="B12" s="462" t="s">
        <v>146</v>
      </c>
      <c r="C12" s="436" t="s">
        <v>131</v>
      </c>
      <c r="D12" s="454">
        <v>2698287000</v>
      </c>
      <c r="E12" s="455">
        <v>278370000</v>
      </c>
      <c r="F12" s="443"/>
      <c r="G12" s="456">
        <v>0</v>
      </c>
      <c r="H12" s="456">
        <v>2.1548217661402514E-3</v>
      </c>
      <c r="I12" s="456">
        <v>2.1548217661402514E-3</v>
      </c>
      <c r="J12" s="457"/>
      <c r="K12" s="114">
        <v>278370000</v>
      </c>
      <c r="L12" s="114">
        <v>284184327.55889326</v>
      </c>
      <c r="M12" s="114">
        <v>5814327.5588932633</v>
      </c>
      <c r="N12" s="461">
        <v>2.0887048025625115E-2</v>
      </c>
    </row>
    <row r="13" spans="1:14" x14ac:dyDescent="0.2">
      <c r="A13" s="450">
        <v>7</v>
      </c>
      <c r="B13" s="462" t="s">
        <v>147</v>
      </c>
      <c r="C13" s="436" t="s">
        <v>148</v>
      </c>
      <c r="D13" s="454">
        <v>2868466000</v>
      </c>
      <c r="E13" s="455">
        <v>268882000</v>
      </c>
      <c r="F13" s="443"/>
      <c r="G13" s="456">
        <v>0</v>
      </c>
      <c r="H13" s="456">
        <v>2.2235019667564571E-3</v>
      </c>
      <c r="I13" s="456">
        <v>2.2235019667564571E-3</v>
      </c>
      <c r="J13" s="457"/>
      <c r="K13" s="114">
        <v>268882000</v>
      </c>
      <c r="L13" s="114">
        <v>275260039.79257405</v>
      </c>
      <c r="M13" s="114">
        <v>6378039.792574048</v>
      </c>
      <c r="N13" s="461">
        <v>2.3720590417261281E-2</v>
      </c>
    </row>
    <row r="14" spans="1:14" x14ac:dyDescent="0.2">
      <c r="A14" s="450">
        <v>8</v>
      </c>
      <c r="B14" s="462" t="s">
        <v>149</v>
      </c>
      <c r="C14" s="436" t="s">
        <v>183</v>
      </c>
      <c r="D14" s="454">
        <v>1696095000</v>
      </c>
      <c r="E14" s="455">
        <v>146304000</v>
      </c>
      <c r="F14" s="443"/>
      <c r="G14" s="456">
        <v>0</v>
      </c>
      <c r="H14" s="456">
        <v>2.3267494191098565E-3</v>
      </c>
      <c r="I14" s="456">
        <v>2.3267494191098565E-3</v>
      </c>
      <c r="J14" s="457"/>
      <c r="K14" s="114">
        <v>146304000</v>
      </c>
      <c r="L14" s="114">
        <v>150250388.05600512</v>
      </c>
      <c r="M14" s="114">
        <v>3946388.0560051203</v>
      </c>
      <c r="N14" s="461">
        <v>2.6973890365301838E-2</v>
      </c>
    </row>
    <row r="15" spans="1:14" x14ac:dyDescent="0.2">
      <c r="A15" s="450">
        <v>9</v>
      </c>
      <c r="B15" s="453" t="s">
        <v>150</v>
      </c>
      <c r="C15" s="435">
        <v>29</v>
      </c>
      <c r="D15" s="454">
        <v>14609000</v>
      </c>
      <c r="E15" s="455">
        <v>1187000</v>
      </c>
      <c r="F15" s="443"/>
      <c r="G15" s="456">
        <v>0</v>
      </c>
      <c r="H15" s="456">
        <v>1.8524867967086855E-3</v>
      </c>
      <c r="I15" s="456">
        <v>1.8524867967086855E-3</v>
      </c>
      <c r="J15" s="457"/>
      <c r="K15" s="114">
        <v>1187000</v>
      </c>
      <c r="L15" s="114">
        <v>1214062.9796131172</v>
      </c>
      <c r="M15" s="114">
        <v>27062.979613117175</v>
      </c>
      <c r="N15" s="461">
        <v>2.2799477348877148E-2</v>
      </c>
    </row>
    <row r="16" spans="1:14" x14ac:dyDescent="0.2">
      <c r="A16" s="450">
        <v>10</v>
      </c>
      <c r="B16" s="439" t="s">
        <v>13</v>
      </c>
      <c r="C16" s="88"/>
      <c r="D16" s="459">
        <v>7277457000</v>
      </c>
      <c r="E16" s="73">
        <v>694743000</v>
      </c>
      <c r="F16" s="443"/>
      <c r="G16" s="208">
        <v>0</v>
      </c>
      <c r="H16" s="208">
        <v>2.2213553975084371E-3</v>
      </c>
      <c r="I16" s="208">
        <v>2.2213553975084371E-3</v>
      </c>
      <c r="J16"/>
      <c r="K16" s="73">
        <v>694743000</v>
      </c>
      <c r="L16" s="73">
        <v>710908818.38708556</v>
      </c>
      <c r="M16" s="73">
        <v>16165818.38708555</v>
      </c>
      <c r="N16" s="460">
        <v>2.3268774765755899E-2</v>
      </c>
    </row>
    <row r="17" spans="1:14" x14ac:dyDescent="0.2">
      <c r="A17" s="450">
        <v>11</v>
      </c>
      <c r="B17" s="88"/>
      <c r="C17" s="88"/>
      <c r="D17" s="262"/>
      <c r="E17" s="114"/>
      <c r="F17" s="443"/>
      <c r="G17" s="240"/>
      <c r="H17" s="240"/>
      <c r="I17" s="240"/>
      <c r="J17"/>
      <c r="K17" s="114"/>
      <c r="L17" s="114"/>
      <c r="M17" s="114"/>
      <c r="N17" s="461"/>
    </row>
    <row r="18" spans="1:14" x14ac:dyDescent="0.2">
      <c r="A18" s="450">
        <v>12</v>
      </c>
      <c r="B18" s="88" t="s">
        <v>151</v>
      </c>
      <c r="C18" s="88"/>
      <c r="D18" s="262"/>
      <c r="E18" s="114"/>
      <c r="F18" s="443"/>
      <c r="G18" s="240"/>
      <c r="H18" s="240"/>
      <c r="I18" s="240"/>
      <c r="J18"/>
      <c r="K18" s="114"/>
      <c r="L18" s="114"/>
      <c r="M18" s="114"/>
      <c r="N18" s="461"/>
    </row>
    <row r="19" spans="1:14" x14ac:dyDescent="0.2">
      <c r="A19" s="450">
        <v>13</v>
      </c>
      <c r="B19" s="462" t="s">
        <v>152</v>
      </c>
      <c r="C19" s="436" t="s">
        <v>133</v>
      </c>
      <c r="D19" s="454">
        <v>1293580000</v>
      </c>
      <c r="E19" s="455">
        <v>109968000</v>
      </c>
      <c r="F19" s="443"/>
      <c r="G19" s="456">
        <v>0</v>
      </c>
      <c r="H19" s="456">
        <v>2.1293083890334291E-3</v>
      </c>
      <c r="I19" s="456">
        <v>2.1293083890334291E-3</v>
      </c>
      <c r="J19" s="457"/>
      <c r="K19" s="114">
        <v>109968000</v>
      </c>
      <c r="L19" s="114">
        <v>112722430.74588586</v>
      </c>
      <c r="M19" s="114">
        <v>2754430.7458858639</v>
      </c>
      <c r="N19" s="461">
        <v>2.5047566072729011E-2</v>
      </c>
    </row>
    <row r="20" spans="1:14" x14ac:dyDescent="0.2">
      <c r="A20" s="450">
        <v>14</v>
      </c>
      <c r="B20" s="453" t="s">
        <v>150</v>
      </c>
      <c r="C20" s="435">
        <v>35</v>
      </c>
      <c r="D20" s="454">
        <v>4335000</v>
      </c>
      <c r="E20" s="455">
        <v>275000</v>
      </c>
      <c r="F20" s="443"/>
      <c r="G20" s="456">
        <v>0</v>
      </c>
      <c r="H20" s="456">
        <v>1.5888462451272998E-3</v>
      </c>
      <c r="I20" s="456">
        <v>1.5888462451272998E-3</v>
      </c>
      <c r="J20" s="457"/>
      <c r="K20" s="114">
        <v>275000</v>
      </c>
      <c r="L20" s="114">
        <v>281887.64847262687</v>
      </c>
      <c r="M20" s="114">
        <v>6887.6484726268682</v>
      </c>
      <c r="N20" s="461">
        <v>2.5045994445915883E-2</v>
      </c>
    </row>
    <row r="21" spans="1:14" x14ac:dyDescent="0.2">
      <c r="A21" s="450">
        <v>15</v>
      </c>
      <c r="B21" s="453" t="s">
        <v>153</v>
      </c>
      <c r="C21" s="435">
        <v>43</v>
      </c>
      <c r="D21" s="454">
        <v>111480000</v>
      </c>
      <c r="E21" s="455">
        <v>10231000</v>
      </c>
      <c r="F21" s="443"/>
      <c r="G21" s="456">
        <v>0</v>
      </c>
      <c r="H21" s="456">
        <v>1.7002983018005256E-3</v>
      </c>
      <c r="I21" s="456">
        <v>1.7002983018005256E-3</v>
      </c>
      <c r="J21" s="457"/>
      <c r="K21" s="114">
        <v>10231000</v>
      </c>
      <c r="L21" s="114">
        <v>10420549.254684722</v>
      </c>
      <c r="M21" s="114">
        <v>189549.25468472205</v>
      </c>
      <c r="N21" s="461">
        <v>1.8526952857464769E-2</v>
      </c>
    </row>
    <row r="22" spans="1:14" x14ac:dyDescent="0.2">
      <c r="A22" s="450">
        <v>16</v>
      </c>
      <c r="B22" s="438" t="s">
        <v>14</v>
      </c>
      <c r="C22" s="88"/>
      <c r="D22" s="459">
        <v>1409395000</v>
      </c>
      <c r="E22" s="73">
        <v>120474000</v>
      </c>
      <c r="F22" s="443"/>
      <c r="G22" s="208">
        <v>0</v>
      </c>
      <c r="H22" s="208">
        <v>2.0937123014082015E-3</v>
      </c>
      <c r="I22" s="208">
        <v>2.0937123014082015E-3</v>
      </c>
      <c r="J22" s="457"/>
      <c r="K22" s="73">
        <v>120474000</v>
      </c>
      <c r="L22" s="73">
        <v>123424867.6490432</v>
      </c>
      <c r="M22" s="73">
        <v>2950867.6490432126</v>
      </c>
      <c r="N22" s="460">
        <v>2.4493813179965906E-2</v>
      </c>
    </row>
    <row r="23" spans="1:14" x14ac:dyDescent="0.2">
      <c r="A23" s="450">
        <v>17</v>
      </c>
      <c r="B23" s="88"/>
      <c r="C23" s="88"/>
      <c r="D23" s="463"/>
      <c r="E23" s="72"/>
      <c r="F23" s="443"/>
      <c r="G23" s="122"/>
      <c r="H23" s="122"/>
      <c r="I23" s="122"/>
      <c r="J23" s="457"/>
      <c r="K23" s="72"/>
      <c r="L23" s="72"/>
      <c r="M23" s="72"/>
      <c r="N23" s="464"/>
    </row>
    <row r="24" spans="1:14" x14ac:dyDescent="0.2">
      <c r="A24" s="450">
        <v>18</v>
      </c>
      <c r="B24" s="88" t="s">
        <v>154</v>
      </c>
      <c r="C24" s="88"/>
      <c r="D24" s="262"/>
      <c r="E24" s="114"/>
      <c r="F24" s="443"/>
      <c r="G24" s="240"/>
      <c r="H24" s="240"/>
      <c r="I24" s="240"/>
      <c r="J24"/>
      <c r="K24" s="114"/>
      <c r="L24" s="114"/>
      <c r="M24" s="114"/>
      <c r="N24" s="461"/>
    </row>
    <row r="25" spans="1:14" x14ac:dyDescent="0.2">
      <c r="A25" s="450">
        <v>19</v>
      </c>
      <c r="B25" s="462" t="s">
        <v>155</v>
      </c>
      <c r="C25" s="435">
        <v>46</v>
      </c>
      <c r="D25" s="454">
        <v>65400000</v>
      </c>
      <c r="E25" s="455">
        <v>4522000</v>
      </c>
      <c r="F25" s="443"/>
      <c r="G25" s="456">
        <v>0</v>
      </c>
      <c r="H25" s="456">
        <v>1.8175352066230359E-3</v>
      </c>
      <c r="I25" s="456">
        <v>1.8175352066230359E-3</v>
      </c>
      <c r="J25" s="457"/>
      <c r="K25" s="114">
        <v>4522000</v>
      </c>
      <c r="L25" s="114">
        <v>4640866.8025131468</v>
      </c>
      <c r="M25" s="114">
        <v>118866.80251314677</v>
      </c>
      <c r="N25" s="461">
        <v>2.6286334036520736E-2</v>
      </c>
    </row>
    <row r="26" spans="1:14" x14ac:dyDescent="0.2">
      <c r="A26" s="450">
        <v>20</v>
      </c>
      <c r="B26" s="462" t="s">
        <v>152</v>
      </c>
      <c r="C26" s="435">
        <v>49</v>
      </c>
      <c r="D26" s="454">
        <v>518246000</v>
      </c>
      <c r="E26" s="455">
        <v>34834000</v>
      </c>
      <c r="F26" s="443"/>
      <c r="G26" s="456">
        <v>0</v>
      </c>
      <c r="H26" s="456">
        <v>1.9669639552832604E-3</v>
      </c>
      <c r="I26" s="456">
        <v>1.9669639552832604E-3</v>
      </c>
      <c r="J26" s="457"/>
      <c r="K26" s="114">
        <v>34834000</v>
      </c>
      <c r="L26" s="114">
        <v>35853371.201969728</v>
      </c>
      <c r="M26" s="114">
        <v>1019371.2019697279</v>
      </c>
      <c r="N26" s="461">
        <v>2.9263684962098177E-2</v>
      </c>
    </row>
    <row r="27" spans="1:14" x14ac:dyDescent="0.2">
      <c r="A27" s="450">
        <v>21</v>
      </c>
      <c r="B27" s="439" t="s">
        <v>15</v>
      </c>
      <c r="C27" s="88"/>
      <c r="D27" s="459">
        <v>583646000</v>
      </c>
      <c r="E27" s="73">
        <v>39356000</v>
      </c>
      <c r="F27" s="443"/>
      <c r="G27" s="208">
        <v>0</v>
      </c>
      <c r="H27" s="208">
        <v>1.9502198327117381E-3</v>
      </c>
      <c r="I27" s="208">
        <v>1.9502198327117381E-3</v>
      </c>
      <c r="J27" s="457"/>
      <c r="K27" s="73">
        <v>39356000</v>
      </c>
      <c r="L27" s="73">
        <v>40494238.004482873</v>
      </c>
      <c r="M27" s="73">
        <v>1138238.0044828746</v>
      </c>
      <c r="N27" s="460">
        <v>2.8921587673617102E-2</v>
      </c>
    </row>
    <row r="28" spans="1:14" x14ac:dyDescent="0.2">
      <c r="A28" s="450">
        <v>22</v>
      </c>
      <c r="B28" s="88"/>
      <c r="C28" s="88"/>
      <c r="D28" s="463"/>
      <c r="E28" s="72"/>
      <c r="F28" s="443"/>
      <c r="G28" s="122"/>
      <c r="H28" s="122"/>
      <c r="I28" s="122"/>
      <c r="J28"/>
      <c r="K28" s="72"/>
      <c r="L28" s="72"/>
      <c r="M28" s="72"/>
      <c r="N28" s="464"/>
    </row>
    <row r="29" spans="1:14" x14ac:dyDescent="0.2">
      <c r="A29" s="450">
        <v>23</v>
      </c>
      <c r="B29" s="88" t="s">
        <v>156</v>
      </c>
      <c r="C29" s="435" t="s">
        <v>16</v>
      </c>
      <c r="D29" s="459">
        <v>63910000</v>
      </c>
      <c r="E29" s="73">
        <v>15824000</v>
      </c>
      <c r="F29" s="443"/>
      <c r="G29" s="465">
        <v>0</v>
      </c>
      <c r="H29" s="465">
        <v>2.1304423544318677E-3</v>
      </c>
      <c r="I29" s="465">
        <v>2.1304423544318677E-3</v>
      </c>
      <c r="J29" s="457"/>
      <c r="K29" s="73">
        <v>15824000</v>
      </c>
      <c r="L29" s="73">
        <v>15960156.570871741</v>
      </c>
      <c r="M29" s="73">
        <v>136156.57087174058</v>
      </c>
      <c r="N29" s="460">
        <v>8.6044344585275902E-3</v>
      </c>
    </row>
    <row r="30" spans="1:14" x14ac:dyDescent="0.2">
      <c r="A30" s="450">
        <v>24</v>
      </c>
      <c r="B30" s="88"/>
      <c r="C30" s="435"/>
      <c r="D30" s="463"/>
      <c r="E30" s="72"/>
      <c r="F30" s="443"/>
      <c r="G30" s="122"/>
      <c r="H30" s="122"/>
      <c r="I30" s="122"/>
      <c r="J30"/>
      <c r="K30" s="72"/>
      <c r="L30" s="72"/>
      <c r="M30" s="72"/>
      <c r="N30" s="464"/>
    </row>
    <row r="31" spans="1:14" x14ac:dyDescent="0.2">
      <c r="A31" s="450">
        <v>25</v>
      </c>
      <c r="B31" s="438" t="s">
        <v>488</v>
      </c>
      <c r="C31" s="435">
        <v>5</v>
      </c>
      <c r="D31" s="459">
        <v>7428000</v>
      </c>
      <c r="E31" s="73">
        <v>717000</v>
      </c>
      <c r="F31" s="443"/>
      <c r="G31" s="465">
        <v>0</v>
      </c>
      <c r="H31" s="465">
        <v>2.0375333241719703E-3</v>
      </c>
      <c r="I31" s="465">
        <v>2.0375333241719703E-3</v>
      </c>
      <c r="J31" s="457"/>
      <c r="K31" s="73">
        <v>717000</v>
      </c>
      <c r="L31" s="73">
        <v>732134.79753194936</v>
      </c>
      <c r="M31" s="73">
        <v>15134.797531949356</v>
      </c>
      <c r="N31" s="460">
        <v>2.1108504228660192E-2</v>
      </c>
    </row>
    <row r="32" spans="1:14" x14ac:dyDescent="0.2">
      <c r="A32" s="450">
        <v>26</v>
      </c>
      <c r="B32" s="88"/>
      <c r="C32" s="88"/>
      <c r="D32" s="463"/>
      <c r="E32" s="72"/>
      <c r="F32" s="443"/>
      <c r="G32" s="122"/>
      <c r="H32" s="122"/>
      <c r="I32" s="122"/>
      <c r="J32" s="457"/>
      <c r="K32" s="72"/>
      <c r="L32" s="72"/>
      <c r="M32" s="72"/>
      <c r="N32" s="464"/>
    </row>
    <row r="33" spans="1:14" ht="13.5" thickBot="1" x14ac:dyDescent="0.25">
      <c r="A33" s="450">
        <v>27</v>
      </c>
      <c r="B33" s="439" t="s">
        <v>158</v>
      </c>
      <c r="C33" s="88"/>
      <c r="D33" s="466">
        <v>20336292000</v>
      </c>
      <c r="E33" s="467">
        <v>2078359000</v>
      </c>
      <c r="F33" s="443"/>
      <c r="G33" s="468">
        <v>0</v>
      </c>
      <c r="H33" s="468">
        <v>2.1574862616768899E-3</v>
      </c>
      <c r="I33" s="468">
        <v>2.1574862616768899E-3</v>
      </c>
      <c r="J33" s="457"/>
      <c r="K33" s="467">
        <v>2078359000</v>
      </c>
      <c r="L33" s="467">
        <v>2122234270.6034498</v>
      </c>
      <c r="M33" s="467">
        <v>43875270.603449725</v>
      </c>
      <c r="N33" s="469">
        <v>2.1110535092084538E-2</v>
      </c>
    </row>
    <row r="34" spans="1:14" ht="13.5" thickTop="1" x14ac:dyDescent="0.2">
      <c r="A34"/>
      <c r="B34"/>
      <c r="C34"/>
      <c r="D34" s="1"/>
      <c r="E34" s="1"/>
      <c r="F34"/>
      <c r="G34"/>
      <c r="H34"/>
      <c r="I34"/>
      <c r="J34" s="457"/>
      <c r="K34" s="470"/>
      <c r="L34" s="470"/>
      <c r="M34"/>
      <c r="N34"/>
    </row>
    <row r="35" spans="1:14" x14ac:dyDescent="0.2">
      <c r="A35"/>
      <c r="B35" s="439" t="s">
        <v>489</v>
      </c>
      <c r="C35"/>
      <c r="D35" s="1"/>
      <c r="E35" s="1"/>
      <c r="F35"/>
      <c r="G35"/>
      <c r="H35"/>
      <c r="I35"/>
      <c r="J35" s="457"/>
      <c r="K35" s="471"/>
      <c r="L35" s="471"/>
      <c r="M35"/>
      <c r="N35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2" orientation="landscape" horizontalDpi="4294967292" r:id="rId1"/>
  <headerFooter alignWithMargins="0">
    <oddFooter>&amp;L&amp;F&amp;R&amp;A
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topLeftCell="A10" workbookViewId="0">
      <selection activeCell="I40" sqref="I40"/>
    </sheetView>
  </sheetViews>
  <sheetFormatPr defaultColWidth="8.85546875" defaultRowHeight="12.75" x14ac:dyDescent="0.2"/>
  <cols>
    <col min="1" max="1" width="7.7109375" style="1" bestFit="1" customWidth="1"/>
    <col min="2" max="2" width="22.5703125" style="1" bestFit="1" customWidth="1"/>
    <col min="3" max="3" width="11.7109375" style="1" bestFit="1" customWidth="1"/>
    <col min="4" max="5" width="15.140625" style="1" bestFit="1" customWidth="1"/>
    <col min="6" max="6" width="11.5703125" style="1" bestFit="1" customWidth="1"/>
    <col min="7" max="7" width="15.7109375" style="1" bestFit="1" customWidth="1"/>
    <col min="8" max="9" width="15.140625" style="1" bestFit="1" customWidth="1"/>
    <col min="10" max="10" width="11.42578125" style="1" bestFit="1" customWidth="1"/>
    <col min="11" max="16384" width="8.85546875" style="1"/>
  </cols>
  <sheetData>
    <row r="1" spans="1:11" x14ac:dyDescent="0.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">
      <c r="A2" s="11" t="s">
        <v>168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">
      <c r="A3" s="14"/>
      <c r="B3" s="55"/>
      <c r="C3" s="51"/>
      <c r="D3" s="41"/>
      <c r="E3" s="41"/>
      <c r="F3" s="41"/>
      <c r="G3" s="55"/>
      <c r="H3" s="55"/>
      <c r="I3" s="41"/>
      <c r="J3" s="55"/>
      <c r="K3" s="42"/>
    </row>
    <row r="4" spans="1:11" x14ac:dyDescent="0.2">
      <c r="A4" s="15"/>
      <c r="B4" s="53"/>
      <c r="C4" s="53"/>
      <c r="D4" s="16"/>
      <c r="E4" s="16"/>
      <c r="F4" s="16"/>
      <c r="G4" s="17"/>
      <c r="H4" s="16"/>
      <c r="I4" s="16"/>
      <c r="J4" s="17"/>
      <c r="K4" s="18"/>
    </row>
    <row r="5" spans="1:11" ht="64.5" thickBot="1" x14ac:dyDescent="0.25">
      <c r="A5" s="19" t="s">
        <v>3</v>
      </c>
      <c r="B5" s="20" t="s">
        <v>83</v>
      </c>
      <c r="C5" s="20" t="s">
        <v>114</v>
      </c>
      <c r="D5" s="3" t="s">
        <v>529</v>
      </c>
      <c r="E5" s="2" t="s">
        <v>530</v>
      </c>
      <c r="F5" s="2" t="s">
        <v>531</v>
      </c>
      <c r="G5" s="2" t="s">
        <v>532</v>
      </c>
      <c r="H5" s="2" t="s">
        <v>533</v>
      </c>
      <c r="I5" s="2" t="s">
        <v>534</v>
      </c>
      <c r="J5" s="20" t="s">
        <v>169</v>
      </c>
      <c r="K5" s="21" t="s">
        <v>170</v>
      </c>
    </row>
    <row r="6" spans="1:11" ht="25.5" x14ac:dyDescent="0.2">
      <c r="A6" s="22"/>
      <c r="B6" s="48"/>
      <c r="C6" s="48"/>
      <c r="D6" s="23" t="s">
        <v>84</v>
      </c>
      <c r="E6" s="23" t="s">
        <v>85</v>
      </c>
      <c r="F6" s="24" t="s">
        <v>86</v>
      </c>
      <c r="G6" s="48" t="s">
        <v>87</v>
      </c>
      <c r="H6" s="23" t="s">
        <v>171</v>
      </c>
      <c r="I6" s="23" t="s">
        <v>172</v>
      </c>
      <c r="J6" s="48" t="s">
        <v>90</v>
      </c>
      <c r="K6" s="25" t="s">
        <v>91</v>
      </c>
    </row>
    <row r="7" spans="1:11" x14ac:dyDescent="0.2">
      <c r="A7" s="14"/>
      <c r="B7" s="55"/>
      <c r="C7" s="51"/>
      <c r="D7" s="41"/>
      <c r="E7" s="41"/>
      <c r="F7" s="41"/>
      <c r="G7" s="55"/>
      <c r="H7" s="55"/>
      <c r="I7" s="41"/>
      <c r="J7" s="55"/>
      <c r="K7" s="42"/>
    </row>
    <row r="8" spans="1:11" x14ac:dyDescent="0.2">
      <c r="A8" s="14">
        <v>1</v>
      </c>
      <c r="B8" s="55" t="s">
        <v>11</v>
      </c>
      <c r="C8" s="51">
        <v>7</v>
      </c>
      <c r="D8" s="41">
        <v>10966324000</v>
      </c>
      <c r="E8" s="46">
        <v>1186488000</v>
      </c>
      <c r="F8" s="54">
        <v>-1.8929999999999999E-3</v>
      </c>
      <c r="G8" s="54">
        <v>-1.4400000000000001E-3</v>
      </c>
      <c r="H8" s="46">
        <v>1165728748.668</v>
      </c>
      <c r="I8" s="46">
        <v>1170696493.4400001</v>
      </c>
      <c r="J8" s="46">
        <v>4967744.7720000744</v>
      </c>
      <c r="K8" s="47">
        <v>4.2614928881837934E-3</v>
      </c>
    </row>
    <row r="9" spans="1:11" x14ac:dyDescent="0.2">
      <c r="A9" s="14">
        <v>2</v>
      </c>
      <c r="B9" s="55"/>
      <c r="C9" s="51"/>
      <c r="D9" s="41"/>
      <c r="E9" s="46"/>
      <c r="F9" s="46"/>
      <c r="G9" s="46"/>
      <c r="H9" s="43"/>
      <c r="I9" s="46"/>
      <c r="J9" s="46"/>
      <c r="K9" s="47"/>
    </row>
    <row r="10" spans="1:11" x14ac:dyDescent="0.2">
      <c r="A10" s="14">
        <v>3</v>
      </c>
      <c r="B10" s="26" t="s">
        <v>92</v>
      </c>
      <c r="C10" s="51" t="s">
        <v>93</v>
      </c>
      <c r="D10" s="41">
        <v>2695442000</v>
      </c>
      <c r="E10" s="46">
        <v>292959000</v>
      </c>
      <c r="F10" s="54">
        <v>-1.7520000000000001E-3</v>
      </c>
      <c r="G10" s="54">
        <v>-1.451E-3</v>
      </c>
      <c r="H10" s="46">
        <v>288236585.616</v>
      </c>
      <c r="I10" s="46">
        <v>289047913.65799999</v>
      </c>
      <c r="J10" s="46">
        <v>811328.04199999571</v>
      </c>
      <c r="K10" s="47">
        <v>2.8147989619918636E-3</v>
      </c>
    </row>
    <row r="11" spans="1:11" x14ac:dyDescent="0.2">
      <c r="A11" s="14">
        <v>4</v>
      </c>
      <c r="B11" s="27" t="s">
        <v>94</v>
      </c>
      <c r="C11" s="4" t="s">
        <v>95</v>
      </c>
      <c r="D11" s="41">
        <v>2864927000</v>
      </c>
      <c r="E11" s="46">
        <v>280760000</v>
      </c>
      <c r="F11" s="54">
        <v>-1.665E-3</v>
      </c>
      <c r="G11" s="54">
        <v>-1.498E-3</v>
      </c>
      <c r="H11" s="46">
        <v>275989896.54500002</v>
      </c>
      <c r="I11" s="46">
        <v>276468339.35399997</v>
      </c>
      <c r="J11" s="46">
        <v>478442.80899995565</v>
      </c>
      <c r="K11" s="47">
        <v>1.7335518980563327E-3</v>
      </c>
    </row>
    <row r="12" spans="1:11" x14ac:dyDescent="0.2">
      <c r="A12" s="14">
        <v>5</v>
      </c>
      <c r="B12" s="27" t="s">
        <v>96</v>
      </c>
      <c r="C12" s="51" t="s">
        <v>97</v>
      </c>
      <c r="D12" s="41">
        <v>1692365000</v>
      </c>
      <c r="E12" s="46">
        <v>154855000</v>
      </c>
      <c r="F12" s="54">
        <v>-1.8309999999999999E-3</v>
      </c>
      <c r="G12" s="54">
        <v>-1.5690000000000001E-3</v>
      </c>
      <c r="H12" s="46">
        <v>151756279.685</v>
      </c>
      <c r="I12" s="46">
        <v>152199679.315</v>
      </c>
      <c r="J12" s="46">
        <v>443399.62999999523</v>
      </c>
      <c r="K12" s="47">
        <v>2.9217876908972621E-3</v>
      </c>
    </row>
    <row r="13" spans="1:11" x14ac:dyDescent="0.2">
      <c r="A13" s="14">
        <v>6</v>
      </c>
      <c r="B13" s="27" t="s">
        <v>98</v>
      </c>
      <c r="C13" s="51">
        <v>29</v>
      </c>
      <c r="D13" s="41">
        <v>14610000</v>
      </c>
      <c r="E13" s="46">
        <v>1137000</v>
      </c>
      <c r="F13" s="54">
        <v>-1.366E-3</v>
      </c>
      <c r="G13" s="54">
        <v>-1.2459999999999999E-3</v>
      </c>
      <c r="H13" s="46">
        <v>1117042.74</v>
      </c>
      <c r="I13" s="46">
        <v>1118795.94</v>
      </c>
      <c r="J13" s="46">
        <v>1753.1999999999534</v>
      </c>
      <c r="K13" s="47">
        <v>1.5695012708286825E-3</v>
      </c>
    </row>
    <row r="14" spans="1:11" x14ac:dyDescent="0.2">
      <c r="A14" s="14">
        <v>7</v>
      </c>
      <c r="B14" s="55"/>
      <c r="C14" s="51"/>
      <c r="D14" s="41"/>
      <c r="E14" s="46"/>
      <c r="F14" s="43"/>
      <c r="G14" s="43"/>
      <c r="H14" s="43"/>
      <c r="I14" s="46"/>
      <c r="J14" s="46"/>
      <c r="K14" s="47"/>
    </row>
    <row r="15" spans="1:11" x14ac:dyDescent="0.2">
      <c r="A15" s="14">
        <v>8</v>
      </c>
      <c r="B15" s="55" t="s">
        <v>99</v>
      </c>
      <c r="C15" s="51"/>
      <c r="D15" s="41">
        <v>7267344000</v>
      </c>
      <c r="E15" s="46">
        <v>729711000</v>
      </c>
      <c r="F15" s="54">
        <v>-1.7353238561433175E-3</v>
      </c>
      <c r="G15" s="54">
        <v>-1.4965951430123579E-3</v>
      </c>
      <c r="H15" s="46">
        <v>717099804.58599997</v>
      </c>
      <c r="I15" s="46">
        <v>718834728.26699996</v>
      </c>
      <c r="J15" s="46">
        <v>1734923.6809999465</v>
      </c>
      <c r="K15" s="47">
        <v>2.4193615308563112E-3</v>
      </c>
    </row>
    <row r="16" spans="1:11" x14ac:dyDescent="0.2">
      <c r="A16" s="14">
        <v>9</v>
      </c>
      <c r="B16" s="55"/>
      <c r="C16" s="51"/>
      <c r="D16" s="41"/>
      <c r="E16" s="46"/>
      <c r="F16" s="43"/>
      <c r="G16" s="43"/>
      <c r="H16" s="43"/>
      <c r="I16" s="46"/>
      <c r="J16" s="46"/>
      <c r="K16" s="47"/>
    </row>
    <row r="17" spans="1:11" x14ac:dyDescent="0.2">
      <c r="A17" s="14">
        <v>10</v>
      </c>
      <c r="B17" s="27" t="s">
        <v>100</v>
      </c>
      <c r="C17" s="51" t="s">
        <v>101</v>
      </c>
      <c r="D17" s="41">
        <v>1291578000</v>
      </c>
      <c r="E17" s="46">
        <v>116546000</v>
      </c>
      <c r="F17" s="54">
        <v>-1.642E-3</v>
      </c>
      <c r="G17" s="54">
        <v>-1.4350000000000001E-3</v>
      </c>
      <c r="H17" s="46">
        <v>114425228.92399999</v>
      </c>
      <c r="I17" s="46">
        <v>114692585.56999999</v>
      </c>
      <c r="J17" s="46">
        <v>267356.64599999785</v>
      </c>
      <c r="K17" s="47">
        <v>2.3365183405276231E-3</v>
      </c>
    </row>
    <row r="18" spans="1:11" x14ac:dyDescent="0.2">
      <c r="A18" s="14">
        <v>11</v>
      </c>
      <c r="B18" s="27" t="s">
        <v>102</v>
      </c>
      <c r="C18" s="51">
        <v>35</v>
      </c>
      <c r="D18" s="41">
        <v>4335000</v>
      </c>
      <c r="E18" s="46">
        <v>261000</v>
      </c>
      <c r="F18" s="54">
        <v>-1.3060000000000001E-3</v>
      </c>
      <c r="G18" s="54">
        <v>-1.0690000000000001E-3</v>
      </c>
      <c r="H18" s="46">
        <v>255338.49</v>
      </c>
      <c r="I18" s="46">
        <v>256365.88500000001</v>
      </c>
      <c r="J18" s="46">
        <v>1027.3950000000186</v>
      </c>
      <c r="K18" s="47">
        <v>4.0236589477756317E-3</v>
      </c>
    </row>
    <row r="19" spans="1:11" x14ac:dyDescent="0.2">
      <c r="A19" s="14">
        <v>12</v>
      </c>
      <c r="B19" s="27" t="s">
        <v>103</v>
      </c>
      <c r="C19" s="51">
        <v>43</v>
      </c>
      <c r="D19" s="41">
        <v>111277000</v>
      </c>
      <c r="E19" s="46">
        <v>10663000</v>
      </c>
      <c r="F19" s="54">
        <v>-1.3630000000000001E-3</v>
      </c>
      <c r="G19" s="54">
        <v>-1.1460000000000001E-3</v>
      </c>
      <c r="H19" s="46">
        <v>10511329.448999999</v>
      </c>
      <c r="I19" s="46">
        <v>10535476.558</v>
      </c>
      <c r="J19" s="46">
        <v>24147.109000001103</v>
      </c>
      <c r="K19" s="47">
        <v>2.297245949445372E-3</v>
      </c>
    </row>
    <row r="20" spans="1:11" x14ac:dyDescent="0.2">
      <c r="A20" s="14">
        <v>13</v>
      </c>
      <c r="B20" s="28"/>
      <c r="C20" s="51"/>
      <c r="D20" s="41"/>
      <c r="E20" s="46"/>
      <c r="F20" s="43"/>
      <c r="G20" s="43"/>
      <c r="H20" s="43"/>
      <c r="I20" s="46"/>
      <c r="J20" s="46"/>
      <c r="K20" s="47"/>
    </row>
    <row r="21" spans="1:11" x14ac:dyDescent="0.2">
      <c r="A21" s="14">
        <v>14</v>
      </c>
      <c r="B21" s="28" t="s">
        <v>104</v>
      </c>
      <c r="C21" s="51"/>
      <c r="D21" s="41">
        <v>1407190000</v>
      </c>
      <c r="E21" s="46">
        <v>127470000</v>
      </c>
      <c r="F21" s="54">
        <v>-1.6189023067247491E-3</v>
      </c>
      <c r="G21" s="54">
        <v>-1.4110191139789228E-3</v>
      </c>
      <c r="H21" s="46">
        <v>125191896.86299999</v>
      </c>
      <c r="I21" s="46">
        <v>125484428.013</v>
      </c>
      <c r="J21" s="46">
        <v>292531.14999999898</v>
      </c>
      <c r="K21" s="47">
        <v>2.3366620151152569E-3</v>
      </c>
    </row>
    <row r="22" spans="1:11" x14ac:dyDescent="0.2">
      <c r="A22" s="14">
        <v>15</v>
      </c>
      <c r="B22" s="28"/>
      <c r="C22" s="51"/>
      <c r="D22" s="41"/>
      <c r="E22" s="46"/>
      <c r="F22" s="43"/>
      <c r="G22" s="43"/>
      <c r="H22" s="43"/>
      <c r="I22" s="46"/>
      <c r="J22" s="46"/>
      <c r="K22" s="47"/>
    </row>
    <row r="23" spans="1:11" x14ac:dyDescent="0.2">
      <c r="A23" s="14">
        <v>16</v>
      </c>
      <c r="B23" s="27" t="s">
        <v>105</v>
      </c>
      <c r="C23" s="51">
        <v>46</v>
      </c>
      <c r="D23" s="41">
        <v>65285000</v>
      </c>
      <c r="E23" s="46">
        <v>4705000</v>
      </c>
      <c r="F23" s="54">
        <v>-1.0349999999999999E-3</v>
      </c>
      <c r="G23" s="54">
        <v>-1.225E-3</v>
      </c>
      <c r="H23" s="46">
        <v>4637430.0250000004</v>
      </c>
      <c r="I23" s="46">
        <v>4625025.875</v>
      </c>
      <c r="J23" s="46">
        <v>-12404.150000000373</v>
      </c>
      <c r="K23" s="47">
        <v>-2.6747896859102196E-3</v>
      </c>
    </row>
    <row r="24" spans="1:11" x14ac:dyDescent="0.2">
      <c r="A24" s="14">
        <v>17</v>
      </c>
      <c r="B24" s="26" t="s">
        <v>106</v>
      </c>
      <c r="C24" s="51">
        <v>49</v>
      </c>
      <c r="D24" s="41">
        <v>517424000</v>
      </c>
      <c r="E24" s="46">
        <v>37046000</v>
      </c>
      <c r="F24" s="54">
        <v>-1.6260000000000001E-3</v>
      </c>
      <c r="G24" s="54">
        <v>-1.3259999999999999E-3</v>
      </c>
      <c r="H24" s="46">
        <v>36204668.575999998</v>
      </c>
      <c r="I24" s="46">
        <v>36359895.776000001</v>
      </c>
      <c r="J24" s="46">
        <v>155227.20000000298</v>
      </c>
      <c r="K24" s="47">
        <v>4.2874912574922116E-3</v>
      </c>
    </row>
    <row r="25" spans="1:11" x14ac:dyDescent="0.2">
      <c r="A25" s="14">
        <v>18</v>
      </c>
      <c r="B25" s="55"/>
      <c r="C25" s="51"/>
      <c r="D25" s="41"/>
      <c r="E25" s="46"/>
      <c r="F25" s="43"/>
      <c r="G25" s="43"/>
      <c r="H25" s="43"/>
      <c r="I25" s="46"/>
      <c r="J25" s="46"/>
      <c r="K25" s="47"/>
    </row>
    <row r="26" spans="1:11" x14ac:dyDescent="0.2">
      <c r="A26" s="14">
        <v>19</v>
      </c>
      <c r="B26" s="29" t="s">
        <v>107</v>
      </c>
      <c r="C26" s="51"/>
      <c r="D26" s="41">
        <v>582709000</v>
      </c>
      <c r="E26" s="46">
        <v>41751000</v>
      </c>
      <c r="F26" s="54">
        <v>-1.5597861007810073E-3</v>
      </c>
      <c r="G26" s="54">
        <v>-1.3146842574938776E-3</v>
      </c>
      <c r="H26" s="41">
        <v>40842098.600999996</v>
      </c>
      <c r="I26" s="41">
        <v>40984921.651000001</v>
      </c>
      <c r="J26" s="46">
        <v>142823.05000000261</v>
      </c>
      <c r="K26" s="47">
        <v>3.4969566915571196E-3</v>
      </c>
    </row>
    <row r="27" spans="1:11" x14ac:dyDescent="0.2">
      <c r="A27" s="14">
        <v>20</v>
      </c>
      <c r="B27" s="55"/>
      <c r="C27" s="51"/>
      <c r="D27" s="41"/>
      <c r="E27" s="46"/>
      <c r="F27" s="43"/>
      <c r="G27" s="43"/>
      <c r="H27" s="43"/>
      <c r="I27" s="46"/>
      <c r="J27" s="46"/>
      <c r="K27" s="47"/>
    </row>
    <row r="28" spans="1:11" x14ac:dyDescent="0.2">
      <c r="A28" s="14">
        <v>21</v>
      </c>
      <c r="B28" s="55" t="s">
        <v>108</v>
      </c>
      <c r="C28" s="51" t="s">
        <v>16</v>
      </c>
      <c r="D28" s="41">
        <v>63689000</v>
      </c>
      <c r="E28" s="46">
        <v>16230000</v>
      </c>
      <c r="F28" s="54">
        <v>-2.036E-3</v>
      </c>
      <c r="G28" s="54">
        <v>-1.438E-3</v>
      </c>
      <c r="H28" s="46">
        <v>16100329.196</v>
      </c>
      <c r="I28" s="46">
        <v>16138415.218</v>
      </c>
      <c r="J28" s="46">
        <v>38086.021999999881</v>
      </c>
      <c r="K28" s="47">
        <v>2.3655430604153146E-3</v>
      </c>
    </row>
    <row r="29" spans="1:11" x14ac:dyDescent="0.2">
      <c r="A29" s="14">
        <v>22</v>
      </c>
      <c r="B29" s="55"/>
      <c r="C29" s="51"/>
      <c r="D29" s="41"/>
      <c r="E29" s="46"/>
      <c r="F29" s="43"/>
      <c r="G29" s="43"/>
      <c r="H29" s="55"/>
      <c r="I29" s="46"/>
      <c r="J29" s="46"/>
      <c r="K29" s="47"/>
    </row>
    <row r="30" spans="1:11" x14ac:dyDescent="0.2">
      <c r="A30" s="14">
        <v>23</v>
      </c>
      <c r="B30" s="30" t="s">
        <v>173</v>
      </c>
      <c r="C30" s="4" t="s">
        <v>174</v>
      </c>
      <c r="D30" s="41">
        <v>7435000</v>
      </c>
      <c r="E30" s="46">
        <v>718000</v>
      </c>
      <c r="F30" s="54">
        <v>-1.761E-3</v>
      </c>
      <c r="G30" s="54">
        <v>-1.3699999999999999E-3</v>
      </c>
      <c r="H30" s="46">
        <v>704906.96499999997</v>
      </c>
      <c r="I30" s="46">
        <v>707814.05</v>
      </c>
      <c r="J30" s="46">
        <v>2907.0850000000792</v>
      </c>
      <c r="K30" s="47">
        <v>4.1240690535666357E-3</v>
      </c>
    </row>
    <row r="31" spans="1:11" x14ac:dyDescent="0.2">
      <c r="A31" s="14">
        <v>24</v>
      </c>
      <c r="B31" s="30"/>
      <c r="C31" s="4"/>
      <c r="D31" s="41"/>
      <c r="E31" s="46"/>
      <c r="F31" s="43"/>
      <c r="G31" s="43"/>
      <c r="H31" s="43"/>
      <c r="I31" s="46"/>
      <c r="J31" s="46"/>
      <c r="K31" s="47"/>
    </row>
    <row r="32" spans="1:11" x14ac:dyDescent="0.2">
      <c r="A32" s="14">
        <v>25</v>
      </c>
      <c r="B32" s="27" t="s">
        <v>109</v>
      </c>
      <c r="C32" s="51"/>
      <c r="D32" s="41">
        <v>20294691000</v>
      </c>
      <c r="E32" s="46">
        <v>2102368000</v>
      </c>
      <c r="F32" s="54">
        <v>-1.8083653070155141E-3</v>
      </c>
      <c r="G32" s="54">
        <v>-1.4546652360149749E-3</v>
      </c>
      <c r="H32" s="46">
        <v>2065667784.8789999</v>
      </c>
      <c r="I32" s="46">
        <v>2072846800.6389999</v>
      </c>
      <c r="J32" s="46">
        <v>7179015.7600000221</v>
      </c>
      <c r="K32" s="47">
        <v>3.4753970665329158E-3</v>
      </c>
    </row>
    <row r="33" spans="1:11" x14ac:dyDescent="0.2">
      <c r="A33" s="14">
        <v>26</v>
      </c>
      <c r="B33" s="29"/>
      <c r="C33" s="51"/>
      <c r="D33" s="41"/>
      <c r="E33" s="46"/>
      <c r="F33" s="43"/>
      <c r="G33" s="43"/>
      <c r="H33" s="43"/>
      <c r="I33" s="46"/>
      <c r="J33" s="46"/>
      <c r="K33" s="47"/>
    </row>
    <row r="34" spans="1:11" x14ac:dyDescent="0.2">
      <c r="A34" s="14">
        <v>27</v>
      </c>
      <c r="B34" s="29" t="s">
        <v>175</v>
      </c>
      <c r="C34" s="51"/>
      <c r="D34" s="41"/>
      <c r="E34" s="46"/>
      <c r="F34" s="46"/>
      <c r="G34" s="43"/>
      <c r="H34" s="43"/>
      <c r="I34" s="46"/>
      <c r="J34" s="46"/>
      <c r="K34" s="47"/>
    </row>
    <row r="35" spans="1:11" x14ac:dyDescent="0.2">
      <c r="A35" s="14">
        <v>28</v>
      </c>
      <c r="B35" s="27" t="s">
        <v>535</v>
      </c>
      <c r="C35" s="4" t="s">
        <v>359</v>
      </c>
      <c r="D35" s="41">
        <v>2468540000</v>
      </c>
      <c r="E35" s="46">
        <v>22194000</v>
      </c>
      <c r="F35" s="46"/>
      <c r="G35" s="43"/>
      <c r="H35" s="46">
        <v>22194000</v>
      </c>
      <c r="I35" s="46">
        <v>22194000</v>
      </c>
      <c r="J35" s="46">
        <v>0</v>
      </c>
      <c r="K35" s="47"/>
    </row>
    <row r="36" spans="1:11" x14ac:dyDescent="0.2">
      <c r="A36" s="14">
        <v>29</v>
      </c>
      <c r="B36" s="29"/>
      <c r="C36" s="51"/>
      <c r="D36" s="41"/>
      <c r="E36" s="46"/>
      <c r="F36" s="46"/>
      <c r="G36" s="43"/>
      <c r="H36" s="43"/>
      <c r="I36" s="46"/>
      <c r="J36" s="46"/>
      <c r="K36" s="47"/>
    </row>
    <row r="37" spans="1:11" x14ac:dyDescent="0.2">
      <c r="A37" s="14">
        <v>30</v>
      </c>
      <c r="B37" s="29" t="s">
        <v>18</v>
      </c>
      <c r="C37" s="51"/>
      <c r="D37" s="41">
        <v>22763231000</v>
      </c>
      <c r="E37" s="46">
        <v>2124562000</v>
      </c>
      <c r="F37" s="46"/>
      <c r="G37" s="43"/>
      <c r="H37" s="46">
        <v>2087861784.8789999</v>
      </c>
      <c r="I37" s="46">
        <v>2095040800.6389999</v>
      </c>
      <c r="J37" s="46">
        <v>7179015.7600000221</v>
      </c>
      <c r="K37" s="47"/>
    </row>
    <row r="38" spans="1:11" ht="13.5" thickBot="1" x14ac:dyDescent="0.25">
      <c r="A38" s="31"/>
      <c r="B38" s="44"/>
      <c r="C38" s="32"/>
      <c r="D38" s="33"/>
      <c r="E38" s="34"/>
      <c r="F38" s="34"/>
      <c r="G38" s="44"/>
      <c r="H38" s="44"/>
      <c r="I38" s="33"/>
      <c r="J38" s="44"/>
      <c r="K38" s="45"/>
    </row>
    <row r="39" spans="1:11" x14ac:dyDescent="0.2">
      <c r="A39" s="51"/>
      <c r="B39" s="55"/>
      <c r="C39" s="51"/>
      <c r="D39" s="41"/>
      <c r="E39" s="41"/>
      <c r="F39" s="41"/>
      <c r="G39" s="55"/>
      <c r="H39" s="55"/>
      <c r="I39" s="41"/>
      <c r="J39" s="46"/>
      <c r="K39" s="55"/>
    </row>
    <row r="40" spans="1:11" x14ac:dyDescent="0.2">
      <c r="G40" s="56"/>
      <c r="I40" s="672"/>
    </row>
  </sheetData>
  <printOptions horizontalCentered="1"/>
  <pageMargins left="0.7" right="0.7" top="0.75" bottom="0.71" header="0.3" footer="0.3"/>
  <pageSetup scale="83"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7"/>
  <sheetViews>
    <sheetView topLeftCell="A7" workbookViewId="0">
      <selection activeCell="I37" sqref="I37"/>
    </sheetView>
  </sheetViews>
  <sheetFormatPr defaultColWidth="8.85546875" defaultRowHeight="12.75" x14ac:dyDescent="0.2"/>
  <cols>
    <col min="1" max="1" width="7.7109375" style="1" bestFit="1" customWidth="1"/>
    <col min="2" max="2" width="30.42578125" style="1" bestFit="1" customWidth="1"/>
    <col min="3" max="3" width="11" style="1" bestFit="1" customWidth="1"/>
    <col min="4" max="5" width="15.140625" style="1" bestFit="1" customWidth="1"/>
    <col min="6" max="7" width="10.85546875" style="1" bestFit="1" customWidth="1"/>
    <col min="8" max="9" width="15.140625" style="1" bestFit="1" customWidth="1"/>
    <col min="10" max="10" width="13.28515625" style="1" bestFit="1" customWidth="1"/>
    <col min="11" max="11" width="12.42578125" style="1" customWidth="1"/>
    <col min="12" max="16384" width="8.85546875" style="1"/>
  </cols>
  <sheetData>
    <row r="1" spans="1:11" x14ac:dyDescent="0.2">
      <c r="A1" s="321"/>
      <c r="B1" s="9" t="s">
        <v>202</v>
      </c>
      <c r="C1" s="9"/>
      <c r="D1" s="36"/>
      <c r="E1" s="36"/>
      <c r="F1" s="9"/>
      <c r="G1" s="9"/>
      <c r="H1" s="36"/>
      <c r="I1" s="36"/>
      <c r="J1" s="9"/>
      <c r="K1" s="10"/>
    </row>
    <row r="2" spans="1:11" x14ac:dyDescent="0.2">
      <c r="A2" s="322"/>
      <c r="B2" s="12" t="s">
        <v>113</v>
      </c>
      <c r="C2" s="12"/>
      <c r="D2" s="39"/>
      <c r="E2" s="39"/>
      <c r="F2" s="12"/>
      <c r="G2" s="12"/>
      <c r="H2" s="39"/>
      <c r="I2" s="39"/>
      <c r="J2" s="12"/>
      <c r="K2" s="13"/>
    </row>
    <row r="3" spans="1:11" x14ac:dyDescent="0.2">
      <c r="A3" s="322"/>
      <c r="B3" s="55"/>
      <c r="C3" s="51"/>
      <c r="D3" s="41"/>
      <c r="E3" s="41"/>
      <c r="F3" s="55"/>
      <c r="G3" s="55"/>
      <c r="H3" s="41"/>
      <c r="I3" s="41"/>
      <c r="J3" s="55"/>
      <c r="K3" s="42"/>
    </row>
    <row r="4" spans="1:11" ht="63.75" x14ac:dyDescent="0.2">
      <c r="A4" s="323" t="s">
        <v>3</v>
      </c>
      <c r="B4" s="324" t="s">
        <v>83</v>
      </c>
      <c r="C4" s="324" t="s">
        <v>114</v>
      </c>
      <c r="D4" s="325" t="s">
        <v>537</v>
      </c>
      <c r="E4" s="325" t="s">
        <v>538</v>
      </c>
      <c r="F4" s="52" t="s">
        <v>539</v>
      </c>
      <c r="G4" s="52" t="s">
        <v>540</v>
      </c>
      <c r="H4" s="325" t="s">
        <v>375</v>
      </c>
      <c r="I4" s="325" t="s">
        <v>541</v>
      </c>
      <c r="J4" s="52" t="s">
        <v>376</v>
      </c>
      <c r="K4" s="326" t="s">
        <v>377</v>
      </c>
    </row>
    <row r="5" spans="1:11" x14ac:dyDescent="0.2">
      <c r="A5" s="15"/>
      <c r="B5" s="53"/>
      <c r="C5" s="53"/>
      <c r="D5" s="327" t="s">
        <v>84</v>
      </c>
      <c r="E5" s="327" t="s">
        <v>85</v>
      </c>
      <c r="F5" s="53" t="s">
        <v>86</v>
      </c>
      <c r="G5" s="53" t="s">
        <v>87</v>
      </c>
      <c r="H5" s="16" t="s">
        <v>88</v>
      </c>
      <c r="I5" s="327" t="s">
        <v>89</v>
      </c>
      <c r="J5" s="53" t="s">
        <v>90</v>
      </c>
      <c r="K5" s="328" t="s">
        <v>91</v>
      </c>
    </row>
    <row r="6" spans="1:11" x14ac:dyDescent="0.2">
      <c r="A6" s="14">
        <v>1</v>
      </c>
      <c r="B6" s="55"/>
      <c r="C6" s="51"/>
      <c r="D6" s="329"/>
      <c r="E6" s="329"/>
      <c r="F6" s="330"/>
      <c r="G6" s="330"/>
      <c r="H6" s="329"/>
      <c r="I6" s="329"/>
      <c r="J6" s="330"/>
      <c r="K6" s="331"/>
    </row>
    <row r="7" spans="1:11" x14ac:dyDescent="0.2">
      <c r="A7" s="14">
        <v>2</v>
      </c>
      <c r="B7" s="29" t="s">
        <v>11</v>
      </c>
      <c r="C7" s="51">
        <v>7</v>
      </c>
      <c r="D7" s="329">
        <v>10836904000</v>
      </c>
      <c r="E7" s="332">
        <v>1129947000</v>
      </c>
      <c r="F7" s="333">
        <v>4.6589999999999999E-3</v>
      </c>
      <c r="G7" s="333">
        <v>3.8249999999999998E-3</v>
      </c>
      <c r="H7" s="332">
        <v>1180436135.7360001</v>
      </c>
      <c r="I7" s="332">
        <v>1171398157.8</v>
      </c>
      <c r="J7" s="332">
        <v>-9037977.9360001087</v>
      </c>
      <c r="K7" s="334">
        <v>-7.6564734528098326E-3</v>
      </c>
    </row>
    <row r="8" spans="1:11" x14ac:dyDescent="0.2">
      <c r="A8" s="14">
        <v>3</v>
      </c>
      <c r="B8" s="29"/>
      <c r="C8" s="51"/>
      <c r="D8" s="329"/>
      <c r="E8" s="332"/>
      <c r="F8" s="333"/>
      <c r="G8" s="333"/>
      <c r="H8" s="332"/>
      <c r="I8" s="332"/>
      <c r="J8" s="332"/>
      <c r="K8" s="334"/>
    </row>
    <row r="9" spans="1:11" x14ac:dyDescent="0.2">
      <c r="A9" s="14">
        <v>4</v>
      </c>
      <c r="B9" s="26" t="s">
        <v>92</v>
      </c>
      <c r="C9" s="4" t="s">
        <v>196</v>
      </c>
      <c r="D9" s="329">
        <v>2675945000</v>
      </c>
      <c r="E9" s="332">
        <v>281269000</v>
      </c>
      <c r="F9" s="333">
        <v>4.3189999999999999E-3</v>
      </c>
      <c r="G9" s="333">
        <v>3.8500000000000001E-3</v>
      </c>
      <c r="H9" s="332">
        <v>292826406.45499998</v>
      </c>
      <c r="I9" s="332">
        <v>291571388.25</v>
      </c>
      <c r="J9" s="332">
        <v>-1255018.2049999833</v>
      </c>
      <c r="K9" s="334">
        <v>-4.2858778352451894E-3</v>
      </c>
    </row>
    <row r="10" spans="1:11" x14ac:dyDescent="0.2">
      <c r="A10" s="14">
        <v>5</v>
      </c>
      <c r="B10" s="27" t="s">
        <v>94</v>
      </c>
      <c r="C10" s="4" t="s">
        <v>197</v>
      </c>
      <c r="D10" s="329">
        <v>2841443000</v>
      </c>
      <c r="E10" s="332">
        <v>268955000</v>
      </c>
      <c r="F10" s="333">
        <v>4.0969999999999999E-3</v>
      </c>
      <c r="G10" s="333">
        <v>4.0879999999999996E-3</v>
      </c>
      <c r="H10" s="332">
        <v>280596391.97100002</v>
      </c>
      <c r="I10" s="332">
        <v>280570818.98400003</v>
      </c>
      <c r="J10" s="332">
        <v>-25572.986999988556</v>
      </c>
      <c r="K10" s="334">
        <v>-9.1137975154832201E-5</v>
      </c>
    </row>
    <row r="11" spans="1:11" x14ac:dyDescent="0.2">
      <c r="A11" s="14">
        <v>6</v>
      </c>
      <c r="B11" s="27" t="s">
        <v>96</v>
      </c>
      <c r="C11" s="4" t="s">
        <v>198</v>
      </c>
      <c r="D11" s="329">
        <v>1673580000</v>
      </c>
      <c r="E11" s="332">
        <v>146893000</v>
      </c>
      <c r="F11" s="333">
        <v>4.522E-3</v>
      </c>
      <c r="G11" s="333">
        <v>4.1999999999999997E-3</v>
      </c>
      <c r="H11" s="332">
        <v>154460928.75999999</v>
      </c>
      <c r="I11" s="332">
        <v>153922036</v>
      </c>
      <c r="J11" s="332">
        <v>-538892.75999999046</v>
      </c>
      <c r="K11" s="334">
        <v>-3.4888613212815597E-3</v>
      </c>
    </row>
    <row r="12" spans="1:11" x14ac:dyDescent="0.2">
      <c r="A12" s="14">
        <v>7</v>
      </c>
      <c r="B12" s="27" t="s">
        <v>98</v>
      </c>
      <c r="C12" s="51">
        <v>29</v>
      </c>
      <c r="D12" s="329">
        <v>14601000</v>
      </c>
      <c r="E12" s="332">
        <v>1095000</v>
      </c>
      <c r="F12" s="333">
        <v>3.3349999999999999E-3</v>
      </c>
      <c r="G12" s="333">
        <v>3.4199999999999999E-3</v>
      </c>
      <c r="H12" s="332">
        <v>1143694.335</v>
      </c>
      <c r="I12" s="332">
        <v>1144935.42</v>
      </c>
      <c r="J12" s="332">
        <v>1241.0849999999627</v>
      </c>
      <c r="K12" s="334">
        <v>1.0851544525661769E-3</v>
      </c>
    </row>
    <row r="13" spans="1:11" x14ac:dyDescent="0.2">
      <c r="A13" s="14">
        <v>8</v>
      </c>
      <c r="B13" s="29"/>
      <c r="C13" s="51"/>
      <c r="D13" s="329"/>
      <c r="E13" s="332"/>
      <c r="F13" s="333"/>
      <c r="G13" s="333"/>
      <c r="H13" s="332"/>
      <c r="I13" s="332"/>
      <c r="J13" s="332"/>
      <c r="K13" s="334"/>
    </row>
    <row r="14" spans="1:11" x14ac:dyDescent="0.2">
      <c r="A14" s="14">
        <v>9</v>
      </c>
      <c r="B14" s="29" t="s">
        <v>99</v>
      </c>
      <c r="C14" s="51"/>
      <c r="D14" s="329">
        <v>7205569000</v>
      </c>
      <c r="E14" s="332">
        <v>698212000</v>
      </c>
      <c r="F14" s="333">
        <v>4.2770000000000004E-3</v>
      </c>
      <c r="G14" s="333">
        <v>4.0239999999999998E-3</v>
      </c>
      <c r="H14" s="332">
        <v>729027421.52100003</v>
      </c>
      <c r="I14" s="332">
        <v>727209178.65399992</v>
      </c>
      <c r="J14" s="332">
        <v>-1818242.8669999624</v>
      </c>
      <c r="K14" s="334">
        <v>-2.4940664964377981E-3</v>
      </c>
    </row>
    <row r="15" spans="1:11" x14ac:dyDescent="0.2">
      <c r="A15" s="14">
        <v>10</v>
      </c>
      <c r="B15" s="29"/>
      <c r="C15" s="51"/>
      <c r="D15" s="329"/>
      <c r="E15" s="332"/>
      <c r="F15" s="333"/>
      <c r="G15" s="333"/>
      <c r="H15" s="332"/>
      <c r="I15" s="332"/>
      <c r="J15" s="332"/>
      <c r="K15" s="334"/>
    </row>
    <row r="16" spans="1:11" x14ac:dyDescent="0.2">
      <c r="A16" s="14">
        <v>11</v>
      </c>
      <c r="B16" s="27" t="s">
        <v>100</v>
      </c>
      <c r="C16" s="4" t="s">
        <v>199</v>
      </c>
      <c r="D16" s="329">
        <v>1279393000</v>
      </c>
      <c r="E16" s="332">
        <v>111222000</v>
      </c>
      <c r="F16" s="333">
        <v>4.0509999999999999E-3</v>
      </c>
      <c r="G16" s="333">
        <v>3.8219999999999999E-3</v>
      </c>
      <c r="H16" s="332">
        <v>116404821.043</v>
      </c>
      <c r="I16" s="332">
        <v>116111840.046</v>
      </c>
      <c r="J16" s="332">
        <v>-292980.99699999392</v>
      </c>
      <c r="K16" s="334">
        <v>-2.5169146292640799E-3</v>
      </c>
    </row>
    <row r="17" spans="1:11" x14ac:dyDescent="0.2">
      <c r="A17" s="14">
        <v>12</v>
      </c>
      <c r="B17" s="27" t="s">
        <v>102</v>
      </c>
      <c r="C17" s="51">
        <v>35</v>
      </c>
      <c r="D17" s="329">
        <v>4334000</v>
      </c>
      <c r="E17" s="332">
        <v>249000</v>
      </c>
      <c r="F17" s="333">
        <v>3.1869999999999997E-3</v>
      </c>
      <c r="G17" s="333">
        <v>2.8170000000000001E-3</v>
      </c>
      <c r="H17" s="332">
        <v>262812.45799999998</v>
      </c>
      <c r="I17" s="332">
        <v>261208.878</v>
      </c>
      <c r="J17" s="332">
        <v>-1603.5799999999872</v>
      </c>
      <c r="K17" s="334">
        <v>-6.1016133413279343E-3</v>
      </c>
    </row>
    <row r="18" spans="1:11" x14ac:dyDescent="0.2">
      <c r="A18" s="14">
        <v>13</v>
      </c>
      <c r="B18" s="27" t="s">
        <v>103</v>
      </c>
      <c r="C18" s="51">
        <v>43</v>
      </c>
      <c r="D18" s="329">
        <v>110092000</v>
      </c>
      <c r="E18" s="332">
        <v>10245000</v>
      </c>
      <c r="F18" s="333">
        <v>3.362E-3</v>
      </c>
      <c r="G18" s="333">
        <v>3.0660000000000001E-3</v>
      </c>
      <c r="H18" s="332">
        <v>10615129.304</v>
      </c>
      <c r="I18" s="332">
        <v>10582542.072000001</v>
      </c>
      <c r="J18" s="332">
        <v>-32587.231999998912</v>
      </c>
      <c r="K18" s="334">
        <v>-3.0698855441845039E-3</v>
      </c>
    </row>
    <row r="19" spans="1:11" x14ac:dyDescent="0.2">
      <c r="A19" s="14">
        <v>14</v>
      </c>
      <c r="B19" s="29"/>
      <c r="C19" s="51"/>
      <c r="D19" s="329"/>
      <c r="E19" s="332"/>
      <c r="F19" s="333"/>
      <c r="G19" s="333"/>
      <c r="H19" s="332"/>
      <c r="I19" s="332"/>
      <c r="J19" s="332"/>
      <c r="K19" s="334"/>
    </row>
    <row r="20" spans="1:11" x14ac:dyDescent="0.2">
      <c r="A20" s="14">
        <v>15</v>
      </c>
      <c r="B20" s="28" t="s">
        <v>104</v>
      </c>
      <c r="C20" s="51"/>
      <c r="D20" s="329">
        <v>1393819000</v>
      </c>
      <c r="E20" s="332">
        <v>121716000</v>
      </c>
      <c r="F20" s="333">
        <v>3.9940000000000002E-3</v>
      </c>
      <c r="G20" s="333">
        <v>3.7590000000000002E-3</v>
      </c>
      <c r="H20" s="332">
        <v>127282762.80500001</v>
      </c>
      <c r="I20" s="332">
        <v>126955590.99600001</v>
      </c>
      <c r="J20" s="332">
        <v>-327171.80899999279</v>
      </c>
      <c r="K20" s="334">
        <v>-2.5704329619339519E-3</v>
      </c>
    </row>
    <row r="21" spans="1:11" x14ac:dyDescent="0.2">
      <c r="A21" s="14">
        <v>16</v>
      </c>
      <c r="B21" s="29"/>
      <c r="C21" s="51"/>
      <c r="D21" s="329"/>
      <c r="E21" s="332"/>
      <c r="F21" s="333"/>
      <c r="G21" s="333"/>
      <c r="H21" s="332"/>
      <c r="I21" s="332"/>
      <c r="J21" s="332"/>
      <c r="K21" s="334"/>
    </row>
    <row r="22" spans="1:11" x14ac:dyDescent="0.2">
      <c r="A22" s="14">
        <v>17</v>
      </c>
      <c r="B22" s="27" t="s">
        <v>105</v>
      </c>
      <c r="C22" s="51">
        <v>46</v>
      </c>
      <c r="D22" s="329">
        <v>64495000</v>
      </c>
      <c r="E22" s="332">
        <v>4522000</v>
      </c>
      <c r="F22" s="333">
        <v>2.5489999999999996E-3</v>
      </c>
      <c r="G22" s="333">
        <v>3.5590000000000001E-3</v>
      </c>
      <c r="H22" s="332">
        <v>4686397.7549999999</v>
      </c>
      <c r="I22" s="332">
        <v>4751537.7050000001</v>
      </c>
      <c r="J22" s="332">
        <v>65139.950000000186</v>
      </c>
      <c r="K22" s="334">
        <v>1.3899791141394524E-2</v>
      </c>
    </row>
    <row r="23" spans="1:11" x14ac:dyDescent="0.2">
      <c r="A23" s="14">
        <v>18</v>
      </c>
      <c r="B23" s="26" t="s">
        <v>106</v>
      </c>
      <c r="C23" s="51">
        <v>49</v>
      </c>
      <c r="D23" s="329">
        <v>512961000</v>
      </c>
      <c r="E23" s="332">
        <v>35019000</v>
      </c>
      <c r="F23" s="333">
        <v>4.0000000000000001E-3</v>
      </c>
      <c r="G23" s="333">
        <v>3.49E-3</v>
      </c>
      <c r="H23" s="332">
        <v>37070844</v>
      </c>
      <c r="I23" s="332">
        <v>36809233.890000001</v>
      </c>
      <c r="J23" s="332">
        <v>-261610.1099999994</v>
      </c>
      <c r="K23" s="334">
        <v>-7.0570313964257031E-3</v>
      </c>
    </row>
    <row r="24" spans="1:11" x14ac:dyDescent="0.2">
      <c r="A24" s="14">
        <v>19</v>
      </c>
      <c r="B24" s="29"/>
      <c r="C24" s="51"/>
      <c r="D24" s="329"/>
      <c r="E24" s="332"/>
      <c r="F24" s="333"/>
      <c r="G24" s="333"/>
      <c r="H24" s="332"/>
      <c r="I24" s="332"/>
      <c r="J24" s="332"/>
      <c r="K24" s="334"/>
    </row>
    <row r="25" spans="1:11" x14ac:dyDescent="0.2">
      <c r="A25" s="14">
        <v>20</v>
      </c>
      <c r="B25" s="29" t="s">
        <v>107</v>
      </c>
      <c r="C25" s="51"/>
      <c r="D25" s="329">
        <v>577456000</v>
      </c>
      <c r="E25" s="332">
        <v>39541000</v>
      </c>
      <c r="F25" s="333">
        <v>3.8379999999999998E-3</v>
      </c>
      <c r="G25" s="333">
        <v>3.4979999999999998E-3</v>
      </c>
      <c r="H25" s="329">
        <v>41757241.755000003</v>
      </c>
      <c r="I25" s="329">
        <v>41560771.594999999</v>
      </c>
      <c r="J25" s="332">
        <v>-196470.15999999922</v>
      </c>
      <c r="K25" s="334">
        <v>-4.7050559793373791E-3</v>
      </c>
    </row>
    <row r="26" spans="1:11" x14ac:dyDescent="0.2">
      <c r="A26" s="14">
        <v>21</v>
      </c>
      <c r="B26" s="29"/>
      <c r="C26" s="51"/>
      <c r="D26" s="329"/>
      <c r="E26" s="332"/>
      <c r="F26" s="333"/>
      <c r="G26" s="333"/>
      <c r="H26" s="332"/>
      <c r="I26" s="332"/>
      <c r="J26" s="332"/>
      <c r="K26" s="334"/>
    </row>
    <row r="27" spans="1:11" x14ac:dyDescent="0.2">
      <c r="A27" s="14">
        <v>22</v>
      </c>
      <c r="B27" s="29" t="s">
        <v>200</v>
      </c>
      <c r="C27" s="51" t="s">
        <v>111</v>
      </c>
      <c r="D27" s="329">
        <v>1999367000</v>
      </c>
      <c r="E27" s="332">
        <v>10085000</v>
      </c>
      <c r="F27" s="333">
        <v>1.047E-3</v>
      </c>
      <c r="G27" s="333">
        <v>1.047E-3</v>
      </c>
      <c r="H27" s="332">
        <v>12178337.249</v>
      </c>
      <c r="I27" s="332">
        <v>12178337.249</v>
      </c>
      <c r="J27" s="332">
        <v>0</v>
      </c>
      <c r="K27" s="334">
        <v>0</v>
      </c>
    </row>
    <row r="28" spans="1:11" x14ac:dyDescent="0.2">
      <c r="A28" s="14">
        <v>23</v>
      </c>
      <c r="B28" s="29"/>
      <c r="C28" s="51"/>
      <c r="D28" s="329"/>
      <c r="E28" s="332"/>
      <c r="F28" s="333"/>
      <c r="G28" s="333"/>
      <c r="H28" s="332"/>
      <c r="I28" s="332"/>
      <c r="J28" s="332"/>
      <c r="K28" s="334"/>
    </row>
    <row r="29" spans="1:11" x14ac:dyDescent="0.2">
      <c r="A29" s="14">
        <v>24</v>
      </c>
      <c r="B29" s="29" t="s">
        <v>265</v>
      </c>
      <c r="C29" s="51" t="s">
        <v>347</v>
      </c>
      <c r="D29" s="329">
        <v>480416000</v>
      </c>
      <c r="E29" s="332">
        <v>8077000</v>
      </c>
      <c r="F29" s="333">
        <v>4.1050000000000001E-3</v>
      </c>
      <c r="G29" s="333">
        <v>2.2720000000000001E-3</v>
      </c>
      <c r="H29" s="332">
        <v>10049107.68</v>
      </c>
      <c r="I29" s="332">
        <v>9168505.1520000007</v>
      </c>
      <c r="J29" s="332">
        <v>-880602.527999999</v>
      </c>
      <c r="K29" s="334">
        <v>-8.7629922580349837E-2</v>
      </c>
    </row>
    <row r="30" spans="1:11" x14ac:dyDescent="0.2">
      <c r="A30" s="14">
        <v>25</v>
      </c>
      <c r="B30" s="29"/>
      <c r="C30" s="51"/>
      <c r="D30" s="329"/>
      <c r="E30" s="332"/>
      <c r="F30" s="333"/>
      <c r="G30" s="333"/>
      <c r="H30" s="332"/>
      <c r="I30" s="332"/>
      <c r="J30" s="332"/>
      <c r="K30" s="334"/>
    </row>
    <row r="31" spans="1:11" x14ac:dyDescent="0.2">
      <c r="A31" s="14">
        <v>26</v>
      </c>
      <c r="B31" s="55" t="s">
        <v>108</v>
      </c>
      <c r="C31" s="4" t="s">
        <v>16</v>
      </c>
      <c r="D31" s="329">
        <v>62835000</v>
      </c>
      <c r="E31" s="332">
        <v>15746000</v>
      </c>
      <c r="F31" s="333">
        <v>5.006E-3</v>
      </c>
      <c r="G31" s="333">
        <v>3.607E-3</v>
      </c>
      <c r="H31" s="332">
        <v>16060552.01</v>
      </c>
      <c r="I31" s="332">
        <v>15972645.845000001</v>
      </c>
      <c r="J31" s="332">
        <v>-87906.164999999106</v>
      </c>
      <c r="K31" s="334">
        <v>-5.473421146749184E-3</v>
      </c>
    </row>
    <row r="32" spans="1:11" x14ac:dyDescent="0.2">
      <c r="A32" s="14">
        <v>27</v>
      </c>
      <c r="B32" s="29"/>
      <c r="C32" s="51"/>
      <c r="D32" s="329"/>
      <c r="E32" s="332"/>
      <c r="F32" s="333"/>
      <c r="G32" s="333"/>
      <c r="H32" s="332"/>
      <c r="I32" s="332"/>
      <c r="J32" s="332"/>
      <c r="K32" s="334"/>
    </row>
    <row r="33" spans="1:11" x14ac:dyDescent="0.2">
      <c r="A33" s="14">
        <v>28</v>
      </c>
      <c r="B33" s="29" t="s">
        <v>18</v>
      </c>
      <c r="C33" s="51"/>
      <c r="D33" s="329">
        <v>22556366000</v>
      </c>
      <c r="E33" s="332">
        <v>2023324000</v>
      </c>
      <c r="F33" s="333">
        <v>4.1440000000000001E-3</v>
      </c>
      <c r="G33" s="333">
        <v>3.5959999999999998E-3</v>
      </c>
      <c r="H33" s="332">
        <v>2116791558.7560003</v>
      </c>
      <c r="I33" s="332">
        <v>2104443187.2910001</v>
      </c>
      <c r="J33" s="332">
        <v>-12348371.465000061</v>
      </c>
      <c r="K33" s="334">
        <v>-5.8335320801529335E-3</v>
      </c>
    </row>
    <row r="34" spans="1:11" ht="13.5" thickBot="1" x14ac:dyDescent="0.25">
      <c r="A34" s="335"/>
      <c r="B34" s="44"/>
      <c r="C34" s="32"/>
      <c r="D34" s="336"/>
      <c r="E34" s="336"/>
      <c r="F34" s="337"/>
      <c r="G34" s="338"/>
      <c r="H34" s="336"/>
      <c r="I34" s="336"/>
      <c r="J34" s="338"/>
      <c r="K34" s="339"/>
    </row>
    <row r="35" spans="1:11" x14ac:dyDescent="0.2">
      <c r="A35" s="55"/>
      <c r="B35" s="55"/>
      <c r="C35" s="51"/>
      <c r="D35" s="41"/>
      <c r="E35" s="41"/>
      <c r="F35" s="55"/>
      <c r="G35" s="55"/>
      <c r="H35" s="41"/>
      <c r="I35" s="41"/>
      <c r="J35" s="55"/>
      <c r="K35" s="55"/>
    </row>
    <row r="36" spans="1:11" x14ac:dyDescent="0.2">
      <c r="A36" s="55"/>
      <c r="B36" s="639"/>
      <c r="C36" s="639"/>
      <c r="D36" s="639"/>
      <c r="E36" s="639"/>
      <c r="F36" s="639"/>
      <c r="G36" s="639"/>
      <c r="H36" s="639"/>
      <c r="I36" s="639"/>
      <c r="J36" s="639"/>
      <c r="K36" s="639"/>
    </row>
    <row r="37" spans="1:11" x14ac:dyDescent="0.2">
      <c r="I37" s="672">
        <f>+I33-E33</f>
        <v>81119187.291000128</v>
      </c>
    </row>
  </sheetData>
  <mergeCells count="1">
    <mergeCell ref="B36:K36"/>
  </mergeCells>
  <printOptions horizontalCentered="1"/>
  <pageMargins left="0.7" right="0.7" top="0.75" bottom="0.71" header="0.3" footer="0.3"/>
  <pageSetup scale="79"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zoomScale="80" zoomScaleNormal="80" workbookViewId="0">
      <pane xSplit="3" ySplit="7" topLeftCell="D8" activePane="bottomRight" state="frozen"/>
      <selection activeCell="G8" sqref="G8"/>
      <selection pane="topRight" activeCell="G8" sqref="G8"/>
      <selection pane="bottomLeft" activeCell="G8" sqref="G8"/>
      <selection pane="bottomRight" sqref="A1:L44"/>
    </sheetView>
  </sheetViews>
  <sheetFormatPr defaultColWidth="8.85546875" defaultRowHeight="12.75" x14ac:dyDescent="0.2"/>
  <cols>
    <col min="1" max="1" width="7.7109375" style="1" bestFit="1" customWidth="1"/>
    <col min="2" max="2" width="22.5703125" style="1" customWidth="1"/>
    <col min="3" max="3" width="11.5703125" style="1" bestFit="1" customWidth="1"/>
    <col min="4" max="5" width="16.5703125" style="1" bestFit="1" customWidth="1"/>
    <col min="6" max="6" width="12.28515625" style="1" bestFit="1" customWidth="1"/>
    <col min="7" max="7" width="11.7109375" style="1" bestFit="1" customWidth="1"/>
    <col min="8" max="8" width="14.42578125" style="1" bestFit="1" customWidth="1"/>
    <col min="9" max="10" width="18.5703125" style="1" bestFit="1" customWidth="1"/>
    <col min="11" max="11" width="14" style="1" bestFit="1" customWidth="1"/>
    <col min="12" max="12" width="10" style="1" bestFit="1" customWidth="1"/>
    <col min="13" max="16384" width="8.85546875" style="1"/>
  </cols>
  <sheetData>
    <row r="1" spans="1:12" x14ac:dyDescent="0.2">
      <c r="A1" s="49" t="s">
        <v>386</v>
      </c>
      <c r="B1" s="57"/>
      <c r="C1" s="35"/>
      <c r="D1" s="36"/>
      <c r="E1" s="36"/>
      <c r="F1" s="35"/>
      <c r="G1" s="35"/>
      <c r="H1" s="35"/>
      <c r="I1" s="36"/>
      <c r="J1" s="36"/>
      <c r="K1" s="35"/>
      <c r="L1" s="37"/>
    </row>
    <row r="2" spans="1:12" x14ac:dyDescent="0.2">
      <c r="A2" s="50" t="s">
        <v>115</v>
      </c>
      <c r="B2" s="58"/>
      <c r="C2" s="38"/>
      <c r="D2" s="39"/>
      <c r="E2" s="39"/>
      <c r="F2" s="38"/>
      <c r="G2" s="38"/>
      <c r="H2" s="38"/>
      <c r="I2" s="39"/>
      <c r="J2" s="39"/>
      <c r="K2" s="38"/>
      <c r="L2" s="40"/>
    </row>
    <row r="3" spans="1:12" x14ac:dyDescent="0.2">
      <c r="A3" s="50" t="s">
        <v>116</v>
      </c>
      <c r="B3" s="58"/>
      <c r="C3" s="38"/>
      <c r="D3" s="39"/>
      <c r="E3" s="39"/>
      <c r="F3" s="38"/>
      <c r="G3" s="38"/>
      <c r="H3" s="38"/>
      <c r="I3" s="39"/>
      <c r="J3" s="39"/>
      <c r="K3" s="38"/>
      <c r="L3" s="40"/>
    </row>
    <row r="4" spans="1:12" x14ac:dyDescent="0.2">
      <c r="A4" s="50" t="s">
        <v>387</v>
      </c>
      <c r="B4" s="58"/>
      <c r="C4" s="38"/>
      <c r="D4" s="39"/>
      <c r="E4" s="39"/>
      <c r="F4" s="38"/>
      <c r="G4" s="38"/>
      <c r="H4" s="38"/>
      <c r="I4" s="39"/>
      <c r="J4" s="39"/>
      <c r="K4" s="38"/>
      <c r="L4" s="40"/>
    </row>
    <row r="5" spans="1:12" x14ac:dyDescent="0.2">
      <c r="A5" s="50"/>
      <c r="B5" s="58"/>
      <c r="C5" s="38"/>
      <c r="D5" s="39"/>
      <c r="E5" s="39"/>
      <c r="F5" s="38"/>
      <c r="G5" s="38"/>
      <c r="H5" s="38"/>
      <c r="I5" s="39"/>
      <c r="J5" s="39"/>
      <c r="K5" s="38"/>
      <c r="L5" s="40"/>
    </row>
    <row r="6" spans="1:12" ht="104.25" customHeight="1" thickBot="1" x14ac:dyDescent="0.25">
      <c r="A6" s="59" t="s">
        <v>3</v>
      </c>
      <c r="B6" s="60" t="s">
        <v>117</v>
      </c>
      <c r="C6" s="60" t="s">
        <v>118</v>
      </c>
      <c r="D6" s="281" t="s">
        <v>388</v>
      </c>
      <c r="E6" s="281" t="s">
        <v>389</v>
      </c>
      <c r="F6" s="62" t="s">
        <v>390</v>
      </c>
      <c r="G6" s="62" t="s">
        <v>391</v>
      </c>
      <c r="H6" s="62" t="s">
        <v>119</v>
      </c>
      <c r="I6" s="61" t="s">
        <v>392</v>
      </c>
      <c r="J6" s="61" t="s">
        <v>393</v>
      </c>
      <c r="K6" s="62" t="s">
        <v>120</v>
      </c>
      <c r="L6" s="63" t="s">
        <v>121</v>
      </c>
    </row>
    <row r="7" spans="1:12" ht="26.25" thickBot="1" x14ac:dyDescent="0.25">
      <c r="A7" s="59"/>
      <c r="B7" s="60"/>
      <c r="C7" s="60"/>
      <c r="D7" s="64" t="s">
        <v>122</v>
      </c>
      <c r="E7" s="64" t="s">
        <v>123</v>
      </c>
      <c r="F7" s="60" t="s">
        <v>124</v>
      </c>
      <c r="G7" s="60" t="s">
        <v>125</v>
      </c>
      <c r="H7" s="62" t="s">
        <v>126</v>
      </c>
      <c r="I7" s="61" t="s">
        <v>127</v>
      </c>
      <c r="J7" s="61" t="s">
        <v>128</v>
      </c>
      <c r="K7" s="62" t="s">
        <v>129</v>
      </c>
      <c r="L7" s="63" t="s">
        <v>130</v>
      </c>
    </row>
    <row r="8" spans="1:12" x14ac:dyDescent="0.2">
      <c r="A8" s="65"/>
      <c r="B8" s="66"/>
      <c r="C8" s="67"/>
      <c r="D8" s="270"/>
      <c r="E8" s="270"/>
      <c r="F8" s="271"/>
      <c r="G8" s="271"/>
      <c r="H8" s="271"/>
      <c r="I8" s="270"/>
      <c r="J8" s="270"/>
      <c r="K8" s="271"/>
      <c r="L8" s="272"/>
    </row>
    <row r="9" spans="1:12" x14ac:dyDescent="0.2">
      <c r="A9" s="65">
        <v>1</v>
      </c>
      <c r="B9" s="68" t="s">
        <v>11</v>
      </c>
      <c r="C9" s="252">
        <v>7</v>
      </c>
      <c r="D9" s="283">
        <v>10986375000</v>
      </c>
      <c r="E9" s="284">
        <v>1136695000</v>
      </c>
      <c r="F9" s="285">
        <v>1.0679999999999999E-3</v>
      </c>
      <c r="G9" s="285">
        <v>1.0640000000000001E-3</v>
      </c>
      <c r="H9" s="285">
        <v>-3.9999999999998804E-6</v>
      </c>
      <c r="I9" s="284">
        <v>1148428448.5</v>
      </c>
      <c r="J9" s="284">
        <v>1148384503</v>
      </c>
      <c r="K9" s="284">
        <v>-43945.5</v>
      </c>
      <c r="L9" s="286">
        <v>-3.826577098242268E-5</v>
      </c>
    </row>
    <row r="10" spans="1:12" x14ac:dyDescent="0.2">
      <c r="A10" s="65">
        <v>2</v>
      </c>
      <c r="B10" s="68"/>
      <c r="C10" s="252"/>
      <c r="D10" s="270"/>
      <c r="E10" s="273"/>
      <c r="F10" s="276"/>
      <c r="G10" s="276"/>
      <c r="H10" s="274" t="s">
        <v>19</v>
      </c>
      <c r="I10" s="273"/>
      <c r="J10" s="273"/>
      <c r="K10" s="273"/>
      <c r="L10" s="275"/>
    </row>
    <row r="11" spans="1:12" x14ac:dyDescent="0.2">
      <c r="A11" s="65">
        <v>3</v>
      </c>
      <c r="B11" s="69" t="s">
        <v>92</v>
      </c>
      <c r="C11" s="253" t="s">
        <v>131</v>
      </c>
      <c r="D11" s="283">
        <v>2694981000</v>
      </c>
      <c r="E11" s="284">
        <v>281751000</v>
      </c>
      <c r="F11" s="285">
        <v>1.026E-3</v>
      </c>
      <c r="G11" s="285">
        <v>1.0150000000000001E-3</v>
      </c>
      <c r="H11" s="285">
        <v>-1.0999999999999942E-5</v>
      </c>
      <c r="I11" s="284">
        <v>284516050.50599998</v>
      </c>
      <c r="J11" s="284">
        <v>284486405.71499997</v>
      </c>
      <c r="K11" s="284">
        <v>-29644.791000008583</v>
      </c>
      <c r="L11" s="286">
        <v>-1.0419373862137673E-4</v>
      </c>
    </row>
    <row r="12" spans="1:12" x14ac:dyDescent="0.2">
      <c r="A12" s="65">
        <v>4</v>
      </c>
      <c r="B12" s="69" t="s">
        <v>94</v>
      </c>
      <c r="C12" s="253" t="s">
        <v>132</v>
      </c>
      <c r="D12" s="283">
        <v>2860305000</v>
      </c>
      <c r="E12" s="284">
        <v>270311000</v>
      </c>
      <c r="F12" s="285">
        <v>9.1699999999999995E-4</v>
      </c>
      <c r="G12" s="285">
        <v>9.1500000000000001E-4</v>
      </c>
      <c r="H12" s="285">
        <v>-1.9999999999999402E-6</v>
      </c>
      <c r="I12" s="284">
        <v>272933899.685</v>
      </c>
      <c r="J12" s="284">
        <v>272928179.07499999</v>
      </c>
      <c r="K12" s="284">
        <v>-5720.6100000143051</v>
      </c>
      <c r="L12" s="286">
        <v>-2.0959690264260349E-5</v>
      </c>
    </row>
    <row r="13" spans="1:12" x14ac:dyDescent="0.2">
      <c r="A13" s="65">
        <v>5</v>
      </c>
      <c r="B13" s="69" t="s">
        <v>96</v>
      </c>
      <c r="C13" s="253" t="s">
        <v>403</v>
      </c>
      <c r="D13" s="283">
        <v>1664563000</v>
      </c>
      <c r="E13" s="284">
        <v>147304000</v>
      </c>
      <c r="F13" s="285">
        <v>8.5400000000000005E-4</v>
      </c>
      <c r="G13" s="285">
        <v>8.4900000000000004E-4</v>
      </c>
      <c r="H13" s="285">
        <v>-5.0000000000000131E-6</v>
      </c>
      <c r="I13" s="284">
        <v>148725536.80199999</v>
      </c>
      <c r="J13" s="284">
        <v>148717213.98699999</v>
      </c>
      <c r="K13" s="284">
        <v>-8322.8149999976158</v>
      </c>
      <c r="L13" s="286">
        <v>-5.5960900723309374E-5</v>
      </c>
    </row>
    <row r="14" spans="1:12" x14ac:dyDescent="0.2">
      <c r="A14" s="65">
        <v>6</v>
      </c>
      <c r="B14" s="69" t="s">
        <v>98</v>
      </c>
      <c r="C14" s="253">
        <v>29</v>
      </c>
      <c r="D14" s="283">
        <v>14579000</v>
      </c>
      <c r="E14" s="284">
        <v>1111000</v>
      </c>
      <c r="F14" s="285">
        <v>8.0699999999999999E-4</v>
      </c>
      <c r="G14" s="285">
        <v>8.0599999999999997E-4</v>
      </c>
      <c r="H14" s="285">
        <v>-1.0000000000000243E-6</v>
      </c>
      <c r="I14" s="284">
        <v>1122765.253</v>
      </c>
      <c r="J14" s="284">
        <v>1122750.6740000001</v>
      </c>
      <c r="K14" s="284">
        <v>-14.578999999910593</v>
      </c>
      <c r="L14" s="286">
        <v>-1.2984904868542982E-5</v>
      </c>
    </row>
    <row r="15" spans="1:12" x14ac:dyDescent="0.2">
      <c r="A15" s="65">
        <v>7</v>
      </c>
      <c r="B15" s="69"/>
      <c r="C15" s="253"/>
      <c r="D15" s="283"/>
      <c r="E15" s="284"/>
      <c r="F15" s="285"/>
      <c r="G15" s="285"/>
      <c r="H15" s="285"/>
      <c r="I15" s="284"/>
      <c r="J15" s="284"/>
      <c r="K15" s="284"/>
      <c r="L15" s="286"/>
    </row>
    <row r="16" spans="1:12" x14ac:dyDescent="0.2">
      <c r="A16" s="65">
        <v>8</v>
      </c>
      <c r="B16" s="69" t="s">
        <v>99</v>
      </c>
      <c r="C16" s="253"/>
      <c r="D16" s="283">
        <v>7234428000</v>
      </c>
      <c r="E16" s="284">
        <v>700477000</v>
      </c>
      <c r="F16" s="285">
        <v>9.4288757120812475E-4</v>
      </c>
      <c r="G16" s="285">
        <v>9.3684662436338789E-4</v>
      </c>
      <c r="H16" s="285">
        <v>-6.0409468447368553E-6</v>
      </c>
      <c r="I16" s="284">
        <v>707298252.24600005</v>
      </c>
      <c r="J16" s="284">
        <v>707254549.45099998</v>
      </c>
      <c r="K16" s="284">
        <v>-43702.795000020415</v>
      </c>
      <c r="L16" s="286">
        <v>-6.1788354292186882E-5</v>
      </c>
    </row>
    <row r="17" spans="1:12" x14ac:dyDescent="0.2">
      <c r="A17" s="65">
        <v>9</v>
      </c>
      <c r="B17" s="69"/>
      <c r="C17" s="253"/>
      <c r="D17" s="283"/>
      <c r="E17" s="284"/>
      <c r="F17" s="285"/>
      <c r="G17" s="285"/>
      <c r="H17" s="285"/>
      <c r="I17" s="284"/>
      <c r="J17" s="284"/>
      <c r="K17" s="284"/>
      <c r="L17" s="286"/>
    </row>
    <row r="18" spans="1:12" x14ac:dyDescent="0.2">
      <c r="A18" s="65">
        <v>10</v>
      </c>
      <c r="B18" s="69" t="s">
        <v>100</v>
      </c>
      <c r="C18" s="253" t="s">
        <v>133</v>
      </c>
      <c r="D18" s="283">
        <v>1209951000</v>
      </c>
      <c r="E18" s="284">
        <v>105591000</v>
      </c>
      <c r="F18" s="285">
        <v>8.3100000000000003E-4</v>
      </c>
      <c r="G18" s="285">
        <v>8.4199999999999998E-4</v>
      </c>
      <c r="H18" s="285">
        <v>1.0999999999999942E-5</v>
      </c>
      <c r="I18" s="284">
        <v>106596469.281</v>
      </c>
      <c r="J18" s="284">
        <v>106609778.742</v>
      </c>
      <c r="K18" s="284">
        <v>13309.46099999547</v>
      </c>
      <c r="L18" s="286">
        <v>1.2485836622703016E-4</v>
      </c>
    </row>
    <row r="19" spans="1:12" x14ac:dyDescent="0.2">
      <c r="A19" s="65">
        <v>11</v>
      </c>
      <c r="B19" s="69" t="s">
        <v>102</v>
      </c>
      <c r="C19" s="253">
        <v>35</v>
      </c>
      <c r="D19" s="283">
        <v>4333000</v>
      </c>
      <c r="E19" s="284">
        <v>242000</v>
      </c>
      <c r="F19" s="285">
        <v>5.9800000000000001E-4</v>
      </c>
      <c r="G19" s="285">
        <v>6.02E-4</v>
      </c>
      <c r="H19" s="285">
        <v>3.9999999999999888E-6</v>
      </c>
      <c r="I19" s="284">
        <v>244591.13399999999</v>
      </c>
      <c r="J19" s="284">
        <v>244608.46599999999</v>
      </c>
      <c r="K19" s="284">
        <v>17.331999999994878</v>
      </c>
      <c r="L19" s="286">
        <v>7.0861113060602098E-5</v>
      </c>
    </row>
    <row r="20" spans="1:12" x14ac:dyDescent="0.2">
      <c r="A20" s="65">
        <v>12</v>
      </c>
      <c r="B20" s="69" t="s">
        <v>103</v>
      </c>
      <c r="C20" s="253">
        <v>43</v>
      </c>
      <c r="D20" s="283">
        <v>111404000</v>
      </c>
      <c r="E20" s="284">
        <v>10324000</v>
      </c>
      <c r="F20" s="285">
        <v>8.8999999999999995E-4</v>
      </c>
      <c r="G20" s="285">
        <v>8.8999999999999995E-4</v>
      </c>
      <c r="H20" s="285">
        <v>0</v>
      </c>
      <c r="I20" s="284">
        <v>10423149.560000001</v>
      </c>
      <c r="J20" s="284">
        <v>10423149.560000001</v>
      </c>
      <c r="K20" s="284">
        <v>0</v>
      </c>
      <c r="L20" s="286">
        <v>0</v>
      </c>
    </row>
    <row r="21" spans="1:12" x14ac:dyDescent="0.2">
      <c r="A21" s="65">
        <v>13</v>
      </c>
      <c r="B21" s="69"/>
      <c r="C21" s="253"/>
      <c r="D21" s="283"/>
      <c r="E21" s="284"/>
      <c r="F21" s="285"/>
      <c r="G21" s="285"/>
      <c r="H21" s="285"/>
      <c r="I21" s="284"/>
      <c r="J21" s="284"/>
      <c r="K21" s="284"/>
      <c r="L21" s="286"/>
    </row>
    <row r="22" spans="1:12" x14ac:dyDescent="0.2">
      <c r="A22" s="65">
        <v>14</v>
      </c>
      <c r="B22" s="69" t="s">
        <v>104</v>
      </c>
      <c r="C22" s="253"/>
      <c r="D22" s="283">
        <v>1325688000</v>
      </c>
      <c r="E22" s="284">
        <v>116157000</v>
      </c>
      <c r="F22" s="285">
        <v>8.3519649796936308E-4</v>
      </c>
      <c r="G22" s="285">
        <v>8.4524923511414957E-4</v>
      </c>
      <c r="H22" s="285">
        <v>1.0052737144786487E-5</v>
      </c>
      <c r="I22" s="284">
        <v>117264209.97500001</v>
      </c>
      <c r="J22" s="284">
        <v>117277536.76800001</v>
      </c>
      <c r="K22" s="284">
        <v>13326.792999995465</v>
      </c>
      <c r="L22" s="286">
        <v>1.1364757416467184E-4</v>
      </c>
    </row>
    <row r="23" spans="1:12" x14ac:dyDescent="0.2">
      <c r="A23" s="65">
        <v>15</v>
      </c>
      <c r="B23" s="69"/>
      <c r="C23" s="253"/>
      <c r="D23" s="283"/>
      <c r="E23" s="284"/>
      <c r="F23" s="285"/>
      <c r="G23" s="285"/>
      <c r="H23" s="285"/>
      <c r="I23" s="284"/>
      <c r="J23" s="284"/>
      <c r="K23" s="284"/>
      <c r="L23" s="286"/>
    </row>
    <row r="24" spans="1:12" x14ac:dyDescent="0.2">
      <c r="A24" s="65">
        <v>16</v>
      </c>
      <c r="B24" s="69" t="s">
        <v>404</v>
      </c>
      <c r="C24" s="253">
        <v>40</v>
      </c>
      <c r="D24" s="283">
        <v>121199000</v>
      </c>
      <c r="E24" s="284">
        <v>8902000</v>
      </c>
      <c r="F24" s="285">
        <v>7.2400000000000003E-4</v>
      </c>
      <c r="G24" s="285">
        <v>7.0699999999999995E-4</v>
      </c>
      <c r="H24" s="285">
        <v>-1.7000000000000088E-5</v>
      </c>
      <c r="I24" s="284">
        <v>8989748.0759999994</v>
      </c>
      <c r="J24" s="284">
        <v>8987687.693</v>
      </c>
      <c r="K24" s="284">
        <v>-2060.3829999994487</v>
      </c>
      <c r="L24" s="286">
        <v>-2.2919251825310536E-4</v>
      </c>
    </row>
    <row r="25" spans="1:12" x14ac:dyDescent="0.2">
      <c r="A25" s="65">
        <v>17</v>
      </c>
      <c r="B25" s="69"/>
      <c r="C25" s="253"/>
      <c r="D25" s="283"/>
      <c r="E25" s="284"/>
      <c r="F25" s="285"/>
      <c r="G25" s="285"/>
      <c r="H25" s="285"/>
      <c r="I25" s="284"/>
      <c r="J25" s="284"/>
      <c r="K25" s="284"/>
      <c r="L25" s="286"/>
    </row>
    <row r="26" spans="1:12" x14ac:dyDescent="0.2">
      <c r="A26" s="65">
        <v>18</v>
      </c>
      <c r="B26" s="69" t="s">
        <v>105</v>
      </c>
      <c r="C26" s="253">
        <v>46</v>
      </c>
      <c r="D26" s="283">
        <v>65360000</v>
      </c>
      <c r="E26" s="284">
        <v>4592000</v>
      </c>
      <c r="F26" s="285">
        <v>6.8900000000000005E-4</v>
      </c>
      <c r="G26" s="285">
        <v>6.8099999999999996E-4</v>
      </c>
      <c r="H26" s="285">
        <v>-8.000000000000086E-6</v>
      </c>
      <c r="I26" s="284">
        <v>4637033.04</v>
      </c>
      <c r="J26" s="284">
        <v>4636510.16</v>
      </c>
      <c r="K26" s="284">
        <v>-522.87999999988824</v>
      </c>
      <c r="L26" s="286">
        <v>-1.1276175854030323E-4</v>
      </c>
    </row>
    <row r="27" spans="1:12" x14ac:dyDescent="0.2">
      <c r="A27" s="65">
        <v>19</v>
      </c>
      <c r="B27" s="69" t="s">
        <v>106</v>
      </c>
      <c r="C27" s="253">
        <v>49</v>
      </c>
      <c r="D27" s="283">
        <v>517869000</v>
      </c>
      <c r="E27" s="284">
        <v>36087000</v>
      </c>
      <c r="F27" s="285">
        <v>6.7100000000000005E-4</v>
      </c>
      <c r="G27" s="285">
        <v>6.6600000000000003E-4</v>
      </c>
      <c r="H27" s="285">
        <v>-5.0000000000000131E-6</v>
      </c>
      <c r="I27" s="284">
        <v>36434490.098999999</v>
      </c>
      <c r="J27" s="284">
        <v>36431900.754000001</v>
      </c>
      <c r="K27" s="284">
        <v>-2589.3449999988079</v>
      </c>
      <c r="L27" s="286">
        <v>-7.1068512087393707E-5</v>
      </c>
    </row>
    <row r="28" spans="1:12" x14ac:dyDescent="0.2">
      <c r="A28" s="65">
        <v>20</v>
      </c>
      <c r="B28" s="69"/>
      <c r="C28" s="253"/>
      <c r="D28" s="283"/>
      <c r="E28" s="284"/>
      <c r="F28" s="285"/>
      <c r="G28" s="285"/>
      <c r="H28" s="285"/>
      <c r="I28" s="284"/>
      <c r="J28" s="284"/>
      <c r="K28" s="284"/>
      <c r="L28" s="286"/>
    </row>
    <row r="29" spans="1:12" x14ac:dyDescent="0.2">
      <c r="A29" s="65">
        <v>21</v>
      </c>
      <c r="B29" s="69" t="s">
        <v>107</v>
      </c>
      <c r="C29" s="253"/>
      <c r="D29" s="283">
        <v>583229000</v>
      </c>
      <c r="E29" s="284">
        <v>40679000</v>
      </c>
      <c r="F29" s="285">
        <v>6.7301718364484373E-4</v>
      </c>
      <c r="G29" s="285">
        <v>6.676809863707129E-4</v>
      </c>
      <c r="H29" s="285">
        <v>-5.3361972741308326E-6</v>
      </c>
      <c r="I29" s="284">
        <v>41071523.138999999</v>
      </c>
      <c r="J29" s="284">
        <v>41068410.914000005</v>
      </c>
      <c r="K29" s="284">
        <v>-3112.2249999986961</v>
      </c>
      <c r="L29" s="286">
        <v>-7.5775738568688303E-5</v>
      </c>
    </row>
    <row r="30" spans="1:12" x14ac:dyDescent="0.2">
      <c r="A30" s="65">
        <v>22</v>
      </c>
      <c r="B30" s="69"/>
      <c r="C30" s="253"/>
      <c r="D30" s="283"/>
      <c r="E30" s="284"/>
      <c r="F30" s="285"/>
      <c r="G30" s="285"/>
      <c r="H30" s="285"/>
      <c r="I30" s="284"/>
      <c r="J30" s="284"/>
      <c r="K30" s="284"/>
      <c r="L30" s="286"/>
    </row>
    <row r="31" spans="1:12" x14ac:dyDescent="0.2">
      <c r="A31" s="65">
        <v>23</v>
      </c>
      <c r="B31" s="69" t="s">
        <v>108</v>
      </c>
      <c r="C31" s="253" t="s">
        <v>405</v>
      </c>
      <c r="D31" s="283">
        <v>64372000</v>
      </c>
      <c r="E31" s="284">
        <v>15890000</v>
      </c>
      <c r="F31" s="285">
        <v>2.3999999999999998E-3</v>
      </c>
      <c r="G31" s="285">
        <v>2.3800000000000002E-3</v>
      </c>
      <c r="H31" s="285">
        <v>-1.9999999999999619E-5</v>
      </c>
      <c r="I31" s="284">
        <v>16044492.800000001</v>
      </c>
      <c r="J31" s="284">
        <v>16043205.359999999</v>
      </c>
      <c r="K31" s="284">
        <v>-1287.4400000013411</v>
      </c>
      <c r="L31" s="286">
        <v>-8.0241863426268044E-5</v>
      </c>
    </row>
    <row r="32" spans="1:12" x14ac:dyDescent="0.2">
      <c r="A32" s="65">
        <v>24</v>
      </c>
      <c r="B32" s="69"/>
      <c r="C32" s="253"/>
      <c r="D32" s="283"/>
      <c r="E32" s="284"/>
      <c r="F32" s="285"/>
      <c r="G32" s="285"/>
      <c r="H32" s="285"/>
      <c r="I32" s="284"/>
      <c r="J32" s="284"/>
      <c r="K32" s="284"/>
      <c r="L32" s="286"/>
    </row>
    <row r="33" spans="1:12" x14ac:dyDescent="0.2">
      <c r="A33" s="65">
        <v>25</v>
      </c>
      <c r="B33" s="69" t="s">
        <v>134</v>
      </c>
      <c r="C33" s="253" t="s">
        <v>111</v>
      </c>
      <c r="D33" s="283">
        <v>1974698000</v>
      </c>
      <c r="E33" s="284">
        <v>10414000</v>
      </c>
      <c r="F33" s="285">
        <v>4.3000000000000002E-5</v>
      </c>
      <c r="G33" s="285">
        <v>4.3000000000000002E-5</v>
      </c>
      <c r="H33" s="285">
        <v>0</v>
      </c>
      <c r="I33" s="284">
        <v>10498912.014</v>
      </c>
      <c r="J33" s="284">
        <v>10498912.014</v>
      </c>
      <c r="K33" s="284">
        <v>0</v>
      </c>
      <c r="L33" s="286">
        <v>0</v>
      </c>
    </row>
    <row r="34" spans="1:12" x14ac:dyDescent="0.2">
      <c r="A34" s="65">
        <v>26</v>
      </c>
      <c r="B34" s="69"/>
      <c r="C34" s="253"/>
      <c r="D34" s="283"/>
      <c r="E34" s="284"/>
      <c r="F34" s="285"/>
      <c r="G34" s="285"/>
      <c r="H34" s="285"/>
      <c r="I34" s="284"/>
      <c r="J34" s="284"/>
      <c r="K34" s="284"/>
      <c r="L34" s="286"/>
    </row>
    <row r="35" spans="1:12" x14ac:dyDescent="0.2">
      <c r="A35" s="65">
        <v>27</v>
      </c>
      <c r="B35" s="69" t="s">
        <v>265</v>
      </c>
      <c r="C35" s="253" t="s">
        <v>347</v>
      </c>
      <c r="D35" s="283">
        <v>484745000</v>
      </c>
      <c r="E35" s="284">
        <v>9372000</v>
      </c>
      <c r="F35" s="285">
        <v>6.1399999999999996E-4</v>
      </c>
      <c r="G35" s="285">
        <v>6.1399999999999996E-4</v>
      </c>
      <c r="H35" s="285">
        <v>0</v>
      </c>
      <c r="I35" s="284">
        <v>9669633.4299999997</v>
      </c>
      <c r="J35" s="284">
        <v>9669633.4299999997</v>
      </c>
      <c r="K35" s="284">
        <v>0</v>
      </c>
      <c r="L35" s="286">
        <v>0</v>
      </c>
    </row>
    <row r="36" spans="1:12" x14ac:dyDescent="0.2">
      <c r="A36" s="65">
        <v>28</v>
      </c>
      <c r="B36" s="69"/>
      <c r="C36" s="253"/>
      <c r="D36" s="283"/>
      <c r="E36" s="284"/>
      <c r="F36" s="285"/>
      <c r="G36" s="285"/>
      <c r="H36" s="285"/>
      <c r="I36" s="284"/>
      <c r="J36" s="284"/>
      <c r="K36" s="284"/>
      <c r="L36" s="286"/>
    </row>
    <row r="37" spans="1:12" x14ac:dyDescent="0.2">
      <c r="A37" s="65">
        <v>29</v>
      </c>
      <c r="B37" s="69" t="s">
        <v>18</v>
      </c>
      <c r="C37" s="253"/>
      <c r="D37" s="283">
        <v>22774734000</v>
      </c>
      <c r="E37" s="284">
        <v>2038586000</v>
      </c>
      <c r="F37" s="285">
        <v>9.0798953700182972E-4</v>
      </c>
      <c r="G37" s="285">
        <v>9.0444255594817821E-4</v>
      </c>
      <c r="H37" s="285">
        <v>-3.5469810536515071E-6</v>
      </c>
      <c r="I37" s="284">
        <v>2059265220.1799998</v>
      </c>
      <c r="J37" s="284">
        <v>2059184438.6299999</v>
      </c>
      <c r="K37" s="284">
        <v>-80781.550000024436</v>
      </c>
      <c r="L37" s="286">
        <v>-3.9228336985637695E-5</v>
      </c>
    </row>
    <row r="38" spans="1:12" x14ac:dyDescent="0.2">
      <c r="A38" s="65">
        <v>30</v>
      </c>
      <c r="B38" s="69"/>
      <c r="C38" s="70"/>
      <c r="D38" s="270"/>
      <c r="E38" s="273"/>
      <c r="F38" s="274"/>
      <c r="G38" s="274"/>
      <c r="H38" s="274"/>
      <c r="I38" s="273">
        <f>+I37-E37</f>
        <v>20679220.179999828</v>
      </c>
      <c r="J38" s="273">
        <f>+J37-E37</f>
        <v>20598438.629999876</v>
      </c>
      <c r="K38" s="273"/>
      <c r="L38" s="277"/>
    </row>
    <row r="39" spans="1:12" x14ac:dyDescent="0.2">
      <c r="A39" s="65">
        <v>31</v>
      </c>
      <c r="B39" s="69"/>
      <c r="C39" s="70"/>
      <c r="D39" s="270"/>
      <c r="E39" s="273"/>
      <c r="F39" s="274"/>
      <c r="G39" s="274"/>
      <c r="H39" s="274"/>
      <c r="I39" s="273"/>
      <c r="J39" s="273"/>
      <c r="K39" s="273"/>
      <c r="L39" s="277"/>
    </row>
    <row r="40" spans="1:12" x14ac:dyDescent="0.2">
      <c r="A40" s="65">
        <v>32</v>
      </c>
      <c r="B40" s="69" t="s">
        <v>80</v>
      </c>
      <c r="C40" s="70"/>
      <c r="D40" s="283">
        <v>7406000</v>
      </c>
      <c r="E40" s="284">
        <v>342000</v>
      </c>
      <c r="F40" s="274"/>
      <c r="G40" s="274"/>
      <c r="H40" s="274"/>
      <c r="I40" s="273"/>
      <c r="J40" s="273"/>
      <c r="K40" s="273"/>
      <c r="L40" s="277"/>
    </row>
    <row r="41" spans="1:12" x14ac:dyDescent="0.2">
      <c r="A41" s="65">
        <v>33</v>
      </c>
      <c r="B41" s="69"/>
      <c r="C41" s="70"/>
      <c r="D41" s="283"/>
      <c r="E41" s="284"/>
      <c r="F41" s="274"/>
      <c r="G41" s="274"/>
      <c r="H41" s="274"/>
      <c r="I41" s="273"/>
      <c r="J41" s="273"/>
      <c r="K41" s="273"/>
      <c r="L41" s="277"/>
    </row>
    <row r="42" spans="1:12" ht="13.5" thickBot="1" x14ac:dyDescent="0.25">
      <c r="A42" s="257">
        <v>34</v>
      </c>
      <c r="B42" s="258" t="s">
        <v>81</v>
      </c>
      <c r="C42" s="258"/>
      <c r="D42" s="287">
        <v>22782140000</v>
      </c>
      <c r="E42" s="288">
        <v>2038928000</v>
      </c>
      <c r="F42" s="279"/>
      <c r="G42" s="279"/>
      <c r="H42" s="279"/>
      <c r="I42" s="278"/>
      <c r="J42" s="278"/>
      <c r="K42" s="278"/>
      <c r="L42" s="280"/>
    </row>
    <row r="44" spans="1:12" x14ac:dyDescent="0.2">
      <c r="B44" s="1" t="s">
        <v>406</v>
      </c>
    </row>
  </sheetData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0"/>
  <sheetViews>
    <sheetView topLeftCell="A7" workbookViewId="0">
      <selection activeCell="I40" sqref="I40"/>
    </sheetView>
  </sheetViews>
  <sheetFormatPr defaultRowHeight="12.75" x14ac:dyDescent="0.2"/>
  <cols>
    <col min="1" max="1" width="7.7109375" style="526" bestFit="1" customWidth="1"/>
    <col min="2" max="2" width="33" style="526" bestFit="1" customWidth="1"/>
    <col min="3" max="3" width="16.140625" style="526" customWidth="1"/>
    <col min="4" max="4" width="15" style="526" bestFit="1" customWidth="1"/>
    <col min="5" max="5" width="15.140625" style="526" bestFit="1" customWidth="1"/>
    <col min="6" max="6" width="11.5703125" style="526" bestFit="1" customWidth="1"/>
    <col min="7" max="7" width="12.42578125" style="526" customWidth="1"/>
    <col min="8" max="9" width="15.140625" style="526" bestFit="1" customWidth="1"/>
    <col min="10" max="10" width="12.140625" style="526" bestFit="1" customWidth="1"/>
    <col min="11" max="11" width="12.42578125" style="526" customWidth="1"/>
    <col min="12" max="16384" width="9.140625" style="526"/>
  </cols>
  <sheetData>
    <row r="1" spans="1:11" x14ac:dyDescent="0.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">
      <c r="A2" s="11" t="s">
        <v>182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">
      <c r="A3" s="14"/>
      <c r="B3" s="55"/>
      <c r="C3" s="51"/>
      <c r="D3" s="41"/>
      <c r="E3" s="41"/>
      <c r="F3" s="41"/>
      <c r="G3" s="55"/>
      <c r="H3" s="55"/>
      <c r="I3" s="41"/>
      <c r="J3" s="55"/>
      <c r="K3" s="42"/>
    </row>
    <row r="4" spans="1:11" x14ac:dyDescent="0.2">
      <c r="A4" s="15"/>
      <c r="B4" s="53"/>
      <c r="C4" s="53"/>
      <c r="D4" s="16"/>
      <c r="E4" s="16"/>
      <c r="F4" s="16"/>
      <c r="G4" s="17"/>
      <c r="H4" s="16"/>
      <c r="I4" s="16"/>
      <c r="J4" s="17"/>
      <c r="K4" s="18"/>
    </row>
    <row r="5" spans="1:11" ht="77.25" thickBot="1" x14ac:dyDescent="0.25">
      <c r="A5" s="19" t="s">
        <v>3</v>
      </c>
      <c r="B5" s="20" t="s">
        <v>83</v>
      </c>
      <c r="C5" s="20" t="s">
        <v>114</v>
      </c>
      <c r="D5" s="3" t="s">
        <v>529</v>
      </c>
      <c r="E5" s="2" t="s">
        <v>530</v>
      </c>
      <c r="F5" s="2" t="s">
        <v>543</v>
      </c>
      <c r="G5" s="2" t="s">
        <v>544</v>
      </c>
      <c r="H5" s="2" t="s">
        <v>545</v>
      </c>
      <c r="I5" s="2" t="s">
        <v>546</v>
      </c>
      <c r="J5" s="20" t="s">
        <v>169</v>
      </c>
      <c r="K5" s="21" t="s">
        <v>170</v>
      </c>
    </row>
    <row r="6" spans="1:11" ht="25.5" x14ac:dyDescent="0.2">
      <c r="A6" s="22"/>
      <c r="B6" s="48"/>
      <c r="C6" s="48"/>
      <c r="D6" s="23" t="s">
        <v>84</v>
      </c>
      <c r="E6" s="23" t="s">
        <v>85</v>
      </c>
      <c r="F6" s="24" t="s">
        <v>86</v>
      </c>
      <c r="G6" s="48" t="s">
        <v>87</v>
      </c>
      <c r="H6" s="23" t="s">
        <v>171</v>
      </c>
      <c r="I6" s="23" t="s">
        <v>172</v>
      </c>
      <c r="J6" s="48" t="s">
        <v>90</v>
      </c>
      <c r="K6" s="25" t="s">
        <v>91</v>
      </c>
    </row>
    <row r="7" spans="1:11" x14ac:dyDescent="0.2">
      <c r="A7" s="14"/>
      <c r="B7" s="55"/>
      <c r="C7" s="51"/>
      <c r="D7" s="41"/>
      <c r="E7" s="41"/>
      <c r="F7" s="41"/>
      <c r="G7" s="55"/>
      <c r="H7" s="55"/>
      <c r="I7" s="41"/>
      <c r="J7" s="55"/>
      <c r="K7" s="42"/>
    </row>
    <row r="8" spans="1:11" x14ac:dyDescent="0.2">
      <c r="A8" s="14">
        <v>1</v>
      </c>
      <c r="B8" s="55" t="s">
        <v>11</v>
      </c>
      <c r="C8" s="51">
        <v>7</v>
      </c>
      <c r="D8" s="41">
        <v>10966324000</v>
      </c>
      <c r="E8" s="41">
        <v>1174744000</v>
      </c>
      <c r="F8" s="54">
        <v>-8.2000000000000001E-5</v>
      </c>
      <c r="G8" s="54">
        <v>-4.3000000000000002E-5</v>
      </c>
      <c r="H8" s="46">
        <v>1173844761.4319999</v>
      </c>
      <c r="I8" s="46">
        <v>1174272448.0680001</v>
      </c>
      <c r="J8" s="46">
        <v>427686.6360001564</v>
      </c>
      <c r="K8" s="47">
        <v>3.6434684555597602E-4</v>
      </c>
    </row>
    <row r="9" spans="1:11" x14ac:dyDescent="0.2">
      <c r="A9" s="14">
        <v>2</v>
      </c>
      <c r="B9" s="55"/>
      <c r="C9" s="51"/>
      <c r="D9" s="41"/>
      <c r="E9" s="46"/>
      <c r="F9" s="54"/>
      <c r="G9" s="54"/>
      <c r="H9" s="43"/>
      <c r="I9" s="46"/>
      <c r="J9" s="46"/>
      <c r="K9" s="47"/>
    </row>
    <row r="10" spans="1:11" x14ac:dyDescent="0.2">
      <c r="A10" s="14">
        <v>3</v>
      </c>
      <c r="B10" s="26" t="s">
        <v>92</v>
      </c>
      <c r="C10" s="437" t="s">
        <v>93</v>
      </c>
      <c r="D10" s="41">
        <v>2695442000</v>
      </c>
      <c r="E10" s="46">
        <v>295441000</v>
      </c>
      <c r="F10" s="54">
        <v>-7.6000000000000004E-5</v>
      </c>
      <c r="G10" s="54">
        <v>-4.3999999999999999E-5</v>
      </c>
      <c r="H10" s="46">
        <v>295236146.40799999</v>
      </c>
      <c r="I10" s="46">
        <v>295322400.55199999</v>
      </c>
      <c r="J10" s="46">
        <v>86254.143999993801</v>
      </c>
      <c r="K10" s="47">
        <v>2.9215306136937363E-4</v>
      </c>
    </row>
    <row r="11" spans="1:11" x14ac:dyDescent="0.2">
      <c r="A11" s="14">
        <v>4</v>
      </c>
      <c r="B11" s="27" t="s">
        <v>94</v>
      </c>
      <c r="C11" s="437" t="s">
        <v>95</v>
      </c>
      <c r="D11" s="41">
        <v>2864927000</v>
      </c>
      <c r="E11" s="46">
        <v>275850000</v>
      </c>
      <c r="F11" s="54">
        <v>-7.2000000000000002E-5</v>
      </c>
      <c r="G11" s="54">
        <v>-4.5000000000000003E-5</v>
      </c>
      <c r="H11" s="46">
        <v>275643725.25599998</v>
      </c>
      <c r="I11" s="46">
        <v>275721078.28500003</v>
      </c>
      <c r="J11" s="46">
        <v>77353.029000043869</v>
      </c>
      <c r="K11" s="47">
        <v>2.8062684513570336E-4</v>
      </c>
    </row>
    <row r="12" spans="1:11" x14ac:dyDescent="0.2">
      <c r="A12" s="14">
        <v>5</v>
      </c>
      <c r="B12" s="27" t="s">
        <v>96</v>
      </c>
      <c r="C12" s="437" t="s">
        <v>97</v>
      </c>
      <c r="D12" s="41">
        <v>1692365000</v>
      </c>
      <c r="E12" s="46">
        <v>153058000</v>
      </c>
      <c r="F12" s="54">
        <v>-7.8999999999999996E-5</v>
      </c>
      <c r="G12" s="54">
        <v>-4.6999999999999997E-5</v>
      </c>
      <c r="H12" s="46">
        <v>152924303.16499999</v>
      </c>
      <c r="I12" s="46">
        <v>152978458.845</v>
      </c>
      <c r="J12" s="46">
        <v>54155.680000007153</v>
      </c>
      <c r="K12" s="47">
        <v>3.5413390075464369E-4</v>
      </c>
    </row>
    <row r="13" spans="1:11" x14ac:dyDescent="0.2">
      <c r="A13" s="14">
        <v>6</v>
      </c>
      <c r="B13" s="27" t="s">
        <v>98</v>
      </c>
      <c r="C13" s="51">
        <v>29</v>
      </c>
      <c r="D13" s="41">
        <v>14610000</v>
      </c>
      <c r="E13" s="46">
        <v>1116000</v>
      </c>
      <c r="F13" s="54">
        <v>-5.8999999999999998E-5</v>
      </c>
      <c r="G13" s="54">
        <v>-3.6999999999999998E-5</v>
      </c>
      <c r="H13" s="46">
        <v>1115138.01</v>
      </c>
      <c r="I13" s="46">
        <v>1115459.43</v>
      </c>
      <c r="J13" s="46">
        <v>321.41999999992549</v>
      </c>
      <c r="K13" s="47">
        <v>2.8823338198285023E-4</v>
      </c>
    </row>
    <row r="14" spans="1:11" x14ac:dyDescent="0.2">
      <c r="A14" s="14">
        <v>7</v>
      </c>
      <c r="B14" s="55"/>
      <c r="C14" s="51"/>
      <c r="D14" s="41"/>
      <c r="E14" s="46"/>
      <c r="F14" s="54"/>
      <c r="G14" s="54"/>
      <c r="H14" s="43"/>
      <c r="I14" s="46"/>
      <c r="J14" s="46"/>
      <c r="K14" s="47"/>
    </row>
    <row r="15" spans="1:11" x14ac:dyDescent="0.2">
      <c r="A15" s="14">
        <v>8</v>
      </c>
      <c r="B15" s="55" t="s">
        <v>99</v>
      </c>
      <c r="C15" s="51"/>
      <c r="D15" s="41">
        <v>7267344000</v>
      </c>
      <c r="E15" s="46">
        <v>725465000</v>
      </c>
      <c r="F15" s="54">
        <v>-7.5087564452707889E-5</v>
      </c>
      <c r="G15" s="54">
        <v>-4.5078764401409918E-5</v>
      </c>
      <c r="H15" s="46">
        <v>724919312.83899999</v>
      </c>
      <c r="I15" s="46">
        <v>725137397.11199999</v>
      </c>
      <c r="J15" s="46">
        <v>218084.27300004475</v>
      </c>
      <c r="K15" s="47">
        <v>3.0083937500018006E-4</v>
      </c>
    </row>
    <row r="16" spans="1:11" x14ac:dyDescent="0.2">
      <c r="A16" s="14">
        <v>9</v>
      </c>
      <c r="B16" s="55"/>
      <c r="C16" s="51"/>
      <c r="D16" s="41"/>
      <c r="E16" s="46"/>
      <c r="F16" s="54"/>
      <c r="G16" s="54"/>
      <c r="H16" s="43"/>
      <c r="I16" s="46"/>
      <c r="J16" s="46"/>
      <c r="K16" s="47"/>
    </row>
    <row r="17" spans="1:11" x14ac:dyDescent="0.2">
      <c r="A17" s="14">
        <v>10</v>
      </c>
      <c r="B17" s="27" t="s">
        <v>100</v>
      </c>
      <c r="C17" s="437" t="s">
        <v>101</v>
      </c>
      <c r="D17" s="41">
        <v>1291578000</v>
      </c>
      <c r="E17" s="46">
        <v>116728000</v>
      </c>
      <c r="F17" s="54">
        <v>-7.1000000000000005E-5</v>
      </c>
      <c r="G17" s="54">
        <v>-4.3000000000000002E-5</v>
      </c>
      <c r="H17" s="46">
        <v>116636297.962</v>
      </c>
      <c r="I17" s="46">
        <v>116672462.146</v>
      </c>
      <c r="J17" s="46">
        <v>36164.184000000358</v>
      </c>
      <c r="K17" s="47">
        <v>3.1005942945636544E-4</v>
      </c>
    </row>
    <row r="18" spans="1:11" x14ac:dyDescent="0.2">
      <c r="A18" s="14">
        <v>11</v>
      </c>
      <c r="B18" s="27" t="s">
        <v>102</v>
      </c>
      <c r="C18" s="51">
        <v>35</v>
      </c>
      <c r="D18" s="41">
        <v>4335000</v>
      </c>
      <c r="E18" s="46">
        <v>254000</v>
      </c>
      <c r="F18" s="54">
        <v>-5.5999999999999999E-5</v>
      </c>
      <c r="G18" s="54">
        <v>-3.1999999999999999E-5</v>
      </c>
      <c r="H18" s="46">
        <v>253757.24</v>
      </c>
      <c r="I18" s="46">
        <v>253861.28</v>
      </c>
      <c r="J18" s="46">
        <v>104.04000000000815</v>
      </c>
      <c r="K18" s="47">
        <v>4.0999815414136814E-4</v>
      </c>
    </row>
    <row r="19" spans="1:11" x14ac:dyDescent="0.2">
      <c r="A19" s="14">
        <v>12</v>
      </c>
      <c r="B19" s="27" t="s">
        <v>103</v>
      </c>
      <c r="C19" s="51">
        <v>43</v>
      </c>
      <c r="D19" s="41">
        <v>111277000</v>
      </c>
      <c r="E19" s="46">
        <v>10505000</v>
      </c>
      <c r="F19" s="54">
        <v>-5.8999999999999998E-5</v>
      </c>
      <c r="G19" s="54">
        <v>-3.4E-5</v>
      </c>
      <c r="H19" s="46">
        <v>10498434.657</v>
      </c>
      <c r="I19" s="46">
        <v>10501216.582</v>
      </c>
      <c r="J19" s="46">
        <v>2781.9250000007451</v>
      </c>
      <c r="K19" s="47">
        <v>2.6498474209637069E-4</v>
      </c>
    </row>
    <row r="20" spans="1:11" x14ac:dyDescent="0.2">
      <c r="A20" s="14">
        <v>13</v>
      </c>
      <c r="B20" s="28"/>
      <c r="C20" s="51"/>
      <c r="D20" s="41"/>
      <c r="E20" s="46"/>
      <c r="F20" s="54"/>
      <c r="G20" s="54"/>
      <c r="H20" s="43"/>
      <c r="I20" s="46"/>
      <c r="J20" s="46"/>
      <c r="K20" s="47"/>
    </row>
    <row r="21" spans="1:11" x14ac:dyDescent="0.2">
      <c r="A21" s="14">
        <v>14</v>
      </c>
      <c r="B21" s="28" t="s">
        <v>104</v>
      </c>
      <c r="C21" s="51"/>
      <c r="D21" s="41">
        <v>1407190000</v>
      </c>
      <c r="E21" s="46">
        <v>127487000</v>
      </c>
      <c r="F21" s="54">
        <v>-7.0004861461494169E-5</v>
      </c>
      <c r="G21" s="54">
        <v>-4.225441624798357E-5</v>
      </c>
      <c r="H21" s="46">
        <v>127388489.859</v>
      </c>
      <c r="I21" s="46">
        <v>127427540.008</v>
      </c>
      <c r="J21" s="46">
        <v>39050.149000001111</v>
      </c>
      <c r="K21" s="47">
        <v>3.0654377835253238E-4</v>
      </c>
    </row>
    <row r="22" spans="1:11" x14ac:dyDescent="0.2">
      <c r="A22" s="14">
        <v>15</v>
      </c>
      <c r="B22" s="28"/>
      <c r="C22" s="51"/>
      <c r="D22" s="41"/>
      <c r="E22" s="46"/>
      <c r="F22" s="54"/>
      <c r="G22" s="54"/>
      <c r="H22" s="43"/>
      <c r="I22" s="46"/>
      <c r="J22" s="46"/>
      <c r="K22" s="47"/>
    </row>
    <row r="23" spans="1:11" x14ac:dyDescent="0.2">
      <c r="A23" s="14">
        <v>16</v>
      </c>
      <c r="B23" s="27" t="s">
        <v>105</v>
      </c>
      <c r="C23" s="51">
        <v>46</v>
      </c>
      <c r="D23" s="41">
        <v>65285000</v>
      </c>
      <c r="E23" s="46">
        <v>4640000</v>
      </c>
      <c r="F23" s="54">
        <v>-4.5000000000000003E-5</v>
      </c>
      <c r="G23" s="54">
        <v>-3.6999999999999998E-5</v>
      </c>
      <c r="H23" s="46">
        <v>4637062.1749999998</v>
      </c>
      <c r="I23" s="46">
        <v>4637584.4550000001</v>
      </c>
      <c r="J23" s="46">
        <v>522.28000000026077</v>
      </c>
      <c r="K23" s="47">
        <v>1.1263165778023254E-4</v>
      </c>
    </row>
    <row r="24" spans="1:11" x14ac:dyDescent="0.2">
      <c r="A24" s="14">
        <v>17</v>
      </c>
      <c r="B24" s="26" t="s">
        <v>106</v>
      </c>
      <c r="C24" s="51">
        <v>49</v>
      </c>
      <c r="D24" s="41">
        <v>517424000</v>
      </c>
      <c r="E24" s="46">
        <v>36241000</v>
      </c>
      <c r="F24" s="54">
        <v>-6.9999999999999994E-5</v>
      </c>
      <c r="G24" s="54">
        <v>-4.0000000000000003E-5</v>
      </c>
      <c r="H24" s="46">
        <v>36204780.32</v>
      </c>
      <c r="I24" s="46">
        <v>36220303.039999999</v>
      </c>
      <c r="J24" s="46">
        <v>15522.719999998808</v>
      </c>
      <c r="K24" s="47">
        <v>4.2874780243933291E-4</v>
      </c>
    </row>
    <row r="25" spans="1:11" x14ac:dyDescent="0.2">
      <c r="A25" s="14">
        <v>18</v>
      </c>
      <c r="B25" s="55"/>
      <c r="C25" s="51"/>
      <c r="D25" s="41"/>
      <c r="E25" s="46"/>
      <c r="F25" s="54"/>
      <c r="G25" s="54"/>
      <c r="H25" s="43"/>
      <c r="I25" s="46"/>
      <c r="J25" s="46"/>
      <c r="K25" s="47"/>
    </row>
    <row r="26" spans="1:11" x14ac:dyDescent="0.2">
      <c r="A26" s="14">
        <v>19</v>
      </c>
      <c r="B26" s="29" t="s">
        <v>107</v>
      </c>
      <c r="C26" s="51"/>
      <c r="D26" s="41">
        <v>582709000</v>
      </c>
      <c r="E26" s="46">
        <v>40881000</v>
      </c>
      <c r="F26" s="54">
        <v>-6.7199073637098445E-5</v>
      </c>
      <c r="G26" s="54">
        <v>-3.9663888836451824E-5</v>
      </c>
      <c r="H26" s="41">
        <v>40841842.494999997</v>
      </c>
      <c r="I26" s="41">
        <v>40857887.494999997</v>
      </c>
      <c r="J26" s="46">
        <v>16044.999999999069</v>
      </c>
      <c r="K26" s="47">
        <v>3.9285690898894571E-4</v>
      </c>
    </row>
    <row r="27" spans="1:11" x14ac:dyDescent="0.2">
      <c r="A27" s="14">
        <v>20</v>
      </c>
      <c r="B27" s="55"/>
      <c r="C27" s="51"/>
      <c r="D27" s="41"/>
      <c r="E27" s="46"/>
      <c r="F27" s="54"/>
      <c r="G27" s="54"/>
      <c r="H27" s="43"/>
      <c r="I27" s="46"/>
      <c r="J27" s="46"/>
      <c r="K27" s="47"/>
    </row>
    <row r="28" spans="1:11" x14ac:dyDescent="0.2">
      <c r="A28" s="14">
        <v>21</v>
      </c>
      <c r="B28" s="55" t="s">
        <v>108</v>
      </c>
      <c r="C28" s="51" t="s">
        <v>16</v>
      </c>
      <c r="D28" s="41">
        <v>63689000</v>
      </c>
      <c r="E28" s="46">
        <v>16106000</v>
      </c>
      <c r="F28" s="54">
        <v>-8.7999999999999998E-5</v>
      </c>
      <c r="G28" s="54">
        <v>-4.3000000000000002E-5</v>
      </c>
      <c r="H28" s="46">
        <v>16100395.368000001</v>
      </c>
      <c r="I28" s="46">
        <v>16103261.373</v>
      </c>
      <c r="J28" s="46">
        <v>2866.0049999989569</v>
      </c>
      <c r="K28" s="47">
        <v>1.78008361564538E-4</v>
      </c>
    </row>
    <row r="29" spans="1:11" x14ac:dyDescent="0.2">
      <c r="A29" s="14">
        <v>22</v>
      </c>
      <c r="B29" s="55"/>
      <c r="C29" s="51"/>
      <c r="D29" s="41"/>
      <c r="E29" s="46"/>
      <c r="F29" s="54"/>
      <c r="G29" s="54"/>
      <c r="H29" s="55"/>
      <c r="I29" s="46"/>
      <c r="J29" s="46"/>
      <c r="K29" s="47"/>
    </row>
    <row r="30" spans="1:11" x14ac:dyDescent="0.2">
      <c r="A30" s="14">
        <v>23</v>
      </c>
      <c r="B30" s="30" t="s">
        <v>173</v>
      </c>
      <c r="C30" s="437" t="s">
        <v>174</v>
      </c>
      <c r="D30" s="41">
        <v>7435000</v>
      </c>
      <c r="E30" s="46">
        <v>719000</v>
      </c>
      <c r="F30" s="54">
        <v>-7.6000000000000004E-5</v>
      </c>
      <c r="G30" s="54">
        <v>-4.1E-5</v>
      </c>
      <c r="H30" s="46">
        <v>718434.94</v>
      </c>
      <c r="I30" s="46">
        <v>718695.16500000004</v>
      </c>
      <c r="J30" s="46">
        <v>260.22500000009313</v>
      </c>
      <c r="K30" s="47">
        <v>3.6221094703452639E-4</v>
      </c>
    </row>
    <row r="31" spans="1:11" x14ac:dyDescent="0.2">
      <c r="A31" s="14">
        <v>24</v>
      </c>
      <c r="B31" s="30"/>
      <c r="C31" s="437"/>
      <c r="D31" s="41"/>
      <c r="E31" s="46"/>
      <c r="F31" s="54"/>
      <c r="G31" s="54"/>
      <c r="H31" s="43"/>
      <c r="I31" s="46"/>
      <c r="J31" s="46"/>
      <c r="K31" s="47"/>
    </row>
    <row r="32" spans="1:11" x14ac:dyDescent="0.2">
      <c r="A32" s="14">
        <v>25</v>
      </c>
      <c r="B32" s="27" t="s">
        <v>109</v>
      </c>
      <c r="C32" s="51"/>
      <c r="D32" s="41">
        <v>20294691000</v>
      </c>
      <c r="E32" s="46">
        <v>2085402000</v>
      </c>
      <c r="F32" s="54">
        <v>-7.828466405327382E-5</v>
      </c>
      <c r="G32" s="54">
        <v>-4.364314306453832E-5</v>
      </c>
      <c r="H32" s="46">
        <v>2083813236.9330001</v>
      </c>
      <c r="I32" s="46">
        <v>2084517229.221</v>
      </c>
      <c r="J32" s="46">
        <v>703992.28800020041</v>
      </c>
      <c r="K32" s="47">
        <v>3.3783847588776764E-4</v>
      </c>
    </row>
    <row r="33" spans="1:12" x14ac:dyDescent="0.2">
      <c r="A33" s="14">
        <v>26</v>
      </c>
      <c r="B33" s="29"/>
      <c r="C33" s="51"/>
      <c r="D33" s="41"/>
      <c r="E33" s="46"/>
      <c r="F33" s="43"/>
      <c r="G33" s="43"/>
      <c r="H33" s="43"/>
      <c r="I33" s="46"/>
      <c r="J33" s="46"/>
      <c r="K33" s="47"/>
    </row>
    <row r="34" spans="1:12" x14ac:dyDescent="0.2">
      <c r="A34" s="14">
        <v>27</v>
      </c>
      <c r="B34" s="29" t="s">
        <v>175</v>
      </c>
      <c r="C34" s="51"/>
      <c r="D34" s="41"/>
      <c r="E34" s="46"/>
      <c r="F34" s="46"/>
      <c r="G34" s="43"/>
      <c r="H34" s="43"/>
      <c r="I34" s="46"/>
      <c r="J34" s="46"/>
      <c r="K34" s="47"/>
    </row>
    <row r="35" spans="1:12" x14ac:dyDescent="0.2">
      <c r="A35" s="14">
        <v>28</v>
      </c>
      <c r="B35" s="27" t="s">
        <v>535</v>
      </c>
      <c r="C35" s="437" t="s">
        <v>359</v>
      </c>
      <c r="D35" s="41">
        <v>2468540000</v>
      </c>
      <c r="E35" s="41">
        <v>24687000</v>
      </c>
      <c r="F35" s="46"/>
      <c r="G35" s="43"/>
      <c r="H35" s="46">
        <v>24687000</v>
      </c>
      <c r="I35" s="46">
        <v>24687000</v>
      </c>
      <c r="J35" s="46">
        <v>0</v>
      </c>
      <c r="K35" s="47"/>
    </row>
    <row r="36" spans="1:12" x14ac:dyDescent="0.2">
      <c r="A36" s="14">
        <v>29</v>
      </c>
      <c r="B36" s="29"/>
      <c r="C36" s="51"/>
      <c r="D36" s="41"/>
      <c r="E36" s="46"/>
      <c r="F36" s="46"/>
      <c r="G36" s="43"/>
      <c r="H36" s="43"/>
      <c r="I36" s="46"/>
      <c r="J36" s="46"/>
      <c r="K36" s="47"/>
    </row>
    <row r="37" spans="1:12" x14ac:dyDescent="0.2">
      <c r="A37" s="14">
        <v>30</v>
      </c>
      <c r="B37" s="29" t="s">
        <v>18</v>
      </c>
      <c r="C37" s="51"/>
      <c r="D37" s="41">
        <v>22763231000</v>
      </c>
      <c r="E37" s="46">
        <v>2110089000</v>
      </c>
      <c r="F37" s="46"/>
      <c r="G37" s="43"/>
      <c r="H37" s="46">
        <v>2108500236.9330001</v>
      </c>
      <c r="I37" s="46">
        <v>2109204229.221</v>
      </c>
      <c r="J37" s="46">
        <v>703992.28800020041</v>
      </c>
      <c r="K37" s="47"/>
    </row>
    <row r="38" spans="1:12" ht="13.5" thickBot="1" x14ac:dyDescent="0.25">
      <c r="A38" s="31"/>
      <c r="B38" s="44"/>
      <c r="C38" s="32"/>
      <c r="D38" s="33"/>
      <c r="E38" s="34"/>
      <c r="F38" s="34"/>
      <c r="G38" s="44"/>
      <c r="H38" s="44"/>
      <c r="I38" s="33"/>
      <c r="J38" s="44"/>
      <c r="K38" s="45"/>
    </row>
    <row r="39" spans="1:12" x14ac:dyDescent="0.2">
      <c r="A39" s="51"/>
      <c r="B39" s="55"/>
      <c r="C39" s="51"/>
      <c r="D39" s="41"/>
      <c r="E39" s="41"/>
      <c r="F39" s="41"/>
      <c r="G39" s="55"/>
      <c r="H39" s="55"/>
      <c r="I39" s="41"/>
      <c r="J39" s="46"/>
      <c r="K39" s="55"/>
      <c r="L39" s="55"/>
    </row>
    <row r="40" spans="1:12" x14ac:dyDescent="0.2">
      <c r="A40" s="51"/>
      <c r="B40" s="55"/>
      <c r="C40" s="51"/>
      <c r="D40" s="41"/>
      <c r="E40" s="46"/>
      <c r="F40" s="41"/>
      <c r="G40" s="55"/>
      <c r="H40" s="55"/>
      <c r="I40" s="41">
        <f>+I37-E37</f>
        <v>-884770.77900004387</v>
      </c>
      <c r="J40" s="71"/>
      <c r="K40" s="55"/>
      <c r="L40" s="55"/>
    </row>
  </sheetData>
  <printOptions horizontalCentered="1"/>
  <pageMargins left="0.7" right="0.7" top="0.75" bottom="0.71" header="0.3" footer="0.3"/>
  <pageSetup scale="75"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4" sqref="B4"/>
    </sheetView>
  </sheetViews>
  <sheetFormatPr defaultRowHeight="12.75" x14ac:dyDescent="0.2"/>
  <cols>
    <col min="1" max="1" width="35.7109375" bestFit="1" customWidth="1"/>
    <col min="2" max="2" width="10.140625" bestFit="1" customWidth="1"/>
  </cols>
  <sheetData>
    <row r="1" spans="1:2" x14ac:dyDescent="0.2">
      <c r="A1" s="7" t="s">
        <v>364</v>
      </c>
      <c r="B1" s="376" t="s">
        <v>525</v>
      </c>
    </row>
    <row r="2" spans="1:2" x14ac:dyDescent="0.2">
      <c r="A2" s="7" t="s">
        <v>365</v>
      </c>
      <c r="B2" s="306"/>
    </row>
    <row r="4" spans="1:2" x14ac:dyDescent="0.2">
      <c r="A4" s="7" t="s">
        <v>366</v>
      </c>
      <c r="B4" s="306">
        <v>44317</v>
      </c>
    </row>
    <row r="6" spans="1:2" x14ac:dyDescent="0.2">
      <c r="A6" t="s">
        <v>360</v>
      </c>
      <c r="B6" t="s">
        <v>382</v>
      </c>
    </row>
    <row r="7" spans="1:2" x14ac:dyDescent="0.2">
      <c r="A7" t="s">
        <v>460</v>
      </c>
      <c r="B7" s="306">
        <v>43647</v>
      </c>
    </row>
    <row r="8" spans="1:2" x14ac:dyDescent="0.2">
      <c r="A8" t="s">
        <v>461</v>
      </c>
      <c r="B8" s="306">
        <f>B7+365</f>
        <v>44012</v>
      </c>
    </row>
    <row r="10" spans="1:2" x14ac:dyDescent="0.2">
      <c r="A10" s="7" t="s">
        <v>367</v>
      </c>
      <c r="B10" s="415" t="s">
        <v>454</v>
      </c>
    </row>
    <row r="12" spans="1:2" x14ac:dyDescent="0.2">
      <c r="A12" s="7" t="s">
        <v>462</v>
      </c>
      <c r="B12" s="306">
        <v>44348</v>
      </c>
    </row>
    <row r="13" spans="1:2" x14ac:dyDescent="0.2">
      <c r="A13" s="7" t="s">
        <v>463</v>
      </c>
      <c r="B13" s="306">
        <f>B12+364</f>
        <v>44712</v>
      </c>
    </row>
  </sheetData>
  <printOptions horizontalCentered="1"/>
  <pageMargins left="0.7" right="0.7" top="0.75" bottom="0.75" header="0.3" footer="0.3"/>
  <pageSetup orientation="landscape" r:id="rId1"/>
  <headerFooter>
    <oddFooter>&amp;L&amp;F&amp;R&amp;A
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2"/>
  <sheetViews>
    <sheetView workbookViewId="0">
      <selection sqref="A1:I1"/>
    </sheetView>
  </sheetViews>
  <sheetFormatPr defaultColWidth="8.85546875" defaultRowHeight="12.75" x14ac:dyDescent="0.2"/>
  <cols>
    <col min="1" max="1" width="7.7109375" style="1" bestFit="1" customWidth="1"/>
    <col min="2" max="2" width="33.7109375" style="1" bestFit="1" customWidth="1"/>
    <col min="3" max="3" width="10.140625" style="1" bestFit="1" customWidth="1"/>
    <col min="4" max="5" width="14.7109375" style="1" bestFit="1" customWidth="1"/>
    <col min="6" max="6" width="14" style="1" customWidth="1"/>
    <col min="7" max="7" width="16.28515625" style="1" customWidth="1"/>
    <col min="8" max="8" width="12.85546875" style="1" bestFit="1" customWidth="1"/>
    <col min="9" max="9" width="8.42578125" style="1" bestFit="1" customWidth="1"/>
    <col min="10" max="10" width="8.85546875" style="1"/>
    <col min="11" max="11" width="11.5703125" style="1" bestFit="1" customWidth="1"/>
    <col min="12" max="16384" width="8.85546875" style="1"/>
  </cols>
  <sheetData>
    <row r="1" spans="1:11" ht="15" x14ac:dyDescent="0.25">
      <c r="A1" s="640" t="s">
        <v>0</v>
      </c>
      <c r="B1" s="640"/>
      <c r="C1" s="640"/>
      <c r="D1" s="640"/>
      <c r="E1" s="640"/>
      <c r="F1" s="640"/>
      <c r="G1" s="640"/>
      <c r="H1" s="640"/>
      <c r="I1" s="640"/>
      <c r="J1" s="340"/>
      <c r="K1" s="340"/>
    </row>
    <row r="2" spans="1:11" ht="15" x14ac:dyDescent="0.25">
      <c r="A2" s="640" t="s">
        <v>372</v>
      </c>
      <c r="B2" s="640"/>
      <c r="C2" s="640"/>
      <c r="D2" s="640"/>
      <c r="E2" s="640"/>
      <c r="F2" s="640"/>
      <c r="G2" s="640"/>
      <c r="H2" s="640"/>
      <c r="I2" s="640"/>
      <c r="J2" s="340"/>
      <c r="K2" s="340"/>
    </row>
    <row r="3" spans="1:11" ht="15" x14ac:dyDescent="0.25">
      <c r="A3" s="673" t="s">
        <v>551</v>
      </c>
      <c r="B3" s="640"/>
      <c r="C3" s="640"/>
      <c r="D3" s="640"/>
      <c r="E3" s="640"/>
      <c r="F3" s="640"/>
      <c r="G3" s="640"/>
      <c r="H3" s="640"/>
      <c r="I3" s="640"/>
      <c r="J3" s="340"/>
      <c r="K3" s="340"/>
    </row>
    <row r="4" spans="1:11" ht="15" x14ac:dyDescent="0.25">
      <c r="A4" s="341"/>
      <c r="B4" s="342"/>
      <c r="C4" s="342"/>
      <c r="D4" s="342"/>
      <c r="E4" s="342"/>
      <c r="F4" s="341"/>
      <c r="G4" s="341"/>
      <c r="H4" s="341"/>
      <c r="I4" s="341"/>
      <c r="J4" s="340"/>
      <c r="K4" s="340"/>
    </row>
    <row r="5" spans="1:11" ht="63.75" x14ac:dyDescent="0.2">
      <c r="A5" s="343" t="s">
        <v>3</v>
      </c>
      <c r="B5" s="343" t="s">
        <v>135</v>
      </c>
      <c r="C5" s="343" t="s">
        <v>118</v>
      </c>
      <c r="D5" s="145" t="s">
        <v>547</v>
      </c>
      <c r="E5" s="145" t="s">
        <v>548</v>
      </c>
      <c r="F5" s="145" t="s">
        <v>549</v>
      </c>
      <c r="G5" s="145" t="s">
        <v>550</v>
      </c>
      <c r="H5" s="145" t="s">
        <v>373</v>
      </c>
      <c r="I5" s="145" t="s">
        <v>374</v>
      </c>
      <c r="J5" s="230"/>
      <c r="K5" s="230"/>
    </row>
    <row r="6" spans="1:11" ht="38.25" x14ac:dyDescent="0.2">
      <c r="A6" s="344"/>
      <c r="B6" s="345" t="s">
        <v>136</v>
      </c>
      <c r="C6" s="346" t="s">
        <v>137</v>
      </c>
      <c r="D6" s="346" t="s">
        <v>138</v>
      </c>
      <c r="E6" s="346" t="s">
        <v>139</v>
      </c>
      <c r="F6" s="347" t="s">
        <v>140</v>
      </c>
      <c r="G6" s="347" t="s">
        <v>141</v>
      </c>
      <c r="H6" s="346" t="s">
        <v>142</v>
      </c>
      <c r="I6" s="346" t="s">
        <v>143</v>
      </c>
      <c r="J6" s="230"/>
      <c r="K6" s="230"/>
    </row>
    <row r="7" spans="1:11" x14ac:dyDescent="0.2">
      <c r="A7" s="230">
        <v>1</v>
      </c>
      <c r="B7" s="151" t="s">
        <v>11</v>
      </c>
      <c r="C7" s="146"/>
      <c r="D7" s="344"/>
      <c r="E7" s="348"/>
      <c r="F7" s="230"/>
      <c r="G7" s="230"/>
      <c r="H7" s="348"/>
      <c r="I7" s="348"/>
      <c r="J7" s="230"/>
      <c r="K7" s="230"/>
    </row>
    <row r="8" spans="1:11" ht="15" x14ac:dyDescent="0.25">
      <c r="A8" s="230">
        <v>2</v>
      </c>
      <c r="B8" s="153" t="s">
        <v>11</v>
      </c>
      <c r="C8" s="319">
        <v>7</v>
      </c>
      <c r="D8" s="349">
        <v>10836904000</v>
      </c>
      <c r="E8" s="350">
        <v>1145660000</v>
      </c>
      <c r="F8" s="351">
        <v>3.209E-3</v>
      </c>
      <c r="G8" s="351">
        <v>3.0720000000000001E-3</v>
      </c>
      <c r="H8" s="352">
        <v>-1484655.8479999998</v>
      </c>
      <c r="I8" s="353">
        <v>-1.2577186054347467E-3</v>
      </c>
      <c r="J8" s="340"/>
      <c r="K8" s="228"/>
    </row>
    <row r="9" spans="1:11" ht="15" x14ac:dyDescent="0.25">
      <c r="A9" s="230">
        <v>3</v>
      </c>
      <c r="B9" s="154" t="s">
        <v>144</v>
      </c>
      <c r="C9" s="142"/>
      <c r="D9" s="354">
        <v>10836904000</v>
      </c>
      <c r="E9" s="355">
        <v>1145660000</v>
      </c>
      <c r="F9" s="356">
        <v>3.209E-3</v>
      </c>
      <c r="G9" s="356">
        <v>3.0720000000000001E-3</v>
      </c>
      <c r="H9" s="355">
        <v>-1484655.8479999998</v>
      </c>
      <c r="I9" s="357">
        <v>-1.2577186054347467E-3</v>
      </c>
      <c r="J9" s="340"/>
      <c r="K9" s="228"/>
    </row>
    <row r="10" spans="1:11" ht="15" x14ac:dyDescent="0.25">
      <c r="A10" s="230">
        <v>4</v>
      </c>
      <c r="B10" s="142"/>
      <c r="C10" s="142"/>
      <c r="D10" s="358"/>
      <c r="E10" s="359"/>
      <c r="F10" s="360"/>
      <c r="G10" s="360"/>
      <c r="H10" s="359"/>
      <c r="I10" s="361"/>
      <c r="J10" s="340"/>
      <c r="K10" s="228"/>
    </row>
    <row r="11" spans="1:11" ht="15" x14ac:dyDescent="0.25">
      <c r="A11" s="230">
        <v>5</v>
      </c>
      <c r="B11" s="142" t="s">
        <v>145</v>
      </c>
      <c r="C11" s="142"/>
      <c r="D11" s="358"/>
      <c r="E11" s="359"/>
      <c r="F11" s="360"/>
      <c r="G11" s="360"/>
      <c r="H11" s="359"/>
      <c r="I11" s="361"/>
      <c r="J11" s="340"/>
      <c r="K11" s="228"/>
    </row>
    <row r="12" spans="1:11" ht="15" x14ac:dyDescent="0.25">
      <c r="A12" s="230">
        <v>6</v>
      </c>
      <c r="B12" s="155" t="s">
        <v>146</v>
      </c>
      <c r="C12" s="320" t="s">
        <v>131</v>
      </c>
      <c r="D12" s="362">
        <v>2675945000</v>
      </c>
      <c r="E12" s="363">
        <v>285756000</v>
      </c>
      <c r="F12" s="351">
        <v>2.6420000000000003E-3</v>
      </c>
      <c r="G12" s="351">
        <v>2.6389999999999999E-3</v>
      </c>
      <c r="H12" s="359">
        <v>-8027.835000001066</v>
      </c>
      <c r="I12" s="361">
        <v>-2.7415049220363839E-5</v>
      </c>
      <c r="J12" s="340"/>
      <c r="K12" s="228"/>
    </row>
    <row r="13" spans="1:11" ht="15" x14ac:dyDescent="0.25">
      <c r="A13" s="230">
        <v>7</v>
      </c>
      <c r="B13" s="155" t="s">
        <v>147</v>
      </c>
      <c r="C13" s="320" t="s">
        <v>148</v>
      </c>
      <c r="D13" s="362">
        <v>2841443000</v>
      </c>
      <c r="E13" s="363">
        <v>274081000</v>
      </c>
      <c r="F13" s="351">
        <v>2.2929999999999999E-3</v>
      </c>
      <c r="G13" s="351">
        <v>2.4289999999999997E-3</v>
      </c>
      <c r="H13" s="359">
        <v>386436.24799999956</v>
      </c>
      <c r="I13" s="361">
        <v>1.3771958882513643E-3</v>
      </c>
      <c r="J13" s="340"/>
      <c r="K13" s="228"/>
    </row>
    <row r="14" spans="1:11" ht="15" x14ac:dyDescent="0.25">
      <c r="A14" s="230">
        <v>8</v>
      </c>
      <c r="B14" s="155" t="s">
        <v>149</v>
      </c>
      <c r="C14" s="320" t="s">
        <v>183</v>
      </c>
      <c r="D14" s="362">
        <v>1673580000</v>
      </c>
      <c r="E14" s="363">
        <v>150672000</v>
      </c>
      <c r="F14" s="351">
        <v>2.264E-3</v>
      </c>
      <c r="G14" s="351">
        <v>2.307E-3</v>
      </c>
      <c r="H14" s="359">
        <v>71963.940000000119</v>
      </c>
      <c r="I14" s="361">
        <v>4.6590367104088891E-4</v>
      </c>
      <c r="J14" s="340"/>
      <c r="K14" s="228"/>
    </row>
    <row r="15" spans="1:11" ht="15" x14ac:dyDescent="0.25">
      <c r="A15" s="230">
        <v>9</v>
      </c>
      <c r="B15" s="153" t="s">
        <v>150</v>
      </c>
      <c r="C15" s="319">
        <v>29</v>
      </c>
      <c r="D15" s="362">
        <v>14601000</v>
      </c>
      <c r="E15" s="363">
        <v>1111000</v>
      </c>
      <c r="F15" s="351">
        <v>2.2929999999999999E-3</v>
      </c>
      <c r="G15" s="351">
        <v>2.4289999999999997E-3</v>
      </c>
      <c r="H15" s="359">
        <v>1985.7359999999976</v>
      </c>
      <c r="I15" s="361">
        <v>1.7350550805954449E-3</v>
      </c>
      <c r="J15" s="340"/>
      <c r="K15" s="228"/>
    </row>
    <row r="16" spans="1:11" ht="15" x14ac:dyDescent="0.25">
      <c r="A16" s="230">
        <v>10</v>
      </c>
      <c r="B16" s="156" t="s">
        <v>13</v>
      </c>
      <c r="C16" s="142"/>
      <c r="D16" s="354">
        <v>7205569000</v>
      </c>
      <c r="E16" s="355">
        <v>711620000</v>
      </c>
      <c r="F16" s="356">
        <v>2.4158731533901068E-3</v>
      </c>
      <c r="G16" s="356">
        <v>2.4786521079737073E-3</v>
      </c>
      <c r="H16" s="355">
        <v>452358.08899999858</v>
      </c>
      <c r="I16" s="357">
        <v>6.2049502885090635E-4</v>
      </c>
      <c r="J16" s="340"/>
      <c r="K16" s="228"/>
    </row>
    <row r="17" spans="1:11" ht="15" x14ac:dyDescent="0.25">
      <c r="A17" s="230">
        <v>11</v>
      </c>
      <c r="B17" s="142"/>
      <c r="C17" s="142"/>
      <c r="D17" s="358"/>
      <c r="E17" s="359"/>
      <c r="F17" s="360"/>
      <c r="G17" s="360"/>
      <c r="H17" s="359"/>
      <c r="I17" s="361"/>
      <c r="J17" s="340"/>
      <c r="K17" s="228"/>
    </row>
    <row r="18" spans="1:11" ht="15" x14ac:dyDescent="0.25">
      <c r="A18" s="230">
        <v>12</v>
      </c>
      <c r="B18" s="142" t="s">
        <v>151</v>
      </c>
      <c r="C18" s="142"/>
      <c r="D18" s="358"/>
      <c r="E18" s="359"/>
      <c r="F18" s="360"/>
      <c r="G18" s="360"/>
      <c r="H18" s="359"/>
      <c r="I18" s="361"/>
      <c r="J18" s="340"/>
      <c r="K18" s="228"/>
    </row>
    <row r="19" spans="1:11" ht="15" x14ac:dyDescent="0.25">
      <c r="A19" s="230">
        <v>13</v>
      </c>
      <c r="B19" s="155" t="s">
        <v>152</v>
      </c>
      <c r="C19" s="320" t="s">
        <v>133</v>
      </c>
      <c r="D19" s="362">
        <v>1279393000</v>
      </c>
      <c r="E19" s="363">
        <v>113696000</v>
      </c>
      <c r="F19" s="351">
        <v>2.1180000000000001E-3</v>
      </c>
      <c r="G19" s="364">
        <v>2.222E-3</v>
      </c>
      <c r="H19" s="359">
        <v>133056.87199999992</v>
      </c>
      <c r="I19" s="361">
        <v>1.1430437671706636E-3</v>
      </c>
      <c r="J19" s="340"/>
      <c r="K19" s="228"/>
    </row>
    <row r="20" spans="1:11" ht="15" x14ac:dyDescent="0.25">
      <c r="A20" s="230">
        <v>14</v>
      </c>
      <c r="B20" s="153" t="s">
        <v>150</v>
      </c>
      <c r="C20" s="319">
        <v>35</v>
      </c>
      <c r="D20" s="362">
        <v>4334000</v>
      </c>
      <c r="E20" s="363">
        <v>254000</v>
      </c>
      <c r="F20" s="351">
        <v>2.1180000000000001E-3</v>
      </c>
      <c r="G20" s="364">
        <v>2.222E-3</v>
      </c>
      <c r="H20" s="359">
        <v>450.73599999999971</v>
      </c>
      <c r="I20" s="361">
        <v>1.7126567635921297E-3</v>
      </c>
      <c r="J20" s="340"/>
      <c r="K20" s="228"/>
    </row>
    <row r="21" spans="1:11" ht="15" x14ac:dyDescent="0.25">
      <c r="A21" s="230">
        <v>15</v>
      </c>
      <c r="B21" s="153" t="s">
        <v>153</v>
      </c>
      <c r="C21" s="319">
        <v>43</v>
      </c>
      <c r="D21" s="362">
        <v>110092000</v>
      </c>
      <c r="E21" s="363">
        <v>10283000</v>
      </c>
      <c r="F21" s="351">
        <v>3.0140000000000002E-3</v>
      </c>
      <c r="G21" s="364">
        <v>3.0560000000000001E-3</v>
      </c>
      <c r="H21" s="359">
        <v>4623.8639999999932</v>
      </c>
      <c r="I21" s="361">
        <v>4.3560467170991715E-4</v>
      </c>
      <c r="J21" s="340"/>
      <c r="K21" s="228"/>
    </row>
    <row r="22" spans="1:11" ht="15" x14ac:dyDescent="0.25">
      <c r="A22" s="230">
        <v>16</v>
      </c>
      <c r="B22" s="154" t="s">
        <v>14</v>
      </c>
      <c r="C22" s="142"/>
      <c r="D22" s="354">
        <v>1393819000</v>
      </c>
      <c r="E22" s="355">
        <v>124233000</v>
      </c>
      <c r="F22" s="356">
        <v>2.1887713354459943E-3</v>
      </c>
      <c r="G22" s="356">
        <v>2.2878742117879007E-3</v>
      </c>
      <c r="H22" s="355">
        <v>138131.47199999992</v>
      </c>
      <c r="I22" s="357">
        <v>1.0852247112020865E-3</v>
      </c>
      <c r="J22" s="340"/>
      <c r="K22" s="228"/>
    </row>
    <row r="23" spans="1:11" ht="15" x14ac:dyDescent="0.25">
      <c r="A23" s="230">
        <v>17</v>
      </c>
      <c r="B23" s="142"/>
      <c r="C23" s="142"/>
      <c r="D23" s="365"/>
      <c r="E23" s="366"/>
      <c r="F23" s="367"/>
      <c r="G23" s="367"/>
      <c r="H23" s="366"/>
      <c r="I23" s="368"/>
      <c r="J23" s="340"/>
      <c r="K23" s="228"/>
    </row>
    <row r="24" spans="1:11" ht="15" x14ac:dyDescent="0.25">
      <c r="A24" s="230">
        <v>18</v>
      </c>
      <c r="B24" s="156" t="s">
        <v>265</v>
      </c>
      <c r="C24" s="319" t="s">
        <v>347</v>
      </c>
      <c r="D24" s="369">
        <v>480416000</v>
      </c>
      <c r="E24" s="370">
        <v>9050000</v>
      </c>
      <c r="F24" s="371">
        <v>2.0800000000000003E-3</v>
      </c>
      <c r="G24" s="371">
        <v>4.8499999999999997E-4</v>
      </c>
      <c r="H24" s="355">
        <v>-766263.52000000014</v>
      </c>
      <c r="I24" s="357">
        <v>-7.6250700787550529E-2</v>
      </c>
      <c r="J24" s="340"/>
      <c r="K24" s="228"/>
    </row>
    <row r="25" spans="1:11" ht="15" x14ac:dyDescent="0.25">
      <c r="A25" s="230">
        <v>19</v>
      </c>
      <c r="B25" s="142"/>
      <c r="C25" s="142"/>
      <c r="D25" s="365"/>
      <c r="E25" s="366"/>
      <c r="F25" s="367"/>
      <c r="G25" s="367"/>
      <c r="H25" s="366"/>
      <c r="I25" s="368"/>
      <c r="J25" s="340"/>
      <c r="K25" s="228"/>
    </row>
    <row r="26" spans="1:11" ht="15" x14ac:dyDescent="0.25">
      <c r="A26" s="230">
        <v>20</v>
      </c>
      <c r="B26" s="142" t="s">
        <v>154</v>
      </c>
      <c r="C26" s="142"/>
      <c r="D26" s="358"/>
      <c r="E26" s="359"/>
      <c r="F26" s="360"/>
      <c r="G26" s="360"/>
      <c r="H26" s="359"/>
      <c r="I26" s="361"/>
      <c r="J26" s="340"/>
      <c r="K26" s="228"/>
    </row>
    <row r="27" spans="1:11" ht="15" x14ac:dyDescent="0.25">
      <c r="A27" s="230">
        <v>21</v>
      </c>
      <c r="B27" s="155" t="s">
        <v>155</v>
      </c>
      <c r="C27" s="319">
        <v>46</v>
      </c>
      <c r="D27" s="362">
        <v>64495000</v>
      </c>
      <c r="E27" s="363">
        <v>4578000</v>
      </c>
      <c r="F27" s="364">
        <v>1.6779999999999998E-3</v>
      </c>
      <c r="G27" s="364">
        <v>1.668E-3</v>
      </c>
      <c r="H27" s="359">
        <v>-644.94999999998765</v>
      </c>
      <c r="I27" s="361">
        <v>-1.3762683800460507E-4</v>
      </c>
      <c r="J27" s="340"/>
      <c r="K27" s="228"/>
    </row>
    <row r="28" spans="1:11" ht="15" x14ac:dyDescent="0.25">
      <c r="A28" s="230">
        <v>22</v>
      </c>
      <c r="B28" s="155" t="s">
        <v>152</v>
      </c>
      <c r="C28" s="319">
        <v>49</v>
      </c>
      <c r="D28" s="362">
        <v>512961000</v>
      </c>
      <c r="E28" s="363">
        <v>36210000</v>
      </c>
      <c r="F28" s="364">
        <v>1.6779999999999998E-3</v>
      </c>
      <c r="G28" s="364">
        <v>1.668E-3</v>
      </c>
      <c r="H28" s="359">
        <v>-5129.6099999999024</v>
      </c>
      <c r="I28" s="361">
        <v>-1.3837352089004186E-4</v>
      </c>
      <c r="J28" s="340"/>
      <c r="K28" s="228"/>
    </row>
    <row r="29" spans="1:11" ht="15" x14ac:dyDescent="0.25">
      <c r="A29" s="230">
        <v>23</v>
      </c>
      <c r="B29" s="156" t="s">
        <v>15</v>
      </c>
      <c r="C29" s="142"/>
      <c r="D29" s="354">
        <v>577456000</v>
      </c>
      <c r="E29" s="355">
        <v>40788000</v>
      </c>
      <c r="F29" s="356">
        <v>1.6779999999999998E-3</v>
      </c>
      <c r="G29" s="356">
        <v>1.668E-3</v>
      </c>
      <c r="H29" s="355">
        <v>-5774.5599999998904</v>
      </c>
      <c r="I29" s="357">
        <v>-1.3828972357135812E-4</v>
      </c>
      <c r="J29" s="340"/>
      <c r="K29" s="228"/>
    </row>
    <row r="30" spans="1:11" ht="15" x14ac:dyDescent="0.25">
      <c r="A30" s="230">
        <v>24</v>
      </c>
      <c r="B30" s="142"/>
      <c r="C30" s="142"/>
      <c r="D30" s="365"/>
      <c r="E30" s="366"/>
      <c r="F30" s="367"/>
      <c r="G30" s="367"/>
      <c r="H30" s="366"/>
      <c r="I30" s="368"/>
      <c r="J30" s="340"/>
      <c r="K30" s="228"/>
    </row>
    <row r="31" spans="1:11" ht="15" x14ac:dyDescent="0.25">
      <c r="A31" s="230">
        <v>25</v>
      </c>
      <c r="B31" s="142" t="s">
        <v>156</v>
      </c>
      <c r="C31" s="319" t="s">
        <v>16</v>
      </c>
      <c r="D31" s="369">
        <v>62835000</v>
      </c>
      <c r="E31" s="370">
        <v>15462000</v>
      </c>
      <c r="F31" s="371">
        <v>9.5250000000000005E-3</v>
      </c>
      <c r="G31" s="371">
        <v>9.2899999999999996E-3</v>
      </c>
      <c r="H31" s="355">
        <v>-14766.225000000053</v>
      </c>
      <c r="I31" s="357">
        <v>-9.19412340648386E-4</v>
      </c>
      <c r="J31" s="340"/>
      <c r="K31" s="228"/>
    </row>
    <row r="32" spans="1:11" ht="15" x14ac:dyDescent="0.25">
      <c r="A32" s="230">
        <v>26</v>
      </c>
      <c r="B32" s="142"/>
      <c r="C32" s="319"/>
      <c r="D32" s="365"/>
      <c r="E32" s="366"/>
      <c r="F32" s="367"/>
      <c r="G32" s="367"/>
      <c r="H32" s="366"/>
      <c r="I32" s="368"/>
      <c r="J32" s="340"/>
      <c r="K32" s="228"/>
    </row>
    <row r="33" spans="1:11" ht="15" x14ac:dyDescent="0.25">
      <c r="A33" s="230">
        <v>27</v>
      </c>
      <c r="B33" s="154" t="s">
        <v>157</v>
      </c>
      <c r="C33" s="319" t="s">
        <v>17</v>
      </c>
      <c r="D33" s="369">
        <v>1999367000</v>
      </c>
      <c r="E33" s="370">
        <v>12128000</v>
      </c>
      <c r="F33" s="371">
        <v>2.5000000000000001E-5</v>
      </c>
      <c r="G33" s="371">
        <v>2.1999999999999999E-5</v>
      </c>
      <c r="H33" s="355">
        <v>-5998.1010000000033</v>
      </c>
      <c r="I33" s="357">
        <v>-4.925364423049107E-4</v>
      </c>
      <c r="J33" s="340"/>
      <c r="K33" s="228"/>
    </row>
    <row r="34" spans="1:11" ht="15" x14ac:dyDescent="0.25">
      <c r="A34" s="230">
        <v>28</v>
      </c>
      <c r="B34" s="142"/>
      <c r="C34" s="142"/>
      <c r="D34" s="365"/>
      <c r="E34" s="366"/>
      <c r="F34" s="367"/>
      <c r="G34" s="367"/>
      <c r="H34" s="366"/>
      <c r="I34" s="368"/>
      <c r="J34" s="340"/>
      <c r="K34" s="228"/>
    </row>
    <row r="35" spans="1:11" ht="15.75" thickBot="1" x14ac:dyDescent="0.3">
      <c r="A35" s="230">
        <v>29</v>
      </c>
      <c r="B35" s="156" t="s">
        <v>158</v>
      </c>
      <c r="C35" s="142"/>
      <c r="D35" s="372">
        <v>22556366000</v>
      </c>
      <c r="E35" s="373">
        <v>2058941000</v>
      </c>
      <c r="F35" s="374">
        <v>2.552E-3</v>
      </c>
      <c r="G35" s="374">
        <v>2.4899344166077106E-3</v>
      </c>
      <c r="H35" s="373">
        <v>-1686968.6930000014</v>
      </c>
      <c r="I35" s="375">
        <v>-7.970540186396037E-4</v>
      </c>
      <c r="J35" s="340"/>
      <c r="K35" s="228"/>
    </row>
    <row r="36" spans="1:11" ht="15.75" thickTop="1" x14ac:dyDescent="0.25">
      <c r="A36" s="230"/>
      <c r="B36" s="340"/>
      <c r="C36" s="340"/>
      <c r="D36" s="340"/>
      <c r="E36" s="340"/>
      <c r="F36" s="231"/>
      <c r="G36" s="340"/>
      <c r="H36" s="340"/>
      <c r="I36" s="340"/>
      <c r="J36" s="340"/>
      <c r="K36" s="340"/>
    </row>
    <row r="37" spans="1:11" ht="15" x14ac:dyDescent="0.25">
      <c r="A37" s="230"/>
      <c r="B37" s="229"/>
      <c r="C37" s="340"/>
      <c r="D37" s="340"/>
      <c r="E37" s="340"/>
      <c r="F37" s="340"/>
      <c r="G37" s="340"/>
      <c r="H37" s="340"/>
      <c r="I37" s="340"/>
      <c r="J37" s="340"/>
      <c r="K37" s="340"/>
    </row>
    <row r="38" spans="1:11" ht="15" x14ac:dyDescent="0.25">
      <c r="A38" s="230"/>
      <c r="B38" s="340"/>
      <c r="C38" s="340"/>
      <c r="D38" s="340"/>
      <c r="E38" s="340"/>
      <c r="F38" s="340"/>
      <c r="G38" s="340"/>
      <c r="H38" s="340"/>
      <c r="I38" s="340"/>
      <c r="J38" s="340"/>
      <c r="K38" s="340"/>
    </row>
    <row r="39" spans="1:11" ht="15" x14ac:dyDescent="0.25">
      <c r="A39" s="230"/>
      <c r="B39" s="229"/>
      <c r="C39" s="340"/>
      <c r="D39" s="340"/>
      <c r="E39" s="340"/>
      <c r="F39" s="340"/>
      <c r="G39" s="340"/>
      <c r="H39" s="340"/>
      <c r="I39" s="340"/>
      <c r="J39" s="340"/>
      <c r="K39" s="340"/>
    </row>
    <row r="42" spans="1:11" ht="15" x14ac:dyDescent="0.25">
      <c r="A42" s="340"/>
      <c r="B42" s="340"/>
      <c r="C42" s="340"/>
      <c r="D42" s="228"/>
      <c r="E42" s="340"/>
      <c r="F42" s="340"/>
      <c r="G42" s="340"/>
      <c r="H42" s="340"/>
      <c r="I42" s="340"/>
      <c r="J42" s="340"/>
      <c r="K42" s="340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87"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1:AA59"/>
  <sheetViews>
    <sheetView workbookViewId="0">
      <selection sqref="A1:AA51"/>
    </sheetView>
  </sheetViews>
  <sheetFormatPr defaultColWidth="5.28515625" defaultRowHeight="11.25" x14ac:dyDescent="0.2"/>
  <cols>
    <col min="1" max="1" width="1.28515625" style="88" customWidth="1"/>
    <col min="2" max="2" width="4.85546875" style="88" bestFit="1" customWidth="1"/>
    <col min="3" max="3" width="1.28515625" style="88" customWidth="1"/>
    <col min="4" max="4" width="27.85546875" style="160" customWidth="1"/>
    <col min="5" max="5" width="2.28515625" style="160" customWidth="1"/>
    <col min="6" max="6" width="11.5703125" style="160" bestFit="1" customWidth="1"/>
    <col min="7" max="7" width="1.28515625" style="160" customWidth="1"/>
    <col min="8" max="8" width="10.7109375" style="88" bestFit="1" customWidth="1"/>
    <col min="9" max="9" width="1.28515625" style="88" customWidth="1"/>
    <col min="10" max="10" width="11.85546875" style="88" bestFit="1" customWidth="1"/>
    <col min="11" max="11" width="1.28515625" style="88" customWidth="1"/>
    <col min="12" max="12" width="11.28515625" style="88" bestFit="1" customWidth="1"/>
    <col min="13" max="13" width="1.28515625" style="88" customWidth="1"/>
    <col min="14" max="14" width="14.85546875" style="88" bestFit="1" customWidth="1"/>
    <col min="15" max="15" width="1.28515625" style="88" customWidth="1"/>
    <col min="16" max="16" width="8.5703125" style="88" bestFit="1" customWidth="1"/>
    <col min="17" max="17" width="9.140625" style="88" bestFit="1" customWidth="1"/>
    <col min="18" max="18" width="11" style="88" bestFit="1" customWidth="1"/>
    <col min="19" max="19" width="12.42578125" style="88" bestFit="1" customWidth="1"/>
    <col min="20" max="20" width="1.28515625" style="88" customWidth="1"/>
    <col min="21" max="21" width="12.28515625" style="88" bestFit="1" customWidth="1"/>
    <col min="22" max="22" width="1.28515625" style="88" customWidth="1"/>
    <col min="23" max="23" width="11" style="88" customWidth="1"/>
    <col min="24" max="24" width="10.5703125" style="88" bestFit="1" customWidth="1"/>
    <col min="25" max="25" width="5.28515625" style="88"/>
    <col min="26" max="26" width="9.42578125" style="88" bestFit="1" customWidth="1"/>
    <col min="27" max="27" width="10" style="88" bestFit="1" customWidth="1"/>
    <col min="28" max="16384" width="5.28515625" style="88"/>
  </cols>
  <sheetData>
    <row r="1" spans="2:27" x14ac:dyDescent="0.2">
      <c r="C1" s="158"/>
      <c r="D1" s="159"/>
      <c r="N1" s="88" t="s">
        <v>19</v>
      </c>
    </row>
    <row r="2" spans="2:27" x14ac:dyDescent="0.2">
      <c r="B2" s="618" t="s">
        <v>20</v>
      </c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161"/>
    </row>
    <row r="3" spans="2:27" x14ac:dyDescent="0.2">
      <c r="B3" s="616" t="s">
        <v>21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104"/>
      <c r="V3" s="104"/>
    </row>
    <row r="4" spans="2:27" x14ac:dyDescent="0.2">
      <c r="B4" s="618" t="s">
        <v>316</v>
      </c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104"/>
      <c r="V4" s="104"/>
    </row>
    <row r="5" spans="2:27" x14ac:dyDescent="0.2">
      <c r="B5" s="618" t="s">
        <v>22</v>
      </c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104"/>
      <c r="V5" s="104"/>
    </row>
    <row r="6" spans="2:27" x14ac:dyDescent="0.2">
      <c r="B6" s="618" t="s">
        <v>317</v>
      </c>
      <c r="C6" s="618"/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104"/>
      <c r="V6" s="104"/>
    </row>
    <row r="7" spans="2:27" x14ac:dyDescent="0.2"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161"/>
      <c r="V7" s="161"/>
    </row>
    <row r="8" spans="2:27" x14ac:dyDescent="0.2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61"/>
      <c r="U8" s="161"/>
      <c r="V8" s="161"/>
    </row>
    <row r="9" spans="2:27" x14ac:dyDescent="0.2">
      <c r="K9" s="141"/>
      <c r="L9" s="162"/>
      <c r="M9" s="103"/>
      <c r="N9" s="643" t="s">
        <v>329</v>
      </c>
      <c r="O9" s="644"/>
      <c r="P9" s="644"/>
      <c r="Q9" s="644"/>
      <c r="R9" s="644"/>
      <c r="S9" s="645"/>
      <c r="T9" s="103"/>
      <c r="U9" s="163"/>
      <c r="V9" s="103"/>
    </row>
    <row r="10" spans="2:27" x14ac:dyDescent="0.2">
      <c r="L10" s="130" t="s">
        <v>23</v>
      </c>
      <c r="M10" s="164"/>
      <c r="N10" s="646" t="s">
        <v>24</v>
      </c>
      <c r="O10" s="647"/>
      <c r="P10" s="647"/>
      <c r="Q10" s="647"/>
      <c r="R10" s="647"/>
      <c r="S10" s="648"/>
      <c r="T10" s="164"/>
      <c r="U10" s="103"/>
      <c r="V10" s="164"/>
    </row>
    <row r="11" spans="2:27" ht="15.6" customHeight="1" x14ac:dyDescent="0.2">
      <c r="F11" s="165" t="s">
        <v>25</v>
      </c>
      <c r="G11" s="166"/>
      <c r="L11" s="103" t="s">
        <v>26</v>
      </c>
      <c r="M11" s="163"/>
      <c r="N11" s="163" t="s">
        <v>330</v>
      </c>
      <c r="O11" s="103"/>
      <c r="P11" s="103" t="s">
        <v>331</v>
      </c>
      <c r="Q11" s="163" t="s">
        <v>332</v>
      </c>
      <c r="R11" s="103"/>
      <c r="S11" s="167"/>
      <c r="T11" s="167"/>
      <c r="U11" s="103" t="s">
        <v>24</v>
      </c>
      <c r="V11" s="130"/>
      <c r="W11" s="649" t="s">
        <v>333</v>
      </c>
      <c r="X11" s="650" t="s">
        <v>318</v>
      </c>
    </row>
    <row r="12" spans="2:27" x14ac:dyDescent="0.2">
      <c r="B12" s="130" t="s">
        <v>27</v>
      </c>
      <c r="F12" s="166" t="s">
        <v>28</v>
      </c>
      <c r="G12" s="166"/>
      <c r="H12" s="130" t="s">
        <v>29</v>
      </c>
      <c r="L12" s="130" t="s">
        <v>30</v>
      </c>
      <c r="M12" s="130"/>
      <c r="N12" s="168" t="s">
        <v>30</v>
      </c>
      <c r="O12" s="130"/>
      <c r="P12" s="106" t="s">
        <v>31</v>
      </c>
      <c r="Q12" s="106" t="s">
        <v>334</v>
      </c>
      <c r="R12" s="106" t="s">
        <v>24</v>
      </c>
      <c r="S12" s="130" t="s">
        <v>26</v>
      </c>
      <c r="T12" s="130"/>
      <c r="U12" s="130" t="s">
        <v>32</v>
      </c>
      <c r="V12" s="103"/>
      <c r="W12" s="649"/>
      <c r="X12" s="650"/>
      <c r="Z12" s="641" t="s">
        <v>362</v>
      </c>
      <c r="AA12" s="642"/>
    </row>
    <row r="13" spans="2:27" x14ac:dyDescent="0.2">
      <c r="B13" s="169" t="s">
        <v>33</v>
      </c>
      <c r="D13" s="170" t="s">
        <v>34</v>
      </c>
      <c r="F13" s="170" t="s">
        <v>33</v>
      </c>
      <c r="G13" s="171"/>
      <c r="H13" s="172" t="s">
        <v>35</v>
      </c>
      <c r="J13" s="172" t="s">
        <v>36</v>
      </c>
      <c r="L13" s="173" t="s">
        <v>37</v>
      </c>
      <c r="M13" s="103"/>
      <c r="N13" s="174" t="s">
        <v>37</v>
      </c>
      <c r="O13" s="175"/>
      <c r="P13" s="176" t="s">
        <v>37</v>
      </c>
      <c r="Q13" s="176" t="s">
        <v>37</v>
      </c>
      <c r="R13" s="176" t="s">
        <v>335</v>
      </c>
      <c r="S13" s="172" t="s">
        <v>38</v>
      </c>
      <c r="T13" s="103"/>
      <c r="U13" s="173" t="s">
        <v>336</v>
      </c>
      <c r="V13" s="103"/>
      <c r="W13" s="174" t="s">
        <v>37</v>
      </c>
      <c r="X13" s="174" t="s">
        <v>37</v>
      </c>
      <c r="Z13" s="103" t="s">
        <v>331</v>
      </c>
      <c r="AA13" s="163" t="s">
        <v>332</v>
      </c>
    </row>
    <row r="14" spans="2:27" x14ac:dyDescent="0.2">
      <c r="B14" s="177"/>
      <c r="D14" s="106" t="s">
        <v>39</v>
      </c>
      <c r="F14" s="106" t="s">
        <v>40</v>
      </c>
      <c r="G14" s="166"/>
      <c r="H14" s="106" t="s">
        <v>41</v>
      </c>
      <c r="J14" s="106" t="s">
        <v>42</v>
      </c>
      <c r="L14" s="106" t="s">
        <v>43</v>
      </c>
      <c r="M14" s="106"/>
      <c r="N14" s="106" t="s">
        <v>44</v>
      </c>
      <c r="O14" s="106"/>
      <c r="P14" s="106" t="s">
        <v>45</v>
      </c>
      <c r="Q14" s="106" t="s">
        <v>46</v>
      </c>
      <c r="R14" s="106" t="s">
        <v>47</v>
      </c>
      <c r="S14" s="106" t="s">
        <v>337</v>
      </c>
      <c r="T14" s="106"/>
      <c r="U14" s="106" t="s">
        <v>338</v>
      </c>
      <c r="V14" s="163"/>
    </row>
    <row r="15" spans="2:27" x14ac:dyDescent="0.2">
      <c r="M15" s="106"/>
      <c r="N15" s="106" t="s">
        <v>19</v>
      </c>
      <c r="P15" s="106" t="s">
        <v>48</v>
      </c>
      <c r="Q15" s="106" t="s">
        <v>339</v>
      </c>
      <c r="R15" s="106" t="s">
        <v>340</v>
      </c>
      <c r="S15" s="106" t="s">
        <v>341</v>
      </c>
      <c r="U15" s="106" t="s">
        <v>342</v>
      </c>
      <c r="V15" s="141"/>
    </row>
    <row r="16" spans="2:27" x14ac:dyDescent="0.2">
      <c r="D16" s="178" t="s">
        <v>49</v>
      </c>
      <c r="V16" s="141"/>
    </row>
    <row r="17" spans="2:27" x14ac:dyDescent="0.2">
      <c r="B17" s="130">
        <v>1</v>
      </c>
      <c r="D17" s="160" t="s">
        <v>49</v>
      </c>
      <c r="F17" s="165">
        <v>7</v>
      </c>
      <c r="G17" s="165"/>
      <c r="H17" s="179">
        <v>1023208</v>
      </c>
      <c r="J17" s="179">
        <v>10657340</v>
      </c>
      <c r="L17" s="180">
        <v>1109032.567</v>
      </c>
      <c r="M17" s="180"/>
      <c r="N17" s="180">
        <v>1125619</v>
      </c>
      <c r="O17" s="180"/>
      <c r="P17" s="180">
        <f>N17-L17</f>
        <v>16586.432999999961</v>
      </c>
      <c r="Q17" s="180">
        <f>-P17</f>
        <v>-16586.432999999961</v>
      </c>
      <c r="R17" s="180">
        <f>SUM(L17,P17:Q17)</f>
        <v>1109032.567</v>
      </c>
      <c r="S17" s="217">
        <f>SUM(P17:Q17)/L17</f>
        <v>0</v>
      </c>
      <c r="T17" s="181"/>
      <c r="U17" s="218">
        <f>R17/J17*100</f>
        <v>10.406279306093266</v>
      </c>
      <c r="V17" s="194"/>
      <c r="W17" s="180"/>
      <c r="X17" s="180"/>
      <c r="Z17" s="157">
        <f>+P17/J17</f>
        <v>1.556338917591065E-3</v>
      </c>
      <c r="AA17" s="157">
        <f>+Q17/J17</f>
        <v>-1.556338917591065E-3</v>
      </c>
    </row>
    <row r="18" spans="2:27" x14ac:dyDescent="0.2">
      <c r="B18" s="130">
        <f>MAX(B$14:B17)+1</f>
        <v>2</v>
      </c>
      <c r="D18" s="182" t="s">
        <v>50</v>
      </c>
      <c r="H18" s="183">
        <f>SUM(H17:H17)</f>
        <v>1023208</v>
      </c>
      <c r="J18" s="183">
        <f>SUM(J17:J17)</f>
        <v>10657340</v>
      </c>
      <c r="L18" s="184">
        <f>SUM(L17:L17)</f>
        <v>1109032.567</v>
      </c>
      <c r="M18" s="180"/>
      <c r="N18" s="184">
        <f>SUM(N17:N17)</f>
        <v>1125619</v>
      </c>
      <c r="O18" s="180"/>
      <c r="P18" s="184">
        <f>SUM(P17)</f>
        <v>16586.432999999961</v>
      </c>
      <c r="Q18" s="184">
        <f>SUM(Q17)</f>
        <v>-16586.432999999961</v>
      </c>
      <c r="R18" s="184">
        <f>SUM(R17)</f>
        <v>1109032.567</v>
      </c>
      <c r="S18" s="219">
        <f>SUM(P18:Q18)/L18</f>
        <v>0</v>
      </c>
      <c r="T18" s="181"/>
      <c r="U18" s="220">
        <f>R18/J18*100</f>
        <v>10.406279306093266</v>
      </c>
      <c r="V18" s="194"/>
      <c r="W18" s="221">
        <v>16586.892521964</v>
      </c>
      <c r="X18" s="221">
        <f>P18-W18</f>
        <v>-0.45952196403959533</v>
      </c>
    </row>
    <row r="19" spans="2:27" x14ac:dyDescent="0.2">
      <c r="J19" s="88" t="s">
        <v>19</v>
      </c>
      <c r="L19" s="185"/>
      <c r="M19" s="185"/>
      <c r="N19" s="185"/>
      <c r="O19" s="185"/>
      <c r="P19" s="185"/>
      <c r="Q19" s="185"/>
      <c r="R19" s="185"/>
      <c r="S19" s="222"/>
      <c r="U19" s="223"/>
      <c r="V19" s="141"/>
      <c r="W19" s="72"/>
      <c r="X19" s="72"/>
    </row>
    <row r="20" spans="2:27" x14ac:dyDescent="0.2">
      <c r="D20" s="159" t="s">
        <v>51</v>
      </c>
      <c r="H20" s="187"/>
      <c r="L20" s="185"/>
      <c r="M20" s="185"/>
      <c r="N20" s="185"/>
      <c r="O20" s="185"/>
      <c r="P20" s="185"/>
      <c r="Q20" s="185"/>
      <c r="R20" s="185"/>
      <c r="S20" s="222"/>
      <c r="U20" s="223"/>
      <c r="V20" s="141"/>
      <c r="W20" s="72"/>
      <c r="X20" s="72"/>
    </row>
    <row r="21" spans="2:27" x14ac:dyDescent="0.2">
      <c r="B21" s="130">
        <f>MAX(B$14:B20)+1</f>
        <v>3</v>
      </c>
      <c r="D21" s="188" t="s">
        <v>52</v>
      </c>
      <c r="F21" s="165" t="s">
        <v>53</v>
      </c>
      <c r="G21" s="166"/>
      <c r="H21" s="179">
        <v>129785.16666666667</v>
      </c>
      <c r="J21" s="179">
        <v>2769974</v>
      </c>
      <c r="L21" s="180">
        <v>269558.01400000002</v>
      </c>
      <c r="M21" s="180"/>
      <c r="N21" s="180">
        <v>272581</v>
      </c>
      <c r="O21" s="180"/>
      <c r="P21" s="180">
        <f>N21-L21</f>
        <v>3022.9859999999753</v>
      </c>
      <c r="Q21" s="180">
        <f>-P21</f>
        <v>-3022.9859999999753</v>
      </c>
      <c r="R21" s="180">
        <f>SUM(L21,P21:Q21)</f>
        <v>269558.01400000002</v>
      </c>
      <c r="S21" s="217">
        <f>SUM(P21:Q21)/L21</f>
        <v>0</v>
      </c>
      <c r="T21" s="181"/>
      <c r="U21" s="218">
        <f>R21/J21*100</f>
        <v>9.7314275874069587</v>
      </c>
      <c r="V21" s="194"/>
      <c r="W21" s="224"/>
      <c r="X21" s="224"/>
      <c r="Z21" s="157">
        <f t="shared" ref="Z21:Z24" si="0">+P21/J21</f>
        <v>1.0913409295538424E-3</v>
      </c>
      <c r="AA21" s="157">
        <f t="shared" ref="AA21:AA24" si="1">+Q21/J21</f>
        <v>-1.0913409295538424E-3</v>
      </c>
    </row>
    <row r="22" spans="2:27" x14ac:dyDescent="0.2">
      <c r="B22" s="130">
        <f>MAX(B$14:B21)+1</f>
        <v>4</v>
      </c>
      <c r="D22" s="188" t="s">
        <v>54</v>
      </c>
      <c r="E22" s="88"/>
      <c r="F22" s="165" t="s">
        <v>55</v>
      </c>
      <c r="G22" s="166"/>
      <c r="H22" s="179">
        <v>7557.75</v>
      </c>
      <c r="J22" s="179">
        <v>2962665</v>
      </c>
      <c r="L22" s="180">
        <v>267247.141</v>
      </c>
      <c r="M22" s="180"/>
      <c r="N22" s="180">
        <v>269845</v>
      </c>
      <c r="O22" s="180"/>
      <c r="P22" s="180">
        <f>N22-L22</f>
        <v>2597.8589999999967</v>
      </c>
      <c r="Q22" s="180">
        <f>-P22</f>
        <v>-2597.8589999999967</v>
      </c>
      <c r="R22" s="180">
        <f>SUM(L22,P22:Q22)</f>
        <v>267247.141</v>
      </c>
      <c r="S22" s="217">
        <f>SUM(P22:Q22)/L22</f>
        <v>0</v>
      </c>
      <c r="T22" s="181"/>
      <c r="U22" s="218">
        <f>R22/J22*100</f>
        <v>9.0204981325934597</v>
      </c>
      <c r="V22" s="194"/>
      <c r="W22" s="224"/>
      <c r="X22" s="224"/>
      <c r="Z22" s="157">
        <f>+P22/J22</f>
        <v>8.7686559229612415E-4</v>
      </c>
      <c r="AA22" s="157">
        <f t="shared" si="1"/>
        <v>-8.7686559229612415E-4</v>
      </c>
    </row>
    <row r="23" spans="2:27" x14ac:dyDescent="0.2">
      <c r="B23" s="130">
        <f>MAX(B$14:B22)+1</f>
        <v>5</v>
      </c>
      <c r="D23" s="188" t="s">
        <v>56</v>
      </c>
      <c r="F23" s="165" t="s">
        <v>57</v>
      </c>
      <c r="G23" s="166"/>
      <c r="H23" s="179">
        <v>9920</v>
      </c>
      <c r="J23" s="179">
        <v>1872505.8629326143</v>
      </c>
      <c r="L23" s="180">
        <v>155148.611</v>
      </c>
      <c r="M23" s="180"/>
      <c r="N23" s="180">
        <v>156656.85</v>
      </c>
      <c r="O23" s="180"/>
      <c r="P23" s="180">
        <f>N23-L23</f>
        <v>1508.2390000000014</v>
      </c>
      <c r="Q23" s="180">
        <f>-P23</f>
        <v>-1508.2390000000014</v>
      </c>
      <c r="R23" s="180">
        <f>SUM(L23,P23:Q23)</f>
        <v>155148.611</v>
      </c>
      <c r="S23" s="217">
        <f>SUM(P23:Q23)/L23</f>
        <v>0</v>
      </c>
      <c r="T23" s="181"/>
      <c r="U23" s="218">
        <f>R23/J23*100</f>
        <v>8.2856141639532659</v>
      </c>
      <c r="V23" s="194"/>
      <c r="W23" s="224"/>
      <c r="X23" s="224"/>
      <c r="Z23" s="157">
        <f t="shared" si="0"/>
        <v>8.0546556881690168E-4</v>
      </c>
      <c r="AA23" s="157">
        <f t="shared" si="1"/>
        <v>-8.0546556881690168E-4</v>
      </c>
    </row>
    <row r="24" spans="2:27" x14ac:dyDescent="0.2">
      <c r="B24" s="130">
        <f>MAX(B$14:B23)+1</f>
        <v>6</v>
      </c>
      <c r="D24" s="188" t="s">
        <v>58</v>
      </c>
      <c r="F24" s="166">
        <v>29</v>
      </c>
      <c r="G24" s="166"/>
      <c r="H24" s="179">
        <v>649.66666666666663</v>
      </c>
      <c r="J24" s="179">
        <v>18243</v>
      </c>
      <c r="L24" s="180">
        <v>1449.5150000000001</v>
      </c>
      <c r="M24" s="180"/>
      <c r="N24" s="180">
        <v>1463.5989999999999</v>
      </c>
      <c r="O24" s="180"/>
      <c r="P24" s="180">
        <f>N24-L24</f>
        <v>14.083999999999833</v>
      </c>
      <c r="Q24" s="180">
        <f>-P24</f>
        <v>-14.083999999999833</v>
      </c>
      <c r="R24" s="180">
        <f>SUM(L24,P24:Q24)</f>
        <v>1449.5150000000001</v>
      </c>
      <c r="S24" s="217">
        <f>SUM(P24:Q24)/L24</f>
        <v>0</v>
      </c>
      <c r="T24" s="181"/>
      <c r="U24" s="218">
        <f>R24/J24*100</f>
        <v>7.945595570903909</v>
      </c>
      <c r="V24" s="194"/>
      <c r="W24" s="224"/>
      <c r="X24" s="224"/>
      <c r="Z24" s="157">
        <f t="shared" si="0"/>
        <v>7.7202214548044911E-4</v>
      </c>
      <c r="AA24" s="157">
        <f t="shared" si="1"/>
        <v>-7.7202214548044911E-4</v>
      </c>
    </row>
    <row r="25" spans="2:27" x14ac:dyDescent="0.2">
      <c r="B25" s="130">
        <f>MAX(B$14:B24)+1</f>
        <v>7</v>
      </c>
      <c r="D25" s="182" t="s">
        <v>59</v>
      </c>
      <c r="F25" s="166"/>
      <c r="G25" s="166"/>
      <c r="H25" s="183">
        <f>SUM(H21:H24)</f>
        <v>147912.58333333334</v>
      </c>
      <c r="J25" s="183">
        <f>SUM(J21:J24)</f>
        <v>7623387.8629326141</v>
      </c>
      <c r="L25" s="184">
        <f>SUM(L21:L24)</f>
        <v>693403.28100000008</v>
      </c>
      <c r="M25" s="180"/>
      <c r="N25" s="184">
        <f>SUM(N21:N24)</f>
        <v>700546.44900000002</v>
      </c>
      <c r="O25" s="180"/>
      <c r="P25" s="184">
        <f>SUM(P21:P24)</f>
        <v>7143.1679999999733</v>
      </c>
      <c r="Q25" s="184">
        <f>SUM(Q21:Q24)</f>
        <v>-7143.1679999999733</v>
      </c>
      <c r="R25" s="184">
        <f>SUM(R21:R24)</f>
        <v>693403.28100000008</v>
      </c>
      <c r="S25" s="219">
        <f>SUM(P25:Q25)/L25</f>
        <v>0</v>
      </c>
      <c r="T25" s="181"/>
      <c r="U25" s="220">
        <f>R25/J25*100</f>
        <v>9.0957366130031492</v>
      </c>
      <c r="V25" s="194"/>
      <c r="W25" s="221">
        <v>7144.0883875107511</v>
      </c>
      <c r="X25" s="221">
        <f>P25-W25</f>
        <v>-0.92038751077780034</v>
      </c>
    </row>
    <row r="26" spans="2:27" x14ac:dyDescent="0.2">
      <c r="B26" s="130"/>
      <c r="D26" s="188"/>
      <c r="F26" s="166"/>
      <c r="G26" s="166"/>
      <c r="H26" s="179"/>
      <c r="J26" s="179"/>
      <c r="L26" s="180"/>
      <c r="M26" s="180"/>
      <c r="N26" s="180"/>
      <c r="O26" s="180"/>
      <c r="P26" s="180"/>
      <c r="Q26" s="180"/>
      <c r="R26" s="180"/>
      <c r="S26" s="217"/>
      <c r="T26" s="181"/>
      <c r="U26" s="218"/>
      <c r="V26" s="194"/>
      <c r="W26" s="224"/>
      <c r="X26" s="224"/>
    </row>
    <row r="27" spans="2:27" x14ac:dyDescent="0.2">
      <c r="B27" s="130"/>
      <c r="D27" s="159" t="s">
        <v>60</v>
      </c>
      <c r="F27" s="166"/>
      <c r="G27" s="166"/>
      <c r="H27" s="179"/>
      <c r="J27" s="179"/>
      <c r="L27" s="180"/>
      <c r="M27" s="180"/>
      <c r="N27" s="180"/>
      <c r="O27" s="180"/>
      <c r="P27" s="180"/>
      <c r="Q27" s="180"/>
      <c r="R27" s="180"/>
      <c r="S27" s="217"/>
      <c r="T27" s="181"/>
      <c r="U27" s="218"/>
      <c r="V27" s="194"/>
      <c r="W27" s="224"/>
      <c r="X27" s="224"/>
    </row>
    <row r="28" spans="2:27" x14ac:dyDescent="0.2">
      <c r="B28" s="130">
        <f>MAX(B$14:B26)+1</f>
        <v>8</v>
      </c>
      <c r="D28" s="188" t="s">
        <v>61</v>
      </c>
      <c r="F28" s="165" t="s">
        <v>62</v>
      </c>
      <c r="G28" s="166"/>
      <c r="H28" s="179">
        <v>489.66666666666669</v>
      </c>
      <c r="J28" s="179">
        <v>1321181.4175556169</v>
      </c>
      <c r="L28" s="180">
        <v>107151.91499999999</v>
      </c>
      <c r="M28" s="180"/>
      <c r="N28" s="180">
        <v>108193.265</v>
      </c>
      <c r="O28" s="180"/>
      <c r="P28" s="180">
        <f>N28-L28</f>
        <v>1041.3500000000058</v>
      </c>
      <c r="Q28" s="180">
        <f>-P28</f>
        <v>-1041.3500000000058</v>
      </c>
      <c r="R28" s="180">
        <f>SUM(L28,P28:Q28)</f>
        <v>107151.91499999999</v>
      </c>
      <c r="S28" s="217">
        <f>SUM(P28:Q28)/L28</f>
        <v>0</v>
      </c>
      <c r="T28" s="181"/>
      <c r="U28" s="218">
        <f>R28/J28*100</f>
        <v>8.1103104824352616</v>
      </c>
      <c r="V28" s="194"/>
      <c r="W28" s="224"/>
      <c r="X28" s="224"/>
      <c r="Z28" s="157">
        <f t="shared" ref="Z28:Z30" si="2">+P28/J28</f>
        <v>7.881960691868184E-4</v>
      </c>
      <c r="AA28" s="157">
        <f t="shared" ref="AA28:AA30" si="3">+Q28/J28</f>
        <v>-7.881960691868184E-4</v>
      </c>
    </row>
    <row r="29" spans="2:27" x14ac:dyDescent="0.2">
      <c r="B29" s="130">
        <f>MAX(B$14:B28)+1</f>
        <v>9</v>
      </c>
      <c r="D29" s="188" t="s">
        <v>63</v>
      </c>
      <c r="F29" s="166">
        <v>35</v>
      </c>
      <c r="G29" s="166"/>
      <c r="H29" s="179">
        <v>2.75</v>
      </c>
      <c r="J29" s="179">
        <v>3789.48</v>
      </c>
      <c r="L29" s="180">
        <v>226.02600000000001</v>
      </c>
      <c r="M29" s="180"/>
      <c r="N29" s="180">
        <v>231.095</v>
      </c>
      <c r="O29" s="180"/>
      <c r="P29" s="180">
        <f>N29-L29</f>
        <v>5.0689999999999884</v>
      </c>
      <c r="Q29" s="180">
        <f>-P29</f>
        <v>-5.0689999999999884</v>
      </c>
      <c r="R29" s="180">
        <f>SUM(L29,P29:Q29)</f>
        <v>226.02600000000001</v>
      </c>
      <c r="S29" s="217">
        <f>SUM(P29:Q29)/L29</f>
        <v>0</v>
      </c>
      <c r="T29" s="181"/>
      <c r="U29" s="218">
        <f>R29/J29*100</f>
        <v>5.9645650590582351</v>
      </c>
      <c r="V29" s="194"/>
      <c r="W29" s="224"/>
      <c r="X29" s="224"/>
      <c r="Z29" s="157">
        <f t="shared" si="2"/>
        <v>1.3376505483601942E-3</v>
      </c>
      <c r="AA29" s="157">
        <f t="shared" si="3"/>
        <v>-1.3376505483601942E-3</v>
      </c>
    </row>
    <row r="30" spans="2:27" x14ac:dyDescent="0.2">
      <c r="B30" s="130">
        <f>MAX(B$14:B29)+1</f>
        <v>10</v>
      </c>
      <c r="D30" s="160" t="s">
        <v>64</v>
      </c>
      <c r="F30" s="165">
        <v>43</v>
      </c>
      <c r="G30" s="166"/>
      <c r="H30" s="179">
        <v>157.41666666666666</v>
      </c>
      <c r="J30" s="179">
        <v>123046.16422024449</v>
      </c>
      <c r="L30" s="180">
        <v>10794.427</v>
      </c>
      <c r="M30" s="180"/>
      <c r="N30" s="180">
        <v>10955.918</v>
      </c>
      <c r="O30" s="180"/>
      <c r="P30" s="180">
        <f>N30-L30</f>
        <v>161.49099999999999</v>
      </c>
      <c r="Q30" s="180">
        <f>-P30</f>
        <v>-161.49099999999999</v>
      </c>
      <c r="R30" s="180">
        <f>SUM(L30,P30:Q30)</f>
        <v>10794.427</v>
      </c>
      <c r="S30" s="217">
        <f>SUM(P30:Q30)/L30</f>
        <v>0</v>
      </c>
      <c r="T30" s="181"/>
      <c r="U30" s="218">
        <f>R30/J30*100</f>
        <v>8.772664364147662</v>
      </c>
      <c r="V30" s="194"/>
      <c r="W30" s="224"/>
      <c r="X30" s="224"/>
      <c r="Z30" s="157">
        <f t="shared" si="2"/>
        <v>1.3124423749686482E-3</v>
      </c>
      <c r="AA30" s="157">
        <f t="shared" si="3"/>
        <v>-1.3124423749686482E-3</v>
      </c>
    </row>
    <row r="31" spans="2:27" x14ac:dyDescent="0.2">
      <c r="B31" s="130">
        <f>MAX(B$14:B30)+1</f>
        <v>11</v>
      </c>
      <c r="D31" s="182" t="s">
        <v>65</v>
      </c>
      <c r="F31" s="166"/>
      <c r="G31" s="166"/>
      <c r="H31" s="183">
        <f>SUM(H28:H30)</f>
        <v>649.83333333333337</v>
      </c>
      <c r="J31" s="183">
        <f>SUM(J28:J30)</f>
        <v>1448017.0617758613</v>
      </c>
      <c r="L31" s="184">
        <f>SUM(L28:L30)</f>
        <v>118172.36799999999</v>
      </c>
      <c r="M31" s="180"/>
      <c r="N31" s="184">
        <f>SUM(N28:N30)</f>
        <v>119380.27800000001</v>
      </c>
      <c r="O31" s="180"/>
      <c r="P31" s="184">
        <f>SUM(P28:P30)</f>
        <v>1207.9100000000058</v>
      </c>
      <c r="Q31" s="184">
        <f>SUM(Q28:Q30)</f>
        <v>-1207.9100000000058</v>
      </c>
      <c r="R31" s="184">
        <f>SUM(R28:R30)</f>
        <v>118172.36799999999</v>
      </c>
      <c r="S31" s="219">
        <f>SUM(P31:Q31)/L31</f>
        <v>0</v>
      </c>
      <c r="T31" s="181"/>
      <c r="U31" s="220">
        <f>R31/J31*100</f>
        <v>8.1609789773521264</v>
      </c>
      <c r="V31" s="194"/>
      <c r="W31" s="221">
        <v>1208.1934176391908</v>
      </c>
      <c r="X31" s="221">
        <f>P31-W31</f>
        <v>-0.28341763918501783</v>
      </c>
    </row>
    <row r="32" spans="2:27" x14ac:dyDescent="0.2">
      <c r="B32" s="130"/>
      <c r="F32" s="165"/>
      <c r="G32" s="166"/>
      <c r="H32" s="179"/>
      <c r="J32" s="179"/>
      <c r="L32" s="180"/>
      <c r="M32" s="180"/>
      <c r="N32" s="180"/>
      <c r="O32" s="180"/>
      <c r="P32" s="180"/>
      <c r="Q32" s="180"/>
      <c r="R32" s="180"/>
      <c r="S32" s="217"/>
      <c r="T32" s="181"/>
      <c r="U32" s="218"/>
      <c r="V32" s="194"/>
      <c r="W32" s="224"/>
      <c r="X32" s="224"/>
    </row>
    <row r="33" spans="2:27" x14ac:dyDescent="0.2">
      <c r="B33" s="130">
        <f>MAX(B$14:B32)+1</f>
        <v>12</v>
      </c>
      <c r="D33" s="160" t="s">
        <v>66</v>
      </c>
      <c r="F33" s="165">
        <v>40</v>
      </c>
      <c r="G33" s="166"/>
      <c r="H33" s="183">
        <v>135.25</v>
      </c>
      <c r="J33" s="183">
        <v>534767.4366040678</v>
      </c>
      <c r="L33" s="184">
        <v>39012.15</v>
      </c>
      <c r="M33" s="180"/>
      <c r="N33" s="184">
        <v>39336.402000000002</v>
      </c>
      <c r="O33" s="180"/>
      <c r="P33" s="184">
        <f>N33-L33</f>
        <v>324.25200000000041</v>
      </c>
      <c r="Q33" s="184">
        <f>-P33</f>
        <v>-324.25200000000041</v>
      </c>
      <c r="R33" s="184">
        <f>SUM(L33,P33:Q33)</f>
        <v>39012.15</v>
      </c>
      <c r="S33" s="219">
        <f>SUM(P33:Q33)/L33</f>
        <v>0</v>
      </c>
      <c r="T33" s="181"/>
      <c r="U33" s="220">
        <f>R33/J33*100</f>
        <v>7.2951618460052003</v>
      </c>
      <c r="V33" s="194"/>
      <c r="W33" s="221">
        <v>324.25200000000109</v>
      </c>
      <c r="X33" s="221">
        <f>P33-W33</f>
        <v>-6.8212102632969618E-13</v>
      </c>
      <c r="Z33" s="157">
        <f>+P33/J33</f>
        <v>6.0634208032391988E-4</v>
      </c>
      <c r="AA33" s="157">
        <f>+Q33/J33</f>
        <v>-6.0634208032391988E-4</v>
      </c>
    </row>
    <row r="34" spans="2:27" x14ac:dyDescent="0.2">
      <c r="B34" s="130"/>
      <c r="F34" s="165"/>
      <c r="G34" s="166"/>
      <c r="H34" s="179"/>
      <c r="J34" s="179"/>
      <c r="L34" s="180"/>
      <c r="M34" s="180"/>
      <c r="N34" s="180"/>
      <c r="O34" s="180"/>
      <c r="P34" s="180"/>
      <c r="Q34" s="180"/>
      <c r="R34" s="180"/>
      <c r="S34" s="217"/>
      <c r="T34" s="181"/>
      <c r="U34" s="218"/>
      <c r="V34" s="194"/>
      <c r="W34" s="224"/>
      <c r="X34" s="224"/>
    </row>
    <row r="35" spans="2:27" x14ac:dyDescent="0.2">
      <c r="B35" s="130"/>
      <c r="D35" s="159" t="s">
        <v>67</v>
      </c>
      <c r="F35" s="165"/>
      <c r="G35" s="166"/>
      <c r="H35" s="179"/>
      <c r="J35" s="179"/>
      <c r="L35" s="180"/>
      <c r="M35" s="180"/>
      <c r="N35" s="180"/>
      <c r="O35" s="180"/>
      <c r="P35" s="180"/>
      <c r="Q35" s="180"/>
      <c r="R35" s="180"/>
      <c r="S35" s="217"/>
      <c r="T35" s="181"/>
      <c r="U35" s="218"/>
      <c r="V35" s="194"/>
      <c r="W35" s="224"/>
      <c r="X35" s="224"/>
    </row>
    <row r="36" spans="2:27" x14ac:dyDescent="0.2">
      <c r="B36" s="130">
        <f>MAX(B$14:B34)+1</f>
        <v>13</v>
      </c>
      <c r="D36" s="188" t="s">
        <v>68</v>
      </c>
      <c r="F36" s="165">
        <v>46</v>
      </c>
      <c r="G36" s="166"/>
      <c r="H36" s="179">
        <v>5</v>
      </c>
      <c r="J36" s="179">
        <v>81153.842000000004</v>
      </c>
      <c r="L36" s="180">
        <v>5401.9690000000001</v>
      </c>
      <c r="M36" s="180"/>
      <c r="N36" s="180">
        <v>5455.5240000000003</v>
      </c>
      <c r="O36" s="180"/>
      <c r="P36" s="180">
        <f>N36-L36</f>
        <v>53.555000000000291</v>
      </c>
      <c r="Q36" s="180">
        <f>-P36</f>
        <v>-53.555000000000291</v>
      </c>
      <c r="R36" s="180">
        <f>SUM(L36,P36:Q36)</f>
        <v>5401.9690000000001</v>
      </c>
      <c r="S36" s="217">
        <f>SUM(P36:Q36)/L36</f>
        <v>0</v>
      </c>
      <c r="T36" s="181"/>
      <c r="U36" s="218">
        <f>R36/J36*100</f>
        <v>6.6564550326526746</v>
      </c>
      <c r="V36" s="194"/>
      <c r="W36" s="224"/>
      <c r="X36" s="224"/>
      <c r="Z36" s="157">
        <f t="shared" ref="Z36:Z37" si="4">+P36/J36</f>
        <v>6.5991946505749275E-4</v>
      </c>
      <c r="AA36" s="157">
        <f t="shared" ref="AA36:AA37" si="5">+Q36/J36</f>
        <v>-6.5991946505749275E-4</v>
      </c>
    </row>
    <row r="37" spans="2:27" x14ac:dyDescent="0.2">
      <c r="B37" s="130">
        <f>MAX(B$14:B36)+1</f>
        <v>14</v>
      </c>
      <c r="D37" s="160" t="s">
        <v>69</v>
      </c>
      <c r="F37" s="165">
        <v>49</v>
      </c>
      <c r="G37" s="166"/>
      <c r="H37" s="179">
        <v>20</v>
      </c>
      <c r="J37" s="179">
        <v>553489.29599999997</v>
      </c>
      <c r="L37" s="180">
        <v>36052.419000000002</v>
      </c>
      <c r="M37" s="180"/>
      <c r="N37" s="180">
        <v>36401.894</v>
      </c>
      <c r="O37" s="180"/>
      <c r="P37" s="180">
        <f>N37-L37</f>
        <v>349.47499999999854</v>
      </c>
      <c r="Q37" s="180">
        <f>-P37</f>
        <v>-349.47499999999854</v>
      </c>
      <c r="R37" s="180">
        <f>SUM(L37,P37:Q37)</f>
        <v>36052.419000000002</v>
      </c>
      <c r="S37" s="217">
        <f>SUM(P37:Q37)/L37</f>
        <v>0</v>
      </c>
      <c r="T37" s="181"/>
      <c r="U37" s="218">
        <f>R37/J37*100</f>
        <v>6.5136614674477826</v>
      </c>
      <c r="V37" s="194"/>
      <c r="W37" s="224"/>
      <c r="X37" s="224"/>
      <c r="Z37" s="157">
        <f t="shared" si="4"/>
        <v>6.3140335779862775E-4</v>
      </c>
      <c r="AA37" s="157">
        <f t="shared" si="5"/>
        <v>-6.3140335779862775E-4</v>
      </c>
    </row>
    <row r="38" spans="2:27" x14ac:dyDescent="0.2">
      <c r="B38" s="130">
        <f>MAX(B$14:B37)+1</f>
        <v>15</v>
      </c>
      <c r="D38" s="182" t="s">
        <v>67</v>
      </c>
      <c r="F38" s="166"/>
      <c r="G38" s="166"/>
      <c r="H38" s="183">
        <f>SUM(H36:H37)</f>
        <v>25</v>
      </c>
      <c r="J38" s="183">
        <f>SUM(J36:J37)</f>
        <v>634643.13800000004</v>
      </c>
      <c r="L38" s="184">
        <f>SUM(L36:L37)</f>
        <v>41454.387999999999</v>
      </c>
      <c r="M38" s="180"/>
      <c r="N38" s="184">
        <f>SUM(N36:N37)</f>
        <v>41857.417999999998</v>
      </c>
      <c r="O38" s="180"/>
      <c r="P38" s="184">
        <f>SUM(P36:P37)</f>
        <v>403.02999999999884</v>
      </c>
      <c r="Q38" s="184">
        <f>SUM(Q36:Q37)</f>
        <v>-403.02999999999884</v>
      </c>
      <c r="R38" s="184">
        <f>SUM(R36:R37)</f>
        <v>41454.387999999999</v>
      </c>
      <c r="S38" s="219">
        <f>SUM(P38:Q38)/L38</f>
        <v>0</v>
      </c>
      <c r="T38" s="181"/>
      <c r="U38" s="220">
        <f>R38/J38*100</f>
        <v>6.5319209360142789</v>
      </c>
      <c r="V38" s="194"/>
      <c r="W38" s="221">
        <v>402.99958198420177</v>
      </c>
      <c r="X38" s="221">
        <f>P38-W38</f>
        <v>3.041801579706771E-2</v>
      </c>
    </row>
    <row r="39" spans="2:27" x14ac:dyDescent="0.2">
      <c r="B39" s="130"/>
      <c r="F39" s="165"/>
      <c r="G39" s="166"/>
      <c r="H39" s="179"/>
      <c r="J39" s="179"/>
      <c r="L39" s="180"/>
      <c r="M39" s="180"/>
      <c r="N39" s="180"/>
      <c r="O39" s="180"/>
      <c r="P39" s="180"/>
      <c r="Q39" s="180"/>
      <c r="R39" s="180"/>
      <c r="S39" s="217"/>
      <c r="T39" s="181"/>
      <c r="U39" s="218"/>
      <c r="V39" s="194"/>
      <c r="W39" s="224"/>
      <c r="X39" s="224"/>
    </row>
    <row r="40" spans="2:27" x14ac:dyDescent="0.2">
      <c r="B40" s="130">
        <f>MAX(B$14:B39)+1</f>
        <v>16</v>
      </c>
      <c r="D40" s="160" t="s">
        <v>70</v>
      </c>
      <c r="F40" s="165" t="s">
        <v>71</v>
      </c>
      <c r="G40" s="166"/>
      <c r="H40" s="183">
        <v>20</v>
      </c>
      <c r="J40" s="183">
        <v>1993600.694324</v>
      </c>
      <c r="L40" s="184">
        <v>8376.0509999999995</v>
      </c>
      <c r="M40" s="180"/>
      <c r="N40" s="184">
        <v>8383.2009999999991</v>
      </c>
      <c r="O40" s="180"/>
      <c r="P40" s="184">
        <f>N40-L40</f>
        <v>7.1499999999996362</v>
      </c>
      <c r="Q40" s="184">
        <f>-P40</f>
        <v>-7.1499999999996362</v>
      </c>
      <c r="R40" s="184">
        <f>SUM(L40,P40:Q40)</f>
        <v>8376.0509999999995</v>
      </c>
      <c r="S40" s="219">
        <f>SUM(P40:Q40)/L40</f>
        <v>0</v>
      </c>
      <c r="T40" s="181"/>
      <c r="U40" s="220">
        <f>R40/J40*100</f>
        <v>0.42014687413821311</v>
      </c>
      <c r="V40" s="194"/>
      <c r="W40" s="221">
        <v>7.15</v>
      </c>
      <c r="X40" s="221">
        <f>P40-W40</f>
        <v>-3.6415315207705135E-13</v>
      </c>
      <c r="Z40" s="157">
        <f>+P40/J40</f>
        <v>3.5864754764364154E-6</v>
      </c>
      <c r="AA40" s="157">
        <f>+Q40/J40</f>
        <v>-3.5864754764364154E-6</v>
      </c>
    </row>
    <row r="41" spans="2:27" x14ac:dyDescent="0.2">
      <c r="B41" s="130"/>
      <c r="F41" s="165"/>
      <c r="G41" s="166"/>
      <c r="H41" s="179"/>
      <c r="J41" s="179"/>
      <c r="L41" s="180"/>
      <c r="M41" s="180"/>
      <c r="N41" s="180"/>
      <c r="O41" s="180"/>
      <c r="P41" s="180"/>
      <c r="Q41" s="180"/>
      <c r="R41" s="180"/>
      <c r="S41" s="217"/>
      <c r="T41" s="181"/>
      <c r="U41" s="218"/>
      <c r="V41" s="194"/>
      <c r="W41" s="224"/>
      <c r="X41" s="224"/>
    </row>
    <row r="42" spans="2:27" x14ac:dyDescent="0.2">
      <c r="B42" s="130">
        <f>MAX(B$14:B41)+1</f>
        <v>17</v>
      </c>
      <c r="D42" s="160" t="s">
        <v>72</v>
      </c>
      <c r="F42" s="165" t="s">
        <v>16</v>
      </c>
      <c r="G42" s="166"/>
      <c r="H42" s="183">
        <v>7697.083333333333</v>
      </c>
      <c r="J42" s="183">
        <v>70906.886296500015</v>
      </c>
      <c r="L42" s="184">
        <v>16588.931</v>
      </c>
      <c r="M42" s="180"/>
      <c r="N42" s="184">
        <v>16837.228999999999</v>
      </c>
      <c r="O42" s="180"/>
      <c r="P42" s="184">
        <f>N42-L42</f>
        <v>248.29799999999886</v>
      </c>
      <c r="Q42" s="184">
        <f>-P42</f>
        <v>-248.29799999999886</v>
      </c>
      <c r="R42" s="184">
        <f>SUM(L42,P42:Q42)</f>
        <v>16588.931</v>
      </c>
      <c r="S42" s="219">
        <f>SUM(P42:Q42)/L42</f>
        <v>0</v>
      </c>
      <c r="T42" s="181"/>
      <c r="U42" s="220">
        <f>R42/J42*100</f>
        <v>23.395373660370183</v>
      </c>
      <c r="V42" s="194"/>
      <c r="W42" s="221">
        <v>248.10706532775495</v>
      </c>
      <c r="X42" s="221">
        <f>P42-W42</f>
        <v>0.19093467224391247</v>
      </c>
      <c r="Z42" s="157">
        <f>+P42/J42</f>
        <v>3.5017473332805888E-3</v>
      </c>
      <c r="AA42" s="157">
        <f>+Q42/J42</f>
        <v>-3.5017473332805888E-3</v>
      </c>
    </row>
    <row r="43" spans="2:27" x14ac:dyDescent="0.2">
      <c r="B43" s="130"/>
      <c r="F43" s="165"/>
      <c r="G43" s="166"/>
      <c r="H43" s="179"/>
      <c r="J43" s="179"/>
      <c r="L43" s="180"/>
      <c r="M43" s="180"/>
      <c r="N43" s="180"/>
      <c r="O43" s="180"/>
      <c r="P43" s="180"/>
      <c r="Q43" s="180"/>
      <c r="R43" s="180"/>
      <c r="S43" s="217"/>
      <c r="T43" s="181"/>
      <c r="U43" s="218"/>
      <c r="V43" s="194"/>
      <c r="W43" s="224"/>
      <c r="X43" s="224"/>
    </row>
    <row r="44" spans="2:27" x14ac:dyDescent="0.2">
      <c r="B44" s="130">
        <f>MAX(B$14:B43)+1</f>
        <v>18</v>
      </c>
      <c r="D44" s="182" t="s">
        <v>73</v>
      </c>
      <c r="H44" s="183">
        <f>SUM(H42,H40,H38,H33,H31,H25,H18)</f>
        <v>1179647.75</v>
      </c>
      <c r="J44" s="183">
        <f>SUM(J42,J40,J38,J33,J31,J25,J18)</f>
        <v>22962663.079933044</v>
      </c>
      <c r="L44" s="184">
        <f>SUM(L42,L40,L38,L33,L31,L25,L18)</f>
        <v>2026039.736</v>
      </c>
      <c r="M44" s="180"/>
      <c r="N44" s="184">
        <f>SUM(N42,N40,N38,N33,N31,N25,N18)</f>
        <v>2051959.977</v>
      </c>
      <c r="O44" s="180"/>
      <c r="P44" s="184">
        <f>SUM(P42,P40,P38,P33,P31,P25,P18)</f>
        <v>25920.240999999936</v>
      </c>
      <c r="Q44" s="184">
        <f>SUM(Q42,Q40,Q38,Q33,Q31,Q25,Q18)</f>
        <v>-25920.240999999936</v>
      </c>
      <c r="R44" s="184">
        <f>SUM(R42,R40,R38,R33,R31,R25,R18)</f>
        <v>2026039.736</v>
      </c>
      <c r="S44" s="219">
        <f>SUM(P44:Q44)/L44</f>
        <v>0</v>
      </c>
      <c r="T44" s="181"/>
      <c r="U44" s="220">
        <f>R44/J44*100</f>
        <v>8.8231914954609341</v>
      </c>
      <c r="V44" s="194"/>
      <c r="W44" s="221">
        <f>SUM(W42,W40,W38,W33,W31,W25,W18)</f>
        <v>25921.682974425901</v>
      </c>
      <c r="X44" s="221">
        <f>SUM(X42,X40,X38,X33,X31,X25,X18)</f>
        <v>-1.4419744259624796</v>
      </c>
    </row>
    <row r="45" spans="2:27" x14ac:dyDescent="0.2">
      <c r="B45" s="130"/>
      <c r="L45" s="185"/>
      <c r="M45" s="185"/>
      <c r="N45" s="185"/>
      <c r="O45" s="185"/>
      <c r="P45" s="185"/>
      <c r="Q45" s="185"/>
      <c r="R45" s="185"/>
      <c r="S45" s="222"/>
      <c r="U45" s="223"/>
      <c r="V45" s="141"/>
      <c r="W45" s="72"/>
      <c r="X45" s="72"/>
    </row>
    <row r="46" spans="2:27" x14ac:dyDescent="0.2">
      <c r="B46" s="130">
        <f>MAX(B$14:B45)+1</f>
        <v>19</v>
      </c>
      <c r="D46" s="160" t="s">
        <v>74</v>
      </c>
      <c r="F46" s="165">
        <v>5</v>
      </c>
      <c r="G46" s="166"/>
      <c r="H46" s="183">
        <v>8</v>
      </c>
      <c r="J46" s="183">
        <v>7237.6555782419</v>
      </c>
      <c r="L46" s="184">
        <v>329.85399999999998</v>
      </c>
      <c r="M46" s="185"/>
      <c r="N46" s="184">
        <v>334.07423846024227</v>
      </c>
      <c r="O46" s="180"/>
      <c r="P46" s="184">
        <f>N46-L46</f>
        <v>4.2202384602422853</v>
      </c>
      <c r="Q46" s="184">
        <f>-P46</f>
        <v>-4.2202384602422853</v>
      </c>
      <c r="R46" s="184">
        <f>SUM(L46,P46:Q46)</f>
        <v>329.85399999999998</v>
      </c>
      <c r="S46" s="219">
        <f>SUM(P46:Q46)/L46</f>
        <v>0</v>
      </c>
      <c r="T46" s="181"/>
      <c r="U46" s="220">
        <f>R46/J46*100</f>
        <v>4.5574702530971347</v>
      </c>
      <c r="V46" s="141"/>
      <c r="W46" s="221">
        <v>4.2202384602422631</v>
      </c>
      <c r="X46" s="221">
        <f>P46-W46</f>
        <v>2.2204460492503131E-14</v>
      </c>
    </row>
    <row r="47" spans="2:27" x14ac:dyDescent="0.2">
      <c r="B47" s="130"/>
      <c r="L47" s="185"/>
      <c r="M47" s="185"/>
      <c r="N47" s="185"/>
      <c r="O47" s="185"/>
      <c r="P47" s="185"/>
      <c r="Q47" s="185"/>
      <c r="R47" s="185"/>
      <c r="S47" s="222"/>
      <c r="U47" s="223"/>
      <c r="V47" s="141"/>
      <c r="W47" s="72"/>
      <c r="X47" s="72"/>
    </row>
    <row r="48" spans="2:27" ht="12" thickBot="1" x14ac:dyDescent="0.25">
      <c r="B48" s="130">
        <f>MAX(B$14:B47)+1</f>
        <v>20</v>
      </c>
      <c r="D48" s="189" t="s">
        <v>75</v>
      </c>
      <c r="H48" s="190">
        <f>H46+H44</f>
        <v>1179655.75</v>
      </c>
      <c r="J48" s="190">
        <f>J46+J44</f>
        <v>22969900.735511284</v>
      </c>
      <c r="L48" s="191">
        <f>L46+L44</f>
        <v>2026369.59</v>
      </c>
      <c r="M48" s="192"/>
      <c r="N48" s="191">
        <f>N46+N44</f>
        <v>2052294.0512384602</v>
      </c>
      <c r="O48" s="193"/>
      <c r="P48" s="191">
        <f>P46+P44</f>
        <v>25924.461238460179</v>
      </c>
      <c r="Q48" s="191">
        <f>Q46+Q44</f>
        <v>-25924.461238460179</v>
      </c>
      <c r="R48" s="191">
        <f>R46+R44</f>
        <v>2026369.59</v>
      </c>
      <c r="S48" s="225">
        <f>SUM(P48:Q48)/L48</f>
        <v>0</v>
      </c>
      <c r="T48" s="194"/>
      <c r="U48" s="226">
        <f>R48/J48*100</f>
        <v>8.8218473964375868</v>
      </c>
      <c r="V48" s="194"/>
      <c r="W48" s="227">
        <f>W46+W44</f>
        <v>25925.903212886144</v>
      </c>
      <c r="X48" s="227">
        <f>X46+X44</f>
        <v>-1.4419744259624574</v>
      </c>
    </row>
    <row r="49" spans="2:27" ht="12" thickTop="1" x14ac:dyDescent="0.2">
      <c r="B49" s="651" t="s">
        <v>19</v>
      </c>
      <c r="C49" s="652"/>
      <c r="D49" s="652"/>
      <c r="H49" s="195"/>
      <c r="J49" s="195"/>
      <c r="L49" s="196"/>
      <c r="M49" s="194"/>
      <c r="N49" s="196"/>
      <c r="O49" s="196"/>
      <c r="P49" s="196"/>
      <c r="Q49" s="196"/>
      <c r="R49" s="196"/>
      <c r="S49" s="186"/>
      <c r="T49" s="194"/>
      <c r="U49" s="194"/>
      <c r="V49" s="194"/>
      <c r="AA49" s="185"/>
    </row>
    <row r="50" spans="2:27" ht="12" thickBot="1" x14ac:dyDescent="0.25">
      <c r="D50" s="160" t="s">
        <v>76</v>
      </c>
      <c r="J50" s="190">
        <v>22969900.99589039</v>
      </c>
      <c r="L50" s="191">
        <v>2026369.6145011608</v>
      </c>
      <c r="P50" s="196" t="s">
        <v>19</v>
      </c>
      <c r="Q50" s="196"/>
      <c r="R50" s="196"/>
      <c r="S50" s="197" t="s">
        <v>19</v>
      </c>
      <c r="AA50" s="185"/>
    </row>
    <row r="51" spans="2:27" ht="12.75" thickTop="1" thickBot="1" x14ac:dyDescent="0.25">
      <c r="D51" s="160" t="s">
        <v>76</v>
      </c>
      <c r="J51" s="190">
        <f>J50-J48</f>
        <v>0.26037910580635071</v>
      </c>
      <c r="L51" s="191">
        <f>L50-L48</f>
        <v>2.4501160718500614E-2</v>
      </c>
      <c r="M51" s="141"/>
      <c r="N51" s="198"/>
      <c r="P51" s="198"/>
      <c r="Q51" s="198"/>
      <c r="R51" s="198"/>
      <c r="S51" s="89"/>
      <c r="T51" s="141"/>
      <c r="U51" s="141"/>
      <c r="V51" s="141"/>
      <c r="AA51" s="185"/>
    </row>
    <row r="52" spans="2:27" ht="12" thickTop="1" x14ac:dyDescent="0.2">
      <c r="J52" s="187"/>
      <c r="L52" s="72"/>
      <c r="M52" s="141"/>
      <c r="N52" s="72"/>
      <c r="P52" s="72"/>
      <c r="Q52" s="72"/>
      <c r="R52" s="72"/>
      <c r="T52" s="141"/>
      <c r="U52" s="196"/>
      <c r="V52" s="141"/>
    </row>
    <row r="53" spans="2:27" x14ac:dyDescent="0.2">
      <c r="N53" s="141"/>
      <c r="P53" s="199"/>
      <c r="Q53" s="199"/>
      <c r="R53" s="199"/>
      <c r="S53" s="200"/>
    </row>
    <row r="54" spans="2:27" x14ac:dyDescent="0.2">
      <c r="N54" s="141"/>
      <c r="P54" s="201"/>
      <c r="Q54" s="201"/>
      <c r="R54" s="201"/>
      <c r="S54" s="202"/>
    </row>
    <row r="55" spans="2:27" x14ac:dyDescent="0.2">
      <c r="N55" s="177"/>
      <c r="P55" s="203"/>
      <c r="Q55" s="203"/>
      <c r="R55" s="203"/>
      <c r="S55" s="204"/>
    </row>
    <row r="56" spans="2:27" x14ac:dyDescent="0.2">
      <c r="N56" s="205"/>
      <c r="S56" s="129"/>
    </row>
    <row r="57" spans="2:27" x14ac:dyDescent="0.2">
      <c r="S57" s="206"/>
    </row>
    <row r="59" spans="2:27" x14ac:dyDescent="0.2">
      <c r="N59" s="177"/>
    </row>
  </sheetData>
  <mergeCells count="12">
    <mergeCell ref="B49:D49"/>
    <mergeCell ref="B7:T7"/>
    <mergeCell ref="B2:T2"/>
    <mergeCell ref="B3:T3"/>
    <mergeCell ref="B4:T4"/>
    <mergeCell ref="B5:T5"/>
    <mergeCell ref="B6:T6"/>
    <mergeCell ref="Z12:AA12"/>
    <mergeCell ref="N9:S9"/>
    <mergeCell ref="N10:S10"/>
    <mergeCell ref="W11:W12"/>
    <mergeCell ref="X11:X12"/>
  </mergeCells>
  <pageMargins left="0.7" right="0.7" top="0.75" bottom="0.75" header="0.3" footer="0.3"/>
  <pageSetup scale="60" orientation="landscape" r:id="rId1"/>
  <headerFooter>
    <oddFooter>&amp;L&amp;F&amp;R&amp;A
Page &amp;P of &amp;N</oddFooter>
  </headerFooter>
  <customProperties>
    <customPr name="_pios_id" r:id="rId2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S47"/>
  <sheetViews>
    <sheetView zoomScale="80" zoomScaleNormal="80" workbookViewId="0">
      <pane xSplit="6" ySplit="12" topLeftCell="G20" activePane="bottomRight" state="frozen"/>
      <selection pane="topRight" activeCell="G1" sqref="G1"/>
      <selection pane="bottomLeft" activeCell="A13" sqref="A13"/>
      <selection pane="bottomRight" sqref="A1:S46"/>
    </sheetView>
  </sheetViews>
  <sheetFormatPr defaultColWidth="1.5703125" defaultRowHeight="12.75" x14ac:dyDescent="0.2"/>
  <cols>
    <col min="1" max="1" width="4.85546875" bestFit="1" customWidth="1"/>
    <col min="3" max="3" width="36.7109375" bestFit="1" customWidth="1"/>
    <col min="5" max="5" width="11.5703125" bestFit="1" customWidth="1"/>
    <col min="7" max="7" width="14.28515625" bestFit="1" customWidth="1"/>
    <col min="8" max="8" width="18.85546875" bestFit="1" customWidth="1"/>
    <col min="10" max="10" width="10.28515625" bestFit="1" customWidth="1"/>
    <col min="12" max="12" width="16.28515625" bestFit="1" customWidth="1"/>
    <col min="13" max="13" width="14.42578125" bestFit="1" customWidth="1"/>
    <col min="15" max="15" width="16.28515625" bestFit="1" customWidth="1"/>
    <col min="16" max="16" width="14.42578125" bestFit="1" customWidth="1"/>
    <col min="18" max="18" width="11.7109375" bestFit="1" customWidth="1"/>
    <col min="19" max="19" width="10.42578125" bestFit="1" customWidth="1"/>
  </cols>
  <sheetData>
    <row r="1" spans="1:19" ht="18" x14ac:dyDescent="0.25">
      <c r="A1" s="527"/>
      <c r="B1" s="528"/>
      <c r="C1" s="528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</row>
    <row r="2" spans="1:19" ht="15" x14ac:dyDescent="0.2">
      <c r="A2" s="653" t="s">
        <v>20</v>
      </c>
      <c r="B2" s="653"/>
      <c r="C2" s="653"/>
      <c r="D2" s="653"/>
      <c r="E2" s="653"/>
      <c r="F2" s="653"/>
      <c r="G2" s="653"/>
      <c r="H2" s="653"/>
      <c r="I2" s="653"/>
      <c r="J2" s="527"/>
      <c r="K2" s="527"/>
      <c r="L2" s="527"/>
      <c r="M2" s="527"/>
      <c r="N2" s="527"/>
      <c r="O2" s="527"/>
      <c r="P2" s="527"/>
      <c r="Q2" s="527"/>
      <c r="R2" s="527"/>
      <c r="S2" s="527"/>
    </row>
    <row r="3" spans="1:19" ht="15" x14ac:dyDescent="0.2">
      <c r="A3" s="654" t="s">
        <v>21</v>
      </c>
      <c r="B3" s="654"/>
      <c r="C3" s="654"/>
      <c r="D3" s="654"/>
      <c r="E3" s="654"/>
      <c r="F3" s="654"/>
      <c r="G3" s="654"/>
      <c r="H3" s="654"/>
      <c r="I3" s="654"/>
      <c r="J3" s="527"/>
      <c r="K3" s="527"/>
      <c r="L3" s="527"/>
      <c r="M3" s="527"/>
      <c r="N3" s="527"/>
      <c r="O3" s="527"/>
      <c r="P3" s="527"/>
      <c r="Q3" s="527"/>
      <c r="R3" s="527"/>
      <c r="S3" s="527"/>
    </row>
    <row r="4" spans="1:19" ht="15" x14ac:dyDescent="0.2">
      <c r="A4" s="654" t="s">
        <v>407</v>
      </c>
      <c r="B4" s="654"/>
      <c r="C4" s="654"/>
      <c r="D4" s="654"/>
      <c r="E4" s="654"/>
      <c r="F4" s="654"/>
      <c r="G4" s="654"/>
      <c r="H4" s="654"/>
      <c r="I4" s="654"/>
      <c r="J4" s="527"/>
      <c r="K4" s="527"/>
      <c r="L4" s="527"/>
      <c r="M4" s="527"/>
      <c r="N4" s="527"/>
      <c r="O4" s="527"/>
      <c r="P4" s="527"/>
      <c r="Q4" s="527"/>
      <c r="R4" s="527"/>
      <c r="S4" s="527"/>
    </row>
    <row r="5" spans="1:19" ht="15" x14ac:dyDescent="0.2">
      <c r="A5" s="653" t="s">
        <v>22</v>
      </c>
      <c r="B5" s="654"/>
      <c r="C5" s="654"/>
      <c r="D5" s="654"/>
      <c r="E5" s="654"/>
      <c r="F5" s="654"/>
      <c r="G5" s="654"/>
      <c r="H5" s="654"/>
      <c r="I5" s="654"/>
      <c r="J5" s="527"/>
      <c r="K5" s="527"/>
      <c r="L5" s="527"/>
      <c r="M5" s="527"/>
      <c r="N5" s="527"/>
      <c r="O5" s="527"/>
      <c r="P5" s="527"/>
      <c r="Q5" s="527"/>
      <c r="R5" s="527"/>
      <c r="S5" s="527"/>
    </row>
    <row r="6" spans="1:19" ht="15" x14ac:dyDescent="0.2">
      <c r="A6" s="653" t="s">
        <v>408</v>
      </c>
      <c r="B6" s="653"/>
      <c r="C6" s="653"/>
      <c r="D6" s="653"/>
      <c r="E6" s="653"/>
      <c r="F6" s="653"/>
      <c r="G6" s="653"/>
      <c r="H6" s="653"/>
      <c r="I6" s="653"/>
      <c r="J6" s="527"/>
      <c r="K6" s="527"/>
      <c r="L6" s="527"/>
      <c r="M6" s="527"/>
      <c r="N6" s="527"/>
      <c r="O6" s="527"/>
      <c r="P6" s="527"/>
      <c r="Q6" s="527"/>
      <c r="R6" s="527"/>
      <c r="S6" s="527"/>
    </row>
    <row r="7" spans="1:19" ht="15" x14ac:dyDescent="0.2">
      <c r="A7" s="527"/>
      <c r="B7" s="527"/>
      <c r="C7" s="527"/>
      <c r="D7" s="527"/>
      <c r="E7" s="527"/>
      <c r="F7" s="527"/>
      <c r="G7" s="527"/>
      <c r="H7" s="527"/>
      <c r="I7" s="529"/>
      <c r="J7" s="655" t="s">
        <v>426</v>
      </c>
      <c r="K7" s="530"/>
      <c r="L7" s="655" t="s">
        <v>425</v>
      </c>
      <c r="M7" s="655" t="s">
        <v>424</v>
      </c>
      <c r="N7" s="527"/>
      <c r="O7" s="655" t="s">
        <v>423</v>
      </c>
      <c r="P7" s="655" t="s">
        <v>422</v>
      </c>
      <c r="Q7" s="527"/>
      <c r="R7" s="655" t="s">
        <v>421</v>
      </c>
      <c r="S7" s="655" t="s">
        <v>420</v>
      </c>
    </row>
    <row r="8" spans="1:19" ht="15" x14ac:dyDescent="0.2">
      <c r="A8" s="527"/>
      <c r="B8" s="527"/>
      <c r="C8" s="527"/>
      <c r="D8" s="527"/>
      <c r="E8" s="531" t="s">
        <v>25</v>
      </c>
      <c r="F8" s="532"/>
      <c r="G8" s="532"/>
      <c r="H8" s="527"/>
      <c r="I8" s="533"/>
      <c r="J8" s="656"/>
      <c r="K8" s="530"/>
      <c r="L8" s="656"/>
      <c r="M8" s="656"/>
      <c r="N8" s="527"/>
      <c r="O8" s="656"/>
      <c r="P8" s="656"/>
      <c r="Q8" s="527"/>
      <c r="R8" s="656"/>
      <c r="S8" s="656"/>
    </row>
    <row r="9" spans="1:19" ht="15" x14ac:dyDescent="0.2">
      <c r="A9" s="532" t="s">
        <v>27</v>
      </c>
      <c r="B9" s="527"/>
      <c r="C9" s="527"/>
      <c r="D9" s="527"/>
      <c r="E9" s="532" t="s">
        <v>28</v>
      </c>
      <c r="F9" s="532"/>
      <c r="G9" s="532" t="s">
        <v>409</v>
      </c>
      <c r="H9" s="532" t="s">
        <v>419</v>
      </c>
      <c r="I9" s="532"/>
      <c r="J9" s="656"/>
      <c r="K9" s="530"/>
      <c r="L9" s="656"/>
      <c r="M9" s="656"/>
      <c r="N9" s="527"/>
      <c r="O9" s="656"/>
      <c r="P9" s="656"/>
      <c r="Q9" s="527"/>
      <c r="R9" s="656"/>
      <c r="S9" s="656"/>
    </row>
    <row r="10" spans="1:19" ht="15" x14ac:dyDescent="0.2">
      <c r="A10" s="534" t="s">
        <v>33</v>
      </c>
      <c r="B10" s="527"/>
      <c r="C10" s="534" t="s">
        <v>34</v>
      </c>
      <c r="D10" s="527"/>
      <c r="E10" s="534" t="s">
        <v>33</v>
      </c>
      <c r="F10" s="535"/>
      <c r="G10" s="536" t="s">
        <v>410</v>
      </c>
      <c r="H10" s="536" t="s">
        <v>418</v>
      </c>
      <c r="I10" s="535"/>
      <c r="J10" s="656"/>
      <c r="K10" s="530"/>
      <c r="L10" s="656"/>
      <c r="M10" s="656"/>
      <c r="N10" s="527"/>
      <c r="O10" s="656"/>
      <c r="P10" s="656"/>
      <c r="Q10" s="527"/>
      <c r="R10" s="656"/>
      <c r="S10" s="656"/>
    </row>
    <row r="11" spans="1:19" ht="15" x14ac:dyDescent="0.2">
      <c r="A11" s="537"/>
      <c r="B11" s="527"/>
      <c r="C11" s="531" t="s">
        <v>39</v>
      </c>
      <c r="D11" s="527"/>
      <c r="E11" s="531" t="s">
        <v>40</v>
      </c>
      <c r="F11" s="532"/>
      <c r="G11" s="531" t="s">
        <v>42</v>
      </c>
      <c r="H11" s="531" t="s">
        <v>42</v>
      </c>
      <c r="I11" s="531"/>
      <c r="J11" s="527"/>
      <c r="K11" s="527"/>
      <c r="L11" s="538"/>
      <c r="M11" s="527"/>
      <c r="N11" s="527"/>
      <c r="O11" s="538"/>
      <c r="P11" s="527"/>
      <c r="Q11" s="527"/>
      <c r="R11" s="527"/>
      <c r="S11" s="527"/>
    </row>
    <row r="12" spans="1:19" ht="15" x14ac:dyDescent="0.2">
      <c r="A12" s="527"/>
      <c r="B12" s="527"/>
      <c r="C12" s="527"/>
      <c r="D12" s="527"/>
      <c r="E12" s="527"/>
      <c r="F12" s="527"/>
      <c r="G12" s="527"/>
      <c r="H12" s="527"/>
      <c r="I12" s="531"/>
      <c r="J12" s="527"/>
      <c r="K12" s="527"/>
      <c r="L12" s="538"/>
      <c r="M12" s="527"/>
      <c r="N12" s="527"/>
      <c r="O12" s="538"/>
      <c r="P12" s="527"/>
      <c r="Q12" s="527"/>
      <c r="R12" s="527"/>
      <c r="S12" s="527"/>
    </row>
    <row r="13" spans="1:19" ht="15" x14ac:dyDescent="0.2">
      <c r="A13" s="527"/>
      <c r="B13" s="527"/>
      <c r="C13" s="539" t="s">
        <v>49</v>
      </c>
      <c r="D13" s="527"/>
      <c r="E13" s="527"/>
      <c r="F13" s="527"/>
      <c r="G13" s="527"/>
      <c r="H13" s="527"/>
      <c r="I13" s="527"/>
      <c r="J13" s="527"/>
      <c r="K13" s="527"/>
      <c r="L13" s="538"/>
      <c r="M13" s="527"/>
      <c r="N13" s="527"/>
      <c r="O13" s="538"/>
      <c r="P13" s="527"/>
      <c r="Q13" s="527"/>
      <c r="R13" s="527"/>
      <c r="S13" s="527"/>
    </row>
    <row r="14" spans="1:19" ht="15" x14ac:dyDescent="0.2">
      <c r="A14" s="532">
        <v>1</v>
      </c>
      <c r="B14" s="527"/>
      <c r="C14" s="527" t="s">
        <v>49</v>
      </c>
      <c r="D14" s="527"/>
      <c r="E14" s="531">
        <v>7</v>
      </c>
      <c r="F14" s="531"/>
      <c r="G14" s="540">
        <v>10658082.710537091</v>
      </c>
      <c r="H14" s="541">
        <v>3135176522.0642085</v>
      </c>
      <c r="I14" s="542"/>
      <c r="J14" s="543">
        <v>0.58980569344862599</v>
      </c>
      <c r="K14" s="543"/>
      <c r="L14" s="544">
        <v>-32145822.590992033</v>
      </c>
      <c r="M14" s="545">
        <v>-3.0160980604148563E-3</v>
      </c>
      <c r="N14" s="527"/>
      <c r="O14" s="544">
        <v>-9426215.898720488</v>
      </c>
      <c r="P14" s="545">
        <v>-8.8441947343880899E-4</v>
      </c>
      <c r="Q14" s="527"/>
      <c r="R14" s="527"/>
      <c r="S14" s="527"/>
    </row>
    <row r="15" spans="1:19" ht="15" x14ac:dyDescent="0.2">
      <c r="A15" s="546">
        <v>2</v>
      </c>
      <c r="B15" s="527"/>
      <c r="C15" s="547" t="s">
        <v>50</v>
      </c>
      <c r="D15" s="527"/>
      <c r="E15" s="527"/>
      <c r="F15" s="527"/>
      <c r="G15" s="548">
        <v>10658082.710537091</v>
      </c>
      <c r="H15" s="549">
        <v>3135176522.0642085</v>
      </c>
      <c r="I15" s="542"/>
      <c r="J15" s="543"/>
      <c r="K15" s="543"/>
      <c r="L15" s="550">
        <v>-32145822.590992033</v>
      </c>
      <c r="M15" s="527"/>
      <c r="N15" s="527"/>
      <c r="O15" s="550">
        <v>-9426215.898720488</v>
      </c>
      <c r="P15" s="527"/>
      <c r="Q15" s="527"/>
      <c r="R15" s="527"/>
      <c r="S15" s="527"/>
    </row>
    <row r="16" spans="1:19" ht="15" x14ac:dyDescent="0.2">
      <c r="A16" s="527"/>
      <c r="B16" s="527"/>
      <c r="C16" s="527"/>
      <c r="D16" s="527"/>
      <c r="E16" s="527"/>
      <c r="F16" s="527"/>
      <c r="G16" s="551" t="s">
        <v>19</v>
      </c>
      <c r="H16" s="527" t="s">
        <v>19</v>
      </c>
      <c r="I16" s="552"/>
      <c r="J16" s="543"/>
      <c r="K16" s="543"/>
      <c r="L16" s="538"/>
      <c r="M16" s="527"/>
      <c r="N16" s="527"/>
      <c r="O16" s="538"/>
      <c r="P16" s="527"/>
      <c r="Q16" s="527"/>
      <c r="R16" s="527"/>
      <c r="S16" s="527"/>
    </row>
    <row r="17" spans="1:19" ht="15" x14ac:dyDescent="0.2">
      <c r="A17" s="527"/>
      <c r="B17" s="527"/>
      <c r="C17" s="553" t="s">
        <v>51</v>
      </c>
      <c r="D17" s="527"/>
      <c r="E17" s="527"/>
      <c r="F17" s="527"/>
      <c r="G17" s="551"/>
      <c r="H17" s="527"/>
      <c r="I17" s="552"/>
      <c r="J17" s="543"/>
      <c r="K17" s="543"/>
      <c r="L17" s="538"/>
      <c r="M17" s="527"/>
      <c r="N17" s="527"/>
      <c r="O17" s="538"/>
      <c r="P17" s="527"/>
      <c r="Q17" s="527"/>
      <c r="R17" s="527"/>
      <c r="S17" s="527"/>
    </row>
    <row r="18" spans="1:19" ht="15" x14ac:dyDescent="0.2">
      <c r="A18" s="546">
        <v>3</v>
      </c>
      <c r="B18" s="527"/>
      <c r="C18" s="554" t="s">
        <v>52</v>
      </c>
      <c r="D18" s="527"/>
      <c r="E18" s="531" t="s">
        <v>53</v>
      </c>
      <c r="F18" s="532"/>
      <c r="G18" s="540">
        <v>2700716.8408001168</v>
      </c>
      <c r="H18" s="555">
        <v>640743542.90350974</v>
      </c>
      <c r="I18" s="542"/>
      <c r="J18" s="543">
        <v>0.12054000372397351</v>
      </c>
      <c r="K18" s="543"/>
      <c r="L18" s="544">
        <v>-6569718.8376935944</v>
      </c>
      <c r="M18" s="545">
        <v>-2.432583356553308E-3</v>
      </c>
      <c r="N18" s="527"/>
      <c r="O18" s="544">
        <v>-1926458.3440880533</v>
      </c>
      <c r="P18" s="545">
        <v>-7.1331370804401657E-4</v>
      </c>
      <c r="Q18" s="527"/>
      <c r="R18" s="527"/>
      <c r="S18" s="527"/>
    </row>
    <row r="19" spans="1:19" ht="15" x14ac:dyDescent="0.2">
      <c r="A19" s="546">
        <v>4</v>
      </c>
      <c r="B19" s="527"/>
      <c r="C19" s="554" t="s">
        <v>54</v>
      </c>
      <c r="D19" s="553"/>
      <c r="E19" s="531" t="s">
        <v>55</v>
      </c>
      <c r="F19" s="532"/>
      <c r="G19" s="540">
        <v>2988049.5563074257</v>
      </c>
      <c r="H19" s="555">
        <v>668610677.28831375</v>
      </c>
      <c r="I19" s="542"/>
      <c r="J19" s="543">
        <v>0.12578251380421415</v>
      </c>
      <c r="K19" s="543"/>
      <c r="L19" s="544">
        <v>-6855448.1903309505</v>
      </c>
      <c r="M19" s="545">
        <v>-2.2817077551498905E-3</v>
      </c>
      <c r="N19" s="527"/>
      <c r="O19" s="544">
        <v>-2010243.6184868519</v>
      </c>
      <c r="P19" s="545">
        <v>-6.6907200327344287E-4</v>
      </c>
      <c r="Q19" s="527"/>
      <c r="R19" s="527"/>
      <c r="S19" s="527"/>
    </row>
    <row r="20" spans="1:19" ht="15" x14ac:dyDescent="0.2">
      <c r="A20" s="546">
        <v>5</v>
      </c>
      <c r="B20" s="527"/>
      <c r="C20" s="554" t="s">
        <v>56</v>
      </c>
      <c r="D20" s="527"/>
      <c r="E20" s="531" t="s">
        <v>57</v>
      </c>
      <c r="F20" s="532"/>
      <c r="G20" s="540">
        <v>1939505.2731896485</v>
      </c>
      <c r="H20" s="555">
        <v>372376863.04224324</v>
      </c>
      <c r="I20" s="542"/>
      <c r="J20" s="543">
        <v>7.0053469839793686E-2</v>
      </c>
      <c r="K20" s="543"/>
      <c r="L20" s="544">
        <v>-3818081.8502891734</v>
      </c>
      <c r="M20" s="545">
        <v>-1.9685854444778479E-3</v>
      </c>
      <c r="N20" s="527"/>
      <c r="O20" s="544">
        <v>-1119587.5836724476</v>
      </c>
      <c r="P20" s="545">
        <v>-5.7725420969400589E-4</v>
      </c>
      <c r="Q20" s="527"/>
      <c r="R20" s="527"/>
      <c r="S20" s="527"/>
    </row>
    <row r="21" spans="1:19" ht="15" x14ac:dyDescent="0.2">
      <c r="A21" s="546">
        <v>6</v>
      </c>
      <c r="B21" s="527"/>
      <c r="C21" s="554" t="s">
        <v>58</v>
      </c>
      <c r="D21" s="527"/>
      <c r="E21" s="532">
        <v>29</v>
      </c>
      <c r="F21" s="532"/>
      <c r="G21" s="540">
        <v>16475.530158172358</v>
      </c>
      <c r="H21" s="555"/>
      <c r="I21" s="542"/>
      <c r="J21" s="543">
        <v>0</v>
      </c>
      <c r="K21" s="543"/>
      <c r="L21" s="544">
        <v>0</v>
      </c>
      <c r="M21" s="545">
        <v>-2.2817077551498905E-3</v>
      </c>
      <c r="N21" s="527"/>
      <c r="O21" s="544">
        <v>0</v>
      </c>
      <c r="P21" s="545">
        <v>-6.6907200327344287E-4</v>
      </c>
      <c r="Q21" s="527"/>
      <c r="R21" s="527"/>
      <c r="S21" s="527"/>
    </row>
    <row r="22" spans="1:19" ht="15" x14ac:dyDescent="0.2">
      <c r="A22" s="546">
        <v>7</v>
      </c>
      <c r="B22" s="527"/>
      <c r="C22" s="547" t="s">
        <v>59</v>
      </c>
      <c r="D22" s="527"/>
      <c r="E22" s="532"/>
      <c r="F22" s="532"/>
      <c r="G22" s="548">
        <v>7644747.2004553629</v>
      </c>
      <c r="H22" s="549">
        <v>1681731083.2340667</v>
      </c>
      <c r="I22" s="542"/>
      <c r="J22" s="543"/>
      <c r="K22" s="543"/>
      <c r="L22" s="550">
        <v>-17243248.87831372</v>
      </c>
      <c r="M22" s="527"/>
      <c r="N22" s="527"/>
      <c r="O22" s="550">
        <v>-5056289.5462473528</v>
      </c>
      <c r="P22" s="527"/>
      <c r="Q22" s="527"/>
      <c r="R22" s="527"/>
      <c r="S22" s="527"/>
    </row>
    <row r="23" spans="1:19" ht="15" x14ac:dyDescent="0.2">
      <c r="A23" s="546"/>
      <c r="B23" s="527"/>
      <c r="C23" s="554"/>
      <c r="D23" s="527"/>
      <c r="E23" s="532"/>
      <c r="F23" s="532"/>
      <c r="G23" s="540"/>
      <c r="H23" s="555"/>
      <c r="I23" s="542"/>
      <c r="J23" s="543"/>
      <c r="K23" s="543"/>
      <c r="L23" s="544"/>
      <c r="M23" s="527"/>
      <c r="N23" s="527"/>
      <c r="O23" s="544"/>
      <c r="P23" s="527"/>
      <c r="Q23" s="527"/>
      <c r="R23" s="527"/>
      <c r="S23" s="527"/>
    </row>
    <row r="24" spans="1:19" ht="15" x14ac:dyDescent="0.2">
      <c r="A24" s="546"/>
      <c r="B24" s="527"/>
      <c r="C24" s="553" t="s">
        <v>60</v>
      </c>
      <c r="D24" s="527"/>
      <c r="E24" s="532"/>
      <c r="F24" s="532"/>
      <c r="G24" s="540"/>
      <c r="H24" s="555"/>
      <c r="I24" s="542"/>
      <c r="J24" s="543"/>
      <c r="K24" s="543"/>
      <c r="L24" s="544"/>
      <c r="M24" s="527"/>
      <c r="N24" s="527"/>
      <c r="O24" s="544"/>
      <c r="P24" s="527"/>
      <c r="Q24" s="527"/>
      <c r="R24" s="527"/>
      <c r="S24" s="527"/>
    </row>
    <row r="25" spans="1:19" ht="15" x14ac:dyDescent="0.2">
      <c r="A25" s="546">
        <v>8</v>
      </c>
      <c r="B25" s="527"/>
      <c r="C25" s="554" t="s">
        <v>61</v>
      </c>
      <c r="D25" s="527"/>
      <c r="E25" s="531" t="s">
        <v>62</v>
      </c>
      <c r="F25" s="532"/>
      <c r="G25" s="540">
        <v>1407595.3481703061</v>
      </c>
      <c r="H25" s="555">
        <v>276424800.11833674</v>
      </c>
      <c r="I25" s="542"/>
      <c r="J25" s="543">
        <v>5.2002469325985352E-2</v>
      </c>
      <c r="K25" s="543"/>
      <c r="L25" s="544">
        <v>-2834259.0989115932</v>
      </c>
      <c r="M25" s="545">
        <v>-2.0135467928306008E-3</v>
      </c>
      <c r="N25" s="527"/>
      <c r="O25" s="544">
        <v>-831098.28978960938</v>
      </c>
      <c r="P25" s="545">
        <v>-5.9043836061971279E-4</v>
      </c>
      <c r="Q25" s="527"/>
      <c r="R25" s="527"/>
      <c r="S25" s="527"/>
    </row>
    <row r="26" spans="1:19" ht="15" x14ac:dyDescent="0.2">
      <c r="A26" s="546">
        <v>9</v>
      </c>
      <c r="B26" s="527"/>
      <c r="C26" s="554" t="s">
        <v>63</v>
      </c>
      <c r="D26" s="527"/>
      <c r="E26" s="532">
        <v>35</v>
      </c>
      <c r="F26" s="532"/>
      <c r="G26" s="540">
        <v>4443.66</v>
      </c>
      <c r="H26" s="555">
        <v>1445449.435610598</v>
      </c>
      <c r="I26" s="542"/>
      <c r="J26" s="543">
        <v>2.7192545641861434E-4</v>
      </c>
      <c r="K26" s="543"/>
      <c r="L26" s="544">
        <v>-14820.588504150655</v>
      </c>
      <c r="M26" s="545">
        <v>-3.3352210799545094E-3</v>
      </c>
      <c r="N26" s="527"/>
      <c r="O26" s="544">
        <v>-4345.8855840686001</v>
      </c>
      <c r="P26" s="545">
        <v>-9.7799687286349553E-4</v>
      </c>
      <c r="Q26" s="527"/>
      <c r="R26" s="527"/>
      <c r="S26" s="527"/>
    </row>
    <row r="27" spans="1:19" ht="15" x14ac:dyDescent="0.2">
      <c r="A27" s="546">
        <v>10</v>
      </c>
      <c r="B27" s="527"/>
      <c r="C27" s="527" t="s">
        <v>64</v>
      </c>
      <c r="D27" s="527"/>
      <c r="E27" s="531">
        <v>43</v>
      </c>
      <c r="F27" s="532"/>
      <c r="G27" s="540">
        <v>123102.08801083639</v>
      </c>
      <c r="H27" s="555">
        <v>33296297.462748501</v>
      </c>
      <c r="I27" s="542"/>
      <c r="J27" s="543">
        <v>6.2638724410191008E-3</v>
      </c>
      <c r="K27" s="543"/>
      <c r="L27" s="544">
        <v>-341396.046966344</v>
      </c>
      <c r="M27" s="545">
        <v>-2.7732758435120262E-3</v>
      </c>
      <c r="N27" s="527"/>
      <c r="O27" s="544">
        <v>-100108.58600881639</v>
      </c>
      <c r="P27" s="545">
        <v>-8.1321598704324212E-4</v>
      </c>
      <c r="Q27" s="527"/>
      <c r="R27" s="527"/>
      <c r="S27" s="527"/>
    </row>
    <row r="28" spans="1:19" ht="15" x14ac:dyDescent="0.2">
      <c r="A28" s="546">
        <v>11</v>
      </c>
      <c r="B28" s="527"/>
      <c r="C28" s="547" t="s">
        <v>65</v>
      </c>
      <c r="D28" s="527"/>
      <c r="E28" s="532"/>
      <c r="F28" s="532"/>
      <c r="G28" s="548">
        <v>1535141.0961811424</v>
      </c>
      <c r="H28" s="549">
        <v>311166547.01669586</v>
      </c>
      <c r="I28" s="542"/>
      <c r="J28" s="543"/>
      <c r="K28" s="543"/>
      <c r="L28" s="550">
        <v>-3190475.7343820878</v>
      </c>
      <c r="M28" s="527"/>
      <c r="N28" s="527"/>
      <c r="O28" s="550">
        <v>-935552.76138249435</v>
      </c>
      <c r="P28" s="527"/>
      <c r="Q28" s="527"/>
      <c r="R28" s="527"/>
      <c r="S28" s="527"/>
    </row>
    <row r="29" spans="1:19" ht="15" x14ac:dyDescent="0.2">
      <c r="A29" s="546"/>
      <c r="B29" s="527"/>
      <c r="C29" s="527"/>
      <c r="D29" s="527"/>
      <c r="E29" s="531"/>
      <c r="F29" s="532"/>
      <c r="G29" s="540"/>
      <c r="H29" s="555"/>
      <c r="I29" s="542"/>
      <c r="J29" s="543"/>
      <c r="K29" s="543"/>
      <c r="L29" s="544"/>
      <c r="M29" s="527"/>
      <c r="N29" s="527"/>
      <c r="O29" s="544"/>
      <c r="P29" s="527"/>
      <c r="Q29" s="527"/>
      <c r="R29" s="527"/>
      <c r="S29" s="527"/>
    </row>
    <row r="30" spans="1:19" ht="15" x14ac:dyDescent="0.2">
      <c r="A30" s="546"/>
      <c r="B30" s="527"/>
      <c r="C30" s="553" t="s">
        <v>67</v>
      </c>
      <c r="D30" s="527"/>
      <c r="E30" s="531"/>
      <c r="F30" s="532"/>
      <c r="G30" s="540"/>
      <c r="H30" s="555"/>
      <c r="I30" s="542"/>
      <c r="J30" s="543"/>
      <c r="K30" s="543"/>
      <c r="L30" s="544"/>
      <c r="M30" s="527"/>
      <c r="N30" s="527"/>
      <c r="O30" s="544"/>
      <c r="P30" s="527"/>
      <c r="Q30" s="527"/>
      <c r="R30" s="527"/>
      <c r="S30" s="527"/>
    </row>
    <row r="31" spans="1:19" ht="15" x14ac:dyDescent="0.2">
      <c r="A31" s="546">
        <v>12</v>
      </c>
      <c r="B31" s="527"/>
      <c r="C31" s="554" t="s">
        <v>68</v>
      </c>
      <c r="D31" s="527"/>
      <c r="E31" s="531">
        <v>46</v>
      </c>
      <c r="F31" s="532"/>
      <c r="G31" s="540">
        <v>78351.491999999998</v>
      </c>
      <c r="H31" s="555"/>
      <c r="I31" s="542"/>
      <c r="J31" s="543">
        <v>0</v>
      </c>
      <c r="K31" s="543"/>
      <c r="L31" s="544">
        <v>-120244.05614966666</v>
      </c>
      <c r="M31" s="545">
        <v>-1.5346747468403877E-3</v>
      </c>
      <c r="N31" s="527"/>
      <c r="O31" s="544">
        <v>-35259.524953710272</v>
      </c>
      <c r="P31" s="545">
        <v>-4.5001727540440803E-4</v>
      </c>
      <c r="Q31" s="527"/>
      <c r="R31" s="527"/>
      <c r="S31" s="527"/>
    </row>
    <row r="32" spans="1:19" ht="15" x14ac:dyDescent="0.2">
      <c r="A32" s="546">
        <v>13</v>
      </c>
      <c r="B32" s="527"/>
      <c r="C32" s="527" t="s">
        <v>69</v>
      </c>
      <c r="D32" s="527"/>
      <c r="E32" s="531">
        <v>49</v>
      </c>
      <c r="F32" s="532"/>
      <c r="G32" s="540">
        <v>542259.32140199991</v>
      </c>
      <c r="H32" s="555"/>
      <c r="I32" s="542"/>
      <c r="J32" s="543">
        <v>0</v>
      </c>
      <c r="K32" s="543"/>
      <c r="L32" s="544">
        <v>-832191.6867944547</v>
      </c>
      <c r="M32" s="545">
        <v>-1.5346747468403877E-3</v>
      </c>
      <c r="N32" s="527"/>
      <c r="O32" s="544">
        <v>-244026.0623799712</v>
      </c>
      <c r="P32" s="545">
        <v>-4.5001727540440803E-4</v>
      </c>
      <c r="Q32" s="527"/>
      <c r="R32" s="527"/>
      <c r="S32" s="527"/>
    </row>
    <row r="33" spans="1:19" ht="15" x14ac:dyDescent="0.2">
      <c r="A33" s="546">
        <v>14</v>
      </c>
      <c r="B33" s="527"/>
      <c r="C33" s="547" t="s">
        <v>67</v>
      </c>
      <c r="D33" s="527"/>
      <c r="E33" s="532"/>
      <c r="F33" s="532"/>
      <c r="G33" s="548">
        <v>620610.81340199988</v>
      </c>
      <c r="H33" s="549">
        <v>92890893.415493071</v>
      </c>
      <c r="I33" s="542"/>
      <c r="J33" s="543">
        <v>1.74751174042076E-2</v>
      </c>
      <c r="K33" s="543"/>
      <c r="L33" s="544">
        <v>-952435.74294412124</v>
      </c>
      <c r="M33" s="545">
        <v>-1.5346747468403877E-3</v>
      </c>
      <c r="N33" s="527"/>
      <c r="O33" s="544">
        <v>-279285.58733368147</v>
      </c>
      <c r="P33" s="545">
        <v>-4.5001727540440803E-4</v>
      </c>
      <c r="Q33" s="527"/>
      <c r="R33" s="527"/>
      <c r="S33" s="527"/>
    </row>
    <row r="34" spans="1:19" ht="15" x14ac:dyDescent="0.2">
      <c r="A34" s="546"/>
      <c r="B34" s="527"/>
      <c r="C34" s="527"/>
      <c r="D34" s="527"/>
      <c r="E34" s="531"/>
      <c r="F34" s="532"/>
      <c r="G34" s="540"/>
      <c r="H34" s="555"/>
      <c r="I34" s="542"/>
      <c r="J34" s="543"/>
      <c r="K34" s="543"/>
      <c r="L34" s="544"/>
      <c r="M34" s="527"/>
      <c r="N34" s="527"/>
      <c r="O34" s="544"/>
      <c r="P34" s="527"/>
      <c r="Q34" s="527"/>
      <c r="R34" s="527"/>
      <c r="S34" s="527"/>
    </row>
    <row r="35" spans="1:19" ht="15" x14ac:dyDescent="0.2">
      <c r="A35" s="546"/>
      <c r="B35" s="527"/>
      <c r="C35" s="556" t="s">
        <v>411</v>
      </c>
      <c r="D35" s="527"/>
      <c r="E35" s="531"/>
      <c r="F35" s="532"/>
      <c r="G35" s="540"/>
      <c r="H35" s="555"/>
      <c r="I35" s="542"/>
      <c r="J35" s="543"/>
      <c r="K35" s="543"/>
      <c r="L35" s="544"/>
      <c r="M35" s="527"/>
      <c r="N35" s="527"/>
      <c r="O35" s="544"/>
      <c r="P35" s="527"/>
      <c r="Q35" s="527"/>
      <c r="R35" s="527"/>
      <c r="S35" s="527"/>
    </row>
    <row r="36" spans="1:19" ht="15" x14ac:dyDescent="0.2">
      <c r="A36" s="546">
        <v>15</v>
      </c>
      <c r="B36" s="527"/>
      <c r="C36" s="554" t="s">
        <v>412</v>
      </c>
      <c r="D36" s="527"/>
      <c r="E36" s="531" t="s">
        <v>71</v>
      </c>
      <c r="F36" s="532"/>
      <c r="G36" s="540">
        <v>2028727.0061700002</v>
      </c>
      <c r="H36" s="555">
        <v>3234251.523277767</v>
      </c>
      <c r="I36" s="542"/>
      <c r="J36" s="543">
        <v>6.0844419733602835E-4</v>
      </c>
      <c r="K36" s="543"/>
      <c r="L36" s="544">
        <v>-33161.665683015592</v>
      </c>
      <c r="M36" s="545">
        <f>+L36/G36/1000</f>
        <v>-1.6346046354270675E-5</v>
      </c>
      <c r="N36" s="527"/>
      <c r="O36" s="544">
        <v>-9724.0946130552438</v>
      </c>
      <c r="P36" s="545">
        <f>+O36/G36/1000</f>
        <v>-4.7932001612248459E-6</v>
      </c>
      <c r="Q36" s="527"/>
      <c r="R36" s="557">
        <v>-138.16999999999999</v>
      </c>
      <c r="S36" s="557">
        <v>-40.520000000000003</v>
      </c>
    </row>
    <row r="37" spans="1:19" ht="15" x14ac:dyDescent="0.2">
      <c r="A37" s="546">
        <v>16</v>
      </c>
      <c r="B37" s="527"/>
      <c r="C37" s="554" t="s">
        <v>413</v>
      </c>
      <c r="D37" s="527"/>
      <c r="E37" s="531" t="s">
        <v>347</v>
      </c>
      <c r="F37" s="532"/>
      <c r="G37" s="540">
        <v>335987.76400000002</v>
      </c>
      <c r="H37" s="555">
        <v>31356808.459470671</v>
      </c>
      <c r="I37" s="542"/>
      <c r="J37" s="543">
        <v>5.8990056947725109E-3</v>
      </c>
      <c r="K37" s="543"/>
      <c r="L37" s="544">
        <v>-321509.93561734085</v>
      </c>
      <c r="M37" s="545">
        <v>-9.5690965584490999E-4</v>
      </c>
      <c r="N37" s="527"/>
      <c r="O37" s="544">
        <v>-94277.321979684741</v>
      </c>
      <c r="P37" s="545">
        <v>-2.8059748622180403E-4</v>
      </c>
      <c r="Q37" s="527"/>
      <c r="R37" s="527"/>
      <c r="S37" s="527"/>
    </row>
    <row r="38" spans="1:19" ht="15" x14ac:dyDescent="0.2">
      <c r="A38" s="546">
        <v>17</v>
      </c>
      <c r="B38" s="527"/>
      <c r="C38" s="547" t="s">
        <v>411</v>
      </c>
      <c r="D38" s="527"/>
      <c r="E38" s="531"/>
      <c r="F38" s="532"/>
      <c r="G38" s="548">
        <v>2364714.7701700004</v>
      </c>
      <c r="H38" s="549">
        <v>34591059.982748434</v>
      </c>
      <c r="I38" s="542"/>
      <c r="J38" s="543"/>
      <c r="K38" s="543"/>
      <c r="L38" s="550">
        <v>-354671.60130035644</v>
      </c>
      <c r="M38" s="527"/>
      <c r="N38" s="527"/>
      <c r="O38" s="550">
        <v>-104001.41659273999</v>
      </c>
      <c r="P38" s="527"/>
      <c r="Q38" s="527"/>
      <c r="R38" s="527"/>
      <c r="S38" s="527"/>
    </row>
    <row r="39" spans="1:19" ht="15" x14ac:dyDescent="0.2">
      <c r="A39" s="546"/>
      <c r="B39" s="527"/>
      <c r="C39" s="527"/>
      <c r="D39" s="527"/>
      <c r="E39" s="531"/>
      <c r="F39" s="532"/>
      <c r="G39" s="540"/>
      <c r="H39" s="555"/>
      <c r="I39" s="542"/>
      <c r="J39" s="543"/>
      <c r="K39" s="543"/>
      <c r="L39" s="544"/>
      <c r="M39" s="527"/>
      <c r="N39" s="527"/>
      <c r="O39" s="544"/>
      <c r="P39" s="527"/>
      <c r="Q39" s="527"/>
      <c r="R39" s="527"/>
      <c r="S39" s="527"/>
    </row>
    <row r="40" spans="1:19" ht="15" x14ac:dyDescent="0.2">
      <c r="A40" s="546">
        <v>18</v>
      </c>
      <c r="B40" s="527"/>
      <c r="C40" s="527" t="s">
        <v>72</v>
      </c>
      <c r="D40" s="527"/>
      <c r="E40" s="531" t="s">
        <v>16</v>
      </c>
      <c r="F40" s="532"/>
      <c r="G40" s="540">
        <v>69969.105296000009</v>
      </c>
      <c r="H40" s="549">
        <v>58241031.784588441</v>
      </c>
      <c r="I40" s="542"/>
      <c r="J40" s="543">
        <v>1.0956605440594437E-2</v>
      </c>
      <c r="K40" s="543"/>
      <c r="L40" s="544">
        <v>-597161.23225847667</v>
      </c>
      <c r="M40" s="545">
        <v>-8.534641535463728E-3</v>
      </c>
      <c r="N40" s="527"/>
      <c r="O40" s="544">
        <v>-175107.37781498654</v>
      </c>
      <c r="P40" s="545">
        <v>-2.5026385155877801E-3</v>
      </c>
      <c r="Q40" s="527"/>
      <c r="R40" s="527"/>
      <c r="S40" s="527"/>
    </row>
    <row r="41" spans="1:19" ht="15" x14ac:dyDescent="0.2">
      <c r="A41" s="546"/>
      <c r="B41" s="527"/>
      <c r="C41" s="527"/>
      <c r="D41" s="527"/>
      <c r="E41" s="531"/>
      <c r="F41" s="532"/>
      <c r="G41" s="540"/>
      <c r="H41" s="555"/>
      <c r="I41" s="542"/>
      <c r="J41" s="543"/>
      <c r="K41" s="543"/>
      <c r="L41" s="544"/>
      <c r="M41" s="527"/>
      <c r="N41" s="527"/>
      <c r="O41" s="544"/>
      <c r="P41" s="527"/>
      <c r="Q41" s="527"/>
      <c r="R41" s="527"/>
      <c r="S41" s="527"/>
    </row>
    <row r="42" spans="1:19" ht="15" x14ac:dyDescent="0.2">
      <c r="A42" s="546">
        <v>19</v>
      </c>
      <c r="B42" s="527"/>
      <c r="C42" s="547" t="s">
        <v>73</v>
      </c>
      <c r="D42" s="527"/>
      <c r="E42" s="527"/>
      <c r="F42" s="527"/>
      <c r="G42" s="548">
        <v>22893265.696041595</v>
      </c>
      <c r="H42" s="549">
        <v>5313797137.4978008</v>
      </c>
      <c r="I42" s="542"/>
      <c r="J42" s="543">
        <v>0.99965912077694097</v>
      </c>
      <c r="K42" s="543"/>
      <c r="L42" s="550">
        <v>-54483815.780190796</v>
      </c>
      <c r="M42" s="527"/>
      <c r="N42" s="527"/>
      <c r="O42" s="550">
        <v>-15976452.588091742</v>
      </c>
      <c r="P42" s="527"/>
      <c r="Q42" s="527"/>
      <c r="R42" s="527"/>
      <c r="S42" s="527"/>
    </row>
    <row r="43" spans="1:19" ht="15" x14ac:dyDescent="0.2">
      <c r="A43" s="532"/>
      <c r="B43" s="527"/>
      <c r="C43" s="527"/>
      <c r="D43" s="527"/>
      <c r="E43" s="527"/>
      <c r="F43" s="527"/>
      <c r="G43" s="551"/>
      <c r="H43" s="527"/>
      <c r="I43" s="552"/>
      <c r="J43" s="543"/>
      <c r="K43" s="543"/>
      <c r="L43" s="538"/>
      <c r="M43" s="527"/>
      <c r="N43" s="527"/>
      <c r="O43" s="538"/>
      <c r="P43" s="527"/>
      <c r="Q43" s="527"/>
      <c r="R43" s="527"/>
      <c r="S43" s="527"/>
    </row>
    <row r="44" spans="1:19" ht="15" x14ac:dyDescent="0.2">
      <c r="A44" s="546">
        <v>20</v>
      </c>
      <c r="B44" s="527"/>
      <c r="C44" s="527" t="s">
        <v>74</v>
      </c>
      <c r="D44" s="527"/>
      <c r="E44" s="531" t="s">
        <v>174</v>
      </c>
      <c r="F44" s="532"/>
      <c r="G44" s="540">
        <v>7197.5754843382783</v>
      </c>
      <c r="H44" s="549">
        <v>1811980.7062991206</v>
      </c>
      <c r="I44" s="552"/>
      <c r="J44" s="543">
        <v>3.4087922305906979E-4</v>
      </c>
      <c r="K44" s="543"/>
      <c r="L44" s="544">
        <v>-18578.733896821093</v>
      </c>
      <c r="M44" s="545">
        <v>-2.5812489132275023E-3</v>
      </c>
      <c r="N44" s="527"/>
      <c r="O44" s="544">
        <v>-5447.8978206451848</v>
      </c>
      <c r="P44" s="545">
        <v>-7.5690735477518191E-4</v>
      </c>
      <c r="Q44" s="527"/>
      <c r="R44" s="527"/>
      <c r="S44" s="527"/>
    </row>
    <row r="45" spans="1:19" ht="15" x14ac:dyDescent="0.2">
      <c r="A45" s="532"/>
      <c r="B45" s="527"/>
      <c r="C45" s="527"/>
      <c r="D45" s="527"/>
      <c r="E45" s="527"/>
      <c r="F45" s="527"/>
      <c r="G45" s="551"/>
      <c r="H45" s="527"/>
      <c r="I45" s="552"/>
      <c r="J45" s="543"/>
      <c r="K45" s="543"/>
      <c r="L45" s="538"/>
      <c r="M45" s="527"/>
      <c r="N45" s="527"/>
      <c r="O45" s="538"/>
      <c r="P45" s="527"/>
      <c r="Q45" s="527"/>
      <c r="R45" s="527"/>
      <c r="S45" s="527"/>
    </row>
    <row r="46" spans="1:19" ht="15.75" thickBot="1" x14ac:dyDescent="0.25">
      <c r="A46" s="546">
        <v>21</v>
      </c>
      <c r="B46" s="527"/>
      <c r="C46" s="554" t="s">
        <v>75</v>
      </c>
      <c r="D46" s="527"/>
      <c r="E46" s="527"/>
      <c r="F46" s="527"/>
      <c r="G46" s="558">
        <v>22900463.271525934</v>
      </c>
      <c r="H46" s="559">
        <v>5315609118.2040997</v>
      </c>
      <c r="I46" s="560"/>
      <c r="J46" s="543">
        <v>1</v>
      </c>
      <c r="K46" s="543"/>
      <c r="L46" s="561">
        <v>-54502394.514087617</v>
      </c>
      <c r="M46" s="527"/>
      <c r="N46" s="527"/>
      <c r="O46" s="561">
        <v>-15981900.485912388</v>
      </c>
      <c r="P46" s="527"/>
      <c r="Q46" s="527"/>
      <c r="R46" s="527"/>
      <c r="S46" s="527"/>
    </row>
    <row r="47" spans="1:19" ht="13.5" thickTop="1" x14ac:dyDescent="0.2"/>
  </sheetData>
  <mergeCells count="12">
    <mergeCell ref="R7:R10"/>
    <mergeCell ref="S7:S10"/>
    <mergeCell ref="J7:J10"/>
    <mergeCell ref="L7:L10"/>
    <mergeCell ref="M7:M10"/>
    <mergeCell ref="O7:O10"/>
    <mergeCell ref="P7:P10"/>
    <mergeCell ref="A2:I2"/>
    <mergeCell ref="A3:I3"/>
    <mergeCell ref="A4:I4"/>
    <mergeCell ref="A5:I5"/>
    <mergeCell ref="A6:I6"/>
  </mergeCells>
  <pageMargins left="0.7" right="0.7" top="0.75" bottom="0.75" header="0.3" footer="0.3"/>
  <pageSetup scale="65" orientation="landscape" r:id="rId1"/>
  <headerFooter>
    <oddFooter>&amp;L&amp;F&amp;R&amp;A
Page 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H36"/>
  <sheetViews>
    <sheetView workbookViewId="0">
      <selection sqref="A1:H35"/>
    </sheetView>
  </sheetViews>
  <sheetFormatPr defaultColWidth="8.85546875" defaultRowHeight="12.75" x14ac:dyDescent="0.2"/>
  <cols>
    <col min="1" max="1" width="7.7109375" style="562" bestFit="1" customWidth="1"/>
    <col min="2" max="2" width="33.7109375" style="562" bestFit="1" customWidth="1"/>
    <col min="3" max="3" width="10.140625" style="562" bestFit="1" customWidth="1"/>
    <col min="4" max="4" width="14.7109375" style="562" bestFit="1" customWidth="1"/>
    <col min="5" max="5" width="15.140625" style="562" bestFit="1" customWidth="1"/>
    <col min="6" max="6" width="13.5703125" style="562" bestFit="1" customWidth="1"/>
    <col min="7" max="7" width="14.42578125" style="562" customWidth="1"/>
    <col min="8" max="8" width="12.140625" style="562" customWidth="1"/>
    <col min="9" max="16384" width="8.85546875" style="562"/>
  </cols>
  <sheetData>
    <row r="1" spans="1:8" x14ac:dyDescent="0.2">
      <c r="A1" s="657" t="s">
        <v>0</v>
      </c>
      <c r="B1" s="657">
        <v>0</v>
      </c>
      <c r="C1" s="657">
        <v>0</v>
      </c>
      <c r="D1" s="657">
        <v>0</v>
      </c>
      <c r="E1" s="657">
        <v>0</v>
      </c>
      <c r="F1" s="657">
        <v>0</v>
      </c>
      <c r="G1" s="657">
        <v>0</v>
      </c>
    </row>
    <row r="2" spans="1:8" x14ac:dyDescent="0.2">
      <c r="A2" s="657" t="s">
        <v>323</v>
      </c>
      <c r="B2" s="657">
        <v>0</v>
      </c>
      <c r="C2" s="657">
        <v>0</v>
      </c>
      <c r="D2" s="657">
        <v>0</v>
      </c>
      <c r="E2" s="657">
        <v>0</v>
      </c>
      <c r="F2" s="657">
        <v>0</v>
      </c>
      <c r="G2" s="657">
        <v>0</v>
      </c>
    </row>
    <row r="3" spans="1:8" x14ac:dyDescent="0.2">
      <c r="A3" s="658" t="s">
        <v>381</v>
      </c>
      <c r="B3" s="657">
        <v>0</v>
      </c>
      <c r="C3" s="657">
        <v>0</v>
      </c>
      <c r="D3" s="657">
        <v>0</v>
      </c>
      <c r="E3" s="657">
        <v>0</v>
      </c>
      <c r="F3" s="657">
        <v>0</v>
      </c>
      <c r="G3" s="657">
        <v>0</v>
      </c>
    </row>
    <row r="4" spans="1:8" x14ac:dyDescent="0.2">
      <c r="A4" s="142"/>
      <c r="B4" s="143"/>
      <c r="C4" s="143"/>
      <c r="D4" s="143"/>
      <c r="E4" s="143"/>
      <c r="F4" s="142"/>
      <c r="G4" s="142"/>
    </row>
    <row r="5" spans="1:8" ht="63.75" x14ac:dyDescent="0.2">
      <c r="A5" s="144" t="s">
        <v>3</v>
      </c>
      <c r="B5" s="144" t="s">
        <v>135</v>
      </c>
      <c r="C5" s="144" t="s">
        <v>118</v>
      </c>
      <c r="D5" s="145" t="s">
        <v>380</v>
      </c>
      <c r="E5" s="145" t="s">
        <v>322</v>
      </c>
      <c r="F5" s="145" t="s">
        <v>378</v>
      </c>
      <c r="G5" s="145" t="s">
        <v>379</v>
      </c>
    </row>
    <row r="6" spans="1:8" x14ac:dyDescent="0.2">
      <c r="A6" s="146"/>
      <c r="B6" s="147" t="s">
        <v>136</v>
      </c>
      <c r="C6" s="148" t="s">
        <v>137</v>
      </c>
      <c r="D6" s="148" t="s">
        <v>138</v>
      </c>
      <c r="E6" s="148" t="s">
        <v>139</v>
      </c>
      <c r="F6" s="149" t="s">
        <v>140</v>
      </c>
      <c r="G6" s="149" t="s">
        <v>141</v>
      </c>
    </row>
    <row r="7" spans="1:8" x14ac:dyDescent="0.2">
      <c r="A7" s="150">
        <v>1</v>
      </c>
      <c r="B7" s="151" t="s">
        <v>11</v>
      </c>
      <c r="C7" s="146"/>
      <c r="D7" s="146"/>
      <c r="E7" s="152"/>
      <c r="F7" s="150"/>
      <c r="G7" s="150"/>
    </row>
    <row r="8" spans="1:8" x14ac:dyDescent="0.2">
      <c r="A8" s="150">
        <v>2</v>
      </c>
      <c r="B8" s="153" t="s">
        <v>11</v>
      </c>
      <c r="C8" s="445">
        <v>7</v>
      </c>
      <c r="D8" s="563">
        <v>10739855000</v>
      </c>
      <c r="E8" s="564">
        <v>1122657000</v>
      </c>
      <c r="F8" s="565">
        <v>0</v>
      </c>
      <c r="G8" s="565">
        <v>-6.0999999999999999E-5</v>
      </c>
      <c r="H8" s="564">
        <f>+G8*D8</f>
        <v>-655131.15500000003</v>
      </c>
    </row>
    <row r="9" spans="1:8" x14ac:dyDescent="0.2">
      <c r="A9" s="150">
        <v>3</v>
      </c>
      <c r="B9" s="154" t="s">
        <v>144</v>
      </c>
      <c r="C9" s="142"/>
      <c r="D9" s="354">
        <f>SUM(D8)</f>
        <v>10739855000</v>
      </c>
      <c r="E9" s="566">
        <f>SUM(E8)</f>
        <v>1122657000</v>
      </c>
      <c r="H9" s="566">
        <f>SUM(H8)</f>
        <v>-655131.15500000003</v>
      </c>
    </row>
    <row r="10" spans="1:8" x14ac:dyDescent="0.2">
      <c r="A10" s="150">
        <v>4</v>
      </c>
      <c r="B10" s="142"/>
      <c r="C10" s="142"/>
      <c r="D10" s="358"/>
      <c r="E10" s="567"/>
      <c r="F10" s="360"/>
      <c r="G10" s="360"/>
      <c r="H10" s="567"/>
    </row>
    <row r="11" spans="1:8" x14ac:dyDescent="0.2">
      <c r="A11" s="150">
        <v>5</v>
      </c>
      <c r="B11" s="142" t="s">
        <v>145</v>
      </c>
      <c r="C11" s="142"/>
      <c r="D11" s="358"/>
      <c r="E11" s="567"/>
      <c r="F11" s="360"/>
      <c r="G11" s="360"/>
      <c r="H11" s="567"/>
    </row>
    <row r="12" spans="1:8" x14ac:dyDescent="0.2">
      <c r="A12" s="150">
        <v>6</v>
      </c>
      <c r="B12" s="155" t="s">
        <v>146</v>
      </c>
      <c r="C12" s="446" t="s">
        <v>131</v>
      </c>
      <c r="D12" s="358">
        <v>2835868000</v>
      </c>
      <c r="E12" s="567">
        <v>299389000</v>
      </c>
      <c r="F12" s="565">
        <v>0</v>
      </c>
      <c r="G12" s="565">
        <v>-5.0000000000000002E-5</v>
      </c>
      <c r="H12" s="567">
        <f t="shared" ref="H12:H15" si="0">+G12*D12</f>
        <v>-141793.4</v>
      </c>
    </row>
    <row r="13" spans="1:8" x14ac:dyDescent="0.2">
      <c r="A13" s="150">
        <v>7</v>
      </c>
      <c r="B13" s="155" t="s">
        <v>147</v>
      </c>
      <c r="C13" s="446" t="s">
        <v>148</v>
      </c>
      <c r="D13" s="358">
        <v>3008560000</v>
      </c>
      <c r="E13" s="567">
        <v>287083000</v>
      </c>
      <c r="F13" s="565">
        <v>0</v>
      </c>
      <c r="G13" s="565">
        <v>-4.5000000000000003E-5</v>
      </c>
      <c r="H13" s="567">
        <f t="shared" si="0"/>
        <v>-135385.20000000001</v>
      </c>
    </row>
    <row r="14" spans="1:8" x14ac:dyDescent="0.2">
      <c r="A14" s="150">
        <v>8</v>
      </c>
      <c r="B14" s="155" t="s">
        <v>149</v>
      </c>
      <c r="C14" s="446" t="s">
        <v>183</v>
      </c>
      <c r="D14" s="358">
        <v>1762652000</v>
      </c>
      <c r="E14" s="567">
        <v>157488000</v>
      </c>
      <c r="F14" s="565">
        <v>0</v>
      </c>
      <c r="G14" s="565">
        <v>-4.5000000000000003E-5</v>
      </c>
      <c r="H14" s="567">
        <f t="shared" si="0"/>
        <v>-79319.340000000011</v>
      </c>
    </row>
    <row r="15" spans="1:8" x14ac:dyDescent="0.2">
      <c r="A15" s="150">
        <v>9</v>
      </c>
      <c r="B15" s="153" t="s">
        <v>150</v>
      </c>
      <c r="C15" s="445">
        <v>29</v>
      </c>
      <c r="D15" s="358">
        <v>15056000</v>
      </c>
      <c r="E15" s="567">
        <v>1160000</v>
      </c>
      <c r="F15" s="565">
        <v>0</v>
      </c>
      <c r="G15" s="565">
        <v>-4.5000000000000003E-5</v>
      </c>
      <c r="H15" s="567">
        <f t="shared" si="0"/>
        <v>-677.5200000000001</v>
      </c>
    </row>
    <row r="16" spans="1:8" x14ac:dyDescent="0.2">
      <c r="A16" s="150">
        <v>10</v>
      </c>
      <c r="B16" s="156" t="s">
        <v>13</v>
      </c>
      <c r="C16" s="142"/>
      <c r="D16" s="354">
        <f>SUM(D12:D15)</f>
        <v>7622136000</v>
      </c>
      <c r="E16" s="566">
        <f>SUM(E12:E15)</f>
        <v>745120000</v>
      </c>
      <c r="H16" s="566">
        <f>SUM(H12:H15)</f>
        <v>-357175.46</v>
      </c>
    </row>
    <row r="17" spans="1:8" x14ac:dyDescent="0.2">
      <c r="A17" s="150">
        <v>11</v>
      </c>
      <c r="B17" s="142"/>
      <c r="C17" s="142"/>
      <c r="D17" s="358"/>
      <c r="E17" s="567"/>
      <c r="F17" s="360"/>
      <c r="G17" s="360"/>
      <c r="H17" s="567"/>
    </row>
    <row r="18" spans="1:8" x14ac:dyDescent="0.2">
      <c r="A18" s="150">
        <v>12</v>
      </c>
      <c r="B18" s="142" t="s">
        <v>151</v>
      </c>
      <c r="C18" s="142"/>
      <c r="D18" s="358"/>
      <c r="E18" s="567"/>
      <c r="F18" s="360"/>
      <c r="G18" s="360"/>
      <c r="H18" s="567"/>
    </row>
    <row r="19" spans="1:8" x14ac:dyDescent="0.2">
      <c r="A19" s="150">
        <v>13</v>
      </c>
      <c r="B19" s="155" t="s">
        <v>152</v>
      </c>
      <c r="C19" s="446" t="s">
        <v>133</v>
      </c>
      <c r="D19" s="358">
        <v>1302019000</v>
      </c>
      <c r="E19" s="567">
        <v>114720000</v>
      </c>
      <c r="F19" s="360">
        <v>0</v>
      </c>
      <c r="G19" s="360">
        <v>-4.1999999999999998E-5</v>
      </c>
      <c r="H19" s="567">
        <f t="shared" ref="H19:H21" si="1">+G19*D19</f>
        <v>-54684.797999999995</v>
      </c>
    </row>
    <row r="20" spans="1:8" x14ac:dyDescent="0.2">
      <c r="A20" s="150">
        <v>14</v>
      </c>
      <c r="B20" s="153" t="s">
        <v>150</v>
      </c>
      <c r="C20" s="445">
        <v>35</v>
      </c>
      <c r="D20" s="358">
        <v>4512000</v>
      </c>
      <c r="E20" s="567">
        <v>256000</v>
      </c>
      <c r="F20" s="360">
        <v>0</v>
      </c>
      <c r="G20" s="360">
        <v>-4.1999999999999998E-5</v>
      </c>
      <c r="H20" s="567">
        <f t="shared" si="1"/>
        <v>-189.50399999999999</v>
      </c>
    </row>
    <row r="21" spans="1:8" x14ac:dyDescent="0.2">
      <c r="A21" s="150">
        <v>15</v>
      </c>
      <c r="B21" s="153" t="s">
        <v>153</v>
      </c>
      <c r="C21" s="445">
        <v>43</v>
      </c>
      <c r="D21" s="358">
        <v>117036000</v>
      </c>
      <c r="E21" s="567">
        <v>10948000</v>
      </c>
      <c r="F21" s="360">
        <v>0</v>
      </c>
      <c r="G21" s="360">
        <v>-5.8999999999999998E-5</v>
      </c>
      <c r="H21" s="567">
        <f t="shared" si="1"/>
        <v>-6905.1239999999998</v>
      </c>
    </row>
    <row r="22" spans="1:8" x14ac:dyDescent="0.2">
      <c r="A22" s="150">
        <v>16</v>
      </c>
      <c r="B22" s="154" t="s">
        <v>14</v>
      </c>
      <c r="C22" s="142"/>
      <c r="D22" s="354">
        <f>SUM(D19:D21)</f>
        <v>1423567000</v>
      </c>
      <c r="E22" s="566">
        <f>SUM(E19:E21)</f>
        <v>125924000</v>
      </c>
      <c r="H22" s="566">
        <f>SUM(H19:H21)</f>
        <v>-61779.425999999992</v>
      </c>
    </row>
    <row r="23" spans="1:8" x14ac:dyDescent="0.2">
      <c r="A23" s="150">
        <v>17</v>
      </c>
      <c r="B23" s="142"/>
      <c r="C23" s="142"/>
      <c r="D23" s="358"/>
      <c r="E23" s="567"/>
      <c r="F23" s="360"/>
      <c r="G23" s="360"/>
      <c r="H23" s="567"/>
    </row>
    <row r="24" spans="1:8" x14ac:dyDescent="0.2">
      <c r="A24" s="150">
        <v>18</v>
      </c>
      <c r="B24" s="142" t="s">
        <v>66</v>
      </c>
      <c r="C24" s="445">
        <v>40</v>
      </c>
      <c r="D24" s="354">
        <v>608692000</v>
      </c>
      <c r="E24" s="566">
        <v>19224000</v>
      </c>
      <c r="F24" s="360">
        <v>0</v>
      </c>
      <c r="G24" s="360">
        <v>-4.0000000000000003E-5</v>
      </c>
      <c r="H24" s="566">
        <f>+G24*D24</f>
        <v>-24347.68</v>
      </c>
    </row>
    <row r="25" spans="1:8" x14ac:dyDescent="0.2">
      <c r="A25" s="150">
        <v>19</v>
      </c>
      <c r="B25" s="142"/>
      <c r="C25" s="142"/>
      <c r="D25" s="358"/>
      <c r="E25" s="567"/>
      <c r="F25" s="360"/>
      <c r="G25" s="360"/>
      <c r="H25" s="567"/>
    </row>
    <row r="26" spans="1:8" x14ac:dyDescent="0.2">
      <c r="A26" s="150">
        <v>20</v>
      </c>
      <c r="B26" s="142" t="s">
        <v>154</v>
      </c>
      <c r="C26" s="142"/>
      <c r="D26" s="358"/>
      <c r="E26" s="567"/>
      <c r="F26" s="360"/>
      <c r="G26" s="360"/>
      <c r="H26" s="567"/>
    </row>
    <row r="27" spans="1:8" x14ac:dyDescent="0.2">
      <c r="A27" s="150">
        <v>21</v>
      </c>
      <c r="B27" s="155" t="s">
        <v>155</v>
      </c>
      <c r="C27" s="445">
        <v>46</v>
      </c>
      <c r="D27" s="358">
        <v>72124000</v>
      </c>
      <c r="E27" s="567">
        <v>5116000</v>
      </c>
      <c r="F27" s="360">
        <v>0</v>
      </c>
      <c r="G27" s="360">
        <v>-3.4E-5</v>
      </c>
      <c r="H27" s="567">
        <f t="shared" ref="H27:H28" si="2">+G27*D27</f>
        <v>-2452.2159999999999</v>
      </c>
    </row>
    <row r="28" spans="1:8" x14ac:dyDescent="0.2">
      <c r="A28" s="150">
        <v>22</v>
      </c>
      <c r="B28" s="155" t="s">
        <v>152</v>
      </c>
      <c r="C28" s="445">
        <v>49</v>
      </c>
      <c r="D28" s="358">
        <v>550766000</v>
      </c>
      <c r="E28" s="567">
        <v>38748000</v>
      </c>
      <c r="F28" s="360">
        <v>0</v>
      </c>
      <c r="G28" s="360">
        <v>-3.4E-5</v>
      </c>
      <c r="H28" s="567">
        <f t="shared" si="2"/>
        <v>-18726.043999999998</v>
      </c>
    </row>
    <row r="29" spans="1:8" x14ac:dyDescent="0.2">
      <c r="A29" s="150">
        <v>23</v>
      </c>
      <c r="B29" s="156" t="s">
        <v>15</v>
      </c>
      <c r="C29" s="142"/>
      <c r="D29" s="354">
        <f>SUM(D27:D28)</f>
        <v>622890000</v>
      </c>
      <c r="E29" s="566">
        <f>SUM(E27:E28)</f>
        <v>43864000</v>
      </c>
      <c r="F29" s="55"/>
      <c r="G29" s="55"/>
      <c r="H29" s="566">
        <f>SUM(H27:H28)</f>
        <v>-21178.26</v>
      </c>
    </row>
    <row r="30" spans="1:8" x14ac:dyDescent="0.2">
      <c r="A30" s="150">
        <v>24</v>
      </c>
      <c r="B30" s="142"/>
      <c r="C30" s="142"/>
      <c r="D30" s="358"/>
      <c r="E30" s="567"/>
      <c r="F30" s="360"/>
      <c r="G30" s="360"/>
      <c r="H30" s="567"/>
    </row>
    <row r="31" spans="1:8" x14ac:dyDescent="0.2">
      <c r="A31" s="150">
        <v>25</v>
      </c>
      <c r="B31" s="142" t="s">
        <v>156</v>
      </c>
      <c r="C31" s="445" t="s">
        <v>16</v>
      </c>
      <c r="D31" s="354">
        <v>67620000</v>
      </c>
      <c r="E31" s="566">
        <v>16854000</v>
      </c>
      <c r="F31" s="360">
        <v>0</v>
      </c>
      <c r="G31" s="360">
        <v>-1.8100000000000001E-4</v>
      </c>
      <c r="H31" s="566">
        <f>+G31*D31</f>
        <v>-12239.220000000001</v>
      </c>
    </row>
    <row r="32" spans="1:8" x14ac:dyDescent="0.2">
      <c r="A32" s="150">
        <v>26</v>
      </c>
      <c r="B32" s="142"/>
      <c r="C32" s="142"/>
      <c r="D32" s="358"/>
      <c r="E32" s="567"/>
      <c r="F32" s="360"/>
      <c r="G32" s="360"/>
      <c r="H32" s="567"/>
    </row>
    <row r="33" spans="1:8" x14ac:dyDescent="0.2">
      <c r="A33" s="150">
        <v>27</v>
      </c>
      <c r="B33" s="154" t="s">
        <v>157</v>
      </c>
      <c r="C33" s="445" t="s">
        <v>17</v>
      </c>
      <c r="D33" s="354">
        <v>2036353000</v>
      </c>
      <c r="E33" s="566">
        <v>10827000</v>
      </c>
      <c r="F33" s="360">
        <v>0</v>
      </c>
      <c r="G33" s="360">
        <v>-6.9999999999999999E-6</v>
      </c>
      <c r="H33" s="566">
        <f>+G33*D33</f>
        <v>-14254.471</v>
      </c>
    </row>
    <row r="34" spans="1:8" x14ac:dyDescent="0.2">
      <c r="A34" s="150">
        <v>28</v>
      </c>
      <c r="B34" s="142"/>
      <c r="C34" s="142"/>
      <c r="D34" s="358"/>
      <c r="E34" s="567"/>
      <c r="F34" s="360"/>
      <c r="G34" s="360"/>
      <c r="H34" s="567"/>
    </row>
    <row r="35" spans="1:8" ht="13.5" thickBot="1" x14ac:dyDescent="0.25">
      <c r="A35" s="150">
        <v>29</v>
      </c>
      <c r="B35" s="156" t="s">
        <v>158</v>
      </c>
      <c r="C35" s="142"/>
      <c r="D35" s="372">
        <f>SUM(D9,D16,D22,D24,D29,D31,D33)</f>
        <v>23121113000</v>
      </c>
      <c r="E35" s="568">
        <f>SUM(E9,E16,E22,E24,E29,E31,E33)</f>
        <v>2084470000</v>
      </c>
      <c r="H35" s="568">
        <f>SUM(H9,H16,H22,H24,H29,H31,H33)</f>
        <v>-1146105.6719999998</v>
      </c>
    </row>
    <row r="36" spans="1:8" ht="13.5" thickTop="1" x14ac:dyDescent="0.2"/>
  </sheetData>
  <mergeCells count="3">
    <mergeCell ref="A1:G1"/>
    <mergeCell ref="A2:G2"/>
    <mergeCell ref="A3:G3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O30"/>
  <sheetViews>
    <sheetView topLeftCell="A4" workbookViewId="0">
      <selection activeCell="K12" sqref="K12"/>
    </sheetView>
  </sheetViews>
  <sheetFormatPr defaultRowHeight="12.75" x14ac:dyDescent="0.2"/>
  <cols>
    <col min="1" max="1" width="4.42578125" bestFit="1" customWidth="1"/>
    <col min="2" max="2" width="33.7109375" customWidth="1"/>
    <col min="3" max="3" width="12" bestFit="1" customWidth="1"/>
    <col min="4" max="4" width="5.28515625" bestFit="1" customWidth="1"/>
    <col min="5" max="5" width="11.85546875" bestFit="1" customWidth="1"/>
    <col min="6" max="6" width="11.5703125" bestFit="1" customWidth="1"/>
    <col min="7" max="7" width="13.42578125" bestFit="1" customWidth="1"/>
    <col min="8" max="8" width="2.140625" customWidth="1"/>
    <col min="9" max="9" width="11.85546875" bestFit="1" customWidth="1"/>
    <col min="10" max="10" width="11.5703125" bestFit="1" customWidth="1"/>
    <col min="11" max="11" width="13.42578125" bestFit="1" customWidth="1"/>
    <col min="12" max="12" width="2.140625" customWidth="1"/>
    <col min="13" max="13" width="11.85546875" bestFit="1" customWidth="1"/>
    <col min="14" max="14" width="11.5703125" bestFit="1" customWidth="1"/>
    <col min="15" max="15" width="13.42578125" bestFit="1" customWidth="1"/>
  </cols>
  <sheetData>
    <row r="1" spans="1:15" x14ac:dyDescent="0.2">
      <c r="A1" s="616" t="s">
        <v>0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</row>
    <row r="2" spans="1:15" x14ac:dyDescent="0.2">
      <c r="A2" s="660" t="s">
        <v>430</v>
      </c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</row>
    <row r="3" spans="1:15" x14ac:dyDescent="0.2">
      <c r="A3" s="616" t="s">
        <v>431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</row>
    <row r="4" spans="1:15" x14ac:dyDescent="0.2">
      <c r="A4" s="661" t="s">
        <v>469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</row>
    <row r="5" spans="1:15" x14ac:dyDescent="0.2">
      <c r="A5" s="88"/>
      <c r="B5" s="401"/>
      <c r="C5" s="401"/>
      <c r="D5" s="401"/>
      <c r="E5" s="676" t="s">
        <v>557</v>
      </c>
      <c r="F5" s="676"/>
      <c r="G5" s="676"/>
      <c r="H5" s="401"/>
      <c r="I5" s="677" t="s">
        <v>558</v>
      </c>
      <c r="J5" s="676"/>
      <c r="K5" s="676"/>
      <c r="L5" s="401"/>
      <c r="M5" s="401"/>
      <c r="N5" s="104"/>
      <c r="O5" s="104"/>
    </row>
    <row r="6" spans="1:15" x14ac:dyDescent="0.2">
      <c r="A6" s="88"/>
      <c r="B6" s="401"/>
      <c r="C6" s="401"/>
      <c r="D6" s="401"/>
      <c r="E6" s="674" t="s">
        <v>554</v>
      </c>
      <c r="F6" s="663"/>
      <c r="G6" s="664"/>
      <c r="H6" s="401"/>
      <c r="I6" s="662" t="s">
        <v>555</v>
      </c>
      <c r="J6" s="663"/>
      <c r="K6" s="664"/>
      <c r="L6" s="401"/>
      <c r="M6" s="674" t="s">
        <v>556</v>
      </c>
      <c r="N6" s="663"/>
      <c r="O6" s="664"/>
    </row>
    <row r="7" spans="1:15" x14ac:dyDescent="0.2">
      <c r="A7" s="88"/>
      <c r="B7" s="401"/>
      <c r="C7" s="401"/>
      <c r="D7" s="401"/>
      <c r="E7" s="103" t="s">
        <v>432</v>
      </c>
      <c r="F7" s="659" t="s">
        <v>433</v>
      </c>
      <c r="G7" s="659"/>
      <c r="H7" s="402"/>
      <c r="I7" s="599" t="s">
        <v>432</v>
      </c>
      <c r="J7" s="659" t="s">
        <v>433</v>
      </c>
      <c r="K7" s="659"/>
      <c r="L7" s="402"/>
      <c r="M7" s="103" t="s">
        <v>432</v>
      </c>
      <c r="N7" s="659" t="s">
        <v>433</v>
      </c>
      <c r="O7" s="659"/>
    </row>
    <row r="8" spans="1:15" x14ac:dyDescent="0.2">
      <c r="A8" s="392" t="s">
        <v>27</v>
      </c>
      <c r="B8" s="88"/>
      <c r="C8" s="103"/>
      <c r="D8" s="103"/>
      <c r="E8" s="103" t="s">
        <v>434</v>
      </c>
      <c r="F8" s="389" t="s">
        <v>435</v>
      </c>
      <c r="G8" s="88" t="s">
        <v>436</v>
      </c>
      <c r="H8" s="88"/>
      <c r="I8" s="599" t="s">
        <v>434</v>
      </c>
      <c r="J8" s="597" t="s">
        <v>435</v>
      </c>
      <c r="K8" s="88" t="s">
        <v>436</v>
      </c>
      <c r="L8" s="88"/>
      <c r="M8" s="103" t="s">
        <v>434</v>
      </c>
      <c r="N8" s="389" t="s">
        <v>435</v>
      </c>
      <c r="O8" s="88" t="s">
        <v>436</v>
      </c>
    </row>
    <row r="9" spans="1:15" x14ac:dyDescent="0.2">
      <c r="A9" s="403" t="s">
        <v>33</v>
      </c>
      <c r="B9" s="260"/>
      <c r="C9" s="394"/>
      <c r="D9" s="394" t="s">
        <v>437</v>
      </c>
      <c r="E9" s="394" t="s">
        <v>438</v>
      </c>
      <c r="F9" s="394" t="s">
        <v>439</v>
      </c>
      <c r="G9" s="394" t="s">
        <v>439</v>
      </c>
      <c r="H9" s="394"/>
      <c r="I9" s="598" t="s">
        <v>438</v>
      </c>
      <c r="J9" s="598" t="s">
        <v>439</v>
      </c>
      <c r="K9" s="598" t="s">
        <v>439</v>
      </c>
      <c r="L9" s="598"/>
      <c r="M9" s="394" t="s">
        <v>438</v>
      </c>
      <c r="N9" s="394" t="s">
        <v>439</v>
      </c>
      <c r="O9" s="394" t="s">
        <v>439</v>
      </c>
    </row>
    <row r="10" spans="1:15" x14ac:dyDescent="0.2">
      <c r="A10" s="404"/>
      <c r="B10" s="141"/>
      <c r="C10" s="103"/>
      <c r="D10" s="103"/>
      <c r="E10" s="599" t="s">
        <v>136</v>
      </c>
      <c r="F10" s="599" t="s">
        <v>137</v>
      </c>
      <c r="G10" s="405" t="s">
        <v>138</v>
      </c>
      <c r="H10" s="405"/>
      <c r="I10" s="405" t="s">
        <v>500</v>
      </c>
      <c r="J10" s="405" t="s">
        <v>501</v>
      </c>
      <c r="K10" s="405" t="s">
        <v>502</v>
      </c>
      <c r="L10" s="405"/>
      <c r="M10" s="405" t="s">
        <v>503</v>
      </c>
      <c r="N10" s="405" t="s">
        <v>504</v>
      </c>
      <c r="O10" s="405" t="s">
        <v>505</v>
      </c>
    </row>
    <row r="11" spans="1:15" x14ac:dyDescent="0.2">
      <c r="A11" s="405">
        <v>1</v>
      </c>
      <c r="B11" s="406" t="s">
        <v>440</v>
      </c>
      <c r="C11" s="74"/>
      <c r="D11" s="103"/>
      <c r="E11" s="405"/>
      <c r="F11" s="405"/>
      <c r="G11" s="405"/>
      <c r="H11" s="405"/>
      <c r="I11" s="405"/>
      <c r="J11" s="405"/>
      <c r="K11" s="405"/>
      <c r="L11" s="405"/>
      <c r="M11" s="405"/>
      <c r="N11" s="105"/>
      <c r="O11" s="105"/>
    </row>
    <row r="12" spans="1:15" x14ac:dyDescent="0.2">
      <c r="A12" s="405">
        <v>2</v>
      </c>
      <c r="B12" s="74"/>
      <c r="C12" s="138" t="s">
        <v>441</v>
      </c>
      <c r="D12" s="141" t="s">
        <v>442</v>
      </c>
      <c r="E12" s="407">
        <v>3.1400000000000004E-4</v>
      </c>
      <c r="F12" s="408">
        <v>2.5300000000000002E-4</v>
      </c>
      <c r="G12" s="408">
        <v>6.0999999999999999E-5</v>
      </c>
      <c r="H12" s="407"/>
      <c r="I12" s="407">
        <v>-4.17E-4</v>
      </c>
      <c r="J12" s="407">
        <v>6.3999999999999997E-5</v>
      </c>
      <c r="K12" s="407">
        <v>-4.8099999999999998E-4</v>
      </c>
      <c r="L12" s="407">
        <v>-4.8099999999999998E-4</v>
      </c>
      <c r="M12" s="407">
        <f>SUM(N12:O12)</f>
        <v>-1.0299999999999996E-4</v>
      </c>
      <c r="N12" s="407">
        <f>SUM(J12,F12)</f>
        <v>3.1700000000000001E-4</v>
      </c>
      <c r="O12" s="407">
        <f>SUM(K12,G12)</f>
        <v>-4.1999999999999996E-4</v>
      </c>
    </row>
    <row r="13" spans="1:15" x14ac:dyDescent="0.2">
      <c r="A13" s="405">
        <v>3</v>
      </c>
      <c r="B13" s="74"/>
      <c r="C13" s="88"/>
      <c r="D13" s="141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</row>
    <row r="14" spans="1:15" x14ac:dyDescent="0.2">
      <c r="A14" s="405">
        <v>4</v>
      </c>
      <c r="B14" s="406" t="s">
        <v>443</v>
      </c>
      <c r="C14" s="74"/>
      <c r="D14" s="103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</row>
    <row r="15" spans="1:15" x14ac:dyDescent="0.2">
      <c r="A15" s="405">
        <v>5</v>
      </c>
      <c r="B15" s="74"/>
      <c r="C15" s="138" t="s">
        <v>441</v>
      </c>
      <c r="D15" s="141" t="s">
        <v>442</v>
      </c>
      <c r="E15" s="407">
        <v>1.201E-3</v>
      </c>
      <c r="F15" s="408">
        <v>7.1299999999999998E-4</v>
      </c>
      <c r="G15" s="408">
        <v>4.8799999999999999E-4</v>
      </c>
      <c r="H15" s="407"/>
      <c r="I15" s="407">
        <v>3.2799999999999999E-3</v>
      </c>
      <c r="J15" s="407">
        <v>1.7640000000000002E-3</v>
      </c>
      <c r="K15" s="407">
        <v>1.516E-3</v>
      </c>
      <c r="L15" s="407">
        <v>1.516E-3</v>
      </c>
      <c r="M15" s="407">
        <f>SUM(N15:O15)</f>
        <v>4.4810000000000006E-3</v>
      </c>
      <c r="N15" s="407">
        <f>SUM(J15,F15)</f>
        <v>2.477E-3</v>
      </c>
      <c r="O15" s="407">
        <f>SUM(K15,G15)</f>
        <v>2.0040000000000001E-3</v>
      </c>
    </row>
    <row r="16" spans="1:15" x14ac:dyDescent="0.2">
      <c r="A16" s="405">
        <v>6</v>
      </c>
      <c r="B16" s="74"/>
      <c r="C16" s="88"/>
      <c r="D16" s="141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</row>
    <row r="17" spans="1:15" x14ac:dyDescent="0.2">
      <c r="A17" s="405">
        <v>7</v>
      </c>
      <c r="B17" s="406" t="s">
        <v>444</v>
      </c>
      <c r="C17" s="74"/>
      <c r="D17" s="103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</row>
    <row r="18" spans="1:15" x14ac:dyDescent="0.2">
      <c r="A18" s="405">
        <v>8</v>
      </c>
      <c r="B18" s="74"/>
      <c r="C18" s="138" t="s">
        <v>441</v>
      </c>
      <c r="D18" s="141" t="s">
        <v>442</v>
      </c>
      <c r="E18" s="407">
        <v>-6.1000000000000019E-5</v>
      </c>
      <c r="F18" s="408">
        <v>2.8299999999999999E-4</v>
      </c>
      <c r="G18" s="408">
        <v>-3.4400000000000001E-4</v>
      </c>
      <c r="H18" s="407"/>
      <c r="I18" s="407">
        <v>2.9560000000000003E-3</v>
      </c>
      <c r="J18" s="407">
        <v>1.8350000000000003E-3</v>
      </c>
      <c r="K18" s="407">
        <v>1.1209999999999998E-3</v>
      </c>
      <c r="L18" s="407">
        <v>1.1209999999999998E-3</v>
      </c>
      <c r="M18" s="407">
        <f>SUM(N18:O18)</f>
        <v>2.895E-3</v>
      </c>
      <c r="N18" s="407">
        <f>SUM(J18,F18)</f>
        <v>2.1180000000000001E-3</v>
      </c>
      <c r="O18" s="407">
        <f>SUM(K18,G18)</f>
        <v>7.769999999999998E-4</v>
      </c>
    </row>
    <row r="19" spans="1:15" x14ac:dyDescent="0.2">
      <c r="A19" s="405">
        <v>12</v>
      </c>
      <c r="B19" s="88"/>
      <c r="C19" s="141"/>
      <c r="D19" s="141"/>
      <c r="E19" s="240"/>
      <c r="F19" s="409"/>
      <c r="G19" s="122"/>
      <c r="H19" s="240"/>
      <c r="I19" s="240"/>
      <c r="J19" s="240"/>
      <c r="K19" s="240"/>
      <c r="L19" s="240"/>
      <c r="M19" s="240"/>
      <c r="N19" s="240"/>
      <c r="O19" s="240"/>
    </row>
    <row r="20" spans="1:15" x14ac:dyDescent="0.2">
      <c r="A20" s="405">
        <v>13</v>
      </c>
      <c r="B20" s="406" t="s">
        <v>445</v>
      </c>
      <c r="C20" s="74"/>
      <c r="D20" s="88"/>
      <c r="E20" s="408"/>
      <c r="F20" s="409"/>
      <c r="G20" s="408"/>
      <c r="H20" s="408"/>
      <c r="I20" s="408"/>
      <c r="J20" s="408"/>
      <c r="K20" s="408"/>
      <c r="L20" s="408"/>
      <c r="M20" s="408"/>
      <c r="N20" s="408"/>
      <c r="O20" s="408"/>
    </row>
    <row r="21" spans="1:15" x14ac:dyDescent="0.2">
      <c r="A21" s="405">
        <v>14</v>
      </c>
      <c r="B21" s="74"/>
      <c r="C21" s="138" t="s">
        <v>441</v>
      </c>
      <c r="D21" s="141" t="s">
        <v>442</v>
      </c>
      <c r="E21" s="407">
        <v>2.5769999999999999E-3</v>
      </c>
      <c r="F21" s="410">
        <v>9.5699999999999995E-4</v>
      </c>
      <c r="G21" s="408">
        <v>1.6199999999999999E-3</v>
      </c>
      <c r="H21" s="407"/>
      <c r="I21" s="407">
        <v>6.2799999999999998E-4</v>
      </c>
      <c r="J21" s="407">
        <v>2.1400000000000002E-4</v>
      </c>
      <c r="K21" s="407">
        <v>4.1399999999999998E-4</v>
      </c>
      <c r="L21" s="407">
        <v>4.1399999999999998E-4</v>
      </c>
      <c r="M21" s="407">
        <f>SUM(N21:O21)</f>
        <v>3.2049999999999995E-3</v>
      </c>
      <c r="N21" s="407">
        <f>SUM(J21,F21)</f>
        <v>1.1709999999999999E-3</v>
      </c>
      <c r="O21" s="407">
        <f>SUM(K21,G21)</f>
        <v>2.0339999999999998E-3</v>
      </c>
    </row>
    <row r="22" spans="1:15" x14ac:dyDescent="0.2">
      <c r="A22" s="405">
        <v>15</v>
      </c>
      <c r="B22" s="88"/>
      <c r="C22" s="141"/>
      <c r="D22" s="141"/>
      <c r="E22" s="240"/>
      <c r="F22" s="409"/>
      <c r="G22" s="122"/>
      <c r="H22" s="240"/>
      <c r="I22" s="240"/>
      <c r="J22" s="240"/>
      <c r="K22" s="240"/>
      <c r="L22" s="240"/>
      <c r="M22" s="240"/>
      <c r="N22" s="240"/>
      <c r="O22" s="240"/>
    </row>
    <row r="23" spans="1:15" x14ac:dyDescent="0.2">
      <c r="A23" s="405">
        <v>16</v>
      </c>
      <c r="B23" s="411" t="s">
        <v>446</v>
      </c>
      <c r="C23" s="88"/>
      <c r="D23" s="412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</row>
    <row r="24" spans="1:15" x14ac:dyDescent="0.2">
      <c r="A24" s="405">
        <v>17</v>
      </c>
      <c r="B24" s="88"/>
      <c r="C24" s="141" t="s">
        <v>447</v>
      </c>
      <c r="D24" s="141" t="s">
        <v>448</v>
      </c>
      <c r="E24" s="413">
        <v>0.1</v>
      </c>
      <c r="F24" s="414">
        <v>0.1</v>
      </c>
      <c r="G24" s="408"/>
      <c r="H24" s="413"/>
      <c r="I24" s="413">
        <v>0.47999999999999993</v>
      </c>
      <c r="J24" s="413">
        <v>0.47999999999999993</v>
      </c>
      <c r="K24" s="413"/>
      <c r="L24" s="413"/>
      <c r="M24" s="675">
        <f>SUM(N24:O24)</f>
        <v>0.57999999999999996</v>
      </c>
      <c r="N24" s="675">
        <f t="shared" ref="N24:N25" si="0">SUM(J24,F24)</f>
        <v>0.57999999999999996</v>
      </c>
      <c r="O24" s="675">
        <f t="shared" ref="O24:O25" si="1">SUM(K24,G24)</f>
        <v>0</v>
      </c>
    </row>
    <row r="25" spans="1:15" x14ac:dyDescent="0.2">
      <c r="A25" s="405">
        <v>18</v>
      </c>
      <c r="B25" s="88"/>
      <c r="C25" s="141" t="s">
        <v>441</v>
      </c>
      <c r="D25" s="141" t="s">
        <v>449</v>
      </c>
      <c r="E25" s="407">
        <v>5.5999999999999999E-5</v>
      </c>
      <c r="F25" s="408"/>
      <c r="G25" s="408">
        <v>5.5999999999999999E-5</v>
      </c>
      <c r="H25" s="407"/>
      <c r="I25" s="407">
        <v>1.5579999999999999E-3</v>
      </c>
      <c r="J25" s="407"/>
      <c r="K25" s="407">
        <v>1.5579999999999999E-3</v>
      </c>
      <c r="L25" s="407">
        <v>1.5579999999999999E-3</v>
      </c>
      <c r="M25" s="407">
        <f>SUM(N25:O25)</f>
        <v>1.614E-3</v>
      </c>
      <c r="N25" s="407">
        <f t="shared" si="0"/>
        <v>0</v>
      </c>
      <c r="O25" s="407">
        <f t="shared" si="1"/>
        <v>1.614E-3</v>
      </c>
    </row>
    <row r="26" spans="1:15" x14ac:dyDescent="0.2">
      <c r="A26" s="405">
        <v>19</v>
      </c>
      <c r="B26" s="88"/>
      <c r="C26" s="141"/>
      <c r="D26" s="141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</row>
    <row r="27" spans="1:15" x14ac:dyDescent="0.2">
      <c r="A27" s="405">
        <v>20</v>
      </c>
      <c r="B27" s="411" t="s">
        <v>450</v>
      </c>
      <c r="C27" s="88"/>
      <c r="D27" s="412"/>
      <c r="E27" s="408"/>
      <c r="F27" s="409"/>
      <c r="G27" s="408"/>
      <c r="H27" s="408"/>
      <c r="I27" s="408"/>
      <c r="J27" s="408"/>
      <c r="K27" s="408"/>
      <c r="L27" s="408"/>
      <c r="M27" s="408"/>
      <c r="N27" s="408"/>
      <c r="O27" s="408"/>
    </row>
    <row r="28" spans="1:15" x14ac:dyDescent="0.2">
      <c r="A28" s="405">
        <v>21</v>
      </c>
      <c r="B28" s="141"/>
      <c r="C28" s="141" t="s">
        <v>447</v>
      </c>
      <c r="D28" s="141" t="s">
        <v>451</v>
      </c>
      <c r="E28" s="413">
        <v>0.21</v>
      </c>
      <c r="F28" s="414">
        <v>0.21</v>
      </c>
      <c r="G28" s="408"/>
      <c r="H28" s="413"/>
      <c r="I28" s="413">
        <v>0.4</v>
      </c>
      <c r="J28" s="413">
        <v>0.4</v>
      </c>
      <c r="K28" s="413"/>
      <c r="L28" s="413"/>
      <c r="M28" s="675">
        <f>SUM(N28:O28)</f>
        <v>0.61</v>
      </c>
      <c r="N28" s="675">
        <f t="shared" ref="N28:N29" si="2">SUM(J28,F28)</f>
        <v>0.61</v>
      </c>
      <c r="O28" s="675">
        <f t="shared" ref="O28:O29" si="3">SUM(K28,G28)</f>
        <v>0</v>
      </c>
    </row>
    <row r="29" spans="1:15" x14ac:dyDescent="0.2">
      <c r="A29" s="405">
        <v>22</v>
      </c>
      <c r="B29" s="141"/>
      <c r="C29" s="412" t="s">
        <v>441</v>
      </c>
      <c r="D29" s="141" t="s">
        <v>449</v>
      </c>
      <c r="E29" s="407">
        <v>3.4600000000000001E-4</v>
      </c>
      <c r="F29" s="122"/>
      <c r="G29" s="408">
        <v>3.4600000000000001E-4</v>
      </c>
      <c r="H29" s="407"/>
      <c r="I29" s="407">
        <v>1.7290000000000003E-3</v>
      </c>
      <c r="J29" s="407"/>
      <c r="K29" s="407">
        <v>1.7290000000000003E-3</v>
      </c>
      <c r="L29" s="407">
        <v>1.7290000000000003E-3</v>
      </c>
      <c r="M29" s="407">
        <f>SUM(N29:O29)</f>
        <v>2.0750000000000005E-3</v>
      </c>
      <c r="N29" s="407">
        <f t="shared" si="2"/>
        <v>0</v>
      </c>
      <c r="O29" s="407">
        <f t="shared" si="3"/>
        <v>2.0750000000000005E-3</v>
      </c>
    </row>
    <row r="30" spans="1:15" x14ac:dyDescent="0.2">
      <c r="A30" s="405">
        <v>23</v>
      </c>
      <c r="B30" s="88"/>
      <c r="C30" s="141"/>
      <c r="D30" s="141"/>
      <c r="E30" s="240"/>
      <c r="F30" s="122"/>
      <c r="G30" s="122"/>
      <c r="H30" s="240"/>
      <c r="I30" s="240"/>
      <c r="J30" s="240"/>
      <c r="K30" s="240"/>
      <c r="L30" s="240"/>
      <c r="M30" s="240"/>
      <c r="N30" s="122"/>
      <c r="O30" s="122"/>
    </row>
  </sheetData>
  <mergeCells count="12">
    <mergeCell ref="F7:G7"/>
    <mergeCell ref="N7:O7"/>
    <mergeCell ref="A1:O1"/>
    <mergeCell ref="A2:O2"/>
    <mergeCell ref="A3:O3"/>
    <mergeCell ref="A4:O4"/>
    <mergeCell ref="E6:G6"/>
    <mergeCell ref="M6:O6"/>
    <mergeCell ref="I6:K6"/>
    <mergeCell ref="J7:K7"/>
    <mergeCell ref="E5:G5"/>
    <mergeCell ref="I5:K5"/>
  </mergeCells>
  <pageMargins left="0.7" right="0.7" top="0.75" bottom="0.75" header="0.3" footer="0.3"/>
  <pageSetup scale="95" orientation="landscape" r:id="rId1"/>
  <headerFooter>
    <oddFooter>&amp;L&amp;F&amp;R&amp;A
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G27"/>
  <sheetViews>
    <sheetView workbookViewId="0">
      <selection sqref="A1:D26"/>
    </sheetView>
  </sheetViews>
  <sheetFormatPr defaultColWidth="9.140625" defaultRowHeight="12.75" x14ac:dyDescent="0.2"/>
  <cols>
    <col min="1" max="1" width="7.85546875" style="5" bestFit="1" customWidth="1"/>
    <col min="2" max="2" width="8.42578125" style="5" bestFit="1" customWidth="1"/>
    <col min="3" max="3" width="78.42578125" style="5" bestFit="1" customWidth="1"/>
    <col min="4" max="4" width="13.42578125" style="5" bestFit="1" customWidth="1"/>
    <col min="5" max="5" width="17.7109375" style="5" bestFit="1" customWidth="1"/>
    <col min="6" max="15" width="14.5703125" style="5" customWidth="1"/>
    <col min="16" max="16" width="10.5703125" style="5" bestFit="1" customWidth="1"/>
    <col min="17" max="16384" width="9.140625" style="5"/>
  </cols>
  <sheetData>
    <row r="1" spans="1:4" x14ac:dyDescent="0.2">
      <c r="A1" s="666" t="s">
        <v>0</v>
      </c>
      <c r="B1" s="666"/>
      <c r="C1" s="666"/>
      <c r="D1" s="666"/>
    </row>
    <row r="2" spans="1:4" x14ac:dyDescent="0.2">
      <c r="A2" s="666" t="s">
        <v>159</v>
      </c>
      <c r="B2" s="666"/>
      <c r="C2" s="666"/>
      <c r="D2" s="666"/>
    </row>
    <row r="3" spans="1:4" x14ac:dyDescent="0.2">
      <c r="A3" s="666" t="s">
        <v>160</v>
      </c>
      <c r="B3" s="666"/>
      <c r="C3" s="666"/>
      <c r="D3" s="666"/>
    </row>
    <row r="4" spans="1:4" x14ac:dyDescent="0.2">
      <c r="A4" s="665" t="s">
        <v>490</v>
      </c>
      <c r="B4" s="666"/>
      <c r="C4" s="666"/>
      <c r="D4" s="666"/>
    </row>
    <row r="5" spans="1:4" x14ac:dyDescent="0.2">
      <c r="A5" s="665" t="s">
        <v>355</v>
      </c>
      <c r="B5" s="666"/>
      <c r="C5" s="666"/>
      <c r="D5" s="666"/>
    </row>
    <row r="6" spans="1:4" x14ac:dyDescent="0.2">
      <c r="A6" s="259"/>
      <c r="B6" s="259"/>
      <c r="C6" s="141"/>
      <c r="D6" s="141"/>
    </row>
    <row r="7" spans="1:4" x14ac:dyDescent="0.2">
      <c r="A7" s="260" t="s">
        <v>3</v>
      </c>
      <c r="B7" s="260"/>
      <c r="C7" s="260" t="s">
        <v>34</v>
      </c>
      <c r="D7" s="261" t="s">
        <v>161</v>
      </c>
    </row>
    <row r="8" spans="1:4" x14ac:dyDescent="0.2">
      <c r="A8" s="103">
        <f t="shared" ref="A8:A26" si="0">ROW()-7</f>
        <v>1</v>
      </c>
      <c r="B8" s="259"/>
      <c r="C8" s="259" t="s">
        <v>491</v>
      </c>
      <c r="D8" s="262">
        <v>11071286</v>
      </c>
    </row>
    <row r="9" spans="1:4" x14ac:dyDescent="0.2">
      <c r="A9" s="103">
        <f t="shared" si="0"/>
        <v>2</v>
      </c>
      <c r="B9" s="164"/>
      <c r="C9" s="259"/>
      <c r="D9" s="262"/>
    </row>
    <row r="10" spans="1:4" x14ac:dyDescent="0.2">
      <c r="A10" s="103">
        <f t="shared" si="0"/>
        <v>3</v>
      </c>
      <c r="B10" s="259"/>
      <c r="C10" s="259" t="s">
        <v>492</v>
      </c>
      <c r="D10" s="266">
        <v>79551488.485123247</v>
      </c>
    </row>
    <row r="11" spans="1:4" x14ac:dyDescent="0.2">
      <c r="A11" s="103">
        <f t="shared" si="0"/>
        <v>4</v>
      </c>
      <c r="B11" s="164"/>
      <c r="C11" s="259"/>
      <c r="D11" s="263"/>
    </row>
    <row r="12" spans="1:4" x14ac:dyDescent="0.2">
      <c r="A12" s="103">
        <f t="shared" si="0"/>
        <v>5</v>
      </c>
      <c r="B12" s="164"/>
      <c r="C12" s="264" t="s">
        <v>493</v>
      </c>
      <c r="D12" s="263">
        <v>-1671151.5</v>
      </c>
    </row>
    <row r="13" spans="1:4" x14ac:dyDescent="0.2">
      <c r="A13" s="103">
        <f t="shared" si="0"/>
        <v>6</v>
      </c>
      <c r="B13" s="259" t="str">
        <f>"= "&amp;A10&amp;" + "&amp;A12</f>
        <v>= 3 + 5</v>
      </c>
      <c r="C13" s="265" t="s">
        <v>162</v>
      </c>
      <c r="D13" s="266">
        <v>77880336.985123247</v>
      </c>
    </row>
    <row r="14" spans="1:4" x14ac:dyDescent="0.2">
      <c r="A14" s="103">
        <f t="shared" si="0"/>
        <v>7</v>
      </c>
      <c r="B14" s="259"/>
      <c r="C14" s="265"/>
      <c r="D14" s="263"/>
    </row>
    <row r="15" spans="1:4" x14ac:dyDescent="0.2">
      <c r="A15" s="103">
        <f t="shared" si="0"/>
        <v>8</v>
      </c>
      <c r="B15" s="164"/>
      <c r="C15" s="267" t="s">
        <v>163</v>
      </c>
      <c r="D15" s="569">
        <v>0.95238599999999995</v>
      </c>
    </row>
    <row r="16" spans="1:4" ht="13.5" thickBot="1" x14ac:dyDescent="0.25">
      <c r="A16" s="103">
        <f t="shared" si="0"/>
        <v>9</v>
      </c>
      <c r="B16" s="259" t="str">
        <f>"= "&amp;A13&amp;" / "&amp;A15</f>
        <v>= 6 / 8</v>
      </c>
      <c r="C16" s="571" t="s">
        <v>164</v>
      </c>
      <c r="D16" s="572">
        <v>81773920.432601124</v>
      </c>
    </row>
    <row r="17" spans="1:7" ht="13.5" thickTop="1" x14ac:dyDescent="0.2">
      <c r="A17" s="103">
        <f t="shared" si="0"/>
        <v>10</v>
      </c>
      <c r="B17" s="164"/>
      <c r="C17" s="141"/>
      <c r="D17" s="141"/>
    </row>
    <row r="18" spans="1:7" ht="13.5" thickBot="1" x14ac:dyDescent="0.25">
      <c r="A18" s="103">
        <f t="shared" si="0"/>
        <v>11</v>
      </c>
      <c r="B18" s="259" t="str">
        <f>"= "&amp;A16&amp;" / "&amp;A8</f>
        <v>= 9 / 1</v>
      </c>
      <c r="C18" s="259" t="s">
        <v>494</v>
      </c>
      <c r="D18" s="573">
        <v>7.3861270000000001E-3</v>
      </c>
      <c r="F18" s="255"/>
      <c r="G18" s="255"/>
    </row>
    <row r="19" spans="1:7" ht="13.5" thickTop="1" x14ac:dyDescent="0.2">
      <c r="A19" s="103">
        <f t="shared" si="0"/>
        <v>12</v>
      </c>
      <c r="B19" s="164"/>
      <c r="C19" s="141"/>
      <c r="D19" s="141"/>
    </row>
    <row r="20" spans="1:7" x14ac:dyDescent="0.2">
      <c r="A20" s="103">
        <f t="shared" si="0"/>
        <v>13</v>
      </c>
      <c r="B20" s="164"/>
      <c r="C20" s="574" t="s">
        <v>165</v>
      </c>
      <c r="D20" s="141"/>
    </row>
    <row r="21" spans="1:7" x14ac:dyDescent="0.2">
      <c r="A21" s="103">
        <f t="shared" si="0"/>
        <v>14</v>
      </c>
      <c r="B21" s="164"/>
      <c r="C21" s="259" t="s">
        <v>497</v>
      </c>
      <c r="D21" s="141"/>
    </row>
    <row r="22" spans="1:7" x14ac:dyDescent="0.2">
      <c r="A22" s="103">
        <f t="shared" si="0"/>
        <v>15</v>
      </c>
      <c r="B22" s="164"/>
      <c r="C22" s="259" t="s">
        <v>356</v>
      </c>
      <c r="D22" s="141"/>
    </row>
    <row r="23" spans="1:7" x14ac:dyDescent="0.2">
      <c r="A23" s="103">
        <f t="shared" si="0"/>
        <v>16</v>
      </c>
      <c r="B23" s="164"/>
      <c r="C23" s="264" t="s">
        <v>495</v>
      </c>
      <c r="D23" s="570">
        <v>88.980000000000018</v>
      </c>
    </row>
    <row r="24" spans="1:7" x14ac:dyDescent="0.2">
      <c r="A24" s="103">
        <f t="shared" si="0"/>
        <v>17</v>
      </c>
      <c r="B24" s="164"/>
      <c r="C24" s="264" t="s">
        <v>496</v>
      </c>
      <c r="D24" s="570">
        <v>89.000000000000014</v>
      </c>
    </row>
    <row r="25" spans="1:7" x14ac:dyDescent="0.2">
      <c r="A25" s="103">
        <f t="shared" si="0"/>
        <v>18</v>
      </c>
      <c r="B25" s="259" t="str">
        <f>"= "&amp;A24&amp;" - "&amp;A23</f>
        <v>= 17 - 16</v>
      </c>
      <c r="C25" s="264" t="s">
        <v>166</v>
      </c>
      <c r="D25" s="268">
        <v>1.9999999999996021E-2</v>
      </c>
    </row>
    <row r="26" spans="1:7" ht="13.5" thickBot="1" x14ac:dyDescent="0.25">
      <c r="A26" s="103">
        <f t="shared" si="0"/>
        <v>19</v>
      </c>
      <c r="B26" s="259" t="str">
        <f>"= "&amp;A25&amp;" / "&amp;A23</f>
        <v>= 18 / 16</v>
      </c>
      <c r="C26" s="264" t="s">
        <v>167</v>
      </c>
      <c r="D26" s="575">
        <v>2.2476961114852796E-4</v>
      </c>
    </row>
    <row r="27" spans="1:7" ht="13.5" thickTop="1" x14ac:dyDescent="0.2">
      <c r="B27" s="6"/>
    </row>
  </sheetData>
  <mergeCells count="5">
    <mergeCell ref="A5:D5"/>
    <mergeCell ref="A1:D1"/>
    <mergeCell ref="A2:D2"/>
    <mergeCell ref="A3:D3"/>
    <mergeCell ref="A4:D4"/>
  </mergeCells>
  <printOptions horizontalCentered="1"/>
  <pageMargins left="0.7" right="0.7" top="0.75" bottom="0.75" header="0.3" footer="0.3"/>
  <pageSetup orientation="landscape" r:id="rId1"/>
  <headerFooter alignWithMargins="0"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Normal="100" workbookViewId="0">
      <pane xSplit="4" ySplit="7" topLeftCell="M8" activePane="bottomRight" state="frozen"/>
      <selection pane="topRight" activeCell="E1" sqref="E1"/>
      <selection pane="bottomLeft" activeCell="A9" sqref="A9"/>
      <selection pane="bottomRight" activeCell="T7" sqref="T7:W7"/>
    </sheetView>
  </sheetViews>
  <sheetFormatPr defaultColWidth="6.28515625" defaultRowHeight="11.25" x14ac:dyDescent="0.2"/>
  <cols>
    <col min="1" max="1" width="3.85546875" style="88" bestFit="1" customWidth="1"/>
    <col min="2" max="2" width="14.7109375" style="88" customWidth="1"/>
    <col min="3" max="3" width="15" style="88" bestFit="1" customWidth="1"/>
    <col min="4" max="4" width="16.28515625" style="88" bestFit="1" customWidth="1"/>
    <col min="5" max="5" width="12" style="88" bestFit="1" customWidth="1"/>
    <col min="6" max="6" width="11.28515625" style="88" customWidth="1"/>
    <col min="7" max="8" width="12.85546875" style="88" bestFit="1" customWidth="1"/>
    <col min="9" max="10" width="10.28515625" style="88" customWidth="1"/>
    <col min="11" max="11" width="12.85546875" style="88" bestFit="1" customWidth="1"/>
    <col min="12" max="12" width="11.85546875" style="88" customWidth="1"/>
    <col min="13" max="13" width="12.5703125" style="88" bestFit="1" customWidth="1"/>
    <col min="14" max="14" width="12.5703125" style="88" customWidth="1"/>
    <col min="15" max="15" width="12.85546875" style="88" bestFit="1" customWidth="1"/>
    <col min="16" max="16" width="11.85546875" style="88" customWidth="1"/>
    <col min="17" max="17" width="12.85546875" style="88" bestFit="1" customWidth="1"/>
    <col min="18" max="18" width="12.85546875" style="88" customWidth="1"/>
    <col min="19" max="19" width="1.7109375" style="88" customWidth="1"/>
    <col min="20" max="20" width="12.5703125" style="88" bestFit="1" customWidth="1"/>
    <col min="21" max="23" width="12.5703125" style="88" customWidth="1"/>
    <col min="24" max="24" width="12.85546875" style="88" bestFit="1" customWidth="1"/>
    <col min="25" max="25" width="15.140625" style="88" bestFit="1" customWidth="1"/>
    <col min="26" max="26" width="11.28515625" style="88" customWidth="1"/>
    <col min="27" max="27" width="11.5703125" style="88" customWidth="1"/>
    <col min="28" max="28" width="7.7109375" style="88" bestFit="1" customWidth="1"/>
    <col min="29" max="16384" width="6.28515625" style="88"/>
  </cols>
  <sheetData>
    <row r="1" spans="1:28" x14ac:dyDescent="0.2">
      <c r="A1" s="289" t="s">
        <v>0</v>
      </c>
      <c r="B1" s="289"/>
      <c r="C1" s="289"/>
      <c r="D1" s="289"/>
      <c r="E1" s="289"/>
      <c r="F1" s="289"/>
      <c r="G1" s="289"/>
      <c r="H1" s="289"/>
      <c r="I1" s="290"/>
      <c r="J1" s="290"/>
      <c r="K1" s="289"/>
      <c r="L1" s="289"/>
      <c r="M1" s="289"/>
      <c r="N1" s="289"/>
      <c r="O1" s="289"/>
      <c r="P1" s="289"/>
      <c r="Q1" s="289"/>
      <c r="R1" s="289"/>
      <c r="S1" s="105"/>
      <c r="T1" s="105"/>
      <c r="U1" s="105"/>
      <c r="V1" s="105"/>
      <c r="W1" s="105"/>
      <c r="X1" s="105"/>
      <c r="Y1" s="105"/>
      <c r="Z1" s="105"/>
      <c r="AA1" s="105"/>
    </row>
    <row r="2" spans="1:28" x14ac:dyDescent="0.2">
      <c r="A2" s="289" t="s">
        <v>315</v>
      </c>
      <c r="B2" s="303"/>
      <c r="C2" s="303"/>
      <c r="D2" s="303"/>
      <c r="E2" s="303"/>
      <c r="F2" s="303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105"/>
      <c r="T2" s="105"/>
      <c r="U2" s="105"/>
      <c r="V2" s="105"/>
      <c r="W2" s="105"/>
      <c r="X2" s="105"/>
      <c r="Y2" s="105"/>
      <c r="Z2" s="105"/>
      <c r="AA2" s="105"/>
    </row>
    <row r="3" spans="1:28" x14ac:dyDescent="0.2">
      <c r="A3" s="289" t="str">
        <f>"Test Year Ended "&amp;TEXT(Controls!B8,"mmmm d, yyyy")</f>
        <v>Test Year Ended June 30, 2020</v>
      </c>
      <c r="B3" s="289"/>
      <c r="C3" s="289"/>
      <c r="D3" s="289"/>
      <c r="E3" s="289"/>
      <c r="F3" s="289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105"/>
      <c r="T3" s="105"/>
      <c r="U3" s="105"/>
      <c r="V3" s="105"/>
      <c r="W3" s="105"/>
      <c r="X3" s="105"/>
      <c r="Y3" s="105"/>
      <c r="Z3" s="105"/>
      <c r="AA3" s="105"/>
    </row>
    <row r="4" spans="1:28" x14ac:dyDescent="0.2">
      <c r="A4" s="668" t="s">
        <v>526</v>
      </c>
      <c r="B4" s="289"/>
      <c r="C4" s="289"/>
      <c r="D4" s="289"/>
      <c r="E4" s="289"/>
      <c r="F4" s="289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105"/>
      <c r="T4" s="105"/>
      <c r="U4" s="105"/>
      <c r="V4" s="105"/>
      <c r="W4" s="105"/>
      <c r="X4" s="105"/>
      <c r="Y4" s="105"/>
      <c r="Z4" s="105"/>
      <c r="AA4" s="126"/>
    </row>
    <row r="5" spans="1:28" ht="12" thickBot="1" x14ac:dyDescent="0.25">
      <c r="A5" s="106"/>
      <c r="B5" s="107"/>
      <c r="C5" s="107"/>
      <c r="D5" s="107"/>
      <c r="E5" s="107"/>
      <c r="F5" s="107"/>
      <c r="G5" s="107"/>
      <c r="H5" s="107"/>
      <c r="I5" s="107"/>
      <c r="J5" s="421"/>
      <c r="K5" s="107"/>
      <c r="L5" s="107"/>
      <c r="M5" s="107"/>
      <c r="N5" s="389"/>
      <c r="O5" s="107"/>
      <c r="P5" s="107"/>
      <c r="Q5" s="107"/>
      <c r="T5" s="282"/>
      <c r="U5" s="425"/>
      <c r="V5" s="424"/>
      <c r="W5" s="425"/>
    </row>
    <row r="6" spans="1:28" ht="13.5" customHeight="1" thickBot="1" x14ac:dyDescent="0.25">
      <c r="A6" s="106"/>
      <c r="B6" s="107"/>
      <c r="C6" s="107"/>
      <c r="D6" s="107"/>
      <c r="E6" s="107"/>
      <c r="F6" s="107"/>
      <c r="G6" s="107"/>
      <c r="H6" s="107"/>
      <c r="I6" s="107"/>
      <c r="J6" s="421"/>
      <c r="K6" s="107"/>
      <c r="L6" s="107"/>
      <c r="M6" s="107"/>
      <c r="N6" s="389"/>
      <c r="O6" s="107"/>
      <c r="P6" s="107"/>
      <c r="Q6" s="107"/>
      <c r="R6" s="108"/>
      <c r="S6" s="108"/>
      <c r="T6" s="600" t="s">
        <v>1</v>
      </c>
      <c r="U6" s="601"/>
      <c r="V6" s="610" t="s">
        <v>2</v>
      </c>
      <c r="W6" s="601"/>
      <c r="X6" s="103"/>
    </row>
    <row r="7" spans="1:28" ht="57" thickBot="1" x14ac:dyDescent="0.25">
      <c r="A7" s="109" t="s">
        <v>3</v>
      </c>
      <c r="B7" s="109" t="s">
        <v>4</v>
      </c>
      <c r="C7" s="102" t="str">
        <f>"Annual kWh Normalized &amp; Delivered Sales  "&amp;TEXT(Controls!B7,"MM/DD/YY")&amp;" to "&amp;TEXT(Controls!B8,"MM/DD/YY")&amp;""</f>
        <v>Annual kWh Normalized &amp; Delivered Sales  07/01/19 to 06/30/20</v>
      </c>
      <c r="D7" s="110" t="str">
        <f>"Estimated Annual
Base Revenue
Rates Effective
"&amp;TEXT(Controls!B10,"MM/DD/YY")</f>
        <v>Estimated Annual
Base Revenue
Rates Effective
10/15/20</v>
      </c>
      <c r="E7" s="110" t="s">
        <v>361</v>
      </c>
      <c r="F7" s="110" t="s">
        <v>5</v>
      </c>
      <c r="G7" s="110" t="s">
        <v>6</v>
      </c>
      <c r="H7" s="110" t="s">
        <v>7</v>
      </c>
      <c r="I7" s="110" t="s">
        <v>267</v>
      </c>
      <c r="J7" s="110" t="s">
        <v>466</v>
      </c>
      <c r="K7" s="110" t="s">
        <v>8</v>
      </c>
      <c r="L7" s="110" t="s">
        <v>464</v>
      </c>
      <c r="M7" s="110" t="s">
        <v>327</v>
      </c>
      <c r="N7" s="110" t="s">
        <v>427</v>
      </c>
      <c r="O7" s="110" t="s">
        <v>560</v>
      </c>
      <c r="P7" s="110" t="s">
        <v>9</v>
      </c>
      <c r="Q7" s="110" t="s">
        <v>562</v>
      </c>
      <c r="R7" s="110" t="str">
        <f>"Annual Estimated Revenue @ Rates Effective "&amp;TEXT(Controls!B4,"MM/DD/YY")</f>
        <v>Annual Estimated Revenue @ Rates Effective 05/01/21</v>
      </c>
      <c r="S7" s="111"/>
      <c r="T7" s="427" t="str">
        <f>E7</f>
        <v>Schedule 95
PCA/PCORC</v>
      </c>
      <c r="U7" s="428" t="str">
        <f>+J7</f>
        <v>Schedule 139 Green Power</v>
      </c>
      <c r="V7" s="429" t="str">
        <f>+T7</f>
        <v>Schedule 95
PCA/PCORC</v>
      </c>
      <c r="W7" s="428" t="str">
        <f>+U7</f>
        <v>Schedule 139 Green Power</v>
      </c>
      <c r="X7" s="112" t="s">
        <v>271</v>
      </c>
      <c r="Y7" s="112" t="str">
        <f>"Total 
Proposed
Rates at "&amp;TEXT(Controls!B1,"mm/dd/yyyy")</f>
        <v>Total 
Proposed
Rates at 07/01/2021</v>
      </c>
      <c r="Z7" s="112" t="s">
        <v>353</v>
      </c>
      <c r="AA7" s="112" t="s">
        <v>354</v>
      </c>
      <c r="AB7" s="113" t="s">
        <v>193</v>
      </c>
    </row>
    <row r="8" spans="1:28" x14ac:dyDescent="0.2">
      <c r="A8" s="107">
        <v>1</v>
      </c>
      <c r="B8" s="107">
        <v>7</v>
      </c>
      <c r="C8" s="101">
        <f>+'TY June 2020 Proforma Rev'!E8</f>
        <v>10863043096.272161</v>
      </c>
      <c r="D8" s="72">
        <f>+'TY June 2020 Proforma Rev'!F8</f>
        <v>1198750986.2385011</v>
      </c>
      <c r="E8" s="72">
        <f>+'Sch 95'!F7</f>
        <v>23188538</v>
      </c>
      <c r="F8" s="72">
        <f>+'Sch 95a'!G7</f>
        <v>-15642782</v>
      </c>
      <c r="G8" s="72">
        <f>+'Sch 120'!G7</f>
        <v>41551140</v>
      </c>
      <c r="H8" s="114">
        <f>+'Sch 129'!$F7</f>
        <v>11558278</v>
      </c>
      <c r="I8" s="72">
        <f>+'Sch 137'!F7</f>
        <v>-467111</v>
      </c>
      <c r="J8" s="72">
        <f>+'Sch 139'!E7</f>
        <v>-80</v>
      </c>
      <c r="K8" s="72">
        <f>+'Sch 140'!F7</f>
        <v>33371268</v>
      </c>
      <c r="L8" s="72">
        <f>+'Sch 141X'!G7</f>
        <v>-32762938</v>
      </c>
      <c r="M8" s="72">
        <f>+'Sch 141Y'!F7</f>
        <v>-662646</v>
      </c>
      <c r="N8" s="72">
        <f>+'Sch 141Z'!G7</f>
        <v>-9602930</v>
      </c>
      <c r="O8" s="72">
        <f>+'Sch 142 Deferral'!I7</f>
        <v>-1118893</v>
      </c>
      <c r="P8" s="72">
        <f>'Sch 194'!F7</f>
        <v>-80235816</v>
      </c>
      <c r="Q8" s="72">
        <f>SUM(E8:P8)</f>
        <v>-30823972</v>
      </c>
      <c r="R8" s="72">
        <f>SUM(Q8,D8)</f>
        <v>1167927014.2385011</v>
      </c>
      <c r="S8" s="114"/>
      <c r="T8" s="309">
        <f>-E8</f>
        <v>-23188538</v>
      </c>
      <c r="U8" s="310">
        <f>-J8</f>
        <v>80</v>
      </c>
      <c r="V8" s="114">
        <f>+'Sch 95'!I7</f>
        <v>59191343</v>
      </c>
      <c r="W8" s="310">
        <f>+'Sch 139'!F7</f>
        <v>1137</v>
      </c>
      <c r="X8" s="115">
        <f>SUM(T8:W8)</f>
        <v>36004022</v>
      </c>
      <c r="Y8" s="115">
        <f>SUM(R8,X8)</f>
        <v>1203931036.2385011</v>
      </c>
      <c r="Z8" s="124">
        <f>R8/C8</f>
        <v>0.10751379736671533</v>
      </c>
      <c r="AA8" s="124">
        <f>Y8/C8</f>
        <v>0.11082815612244515</v>
      </c>
      <c r="AB8" s="243">
        <f>X8/R8</f>
        <v>3.0827287631046831E-2</v>
      </c>
    </row>
    <row r="9" spans="1:28" x14ac:dyDescent="0.2">
      <c r="A9" s="107">
        <f>+A8+1</f>
        <v>2</v>
      </c>
      <c r="B9" s="107" t="s">
        <v>11</v>
      </c>
      <c r="C9" s="117">
        <f t="shared" ref="C9:R9" si="0">SUM(C8:C8)</f>
        <v>10863043096.272161</v>
      </c>
      <c r="D9" s="73">
        <f>SUM(D8:D8)</f>
        <v>1198750986.2385011</v>
      </c>
      <c r="E9" s="73">
        <f t="shared" si="0"/>
        <v>23188538</v>
      </c>
      <c r="F9" s="73">
        <f t="shared" si="0"/>
        <v>-15642782</v>
      </c>
      <c r="G9" s="73">
        <f t="shared" si="0"/>
        <v>41551140</v>
      </c>
      <c r="H9" s="73">
        <f>SUM(H8:H8)</f>
        <v>11558278</v>
      </c>
      <c r="I9" s="73">
        <f>SUM(I8:I8)</f>
        <v>-467111</v>
      </c>
      <c r="J9" s="73">
        <f>SUM(J8:J8)</f>
        <v>-80</v>
      </c>
      <c r="K9" s="73">
        <f t="shared" si="0"/>
        <v>33371268</v>
      </c>
      <c r="L9" s="73">
        <f t="shared" si="0"/>
        <v>-32762938</v>
      </c>
      <c r="M9" s="73">
        <f>SUM(M8:M8)</f>
        <v>-662646</v>
      </c>
      <c r="N9" s="73">
        <f t="shared" ref="N9" si="1">SUM(N8:N8)</f>
        <v>-9602930</v>
      </c>
      <c r="O9" s="73">
        <f t="shared" si="0"/>
        <v>-1118893</v>
      </c>
      <c r="P9" s="73">
        <f>SUM(P8:P8)</f>
        <v>-80235816</v>
      </c>
      <c r="Q9" s="73">
        <f t="shared" si="0"/>
        <v>-30823972</v>
      </c>
      <c r="R9" s="73">
        <f t="shared" si="0"/>
        <v>1167927014.2385011</v>
      </c>
      <c r="S9" s="114"/>
      <c r="T9" s="311">
        <f t="shared" ref="T9:Y9" si="2">SUM(T8:T8)</f>
        <v>-23188538</v>
      </c>
      <c r="U9" s="312">
        <f t="shared" ref="U9" si="3">SUM(U8:U8)</f>
        <v>80</v>
      </c>
      <c r="V9" s="73">
        <f>SUM(V8:V8)</f>
        <v>59191343</v>
      </c>
      <c r="W9" s="312">
        <f>SUM(W8:W8)</f>
        <v>1137</v>
      </c>
      <c r="X9" s="118">
        <f t="shared" si="2"/>
        <v>36004022</v>
      </c>
      <c r="Y9" s="118">
        <f t="shared" si="2"/>
        <v>1203931036.2385011</v>
      </c>
      <c r="Z9" s="125">
        <f>R9/C9</f>
        <v>0.10751379736671533</v>
      </c>
      <c r="AA9" s="125">
        <f>Y9/C9</f>
        <v>0.11082815612244515</v>
      </c>
      <c r="AB9" s="119">
        <f>X9/R9</f>
        <v>3.0827287631046831E-2</v>
      </c>
    </row>
    <row r="10" spans="1:28" x14ac:dyDescent="0.2">
      <c r="A10" s="107">
        <f t="shared" ref="A10:A42" si="4">+A9+1</f>
        <v>3</v>
      </c>
      <c r="B10" s="107"/>
      <c r="C10" s="10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114"/>
      <c r="T10" s="309"/>
      <c r="U10" s="310"/>
      <c r="V10" s="114"/>
      <c r="W10" s="310"/>
      <c r="X10" s="115"/>
      <c r="Y10" s="115"/>
      <c r="Z10" s="115"/>
      <c r="AA10" s="115"/>
      <c r="AB10" s="116"/>
    </row>
    <row r="11" spans="1:28" x14ac:dyDescent="0.2">
      <c r="A11" s="107">
        <f t="shared" si="4"/>
        <v>4</v>
      </c>
      <c r="B11" s="106">
        <v>8</v>
      </c>
      <c r="C11" s="101">
        <f>SUM('TY June 2020 Proforma Rev'!E12)</f>
        <v>252362620.54679149</v>
      </c>
      <c r="D11" s="72">
        <f>SUM('TY June 2020 Proforma Rev'!F12)</f>
        <v>26024978.514890872</v>
      </c>
      <c r="E11" s="72">
        <f>+'Sch 95'!F11</f>
        <v>543796</v>
      </c>
      <c r="F11" s="72">
        <f>+'Sch 95a'!G11</f>
        <v>-366178</v>
      </c>
      <c r="G11" s="72">
        <f>+'Sch 120'!G11</f>
        <v>971596</v>
      </c>
      <c r="H11" s="114">
        <f>+'Sch 129'!$F11</f>
        <v>256148</v>
      </c>
      <c r="I11" s="72">
        <f>+'Sch 137'!F11</f>
        <v>-11104</v>
      </c>
      <c r="J11" s="72">
        <f>+'Sch 139'!E11</f>
        <v>0</v>
      </c>
      <c r="K11" s="72">
        <f>+'Sch 140'!F11</f>
        <v>665985</v>
      </c>
      <c r="L11" s="72">
        <f>+'Sch 141X'!G11</f>
        <v>-613998</v>
      </c>
      <c r="M11" s="72">
        <f>+'Sch 141Y'!F11</f>
        <v>-12618</v>
      </c>
      <c r="N11" s="72">
        <f>+'Sch 141Z'!G11</f>
        <v>-179935</v>
      </c>
      <c r="O11" s="72">
        <f>+'Sch 142 Deferral'!I11</f>
        <v>1130837</v>
      </c>
      <c r="P11" s="72">
        <f>+'Sch 194'!F11</f>
        <v>-1863985</v>
      </c>
      <c r="Q11" s="72">
        <f t="shared" ref="Q11:Q18" si="5">SUM(E11:P11)</f>
        <v>520544</v>
      </c>
      <c r="R11" s="72">
        <f t="shared" ref="R11:R18" si="6">SUM(Q11,D11)</f>
        <v>26545522.514890872</v>
      </c>
      <c r="S11" s="114"/>
      <c r="T11" s="309">
        <f t="shared" ref="T11:T18" si="7">-E11</f>
        <v>-543796</v>
      </c>
      <c r="U11" s="310">
        <f t="shared" ref="U11:U18" si="8">-J11</f>
        <v>0</v>
      </c>
      <c r="V11" s="114">
        <f>+'Sch 95'!I11</f>
        <v>1414118</v>
      </c>
      <c r="W11" s="310">
        <f>+'Sch 139'!F11</f>
        <v>0</v>
      </c>
      <c r="X11" s="115">
        <f t="shared" ref="X11:X18" si="9">SUM(T11:W11)</f>
        <v>870322</v>
      </c>
      <c r="Y11" s="115">
        <f t="shared" ref="Y11:Y18" si="10">SUM(R11,X11)</f>
        <v>27415844.514890872</v>
      </c>
      <c r="Z11" s="124">
        <f t="shared" ref="Z11:Z19" si="11">R11/C11</f>
        <v>0.10518801261999483</v>
      </c>
      <c r="AA11" s="124">
        <f t="shared" ref="AA11:AA19" si="12">Y11/C11</f>
        <v>0.10863670877838107</v>
      </c>
      <c r="AB11" s="116">
        <f t="shared" ref="AB11:AB19" si="13">X11/R11</f>
        <v>3.2786018791371975E-2</v>
      </c>
    </row>
    <row r="12" spans="1:28" x14ac:dyDescent="0.2">
      <c r="A12" s="107">
        <f t="shared" si="4"/>
        <v>5</v>
      </c>
      <c r="B12" s="106">
        <v>24</v>
      </c>
      <c r="C12" s="101">
        <f>SUM('TY June 2020 Proforma Rev'!E13)</f>
        <v>2333975906.454967</v>
      </c>
      <c r="D12" s="72">
        <f>SUM('TY June 2020 Proforma Rev'!F13)</f>
        <v>240692035.48510912</v>
      </c>
      <c r="E12" s="72">
        <f>+'Sch 95'!F12</f>
        <v>5029302</v>
      </c>
      <c r="F12" s="72">
        <f>+'Sch 95a'!G12</f>
        <v>-3386599</v>
      </c>
      <c r="G12" s="72">
        <f>+'Sch 120'!G12</f>
        <v>8985807</v>
      </c>
      <c r="H12" s="114">
        <f>+'Sch 129'!$F12</f>
        <v>2368986</v>
      </c>
      <c r="I12" s="72">
        <f>+'Sch 137'!F12</f>
        <v>-102695</v>
      </c>
      <c r="J12" s="72">
        <f>+'Sch 139'!E12</f>
        <v>-168132</v>
      </c>
      <c r="K12" s="72">
        <f>+'Sch 140'!F12</f>
        <v>6159362</v>
      </c>
      <c r="L12" s="72">
        <f>+'Sch 141X'!G12</f>
        <v>-5678563</v>
      </c>
      <c r="M12" s="72">
        <f>+'Sch 141Y'!F12</f>
        <v>-116699</v>
      </c>
      <c r="N12" s="72">
        <f>+'Sch 141Z'!G12</f>
        <v>-1664125</v>
      </c>
      <c r="O12" s="72">
        <f>+'Sch 142 Deferral'!I12</f>
        <v>10458546</v>
      </c>
      <c r="P12" s="72">
        <f>+'Sch 194'!F12</f>
        <v>0</v>
      </c>
      <c r="Q12" s="72">
        <f t="shared" si="5"/>
        <v>21885190</v>
      </c>
      <c r="R12" s="72">
        <f t="shared" si="6"/>
        <v>262577225.48510912</v>
      </c>
      <c r="S12" s="114"/>
      <c r="T12" s="309">
        <f t="shared" si="7"/>
        <v>-5029302</v>
      </c>
      <c r="U12" s="310">
        <f t="shared" si="8"/>
        <v>168132</v>
      </c>
      <c r="V12" s="114">
        <f>+'Sch 95'!I12</f>
        <v>13078474</v>
      </c>
      <c r="W12" s="310">
        <f>+'Sch 139'!F12</f>
        <v>1414778</v>
      </c>
      <c r="X12" s="115">
        <f t="shared" si="9"/>
        <v>9632082</v>
      </c>
      <c r="Y12" s="115">
        <f t="shared" si="10"/>
        <v>272209307.48510909</v>
      </c>
      <c r="Z12" s="124">
        <f t="shared" si="11"/>
        <v>0.11250211484999124</v>
      </c>
      <c r="AA12" s="124">
        <f t="shared" si="12"/>
        <v>0.11662901349250121</v>
      </c>
      <c r="AB12" s="116">
        <f t="shared" si="13"/>
        <v>3.6682853900237587E-2</v>
      </c>
    </row>
    <row r="13" spans="1:28" x14ac:dyDescent="0.2">
      <c r="A13" s="107">
        <f t="shared" si="4"/>
        <v>6</v>
      </c>
      <c r="B13" s="106">
        <v>11</v>
      </c>
      <c r="C13" s="101">
        <f>SUM('TY June 2020 Proforma Rev'!E14)</f>
        <v>135958671.66260606</v>
      </c>
      <c r="D13" s="72">
        <f>SUM('TY June 2020 Proforma Rev'!F14)</f>
        <v>12795481.341433641</v>
      </c>
      <c r="E13" s="72">
        <f>+'Sch 95'!F13</f>
        <v>302304</v>
      </c>
      <c r="F13" s="72">
        <f>+'Sch 95a'!G13</f>
        <v>-203666</v>
      </c>
      <c r="G13" s="72">
        <f>+'Sch 120'!G13</f>
        <v>555799</v>
      </c>
      <c r="H13" s="114">
        <f>+'Sch 129'!$F13</f>
        <v>124402</v>
      </c>
      <c r="I13" s="72">
        <f>+'Sch 137'!F13</f>
        <v>-6118</v>
      </c>
      <c r="J13" s="72">
        <f>+'Sch 139'!E13</f>
        <v>0</v>
      </c>
      <c r="K13" s="72">
        <f>+'Sch 140'!F13</f>
        <v>330244</v>
      </c>
      <c r="L13" s="72">
        <f>+'Sch 141X'!G13</f>
        <v>-310258</v>
      </c>
      <c r="M13" s="72">
        <f>+'Sch 141Y'!F13</f>
        <v>-6118</v>
      </c>
      <c r="N13" s="72">
        <f>+'Sch 141Z'!G13</f>
        <v>-90956</v>
      </c>
      <c r="O13" s="72">
        <f>+'Sch 142 Deferral'!I13</f>
        <v>393600</v>
      </c>
      <c r="P13" s="72">
        <f>+'Sch 194'!F13</f>
        <v>-1004210</v>
      </c>
      <c r="Q13" s="72">
        <f t="shared" si="5"/>
        <v>85023</v>
      </c>
      <c r="R13" s="72">
        <f t="shared" si="6"/>
        <v>12880504.341433641</v>
      </c>
      <c r="S13" s="114"/>
      <c r="T13" s="309">
        <f t="shared" si="7"/>
        <v>-302304</v>
      </c>
      <c r="U13" s="310">
        <f t="shared" si="8"/>
        <v>0</v>
      </c>
      <c r="V13" s="114">
        <f>+'Sch 95'!I13</f>
        <v>763450</v>
      </c>
      <c r="W13" s="310">
        <f>+'Sch 139'!F13</f>
        <v>0</v>
      </c>
      <c r="X13" s="115">
        <f t="shared" si="9"/>
        <v>461146</v>
      </c>
      <c r="Y13" s="115">
        <f t="shared" si="10"/>
        <v>13341650.341433641</v>
      </c>
      <c r="Z13" s="124">
        <f t="shared" si="11"/>
        <v>9.473838030278639E-2</v>
      </c>
      <c r="AA13" s="124">
        <f t="shared" si="12"/>
        <v>9.8130190434209091E-2</v>
      </c>
      <c r="AB13" s="116">
        <f t="shared" si="13"/>
        <v>3.5801858978192234E-2</v>
      </c>
    </row>
    <row r="14" spans="1:28" x14ac:dyDescent="0.2">
      <c r="A14" s="107">
        <f t="shared" si="4"/>
        <v>7</v>
      </c>
      <c r="B14" s="106" t="s">
        <v>186</v>
      </c>
      <c r="C14" s="101">
        <f>+'TY June 2020 Proforma Rev'!E9</f>
        <v>2376000</v>
      </c>
      <c r="D14" s="72">
        <f>+'TY June 2020 Proforma Rev'!F9</f>
        <v>206898</v>
      </c>
      <c r="E14" s="72">
        <f>+'Sch 95'!F8</f>
        <v>5283</v>
      </c>
      <c r="F14" s="72">
        <f>+'Sch 95a'!G8</f>
        <v>-3559</v>
      </c>
      <c r="G14" s="72">
        <f>+'Sch 120'!G8</f>
        <v>9713</v>
      </c>
      <c r="H14" s="114">
        <f>+'Sch 129'!$F8</f>
        <v>2174</v>
      </c>
      <c r="I14" s="72">
        <f>+'Sch 137'!F8</f>
        <v>-107</v>
      </c>
      <c r="J14" s="72">
        <f>+'Sch 139'!E8</f>
        <v>0</v>
      </c>
      <c r="K14" s="72">
        <f>+'Sch 140'!F8</f>
        <v>5771</v>
      </c>
      <c r="L14" s="72">
        <f>+'Sch 141X'!G8</f>
        <v>-5422</v>
      </c>
      <c r="M14" s="72">
        <f>+'Sch 141Y'!F8</f>
        <v>-107</v>
      </c>
      <c r="N14" s="72">
        <f>+'Sch 141Z'!G8</f>
        <v>-1590</v>
      </c>
      <c r="O14" s="72">
        <f>+'Sch 142 Deferral'!I8</f>
        <v>6879</v>
      </c>
      <c r="P14" s="72">
        <f>+'Sch 194'!F8</f>
        <v>-17549</v>
      </c>
      <c r="Q14" s="72">
        <f t="shared" si="5"/>
        <v>1486</v>
      </c>
      <c r="R14" s="72">
        <f t="shared" si="6"/>
        <v>208384</v>
      </c>
      <c r="S14" s="114"/>
      <c r="T14" s="309">
        <f t="shared" si="7"/>
        <v>-5283</v>
      </c>
      <c r="U14" s="310">
        <f t="shared" si="8"/>
        <v>0</v>
      </c>
      <c r="V14" s="114">
        <f>+'Sch 95'!I8</f>
        <v>13342</v>
      </c>
      <c r="W14" s="310">
        <f>+'Sch 139'!F8</f>
        <v>0</v>
      </c>
      <c r="X14" s="115">
        <f t="shared" si="9"/>
        <v>8059</v>
      </c>
      <c r="Y14" s="115">
        <f t="shared" si="10"/>
        <v>216443</v>
      </c>
      <c r="Z14" s="124">
        <f t="shared" si="11"/>
        <v>8.77037037037037E-2</v>
      </c>
      <c r="AA14" s="124">
        <f t="shared" si="12"/>
        <v>9.1095538720538716E-2</v>
      </c>
      <c r="AB14" s="116">
        <f t="shared" si="13"/>
        <v>3.8673794533169534E-2</v>
      </c>
    </row>
    <row r="15" spans="1:28" x14ac:dyDescent="0.2">
      <c r="A15" s="107">
        <f t="shared" si="4"/>
        <v>8</v>
      </c>
      <c r="B15" s="106">
        <v>25</v>
      </c>
      <c r="C15" s="101">
        <f>+'TY June 2020 Proforma Rev'!E15</f>
        <v>2746336782.1565623</v>
      </c>
      <c r="D15" s="72">
        <f>+'TY June 2020 Proforma Rev'!F15</f>
        <v>258466051.65856636</v>
      </c>
      <c r="E15" s="72">
        <f>+'Sch 95'!F14</f>
        <v>6106485</v>
      </c>
      <c r="F15" s="72">
        <f>+'Sch 95a'!G14</f>
        <v>-4114012</v>
      </c>
      <c r="G15" s="72">
        <f>+'Sch 120'!G14</f>
        <v>11227025</v>
      </c>
      <c r="H15" s="114">
        <f>+'Sch 129'!$F14</f>
        <v>2512898</v>
      </c>
      <c r="I15" s="72">
        <f>+'Sch 137'!F14</f>
        <v>-123585</v>
      </c>
      <c r="J15" s="72">
        <f>+'Sch 139'!E14</f>
        <v>-41965</v>
      </c>
      <c r="K15" s="72">
        <f>+'Sch 140'!F14</f>
        <v>6670852</v>
      </c>
      <c r="L15" s="72">
        <f>+'Sch 141X'!G14</f>
        <v>-6267141</v>
      </c>
      <c r="M15" s="72">
        <f>+'Sch 141Y'!F14</f>
        <v>-123585</v>
      </c>
      <c r="N15" s="72">
        <f>+'Sch 141Z'!G14</f>
        <v>-1837299</v>
      </c>
      <c r="O15" s="72">
        <f>+'Sch 142 Deferral'!I14</f>
        <v>7950645</v>
      </c>
      <c r="P15" s="72">
        <f>+'Sch 194'!F14</f>
        <v>0</v>
      </c>
      <c r="Q15" s="72">
        <f t="shared" si="5"/>
        <v>21960318</v>
      </c>
      <c r="R15" s="72">
        <f t="shared" si="6"/>
        <v>280426369.65856636</v>
      </c>
      <c r="S15" s="114"/>
      <c r="T15" s="309">
        <f t="shared" si="7"/>
        <v>-6106485</v>
      </c>
      <c r="U15" s="310">
        <f t="shared" si="8"/>
        <v>41965</v>
      </c>
      <c r="V15" s="114">
        <f>+'Sch 95'!I14</f>
        <v>15421540</v>
      </c>
      <c r="W15" s="310">
        <f>+'Sch 139'!F14</f>
        <v>394434</v>
      </c>
      <c r="X15" s="115">
        <f t="shared" si="9"/>
        <v>9751454</v>
      </c>
      <c r="Y15" s="115">
        <f t="shared" si="10"/>
        <v>290177823.65856636</v>
      </c>
      <c r="Z15" s="124">
        <f t="shared" si="11"/>
        <v>0.10210924293063628</v>
      </c>
      <c r="AA15" s="124">
        <f t="shared" si="12"/>
        <v>0.10565995603449045</v>
      </c>
      <c r="AB15" s="116">
        <f t="shared" si="13"/>
        <v>3.4773669865187429E-2</v>
      </c>
    </row>
    <row r="16" spans="1:28" x14ac:dyDescent="0.2">
      <c r="A16" s="107">
        <f t="shared" si="4"/>
        <v>9</v>
      </c>
      <c r="B16" s="106">
        <v>12</v>
      </c>
      <c r="C16" s="101">
        <f>+'TY June 2020 Proforma Rev'!E16</f>
        <v>16430488</v>
      </c>
      <c r="D16" s="72">
        <f>+'TY June 2020 Proforma Rev'!F16</f>
        <v>1422327.5969585124</v>
      </c>
      <c r="E16" s="72">
        <f>+'Sch 95'!F15</f>
        <v>38230</v>
      </c>
      <c r="F16" s="72">
        <f>+'Sch 95a'!G15</f>
        <v>-25779</v>
      </c>
      <c r="G16" s="72">
        <f>+'Sch 120'!G15</f>
        <v>69008</v>
      </c>
      <c r="H16" s="114">
        <f>+'Sch 129'!$F15</f>
        <v>13949</v>
      </c>
      <c r="I16" s="72">
        <f>+'Sch 137'!F15</f>
        <v>-772</v>
      </c>
      <c r="J16" s="72">
        <f>+'Sch 139'!E15</f>
        <v>0</v>
      </c>
      <c r="K16" s="72">
        <f>+'Sch 140'!F15</f>
        <v>37905</v>
      </c>
      <c r="L16" s="72">
        <f>+'Sch 141X'!G15</f>
        <v>-32352</v>
      </c>
      <c r="M16" s="72">
        <f>+'Sch 141Y'!F15</f>
        <v>-739</v>
      </c>
      <c r="N16" s="72">
        <f>+'Sch 141Z'!G15</f>
        <v>-9480</v>
      </c>
      <c r="O16" s="72">
        <f>+'Sch 142 Deferral'!I15</f>
        <v>51875</v>
      </c>
      <c r="P16" s="72">
        <f>+'Sch 194'!F15</f>
        <v>-121354</v>
      </c>
      <c r="Q16" s="72">
        <f t="shared" si="5"/>
        <v>20491</v>
      </c>
      <c r="R16" s="72">
        <f t="shared" si="6"/>
        <v>1442818.5969585124</v>
      </c>
      <c r="S16" s="114"/>
      <c r="T16" s="309">
        <f t="shared" si="7"/>
        <v>-38230</v>
      </c>
      <c r="U16" s="310">
        <f t="shared" si="8"/>
        <v>0</v>
      </c>
      <c r="V16" s="114">
        <f>+'Sch 95'!I15</f>
        <v>92255</v>
      </c>
      <c r="W16" s="310">
        <f>+'Sch 139'!F15</f>
        <v>0</v>
      </c>
      <c r="X16" s="115">
        <f t="shared" si="9"/>
        <v>54025</v>
      </c>
      <c r="Y16" s="115">
        <f t="shared" si="10"/>
        <v>1496843.5969585124</v>
      </c>
      <c r="Z16" s="124">
        <f t="shared" si="11"/>
        <v>8.7813496285594955E-2</v>
      </c>
      <c r="AA16" s="124">
        <f t="shared" si="12"/>
        <v>9.1101590954481226E-2</v>
      </c>
      <c r="AB16" s="116">
        <f t="shared" si="13"/>
        <v>3.7444069624473698E-2</v>
      </c>
    </row>
    <row r="17" spans="1:28" x14ac:dyDescent="0.2">
      <c r="A17" s="107">
        <f t="shared" si="4"/>
        <v>10</v>
      </c>
      <c r="B17" s="106">
        <v>26</v>
      </c>
      <c r="C17" s="101">
        <f>+'TY June 2020 Proforma Rev'!E17</f>
        <v>1824742786.7668719</v>
      </c>
      <c r="D17" s="72">
        <f>+'TY June 2020 Proforma Rev'!F17</f>
        <v>157961347.40304148</v>
      </c>
      <c r="E17" s="72">
        <f>+'Sch 95'!F16</f>
        <v>4245719</v>
      </c>
      <c r="F17" s="72">
        <f>+'Sch 95a'!G16</f>
        <v>-2863021</v>
      </c>
      <c r="G17" s="72">
        <f>+'Sch 120'!G16</f>
        <v>7663920</v>
      </c>
      <c r="H17" s="114">
        <f>+'Sch 129'!$F16</f>
        <v>1549207</v>
      </c>
      <c r="I17" s="72">
        <f>+'Sch 137'!F16</f>
        <v>-85763</v>
      </c>
      <c r="J17" s="72">
        <f>+'Sch 139'!E16</f>
        <v>-34620</v>
      </c>
      <c r="K17" s="72">
        <f>+'Sch 140'!F16</f>
        <v>4209682</v>
      </c>
      <c r="L17" s="72">
        <f>+'Sch 141X'!G16</f>
        <v>-3592919</v>
      </c>
      <c r="M17" s="72">
        <f>+'Sch 141Y'!F16</f>
        <v>-82113</v>
      </c>
      <c r="N17" s="72">
        <f>+'Sch 141Z'!G16</f>
        <v>-1052877</v>
      </c>
      <c r="O17" s="72">
        <f>+'Sch 142 Deferral'!I16</f>
        <v>5562396</v>
      </c>
      <c r="P17" s="72">
        <f>+'Sch 194'!F16</f>
        <v>0</v>
      </c>
      <c r="Q17" s="72">
        <f t="shared" si="5"/>
        <v>15519611</v>
      </c>
      <c r="R17" s="72">
        <f t="shared" si="6"/>
        <v>173480958.40304148</v>
      </c>
      <c r="S17" s="114"/>
      <c r="T17" s="309">
        <f t="shared" si="7"/>
        <v>-4245719</v>
      </c>
      <c r="U17" s="310">
        <f t="shared" si="8"/>
        <v>34620</v>
      </c>
      <c r="V17" s="114">
        <f>+'Sch 95'!I16</f>
        <v>10245668</v>
      </c>
      <c r="W17" s="310">
        <f>+'Sch 139'!F16</f>
        <v>412425</v>
      </c>
      <c r="X17" s="115">
        <f t="shared" si="9"/>
        <v>6446994</v>
      </c>
      <c r="Y17" s="115">
        <f t="shared" si="10"/>
        <v>179927952.40304148</v>
      </c>
      <c r="Z17" s="124">
        <f t="shared" si="11"/>
        <v>9.5071458652218971E-2</v>
      </c>
      <c r="AA17" s="124">
        <f t="shared" si="12"/>
        <v>9.8604556054633127E-2</v>
      </c>
      <c r="AB17" s="116">
        <f t="shared" si="13"/>
        <v>3.7162545442145603E-2</v>
      </c>
    </row>
    <row r="18" spans="1:28" x14ac:dyDescent="0.2">
      <c r="A18" s="107">
        <f t="shared" si="4"/>
        <v>11</v>
      </c>
      <c r="B18" s="107">
        <v>29</v>
      </c>
      <c r="C18" s="101">
        <f>+'TY June 2020 Proforma Rev'!E18</f>
        <v>11424740.434375001</v>
      </c>
      <c r="D18" s="72">
        <f>+'TY June 2020 Proforma Rev'!F18</f>
        <v>1039246</v>
      </c>
      <c r="E18" s="72">
        <f>+'Sch 95'!F17</f>
        <v>21164</v>
      </c>
      <c r="F18" s="72">
        <f>+'Sch 95a'!G17</f>
        <v>-14235</v>
      </c>
      <c r="G18" s="72">
        <f>+'Sch 120'!G17</f>
        <v>39073</v>
      </c>
      <c r="H18" s="114">
        <f>+'Sch 129'!$F17</f>
        <v>9208</v>
      </c>
      <c r="I18" s="72">
        <f>+'Sch 137'!F17</f>
        <v>-423</v>
      </c>
      <c r="J18" s="72">
        <f>+'Sch 139'!E17</f>
        <v>0</v>
      </c>
      <c r="K18" s="72">
        <f>+'Sch 140'!F17</f>
        <v>27751</v>
      </c>
      <c r="L18" s="72">
        <f>+'Sch 141X'!G17</f>
        <v>-26071</v>
      </c>
      <c r="M18" s="72">
        <f>+'Sch 141Y'!F17</f>
        <v>-514</v>
      </c>
      <c r="N18" s="72">
        <f>+'Sch 141Z'!G17</f>
        <v>-7643</v>
      </c>
      <c r="O18" s="72">
        <f>+'Sch 142 Deferral'!I17</f>
        <v>33075</v>
      </c>
      <c r="P18" s="72">
        <f>+'Sch 194'!F17</f>
        <v>-84385</v>
      </c>
      <c r="Q18" s="72">
        <f t="shared" si="5"/>
        <v>-3000</v>
      </c>
      <c r="R18" s="72">
        <f t="shared" si="6"/>
        <v>1036246</v>
      </c>
      <c r="S18" s="114"/>
      <c r="T18" s="309">
        <f t="shared" si="7"/>
        <v>-21164</v>
      </c>
      <c r="U18" s="310">
        <f t="shared" si="8"/>
        <v>0</v>
      </c>
      <c r="V18" s="114">
        <f>+'Sch 95'!I17</f>
        <v>62680</v>
      </c>
      <c r="W18" s="310">
        <f>+'Sch 139'!F17</f>
        <v>0</v>
      </c>
      <c r="X18" s="115">
        <f t="shared" si="9"/>
        <v>41516</v>
      </c>
      <c r="Y18" s="115">
        <f t="shared" si="10"/>
        <v>1077762</v>
      </c>
      <c r="Z18" s="124">
        <f t="shared" si="11"/>
        <v>9.0701929374440854E-2</v>
      </c>
      <c r="AA18" s="124">
        <f t="shared" si="12"/>
        <v>9.4335797490611412E-2</v>
      </c>
      <c r="AB18" s="116">
        <f t="shared" si="13"/>
        <v>4.0063845843554526E-2</v>
      </c>
    </row>
    <row r="19" spans="1:28" x14ac:dyDescent="0.2">
      <c r="A19" s="107">
        <f t="shared" si="4"/>
        <v>12</v>
      </c>
      <c r="B19" s="106" t="s">
        <v>191</v>
      </c>
      <c r="C19" s="117">
        <f t="shared" ref="C19:R19" si="14">SUM(C11:C18)</f>
        <v>7323607996.0221739</v>
      </c>
      <c r="D19" s="73">
        <f t="shared" si="14"/>
        <v>698608366</v>
      </c>
      <c r="E19" s="73">
        <f t="shared" si="14"/>
        <v>16292283</v>
      </c>
      <c r="F19" s="73">
        <f t="shared" si="14"/>
        <v>-10977049</v>
      </c>
      <c r="G19" s="73">
        <f t="shared" si="14"/>
        <v>29521941</v>
      </c>
      <c r="H19" s="73">
        <f t="shared" si="14"/>
        <v>6836972</v>
      </c>
      <c r="I19" s="73">
        <f t="shared" si="14"/>
        <v>-330567</v>
      </c>
      <c r="J19" s="73">
        <f t="shared" ref="J19" si="15">SUM(J11:J18)</f>
        <v>-244717</v>
      </c>
      <c r="K19" s="73">
        <f t="shared" si="14"/>
        <v>18107552</v>
      </c>
      <c r="L19" s="73">
        <f t="shared" si="14"/>
        <v>-16526724</v>
      </c>
      <c r="M19" s="73">
        <f>SUM(M11:M18)</f>
        <v>-342493</v>
      </c>
      <c r="N19" s="73">
        <f t="shared" ref="N19" si="16">SUM(N11:N18)</f>
        <v>-4843905</v>
      </c>
      <c r="O19" s="73">
        <f>SUM(O11:O18)</f>
        <v>25587853</v>
      </c>
      <c r="P19" s="73">
        <f>SUM(P11:P18)</f>
        <v>-3091483</v>
      </c>
      <c r="Q19" s="73">
        <f t="shared" si="14"/>
        <v>59989663</v>
      </c>
      <c r="R19" s="73">
        <f t="shared" si="14"/>
        <v>758598029</v>
      </c>
      <c r="S19" s="114"/>
      <c r="T19" s="311">
        <f t="shared" ref="T19:Y19" si="17">SUM(T11:T18)</f>
        <v>-16292283</v>
      </c>
      <c r="U19" s="312">
        <f t="shared" ref="U19" si="18">SUM(U11:U18)</f>
        <v>244717</v>
      </c>
      <c r="V19" s="73">
        <f>SUM(V11:V18)</f>
        <v>41091527</v>
      </c>
      <c r="W19" s="312">
        <f>SUM(W11:W18)</f>
        <v>2221637</v>
      </c>
      <c r="X19" s="118">
        <f t="shared" si="17"/>
        <v>27265598</v>
      </c>
      <c r="Y19" s="118">
        <f t="shared" si="17"/>
        <v>785863627</v>
      </c>
      <c r="Z19" s="125">
        <f t="shared" si="11"/>
        <v>0.10358255513020814</v>
      </c>
      <c r="AA19" s="125">
        <f t="shared" si="12"/>
        <v>0.10730552856281259</v>
      </c>
      <c r="AB19" s="119">
        <f t="shared" si="13"/>
        <v>3.5942089166698853E-2</v>
      </c>
    </row>
    <row r="20" spans="1:28" x14ac:dyDescent="0.2">
      <c r="A20" s="107">
        <f t="shared" si="4"/>
        <v>13</v>
      </c>
      <c r="B20" s="107"/>
      <c r="C20" s="10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114"/>
      <c r="T20" s="309"/>
      <c r="U20" s="310"/>
      <c r="V20" s="114"/>
      <c r="W20" s="310"/>
      <c r="X20" s="115"/>
      <c r="Y20" s="115"/>
      <c r="Z20" s="124"/>
      <c r="AA20" s="124"/>
      <c r="AB20" s="116"/>
    </row>
    <row r="21" spans="1:28" x14ac:dyDescent="0.2">
      <c r="A21" s="107">
        <f t="shared" si="4"/>
        <v>14</v>
      </c>
      <c r="B21" s="107">
        <v>10</v>
      </c>
      <c r="C21" s="101">
        <f>+'TY June 2020 Proforma Rev'!E21</f>
        <v>25573920</v>
      </c>
      <c r="D21" s="72">
        <f>+'TY June 2020 Proforma Rev'!F21</f>
        <v>2183192.683293927</v>
      </c>
      <c r="E21" s="72">
        <f>+'Sch 95'!F20</f>
        <v>54455</v>
      </c>
      <c r="F21" s="72">
        <f>+'Sch 95a'!G20</f>
        <v>-36699</v>
      </c>
      <c r="G21" s="72">
        <f>+'Sch 120'!G20</f>
        <v>97744</v>
      </c>
      <c r="H21" s="114">
        <f>+'Sch 129'!$F20</f>
        <v>21533</v>
      </c>
      <c r="I21" s="72">
        <f>+'Sch 137'!F20</f>
        <v>-1100</v>
      </c>
      <c r="J21" s="72">
        <f>+'Sch 139'!E20</f>
        <v>0</v>
      </c>
      <c r="K21" s="72">
        <f>+'Sch 140'!F20</f>
        <v>56825</v>
      </c>
      <c r="L21" s="72">
        <f>+'Sch 141X'!G20</f>
        <v>-51506</v>
      </c>
      <c r="M21" s="72">
        <f>+'Sch 141Y'!F20</f>
        <v>-1074</v>
      </c>
      <c r="N21" s="72">
        <f>+'Sch 141Z'!G20</f>
        <v>-15089</v>
      </c>
      <c r="O21" s="72">
        <f>+'Sch 142 Deferral'!I20</f>
        <v>93301</v>
      </c>
      <c r="P21" s="72">
        <f>'Sch 194'!F20</f>
        <v>-188893</v>
      </c>
      <c r="Q21" s="72">
        <f>SUM(E21:P21)</f>
        <v>29497</v>
      </c>
      <c r="R21" s="72">
        <f>SUM(Q21,D21)</f>
        <v>2212689.683293927</v>
      </c>
      <c r="S21" s="114"/>
      <c r="T21" s="309">
        <f>-E21</f>
        <v>-54455</v>
      </c>
      <c r="U21" s="310">
        <f t="shared" ref="U21:U24" si="19">-J21</f>
        <v>0</v>
      </c>
      <c r="V21" s="114">
        <f>+'Sch 95'!I20</f>
        <v>135360</v>
      </c>
      <c r="W21" s="310">
        <f>+'Sch 139'!F20</f>
        <v>0</v>
      </c>
      <c r="X21" s="115">
        <f>SUM(T21:W21)</f>
        <v>80905</v>
      </c>
      <c r="Y21" s="115">
        <f>SUM(R21,X21)</f>
        <v>2293594.683293927</v>
      </c>
      <c r="Z21" s="124">
        <f>R21/C21</f>
        <v>8.6521334363051386E-2</v>
      </c>
      <c r="AA21" s="124">
        <f>Y21/C21</f>
        <v>8.9684908817026371E-2</v>
      </c>
      <c r="AB21" s="116">
        <f>X21/R21</f>
        <v>3.6564096904704926E-2</v>
      </c>
    </row>
    <row r="22" spans="1:28" x14ac:dyDescent="0.2">
      <c r="A22" s="107">
        <f t="shared" si="4"/>
        <v>15</v>
      </c>
      <c r="B22" s="107">
        <v>31</v>
      </c>
      <c r="C22" s="101">
        <f>+'TY June 2020 Proforma Rev'!E22</f>
        <v>1310080421.1168144</v>
      </c>
      <c r="D22" s="72">
        <f>+'TY June 2020 Proforma Rev'!F22</f>
        <v>111838857.31670608</v>
      </c>
      <c r="E22" s="72">
        <f>+'Sch 95'!F21</f>
        <v>2789565</v>
      </c>
      <c r="F22" s="72">
        <f>+'Sch 95a'!G21</f>
        <v>-1879965</v>
      </c>
      <c r="G22" s="72">
        <f>+'Sch 120'!G21</f>
        <v>5007127</v>
      </c>
      <c r="H22" s="114">
        <f>+'Sch 129'!$F21</f>
        <v>1103088</v>
      </c>
      <c r="I22" s="72">
        <f>+'Sch 137'!F21</f>
        <v>-56333</v>
      </c>
      <c r="J22" s="72">
        <f>+'Sch 139'!E21</f>
        <v>-34905</v>
      </c>
      <c r="K22" s="72">
        <f>+'Sch 140'!F21</f>
        <v>2910999</v>
      </c>
      <c r="L22" s="72">
        <f>+'Sch 141X'!G21</f>
        <v>-2638502</v>
      </c>
      <c r="M22" s="72">
        <f>+'Sch 141Y'!F21</f>
        <v>-55023</v>
      </c>
      <c r="N22" s="72">
        <f>+'Sch 141Z'!G21</f>
        <v>-772947</v>
      </c>
      <c r="O22" s="72">
        <f>+'Sch 142 Deferral'!I21</f>
        <v>4605644</v>
      </c>
      <c r="P22" s="72">
        <f>'Sch 194'!F21</f>
        <v>0</v>
      </c>
      <c r="Q22" s="72">
        <f>SUM(E22:P22)</f>
        <v>10978748</v>
      </c>
      <c r="R22" s="72">
        <f>SUM(Q22,D22)</f>
        <v>122817605.31670608</v>
      </c>
      <c r="S22" s="114"/>
      <c r="T22" s="309">
        <f>-E22</f>
        <v>-2789565</v>
      </c>
      <c r="U22" s="310">
        <f t="shared" si="19"/>
        <v>34905</v>
      </c>
      <c r="V22" s="114">
        <f>+'Sch 95'!I21</f>
        <v>6934106</v>
      </c>
      <c r="W22" s="310">
        <f>+'Sch 139'!F21</f>
        <v>335835</v>
      </c>
      <c r="X22" s="115">
        <f>SUM(T22:W22)</f>
        <v>4515281</v>
      </c>
      <c r="Y22" s="115">
        <f>SUM(R22,X22)</f>
        <v>127332886.31670608</v>
      </c>
      <c r="Z22" s="124">
        <f>R22/C22</f>
        <v>9.374814197437345E-2</v>
      </c>
      <c r="AA22" s="124">
        <f>Y22/C22</f>
        <v>9.7194709778318511E-2</v>
      </c>
      <c r="AB22" s="116">
        <f>X22/R22</f>
        <v>3.6764118534607315E-2</v>
      </c>
    </row>
    <row r="23" spans="1:28" x14ac:dyDescent="0.2">
      <c r="A23" s="107">
        <f t="shared" si="4"/>
        <v>16</v>
      </c>
      <c r="B23" s="107">
        <v>35</v>
      </c>
      <c r="C23" s="101">
        <f>+'TY June 2020 Proforma Rev'!E23</f>
        <v>5945040</v>
      </c>
      <c r="D23" s="72">
        <f>+'TY June 2020 Proforma Rev'!F23</f>
        <v>399858</v>
      </c>
      <c r="E23" s="72">
        <f>+'Sch 95'!F22</f>
        <v>9446</v>
      </c>
      <c r="F23" s="72">
        <f>+'Sch 95a'!G22</f>
        <v>-6355</v>
      </c>
      <c r="G23" s="72">
        <f>+'Sch 120'!G22</f>
        <v>16747</v>
      </c>
      <c r="H23" s="114">
        <f>+'Sch 129'!$F22</f>
        <v>3579</v>
      </c>
      <c r="I23" s="72">
        <f>+'Sch 137'!F22</f>
        <v>-190</v>
      </c>
      <c r="J23" s="72">
        <f>+'Sch 139'!E22</f>
        <v>0</v>
      </c>
      <c r="K23" s="72">
        <f>+'Sch 140'!F22</f>
        <v>13210</v>
      </c>
      <c r="L23" s="72">
        <f>+'Sch 141X'!G22</f>
        <v>-19827</v>
      </c>
      <c r="M23" s="72">
        <f>+'Sch 141Y'!F22</f>
        <v>-250</v>
      </c>
      <c r="N23" s="72">
        <f>+'Sch 141Z'!G22</f>
        <v>-5814</v>
      </c>
      <c r="O23" s="72">
        <f>+'Sch 142 Deferral'!I22</f>
        <v>17211</v>
      </c>
      <c r="P23" s="72">
        <f>'Sch 194'!F22</f>
        <v>-43911</v>
      </c>
      <c r="Q23" s="72">
        <f>SUM(E23:P23)</f>
        <v>-16154</v>
      </c>
      <c r="R23" s="72">
        <f>SUM(Q23,D23)</f>
        <v>383704</v>
      </c>
      <c r="S23" s="114"/>
      <c r="T23" s="309">
        <f>-E23</f>
        <v>-9446</v>
      </c>
      <c r="U23" s="310">
        <f t="shared" si="19"/>
        <v>0</v>
      </c>
      <c r="V23" s="114">
        <f>+'Sch 95'!I22</f>
        <v>20012</v>
      </c>
      <c r="W23" s="310">
        <f>+'Sch 139'!F22</f>
        <v>0</v>
      </c>
      <c r="X23" s="115">
        <f>SUM(T23:W23)</f>
        <v>10566</v>
      </c>
      <c r="Y23" s="115">
        <f>SUM(R23,X23)</f>
        <v>394270</v>
      </c>
      <c r="Z23" s="124">
        <f>R23/C23</f>
        <v>6.454187019767739E-2</v>
      </c>
      <c r="AA23" s="124">
        <f>Y23/C23</f>
        <v>6.6319150081412398E-2</v>
      </c>
      <c r="AB23" s="116">
        <f>X23/R23</f>
        <v>2.7536851322894733E-2</v>
      </c>
    </row>
    <row r="24" spans="1:28" x14ac:dyDescent="0.2">
      <c r="A24" s="379">
        <f t="shared" si="4"/>
        <v>17</v>
      </c>
      <c r="B24" s="107">
        <v>43</v>
      </c>
      <c r="C24" s="101">
        <f>+'TY June 2020 Proforma Rev'!E24</f>
        <v>116280759.88464826</v>
      </c>
      <c r="D24" s="72">
        <f>+'TY June 2020 Proforma Rev'!F24</f>
        <v>10673527</v>
      </c>
      <c r="E24" s="72">
        <f>+'Sch 95'!F23</f>
        <v>197712</v>
      </c>
      <c r="F24" s="72">
        <f>+'Sch 95a'!G23</f>
        <v>-133258</v>
      </c>
      <c r="G24" s="72">
        <f>+'Sch 120'!G23</f>
        <v>356517</v>
      </c>
      <c r="H24" s="114">
        <f>+'Sch 129'!$F23</f>
        <v>103490</v>
      </c>
      <c r="I24" s="72">
        <f>+'Sch 137'!F23</f>
        <v>-3954</v>
      </c>
      <c r="J24" s="72">
        <f>+'Sch 139'!E23</f>
        <v>-513</v>
      </c>
      <c r="K24" s="72">
        <f>+'Sch 140'!F23</f>
        <v>355354</v>
      </c>
      <c r="L24" s="72">
        <f>+'Sch 141X'!G23</f>
        <v>-322447</v>
      </c>
      <c r="M24" s="72">
        <f>+'Sch 141Y'!F23</f>
        <v>-6861</v>
      </c>
      <c r="N24" s="72">
        <f>+'Sch 141Z'!G23</f>
        <v>-94536</v>
      </c>
      <c r="O24" s="72">
        <f>+'Sch 142 Deferral'!I23</f>
        <v>336633</v>
      </c>
      <c r="P24" s="72">
        <f>'Sch 194'!F23</f>
        <v>0</v>
      </c>
      <c r="Q24" s="72">
        <f>SUM(E24:P24)</f>
        <v>788137</v>
      </c>
      <c r="R24" s="72">
        <f>SUM(Q24,D24)</f>
        <v>11461664</v>
      </c>
      <c r="S24" s="114"/>
      <c r="T24" s="309">
        <f>-E24</f>
        <v>-197712</v>
      </c>
      <c r="U24" s="310">
        <f t="shared" si="19"/>
        <v>513</v>
      </c>
      <c r="V24" s="114">
        <f>+'Sch 95'!I23</f>
        <v>488491</v>
      </c>
      <c r="W24" s="310">
        <f>+'Sch 139'!F23</f>
        <v>7360</v>
      </c>
      <c r="X24" s="115">
        <f>SUM(T24:W24)</f>
        <v>298652</v>
      </c>
      <c r="Y24" s="115">
        <f>SUM(R24,X24)</f>
        <v>11760316</v>
      </c>
      <c r="Z24" s="124">
        <f>R24/C24</f>
        <v>9.8568877700576527E-2</v>
      </c>
      <c r="AA24" s="124">
        <f>Y24/C24</f>
        <v>0.10113724756930001</v>
      </c>
      <c r="AB24" s="116">
        <f>X24/R24</f>
        <v>2.605660050757028E-2</v>
      </c>
    </row>
    <row r="25" spans="1:28" x14ac:dyDescent="0.2">
      <c r="A25" s="379">
        <f t="shared" si="4"/>
        <v>18</v>
      </c>
      <c r="B25" s="106" t="s">
        <v>192</v>
      </c>
      <c r="C25" s="117">
        <f t="shared" ref="C25:R25" si="20">SUM(C21:C24)</f>
        <v>1457880141.0014627</v>
      </c>
      <c r="D25" s="73">
        <f>SUM(D21:D24)</f>
        <v>125095435</v>
      </c>
      <c r="E25" s="73">
        <f t="shared" si="20"/>
        <v>3051178</v>
      </c>
      <c r="F25" s="73">
        <f t="shared" si="20"/>
        <v>-2056277</v>
      </c>
      <c r="G25" s="73">
        <f t="shared" si="20"/>
        <v>5478135</v>
      </c>
      <c r="H25" s="73">
        <f t="shared" si="20"/>
        <v>1231690</v>
      </c>
      <c r="I25" s="73">
        <f>SUM(I21:I24)</f>
        <v>-61577</v>
      </c>
      <c r="J25" s="73">
        <f>SUM(J21:J24)</f>
        <v>-35418</v>
      </c>
      <c r="K25" s="73">
        <f t="shared" si="20"/>
        <v>3336388</v>
      </c>
      <c r="L25" s="73">
        <f t="shared" si="20"/>
        <v>-3032282</v>
      </c>
      <c r="M25" s="73">
        <f>SUM(M21:M24)</f>
        <v>-63208</v>
      </c>
      <c r="N25" s="73">
        <f t="shared" ref="N25" si="21">SUM(N21:N24)</f>
        <v>-888386</v>
      </c>
      <c r="O25" s="73">
        <f t="shared" si="20"/>
        <v>5052789</v>
      </c>
      <c r="P25" s="73">
        <f>SUM(P21:P24)</f>
        <v>-232804</v>
      </c>
      <c r="Q25" s="73">
        <f t="shared" si="20"/>
        <v>11780228</v>
      </c>
      <c r="R25" s="73">
        <f t="shared" si="20"/>
        <v>136875663</v>
      </c>
      <c r="S25" s="114"/>
      <c r="T25" s="311">
        <f t="shared" ref="T25:Y25" si="22">SUM(T21:T24)</f>
        <v>-3051178</v>
      </c>
      <c r="U25" s="312">
        <f t="shared" ref="U25" si="23">SUM(U21:U24)</f>
        <v>35418</v>
      </c>
      <c r="V25" s="73">
        <f>SUM(V21:V24)</f>
        <v>7577969</v>
      </c>
      <c r="W25" s="312">
        <f>SUM(W21:W24)</f>
        <v>343195</v>
      </c>
      <c r="X25" s="118">
        <f t="shared" si="22"/>
        <v>4905404</v>
      </c>
      <c r="Y25" s="118">
        <f t="shared" si="22"/>
        <v>141781067</v>
      </c>
      <c r="Z25" s="125">
        <f>R25/C25</f>
        <v>9.3886773782360392E-2</v>
      </c>
      <c r="AA25" s="125">
        <f>Y25/C25</f>
        <v>9.7251525013987927E-2</v>
      </c>
      <c r="AB25" s="119">
        <f>X25/R25</f>
        <v>3.583839444123825E-2</v>
      </c>
    </row>
    <row r="26" spans="1:28" x14ac:dyDescent="0.2">
      <c r="A26" s="379">
        <f t="shared" si="4"/>
        <v>19</v>
      </c>
      <c r="B26" s="107"/>
      <c r="C26" s="101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114"/>
      <c r="T26" s="309"/>
      <c r="U26" s="310"/>
      <c r="V26" s="114"/>
      <c r="W26" s="310"/>
      <c r="X26" s="115"/>
      <c r="Y26" s="115"/>
      <c r="Z26" s="124"/>
      <c r="AA26" s="124"/>
      <c r="AB26" s="116"/>
    </row>
    <row r="27" spans="1:28" x14ac:dyDescent="0.2">
      <c r="A27" s="379">
        <f t="shared" si="4"/>
        <v>20</v>
      </c>
      <c r="B27" s="107">
        <v>46</v>
      </c>
      <c r="C27" s="101">
        <f>+'TY June 2020 Proforma Rev'!E27</f>
        <v>81635228</v>
      </c>
      <c r="D27" s="72">
        <f>+'TY June 2020 Proforma Rev'!F27</f>
        <v>5647851</v>
      </c>
      <c r="E27" s="72">
        <f>+'Sch 95'!F26</f>
        <v>148375</v>
      </c>
      <c r="F27" s="72">
        <f>+'Sch 95a'!G26</f>
        <v>-100003</v>
      </c>
      <c r="G27" s="72">
        <f>+'Sch 120'!G26</f>
        <v>290540</v>
      </c>
      <c r="H27" s="114">
        <f>+'Sch 129'!$F26</f>
        <v>55594</v>
      </c>
      <c r="I27" s="72">
        <f>+'Sch 137'!F26</f>
        <v>-3021</v>
      </c>
      <c r="J27" s="72">
        <f>+'Sch 139'!E26</f>
        <v>-10403</v>
      </c>
      <c r="K27" s="72">
        <f>+'Sch 140'!F26</f>
        <v>136168</v>
      </c>
      <c r="L27" s="72">
        <f>+'Sch 141X'!G26</f>
        <v>-125310</v>
      </c>
      <c r="M27" s="72">
        <f>+'Sch 141Y'!F26</f>
        <v>-2776</v>
      </c>
      <c r="N27" s="72">
        <f>+'Sch 141Z'!G26</f>
        <v>-36736</v>
      </c>
      <c r="O27" s="72">
        <f>+'Sch 142 Deferral'!I26</f>
        <v>0</v>
      </c>
      <c r="P27" s="72">
        <f>'Sch 194'!F26</f>
        <v>0</v>
      </c>
      <c r="Q27" s="72">
        <f>SUM(E27:P27)</f>
        <v>352428</v>
      </c>
      <c r="R27" s="72">
        <f>SUM(Q27,D27)</f>
        <v>6000279</v>
      </c>
      <c r="S27" s="114"/>
      <c r="T27" s="309">
        <f>-E27</f>
        <v>-148375</v>
      </c>
      <c r="U27" s="310">
        <f t="shared" ref="U27:U28" si="24">-J27</f>
        <v>10403</v>
      </c>
      <c r="V27" s="114">
        <f>+'Sch 95'!I26</f>
        <v>330723</v>
      </c>
      <c r="W27" s="310">
        <f>+'Sch 139'!F26</f>
        <v>58665</v>
      </c>
      <c r="X27" s="115">
        <f>SUM(T27:W27)</f>
        <v>251416</v>
      </c>
      <c r="Y27" s="115">
        <f>SUM(R27,X27)</f>
        <v>6251695</v>
      </c>
      <c r="Z27" s="124">
        <f>R27/C27</f>
        <v>7.3501099304824624E-2</v>
      </c>
      <c r="AA27" s="124">
        <f>Y27/C27</f>
        <v>7.6580848160306483E-2</v>
      </c>
      <c r="AB27" s="116">
        <f>X27/R27</f>
        <v>4.1900718283266497E-2</v>
      </c>
    </row>
    <row r="28" spans="1:28" x14ac:dyDescent="0.2">
      <c r="A28" s="379">
        <f t="shared" si="4"/>
        <v>21</v>
      </c>
      <c r="B28" s="107">
        <v>49</v>
      </c>
      <c r="C28" s="101">
        <f>+'TY June 2020 Proforma Rev'!E28</f>
        <v>563071445.51999998</v>
      </c>
      <c r="D28" s="72">
        <f>+'TY June 2020 Proforma Rev'!F28</f>
        <v>38129814</v>
      </c>
      <c r="E28" s="72">
        <f>+'Sch 95'!F27</f>
        <v>1107541</v>
      </c>
      <c r="F28" s="72">
        <f>+'Sch 95a'!G27</f>
        <v>-746633</v>
      </c>
      <c r="G28" s="72">
        <f>+'Sch 120'!G27</f>
        <v>1965119</v>
      </c>
      <c r="H28" s="114">
        <f>+'Sch 129'!$F27</f>
        <v>375006</v>
      </c>
      <c r="I28" s="72">
        <f>+'Sch 137'!F27</f>
        <v>-22523</v>
      </c>
      <c r="J28" s="72">
        <f>+'Sch 139'!E27</f>
        <v>-55702</v>
      </c>
      <c r="K28" s="72">
        <f>+'Sch 140'!F27</f>
        <v>939203</v>
      </c>
      <c r="L28" s="72">
        <f>+'Sch 141X'!G27</f>
        <v>-864315</v>
      </c>
      <c r="M28" s="72">
        <f>+'Sch 141Y'!F27</f>
        <v>-19144</v>
      </c>
      <c r="N28" s="72">
        <f>+'Sch 141Z'!G27</f>
        <v>-253382</v>
      </c>
      <c r="O28" s="72">
        <f>+'Sch 142 Deferral'!I27</f>
        <v>0</v>
      </c>
      <c r="P28" s="72">
        <f>'Sch 194'!F27</f>
        <v>0</v>
      </c>
      <c r="Q28" s="72">
        <f>SUM(E28:P28)</f>
        <v>2425170</v>
      </c>
      <c r="R28" s="72">
        <f>SUM(Q28,D28)</f>
        <v>40554984</v>
      </c>
      <c r="S28" s="114"/>
      <c r="T28" s="309">
        <f>-E28</f>
        <v>-1107541</v>
      </c>
      <c r="U28" s="310">
        <f t="shared" si="24"/>
        <v>55702</v>
      </c>
      <c r="V28" s="114">
        <f>+'Sch 95'!I27</f>
        <v>2671312</v>
      </c>
      <c r="W28" s="310">
        <f>+'Sch 139'!F27</f>
        <v>609547</v>
      </c>
      <c r="X28" s="115">
        <f>SUM(T28:W28)</f>
        <v>2229020</v>
      </c>
      <c r="Y28" s="115">
        <f>SUM(R28,X28)</f>
        <v>42784004</v>
      </c>
      <c r="Z28" s="124">
        <f>R28/C28</f>
        <v>7.2024579336547989E-2</v>
      </c>
      <c r="AA28" s="124">
        <f>Y28/C28</f>
        <v>7.598325992270609E-2</v>
      </c>
      <c r="AB28" s="116">
        <f>X28/R28</f>
        <v>5.4962911586896444E-2</v>
      </c>
    </row>
    <row r="29" spans="1:28" x14ac:dyDescent="0.2">
      <c r="A29" s="379">
        <f t="shared" si="4"/>
        <v>22</v>
      </c>
      <c r="B29" s="107" t="s">
        <v>15</v>
      </c>
      <c r="C29" s="117">
        <f>SUM(C27:C28)</f>
        <v>644706673.51999998</v>
      </c>
      <c r="D29" s="73">
        <f>SUM(D27:D28)</f>
        <v>43777665</v>
      </c>
      <c r="E29" s="73">
        <f t="shared" ref="E29:I29" si="25">SUM(E27:E28)</f>
        <v>1255916</v>
      </c>
      <c r="F29" s="73">
        <f t="shared" si="25"/>
        <v>-846636</v>
      </c>
      <c r="G29" s="73">
        <f>SUM(G27:G28)</f>
        <v>2255659</v>
      </c>
      <c r="H29" s="73">
        <f t="shared" si="25"/>
        <v>430600</v>
      </c>
      <c r="I29" s="73">
        <f t="shared" si="25"/>
        <v>-25544</v>
      </c>
      <c r="J29" s="73">
        <f t="shared" ref="J29" si="26">SUM(J27:J28)</f>
        <v>-66105</v>
      </c>
      <c r="K29" s="73">
        <f>SUM(K27:K28)</f>
        <v>1075371</v>
      </c>
      <c r="L29" s="73">
        <f t="shared" ref="L29:Y29" si="27">SUM(L27:L28)</f>
        <v>-989625</v>
      </c>
      <c r="M29" s="73">
        <f>SUM(M27:M28)</f>
        <v>-21920</v>
      </c>
      <c r="N29" s="73">
        <f t="shared" ref="N29" si="28">SUM(N27:N28)</f>
        <v>-290118</v>
      </c>
      <c r="O29" s="73">
        <f t="shared" si="27"/>
        <v>0</v>
      </c>
      <c r="P29" s="73">
        <f>SUM(P27:P28)</f>
        <v>0</v>
      </c>
      <c r="Q29" s="73">
        <f t="shared" si="27"/>
        <v>2777598</v>
      </c>
      <c r="R29" s="73">
        <f t="shared" si="27"/>
        <v>46555263</v>
      </c>
      <c r="S29" s="114"/>
      <c r="T29" s="311">
        <f t="shared" si="27"/>
        <v>-1255916</v>
      </c>
      <c r="U29" s="312">
        <f t="shared" ref="U29" si="29">SUM(U27:U28)</f>
        <v>66105</v>
      </c>
      <c r="V29" s="73">
        <f>SUM(V27:V28)</f>
        <v>3002035</v>
      </c>
      <c r="W29" s="312">
        <f>SUM(W27:W28)</f>
        <v>668212</v>
      </c>
      <c r="X29" s="118">
        <f t="shared" si="27"/>
        <v>2480436</v>
      </c>
      <c r="Y29" s="118">
        <f t="shared" si="27"/>
        <v>49035699</v>
      </c>
      <c r="Z29" s="125">
        <f>R29/C29</f>
        <v>7.2211541949481262E-2</v>
      </c>
      <c r="AA29" s="125">
        <f>Y29/C29</f>
        <v>7.6058928833902972E-2</v>
      </c>
      <c r="AB29" s="119">
        <f>X29/R29</f>
        <v>5.3279389700794946E-2</v>
      </c>
    </row>
    <row r="30" spans="1:28" x14ac:dyDescent="0.2">
      <c r="A30" s="379">
        <f t="shared" si="4"/>
        <v>23</v>
      </c>
      <c r="B30" s="107"/>
      <c r="C30" s="10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114"/>
      <c r="T30" s="309"/>
      <c r="U30" s="310"/>
      <c r="V30" s="114"/>
      <c r="W30" s="310"/>
      <c r="X30" s="115"/>
      <c r="Y30" s="115"/>
      <c r="Z30" s="124"/>
      <c r="AA30" s="124"/>
      <c r="AB30" s="116"/>
    </row>
    <row r="31" spans="1:28" x14ac:dyDescent="0.2">
      <c r="A31" s="379">
        <f t="shared" si="4"/>
        <v>24</v>
      </c>
      <c r="B31" s="107" t="s">
        <v>16</v>
      </c>
      <c r="C31" s="101">
        <f>+'TY June 2020 Proforma Rev'!E31</f>
        <v>68936797.67750001</v>
      </c>
      <c r="D31" s="72">
        <f>+'TY June 2020 Proforma Rev'!F31</f>
        <v>17648843</v>
      </c>
      <c r="E31" s="72">
        <f>+'Sch 95'!F30</f>
        <v>146866</v>
      </c>
      <c r="F31" s="72">
        <f>+'Sch 95a'!G30</f>
        <v>-99131</v>
      </c>
      <c r="G31" s="72">
        <f>+'Sch 120'!G30</f>
        <v>248655</v>
      </c>
      <c r="H31" s="114">
        <f>+'Sch 129'!$F30</f>
        <v>164070</v>
      </c>
      <c r="I31" s="72">
        <f>+'Sch 137'!F30</f>
        <v>-2964</v>
      </c>
      <c r="J31" s="72">
        <f>+'Sch 139'!E30</f>
        <v>0</v>
      </c>
      <c r="K31" s="72">
        <f>+'Sch 140'!F30</f>
        <v>640423</v>
      </c>
      <c r="L31" s="72">
        <f>'Sch 141X'!G30</f>
        <v>-588376</v>
      </c>
      <c r="M31" s="72">
        <f>+'Sch 141Y'!F30</f>
        <v>-12478</v>
      </c>
      <c r="N31" s="72">
        <f>+'Sch 141Z'!G30</f>
        <v>-172549</v>
      </c>
      <c r="O31" s="72">
        <f>+'Sch 142 Deferral'!I30</f>
        <v>0</v>
      </c>
      <c r="P31" s="72">
        <f>'Sch 194'!F32</f>
        <v>-13604</v>
      </c>
      <c r="Q31" s="72">
        <f>SUM(E31:P31)</f>
        <v>310912</v>
      </c>
      <c r="R31" s="72">
        <f>SUM(Q31,D31)</f>
        <v>17959755</v>
      </c>
      <c r="S31" s="114"/>
      <c r="T31" s="309">
        <f>-E31</f>
        <v>-146866</v>
      </c>
      <c r="U31" s="310">
        <f>-J31</f>
        <v>0</v>
      </c>
      <c r="V31" s="114">
        <f>+'Sch 95'!I30</f>
        <v>355737</v>
      </c>
      <c r="W31" s="310">
        <f>+'Sch 139'!F30</f>
        <v>5</v>
      </c>
      <c r="X31" s="115">
        <f>SUM(T31:W31)</f>
        <v>208876</v>
      </c>
      <c r="Y31" s="115">
        <f>SUM(R31,X31)</f>
        <v>18168631</v>
      </c>
      <c r="Z31" s="124">
        <f>R31/C31</f>
        <v>0.2605249388580434</v>
      </c>
      <c r="AA31" s="124">
        <f>Y31/C31</f>
        <v>0.26355490263699882</v>
      </c>
      <c r="AB31" s="116">
        <f>X31/R31</f>
        <v>1.1630225467997754E-2</v>
      </c>
    </row>
    <row r="32" spans="1:28" x14ac:dyDescent="0.2">
      <c r="A32" s="379">
        <f t="shared" si="4"/>
        <v>25</v>
      </c>
      <c r="B32" s="237" t="s">
        <v>344</v>
      </c>
      <c r="C32" s="101">
        <f>+'TY June 2020 Proforma Rev'!E32</f>
        <v>1993508561.5469999</v>
      </c>
      <c r="D32" s="72">
        <f>+'TY June 2020 Proforma Rev'!F32</f>
        <v>9257176.9800000004</v>
      </c>
      <c r="E32" s="72">
        <f>+'Sch 95'!F31</f>
        <v>0</v>
      </c>
      <c r="F32" s="72">
        <f>+'Sch 95a'!G31</f>
        <v>0</v>
      </c>
      <c r="G32" s="72">
        <f>+'Sch 120'!G31</f>
        <v>2087203</v>
      </c>
      <c r="H32" s="114">
        <f>+'Sch 129'!$F31</f>
        <v>85721</v>
      </c>
      <c r="I32" s="72">
        <f>+'Sch 137'!F31</f>
        <v>0</v>
      </c>
      <c r="J32" s="72">
        <f>+'Sch 139'!E31</f>
        <v>0</v>
      </c>
      <c r="K32" s="72">
        <f>+'Sch 140'!F31</f>
        <v>43857</v>
      </c>
      <c r="L32" s="72">
        <f>'Sch 141X'!G31</f>
        <v>-31896</v>
      </c>
      <c r="M32" s="72">
        <f>+'Sch 141Y'!F31</f>
        <v>-13955</v>
      </c>
      <c r="N32" s="72">
        <f>+'Sch 141Z'!G31</f>
        <v>-9968</v>
      </c>
      <c r="O32" s="72">
        <f>+'Sch 142 Deferral'!I31</f>
        <v>0</v>
      </c>
      <c r="P32" s="72">
        <f>'Sch 194'!F34</f>
        <v>0</v>
      </c>
      <c r="Q32" s="72">
        <f>SUM(E32:P32)</f>
        <v>2160962</v>
      </c>
      <c r="R32" s="72">
        <f>SUM(Q32,D32)</f>
        <v>11418138.98</v>
      </c>
      <c r="S32" s="114"/>
      <c r="T32" s="309">
        <f>-E32</f>
        <v>0</v>
      </c>
      <c r="U32" s="310">
        <f>-J32</f>
        <v>0</v>
      </c>
      <c r="V32" s="114">
        <f>+'Sch 95'!I31</f>
        <v>0</v>
      </c>
      <c r="W32" s="310">
        <f>+'Sch 139'!F31</f>
        <v>0</v>
      </c>
      <c r="X32" s="115">
        <f>SUM(T32:W32)</f>
        <v>0</v>
      </c>
      <c r="Y32" s="115">
        <f>SUM(R32,X32)</f>
        <v>11418138.98</v>
      </c>
      <c r="Z32" s="124">
        <f>R32/C32</f>
        <v>5.7276598657491152E-3</v>
      </c>
      <c r="AA32" s="124">
        <f>Y32/C32</f>
        <v>5.7276598657491152E-3</v>
      </c>
      <c r="AB32" s="116">
        <f>X32/R32</f>
        <v>0</v>
      </c>
    </row>
    <row r="33" spans="1:28" x14ac:dyDescent="0.2">
      <c r="A33" s="237">
        <f t="shared" si="4"/>
        <v>26</v>
      </c>
      <c r="B33" s="106" t="s">
        <v>265</v>
      </c>
      <c r="C33" s="101">
        <f>+'TY June 2020 Proforma Rev'!E33</f>
        <v>303234527.03700018</v>
      </c>
      <c r="D33" s="72">
        <f>+'TY June 2020 Proforma Rev'!F33</f>
        <v>4716790.9999999981</v>
      </c>
      <c r="E33" s="72">
        <f>+'Sch 95'!F32</f>
        <v>0</v>
      </c>
      <c r="F33" s="72">
        <f>+'Sch 95a'!G32</f>
        <v>0</v>
      </c>
      <c r="G33" s="72">
        <f>+'Sch 120'!G32</f>
        <v>688949</v>
      </c>
      <c r="H33" s="114">
        <f>+'Sch 129'!$F32</f>
        <v>186186</v>
      </c>
      <c r="I33" s="72">
        <f>+'Sch 137'!F32</f>
        <v>0</v>
      </c>
      <c r="J33" s="72">
        <f>+'Sch 139'!E32</f>
        <v>0</v>
      </c>
      <c r="K33" s="72">
        <f>+'Sch 140'!F32</f>
        <v>147069</v>
      </c>
      <c r="L33" s="72">
        <f>'Sch 141X'!G32</f>
        <v>-290195</v>
      </c>
      <c r="M33" s="72">
        <f>+'Sch 141Y'!F32</f>
        <v>-12129</v>
      </c>
      <c r="N33" s="72">
        <f>+'Sch 141Z'!G32</f>
        <v>-85209</v>
      </c>
      <c r="O33" s="72">
        <f>+'Sch 142 Deferral'!I32</f>
        <v>971867</v>
      </c>
      <c r="P33" s="72">
        <f>'Sch 194'!F35</f>
        <v>0</v>
      </c>
      <c r="Q33" s="72">
        <f>SUM(E33:P33)</f>
        <v>1606538</v>
      </c>
      <c r="R33" s="72">
        <f>SUM(Q33,D33)</f>
        <v>6323328.9999999981</v>
      </c>
      <c r="S33" s="114"/>
      <c r="T33" s="309">
        <f>-E33</f>
        <v>0</v>
      </c>
      <c r="U33" s="310">
        <f>-J33</f>
        <v>0</v>
      </c>
      <c r="V33" s="114">
        <f>+'Sch 95'!I32</f>
        <v>0</v>
      </c>
      <c r="W33" s="310">
        <f>+'Sch 139'!F32</f>
        <v>0</v>
      </c>
      <c r="X33" s="115">
        <f>SUM(T33:W33)</f>
        <v>0</v>
      </c>
      <c r="Y33" s="115">
        <f>SUM(R33,X33)</f>
        <v>6323328.9999999981</v>
      </c>
      <c r="Z33" s="124">
        <f>R33/C33</f>
        <v>2.0852932091167956E-2</v>
      </c>
      <c r="AA33" s="124">
        <f>Y33/C33</f>
        <v>2.0852932091167956E-2</v>
      </c>
      <c r="AB33" s="116">
        <f>X33/R33</f>
        <v>0</v>
      </c>
    </row>
    <row r="34" spans="1:28" x14ac:dyDescent="0.2">
      <c r="A34" s="237">
        <f t="shared" si="4"/>
        <v>27</v>
      </c>
      <c r="B34" s="237"/>
      <c r="C34" s="121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309"/>
      <c r="U34" s="310"/>
      <c r="V34" s="114"/>
      <c r="W34" s="310"/>
      <c r="X34" s="115"/>
      <c r="Y34" s="115"/>
      <c r="Z34" s="124"/>
      <c r="AA34" s="124"/>
      <c r="AB34" s="116"/>
    </row>
    <row r="35" spans="1:28" x14ac:dyDescent="0.2">
      <c r="A35" s="237">
        <f t="shared" si="4"/>
        <v>28</v>
      </c>
      <c r="B35" s="237" t="s">
        <v>345</v>
      </c>
      <c r="C35" s="117">
        <f>SUM(C9,C19,C25,C29,C31:C33)</f>
        <v>22654917793.077297</v>
      </c>
      <c r="D35" s="73">
        <f>SUM(D9,D19,D25,D29,D31:D33)</f>
        <v>2097855263.2185011</v>
      </c>
      <c r="E35" s="73">
        <f t="shared" ref="E35:R35" si="30">SUM(E9,E19,E25,E29,E31:E33)</f>
        <v>43934781</v>
      </c>
      <c r="F35" s="73">
        <f t="shared" si="30"/>
        <v>-29621875</v>
      </c>
      <c r="G35" s="73">
        <f t="shared" si="30"/>
        <v>81831682</v>
      </c>
      <c r="H35" s="73">
        <f t="shared" si="30"/>
        <v>20493517</v>
      </c>
      <c r="I35" s="73">
        <f t="shared" si="30"/>
        <v>-887763</v>
      </c>
      <c r="J35" s="73">
        <f t="shared" ref="J35" si="31">SUM(J9,J19,J25,J29,J31:J33)</f>
        <v>-346320</v>
      </c>
      <c r="K35" s="73">
        <f t="shared" si="30"/>
        <v>56721928</v>
      </c>
      <c r="L35" s="73">
        <f t="shared" si="30"/>
        <v>-54222036</v>
      </c>
      <c r="M35" s="73">
        <f t="shared" si="30"/>
        <v>-1128829</v>
      </c>
      <c r="N35" s="73">
        <f t="shared" ref="N35" si="32">SUM(N9,N19,N25,N29,N31:N33)</f>
        <v>-15893065</v>
      </c>
      <c r="O35" s="73">
        <f t="shared" si="30"/>
        <v>30493616</v>
      </c>
      <c r="P35" s="73">
        <f t="shared" si="30"/>
        <v>-83573707</v>
      </c>
      <c r="Q35" s="73">
        <f t="shared" si="30"/>
        <v>47801929</v>
      </c>
      <c r="R35" s="73">
        <f t="shared" si="30"/>
        <v>2145657192.2185011</v>
      </c>
      <c r="S35" s="114"/>
      <c r="T35" s="311">
        <f t="shared" ref="T35:Y35" si="33">SUM(T9,T19,T25,T29,T31:T33)</f>
        <v>-43934781</v>
      </c>
      <c r="U35" s="312">
        <f t="shared" ref="U35" si="34">SUM(U9,U19,U25,U29,U31:U33)</f>
        <v>346320</v>
      </c>
      <c r="V35" s="73">
        <f t="shared" si="33"/>
        <v>111218611</v>
      </c>
      <c r="W35" s="312">
        <f t="shared" ref="W35" si="35">SUM(W9,W19,W25,W29,W31:W33)</f>
        <v>3234186</v>
      </c>
      <c r="X35" s="118">
        <f t="shared" si="33"/>
        <v>70864336</v>
      </c>
      <c r="Y35" s="118">
        <f t="shared" si="33"/>
        <v>2216521528.2185011</v>
      </c>
      <c r="Z35" s="125">
        <f>R35/C35</f>
        <v>9.471043822874313E-2</v>
      </c>
      <c r="AA35" s="125">
        <f>Y35/C35</f>
        <v>9.7838427332356398E-2</v>
      </c>
      <c r="AB35" s="119">
        <f>X35/R35</f>
        <v>3.3026867598886969E-2</v>
      </c>
    </row>
    <row r="36" spans="1:28" x14ac:dyDescent="0.2">
      <c r="A36" s="237">
        <f t="shared" si="4"/>
        <v>29</v>
      </c>
      <c r="B36" s="107"/>
      <c r="C36" s="121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309"/>
      <c r="U36" s="310"/>
      <c r="V36" s="114"/>
      <c r="W36" s="310"/>
      <c r="X36" s="115"/>
      <c r="Y36" s="115"/>
      <c r="Z36" s="124"/>
      <c r="AA36" s="124"/>
      <c r="AB36" s="116"/>
    </row>
    <row r="37" spans="1:28" x14ac:dyDescent="0.2">
      <c r="A37" s="237">
        <f t="shared" si="4"/>
        <v>30</v>
      </c>
      <c r="B37" s="107">
        <v>5</v>
      </c>
      <c r="C37" s="101">
        <f>+'TY June 2020 Proforma Rev'!E34</f>
        <v>7369853.2214806583</v>
      </c>
      <c r="D37" s="72">
        <f>+'TY June 2020 Proforma Rev'!F34</f>
        <v>346070.24</v>
      </c>
      <c r="E37" s="72">
        <f>+'Sch 95'!F33</f>
        <v>15016</v>
      </c>
      <c r="F37" s="72">
        <f>+'Sch 95a'!G33</f>
        <v>0</v>
      </c>
      <c r="G37" s="72">
        <f>+'Sch 120'!G33</f>
        <v>0</v>
      </c>
      <c r="H37" s="114">
        <f>+'Sch 129'!$F36</f>
        <v>0</v>
      </c>
      <c r="I37" s="72">
        <f>+'Sch 137'!F33</f>
        <v>-302</v>
      </c>
      <c r="J37" s="72">
        <f>+'Sch 139'!E36</f>
        <v>0</v>
      </c>
      <c r="K37" s="72">
        <f>+'Sch 140'!F33</f>
        <v>0</v>
      </c>
      <c r="L37" s="72">
        <f>'Sch 141X'!G33</f>
        <v>0</v>
      </c>
      <c r="M37" s="72">
        <f>+'Sch 141Y'!F33</f>
        <v>0</v>
      </c>
      <c r="N37" s="72">
        <f>+'Sch 141Z'!G33</f>
        <v>0</v>
      </c>
      <c r="O37" s="72">
        <f>+'Sch 142 Deferral'!I33</f>
        <v>0</v>
      </c>
      <c r="P37" s="72">
        <f>'Sch 194'!F36</f>
        <v>0</v>
      </c>
      <c r="Q37" s="72">
        <f>SUM(E37:P37)</f>
        <v>14714</v>
      </c>
      <c r="R37" s="72">
        <f>SUM(Q37,D37)</f>
        <v>360784.24</v>
      </c>
      <c r="S37" s="114"/>
      <c r="T37" s="309">
        <f>-E37</f>
        <v>-15016</v>
      </c>
      <c r="U37" s="310">
        <f>-J37</f>
        <v>0</v>
      </c>
      <c r="V37" s="114">
        <f>+'Sch 95'!I33</f>
        <v>38234</v>
      </c>
      <c r="W37" s="310">
        <f>+'Sch 139'!F33</f>
        <v>0</v>
      </c>
      <c r="X37" s="115">
        <f>SUM(T37:W37)</f>
        <v>23218</v>
      </c>
      <c r="Y37" s="115">
        <f>SUM(R37,X37)</f>
        <v>384002.24</v>
      </c>
      <c r="Z37" s="124">
        <f>R37/C37</f>
        <v>4.8954060434804124E-2</v>
      </c>
      <c r="AA37" s="124">
        <f>Y37/C37</f>
        <v>5.210446239020905E-2</v>
      </c>
      <c r="AB37" s="116">
        <f>X37/R37</f>
        <v>6.4354252281086335E-2</v>
      </c>
    </row>
    <row r="38" spans="1:28" x14ac:dyDescent="0.2">
      <c r="A38" s="237">
        <f t="shared" si="4"/>
        <v>31</v>
      </c>
      <c r="B38" s="107"/>
      <c r="C38" s="121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309"/>
      <c r="U38" s="310"/>
      <c r="V38" s="114"/>
      <c r="W38" s="310"/>
      <c r="X38" s="115"/>
      <c r="Y38" s="115"/>
      <c r="Z38" s="124"/>
      <c r="AA38" s="124"/>
      <c r="AB38" s="116"/>
    </row>
    <row r="39" spans="1:28" ht="12" thickBot="1" x14ac:dyDescent="0.25">
      <c r="A39" s="232">
        <f t="shared" si="4"/>
        <v>32</v>
      </c>
      <c r="B39" s="107" t="s">
        <v>81</v>
      </c>
      <c r="C39" s="120">
        <f>SUM(C35:C37)</f>
        <v>22662287646.298779</v>
      </c>
      <c r="D39" s="137">
        <f t="shared" ref="D39:Y39" si="36">SUM(D35:D37)</f>
        <v>2098201333.4585011</v>
      </c>
      <c r="E39" s="137">
        <f t="shared" si="36"/>
        <v>43949797</v>
      </c>
      <c r="F39" s="137">
        <f t="shared" si="36"/>
        <v>-29621875</v>
      </c>
      <c r="G39" s="137">
        <f t="shared" si="36"/>
        <v>81831682</v>
      </c>
      <c r="H39" s="137">
        <f>SUM(H35:H37)</f>
        <v>20493517</v>
      </c>
      <c r="I39" s="137">
        <f t="shared" si="36"/>
        <v>-888065</v>
      </c>
      <c r="J39" s="137">
        <f t="shared" ref="J39" si="37">SUM(J35:J37)</f>
        <v>-346320</v>
      </c>
      <c r="K39" s="137">
        <f t="shared" si="36"/>
        <v>56721928</v>
      </c>
      <c r="L39" s="137">
        <f t="shared" si="36"/>
        <v>-54222036</v>
      </c>
      <c r="M39" s="137">
        <f t="shared" si="36"/>
        <v>-1128829</v>
      </c>
      <c r="N39" s="137">
        <f t="shared" ref="N39" si="38">SUM(N35:N37)</f>
        <v>-15893065</v>
      </c>
      <c r="O39" s="137">
        <f t="shared" si="36"/>
        <v>30493616</v>
      </c>
      <c r="P39" s="137">
        <f>SUM(P35:P37)</f>
        <v>-83573707</v>
      </c>
      <c r="Q39" s="137">
        <f t="shared" si="36"/>
        <v>47816643</v>
      </c>
      <c r="R39" s="137">
        <f t="shared" si="36"/>
        <v>2146017976.4585011</v>
      </c>
      <c r="S39" s="134"/>
      <c r="T39" s="313">
        <f>SUM(T35:T37)</f>
        <v>-43949797</v>
      </c>
      <c r="U39" s="314">
        <f>SUM(U35:U37)</f>
        <v>346320</v>
      </c>
      <c r="V39" s="137">
        <f>SUM(V35:V37)</f>
        <v>111256845</v>
      </c>
      <c r="W39" s="314">
        <f>SUM(W35:W37)</f>
        <v>3234186</v>
      </c>
      <c r="X39" s="396">
        <f>SUM(X35:X37)</f>
        <v>70887554</v>
      </c>
      <c r="Y39" s="396">
        <f t="shared" si="36"/>
        <v>2216905530.4585009</v>
      </c>
      <c r="Z39" s="241">
        <f>R39/C39</f>
        <v>9.4695558098654278E-2</v>
      </c>
      <c r="AA39" s="241">
        <f>Y39/C39</f>
        <v>9.7823554491003356E-2</v>
      </c>
      <c r="AB39" s="242">
        <f>X39/R39</f>
        <v>3.3032134295996565E-2</v>
      </c>
    </row>
    <row r="40" spans="1:28" ht="12" thickTop="1" x14ac:dyDescent="0.2">
      <c r="A40" s="249">
        <f t="shared" si="4"/>
        <v>33</v>
      </c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397"/>
      <c r="U40" s="398"/>
      <c r="V40" s="134"/>
      <c r="W40" s="398"/>
      <c r="X40" s="133"/>
      <c r="Y40" s="133"/>
    </row>
    <row r="41" spans="1:28" ht="12" thickBot="1" x14ac:dyDescent="0.25">
      <c r="A41" s="249">
        <f t="shared" si="4"/>
        <v>34</v>
      </c>
      <c r="B41" s="88" t="s">
        <v>76</v>
      </c>
      <c r="C41" s="120">
        <f>+'TY June 2020 Proforma Rev'!E36</f>
        <v>22662287646.298779</v>
      </c>
      <c r="D41" s="120">
        <f>+'TY June 2020 Proforma Rev'!F36</f>
        <v>2098201333.4585011</v>
      </c>
      <c r="E41" s="137">
        <f>+'Sch 95'!F35</f>
        <v>43949797</v>
      </c>
      <c r="F41" s="137">
        <f>+'Sch 95a'!G35</f>
        <v>-29621875</v>
      </c>
      <c r="G41" s="137">
        <f>+'Sch 120'!G35</f>
        <v>81831682</v>
      </c>
      <c r="H41" s="137">
        <f>+'Sch 129'!$F35</f>
        <v>20493517</v>
      </c>
      <c r="I41" s="137">
        <f>+'Sch 137'!F35</f>
        <v>-888065</v>
      </c>
      <c r="J41" s="137">
        <f>+'Sch 139'!E35</f>
        <v>-346320</v>
      </c>
      <c r="K41" s="137">
        <f>+'Sch 140'!F35</f>
        <v>56721928</v>
      </c>
      <c r="L41" s="137">
        <f>+'Sch 141X'!G35</f>
        <v>-54222036</v>
      </c>
      <c r="M41" s="137">
        <f>+'Sch 141Y'!F35</f>
        <v>-1128829</v>
      </c>
      <c r="N41" s="137">
        <f>+'Sch 141Z'!G35</f>
        <v>-15893065</v>
      </c>
      <c r="O41" s="137">
        <f>+'Sch 142 Deferral'!I35</f>
        <v>30493616</v>
      </c>
      <c r="P41" s="137">
        <f>'Sch 194'!F38</f>
        <v>-83573707</v>
      </c>
      <c r="Q41" s="137">
        <f>SUM(E41:P41)</f>
        <v>47816643</v>
      </c>
      <c r="R41" s="137">
        <f>+Q41+D41</f>
        <v>2146017976.4585011</v>
      </c>
      <c r="S41" s="133"/>
      <c r="T41" s="313">
        <f>-E41</f>
        <v>-43949797</v>
      </c>
      <c r="U41" s="314">
        <f>-J41</f>
        <v>346320</v>
      </c>
      <c r="V41" s="137">
        <f>+'Sch 95'!I35</f>
        <v>111256845</v>
      </c>
      <c r="W41" s="314">
        <f>+'Sch 139'!F35</f>
        <v>3234186</v>
      </c>
      <c r="X41" s="137">
        <f>SUM(T41:W41)</f>
        <v>70887554</v>
      </c>
      <c r="Y41" s="137">
        <f>+X41+R41</f>
        <v>2216905530.4585009</v>
      </c>
    </row>
    <row r="42" spans="1:28" ht="12" thickTop="1" x14ac:dyDescent="0.2">
      <c r="A42" s="249">
        <f t="shared" si="4"/>
        <v>35</v>
      </c>
      <c r="B42" s="88" t="s">
        <v>76</v>
      </c>
      <c r="C42" s="101">
        <f t="shared" ref="C42:R42" si="39">+C39-C41</f>
        <v>0</v>
      </c>
      <c r="D42" s="133">
        <f t="shared" si="39"/>
        <v>0</v>
      </c>
      <c r="E42" s="133">
        <f>+E39-E41</f>
        <v>0</v>
      </c>
      <c r="F42" s="133">
        <f t="shared" si="39"/>
        <v>0</v>
      </c>
      <c r="G42" s="133">
        <f t="shared" si="39"/>
        <v>0</v>
      </c>
      <c r="H42" s="133">
        <f t="shared" si="39"/>
        <v>0</v>
      </c>
      <c r="I42" s="133">
        <f t="shared" si="39"/>
        <v>0</v>
      </c>
      <c r="J42" s="133">
        <f t="shared" ref="J42" si="40">+J39-J41</f>
        <v>0</v>
      </c>
      <c r="K42" s="133">
        <f t="shared" si="39"/>
        <v>0</v>
      </c>
      <c r="L42" s="133">
        <f t="shared" si="39"/>
        <v>0</v>
      </c>
      <c r="M42" s="133">
        <f t="shared" si="39"/>
        <v>0</v>
      </c>
      <c r="N42" s="133">
        <f t="shared" ref="N42" si="41">+N39-N41</f>
        <v>0</v>
      </c>
      <c r="O42" s="133">
        <f t="shared" si="39"/>
        <v>0</v>
      </c>
      <c r="P42" s="133">
        <f t="shared" si="39"/>
        <v>0</v>
      </c>
      <c r="Q42" s="133">
        <f t="shared" si="39"/>
        <v>0</v>
      </c>
      <c r="R42" s="133">
        <f t="shared" si="39"/>
        <v>0</v>
      </c>
      <c r="S42" s="133"/>
      <c r="T42" s="397">
        <f>+T39-T41</f>
        <v>0</v>
      </c>
      <c r="U42" s="398">
        <f>+U39-U41</f>
        <v>0</v>
      </c>
      <c r="V42" s="134">
        <f>+V39-V41</f>
        <v>0</v>
      </c>
      <c r="W42" s="398">
        <f>+W39-W41</f>
        <v>0</v>
      </c>
      <c r="X42" s="133">
        <f t="shared" ref="X42:Y42" si="42">+X39-X41</f>
        <v>0</v>
      </c>
      <c r="Y42" s="133">
        <f t="shared" si="42"/>
        <v>0</v>
      </c>
    </row>
    <row r="43" spans="1:28" ht="12" thickBot="1" x14ac:dyDescent="0.25">
      <c r="A43" s="435"/>
      <c r="T43" s="317"/>
      <c r="U43" s="318"/>
      <c r="V43" s="478"/>
      <c r="W43" s="479"/>
    </row>
  </sheetData>
  <mergeCells count="2">
    <mergeCell ref="T6:U6"/>
    <mergeCell ref="V6:W6"/>
  </mergeCells>
  <printOptions horizontalCentered="1"/>
  <pageMargins left="0.25" right="0.25" top="0.75" bottom="0.75" header="0.3" footer="0.3"/>
  <pageSetup scale="65" orientation="landscape" r:id="rId1"/>
  <headerFooter>
    <oddFooter>&amp;L&amp;"Times New Roman,Regular"&amp;F&amp;R&amp;"Times New Roman,Regular"&amp;A
Page &amp;P of &amp;N</oddFooter>
  </headerFooter>
  <colBreaks count="1" manualBreakCount="1">
    <brk id="17" max="38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>
      <pane xSplit="3" ySplit="6" topLeftCell="D7" activePane="bottomRight" state="frozen"/>
      <selection activeCell="S38" sqref="S38"/>
      <selection pane="topRight" activeCell="S38" sqref="S38"/>
      <selection pane="bottomLeft" activeCell="S38" sqref="S38"/>
      <selection pane="bottomRight" activeCell="E8" sqref="E8"/>
    </sheetView>
  </sheetViews>
  <sheetFormatPr defaultColWidth="4.28515625" defaultRowHeight="11.25" x14ac:dyDescent="0.2"/>
  <cols>
    <col min="1" max="1" width="4.7109375" style="74" bestFit="1" customWidth="1"/>
    <col min="2" max="2" width="8.140625" style="74" bestFit="1" customWidth="1"/>
    <col min="3" max="3" width="16.7109375" style="74" bestFit="1" customWidth="1"/>
    <col min="4" max="4" width="2.7109375" style="138" customWidth="1"/>
    <col min="5" max="8" width="12.7109375" style="74" customWidth="1"/>
    <col min="9" max="10" width="4.28515625" style="74"/>
    <col min="11" max="11" width="9.5703125" style="74" bestFit="1" customWidth="1"/>
    <col min="12" max="16384" width="4.28515625" style="74"/>
  </cols>
  <sheetData>
    <row r="1" spans="1:11" x14ac:dyDescent="0.2">
      <c r="A1" s="612" t="s">
        <v>0</v>
      </c>
      <c r="B1" s="612"/>
      <c r="C1" s="612"/>
      <c r="D1" s="612"/>
      <c r="E1" s="612"/>
      <c r="F1" s="612"/>
      <c r="G1" s="612"/>
      <c r="H1" s="416"/>
    </row>
    <row r="2" spans="1:11" x14ac:dyDescent="0.2">
      <c r="A2" s="613" t="s">
        <v>458</v>
      </c>
      <c r="B2" s="612"/>
      <c r="C2" s="612"/>
      <c r="D2" s="612"/>
      <c r="E2" s="612"/>
      <c r="F2" s="612"/>
      <c r="G2" s="612"/>
      <c r="H2" s="416"/>
    </row>
    <row r="3" spans="1:11" x14ac:dyDescent="0.2">
      <c r="A3" s="613" t="s">
        <v>459</v>
      </c>
      <c r="B3" s="612"/>
      <c r="C3" s="612"/>
      <c r="D3" s="612"/>
      <c r="E3" s="612"/>
      <c r="F3" s="612"/>
      <c r="G3" s="612"/>
      <c r="H3" s="416"/>
    </row>
    <row r="4" spans="1:11" x14ac:dyDescent="0.2">
      <c r="A4" s="614" t="s">
        <v>456</v>
      </c>
      <c r="B4" s="609"/>
      <c r="C4" s="609"/>
      <c r="D4" s="609"/>
      <c r="E4" s="609"/>
      <c r="F4" s="609"/>
      <c r="G4" s="609"/>
      <c r="H4" s="416"/>
    </row>
    <row r="5" spans="1:11" x14ac:dyDescent="0.2">
      <c r="D5" s="77"/>
      <c r="E5" s="611"/>
      <c r="F5" s="611"/>
      <c r="G5" s="611"/>
      <c r="H5" s="418"/>
    </row>
    <row r="6" spans="1:11" s="80" customFormat="1" ht="56.25" x14ac:dyDescent="0.2">
      <c r="A6" s="80" t="str">
        <f>+'Sch 95'!A6</f>
        <v>Line No.</v>
      </c>
      <c r="B6" s="80" t="str">
        <f>+'Sch 95'!B6</f>
        <v>Tariff</v>
      </c>
      <c r="C6" s="80" t="str">
        <f>+'Sch 95'!C6</f>
        <v>Description</v>
      </c>
      <c r="D6" s="132"/>
      <c r="E6" s="102" t="str">
        <f>+'Exh BDJ-8 p1-2 (Rate Impacts)'!C6</f>
        <v>Annual kWh Normalized &amp; Delivered Sales  07/01/19 to 06/30/20</v>
      </c>
      <c r="F6" s="110" t="str">
        <f>+'Exh BDJ-8 p1-2 (Rate Impacts)'!C6</f>
        <v>Annual kWh Normalized &amp; Delivered Sales  07/01/19 to 06/30/20</v>
      </c>
      <c r="G6" s="110" t="str">
        <f>+'Exh BDJ-8 p1-2 (Rate Impacts)'!D6</f>
        <v>Estimated Annual
Base Revenue
Rates Effective
10/15/20</v>
      </c>
      <c r="H6" s="111"/>
    </row>
    <row r="7" spans="1:11" s="80" customFormat="1" x14ac:dyDescent="0.2">
      <c r="D7" s="132"/>
      <c r="E7" s="235" t="s">
        <v>84</v>
      </c>
      <c r="F7" s="417" t="s">
        <v>85</v>
      </c>
      <c r="G7" s="235" t="s">
        <v>457</v>
      </c>
      <c r="H7" s="417"/>
    </row>
    <row r="8" spans="1:11" x14ac:dyDescent="0.2">
      <c r="A8" s="74">
        <f>+'Sch 95'!A7</f>
        <v>1</v>
      </c>
      <c r="B8" s="250">
        <f>+'Sch 95'!B7</f>
        <v>7</v>
      </c>
      <c r="D8" s="134"/>
      <c r="E8" s="101">
        <f>+'[65]Proforma kWh &amp; Revenue'!$D$9</f>
        <v>10863043096.272161</v>
      </c>
      <c r="F8" s="133">
        <f>+'[65]Proforma kWh &amp; Revenue'!$J$9</f>
        <v>1198750986.2385011</v>
      </c>
      <c r="G8" s="157">
        <f t="shared" ref="G8:G9" si="0">+F8/E8</f>
        <v>0.11035130539525088</v>
      </c>
      <c r="H8" s="133"/>
      <c r="K8" s="135"/>
    </row>
    <row r="9" spans="1:11" x14ac:dyDescent="0.2">
      <c r="A9" s="74">
        <f>+'Sch 95'!A8</f>
        <v>2</v>
      </c>
      <c r="B9" s="250" t="str">
        <f>+'Sch 95'!B8</f>
        <v>7A</v>
      </c>
      <c r="D9" s="134"/>
      <c r="E9" s="101">
        <f>+'[65]Proforma kWh &amp; Revenue'!$D$10</f>
        <v>2376000</v>
      </c>
      <c r="F9" s="133">
        <f>+'[65]Proforma kWh &amp; Revenue'!$J$10</f>
        <v>206898</v>
      </c>
      <c r="G9" s="157">
        <f t="shared" si="0"/>
        <v>8.7078282828282824E-2</v>
      </c>
      <c r="H9" s="133"/>
    </row>
    <row r="10" spans="1:11" x14ac:dyDescent="0.2">
      <c r="A10" s="74">
        <f>+'Sch 95'!A9</f>
        <v>3</v>
      </c>
      <c r="B10" s="250"/>
      <c r="C10" s="74" t="str">
        <f>+'Sch 95'!C9</f>
        <v>Residential</v>
      </c>
      <c r="D10" s="134"/>
      <c r="E10" s="117">
        <f>SUM(E8:E9)</f>
        <v>10865419096.272161</v>
      </c>
      <c r="F10" s="136">
        <f>SUM(F8:F9)</f>
        <v>1198957884.2385011</v>
      </c>
      <c r="G10" s="157"/>
      <c r="H10" s="134"/>
    </row>
    <row r="11" spans="1:11" x14ac:dyDescent="0.2">
      <c r="A11" s="74">
        <f>+'Sch 95'!A10</f>
        <v>4</v>
      </c>
      <c r="B11" s="250"/>
      <c r="D11" s="134"/>
      <c r="E11" s="101"/>
      <c r="F11" s="133"/>
      <c r="G11" s="157"/>
      <c r="H11" s="133"/>
    </row>
    <row r="12" spans="1:11" x14ac:dyDescent="0.2">
      <c r="A12" s="74">
        <f>+'Sch 95'!A11</f>
        <v>5</v>
      </c>
      <c r="B12" s="250">
        <f>+'Sch 95'!B11</f>
        <v>8</v>
      </c>
      <c r="D12" s="134"/>
      <c r="E12" s="101">
        <f>+'[65]Delivered kWh'!$E$15</f>
        <v>252362620.54679149</v>
      </c>
      <c r="F12" s="133">
        <f>+E12*G12</f>
        <v>26024978.514890872</v>
      </c>
      <c r="G12" s="157">
        <f>+G13</f>
        <v>0.10312532996567725</v>
      </c>
      <c r="H12" s="133"/>
    </row>
    <row r="13" spans="1:11" x14ac:dyDescent="0.2">
      <c r="A13" s="74">
        <f>+'Sch 95'!A12</f>
        <v>6</v>
      </c>
      <c r="B13" s="250">
        <f>+'Sch 95'!B12</f>
        <v>24</v>
      </c>
      <c r="D13" s="134"/>
      <c r="E13" s="101">
        <f>+'[65]Proforma kWh &amp; Revenue'!$D$13-E12</f>
        <v>2333975906.454967</v>
      </c>
      <c r="F13" s="133">
        <f>+'[65]Proforma kWh &amp; Revenue'!$J$13-F12</f>
        <v>240692035.48510912</v>
      </c>
      <c r="G13" s="157">
        <f>+'[65]Proforma kWh &amp; Revenue'!$J$13/'[65]Proforma kWh &amp; Revenue'!$D$13</f>
        <v>0.10312532996567725</v>
      </c>
      <c r="H13" s="133"/>
    </row>
    <row r="14" spans="1:11" x14ac:dyDescent="0.2">
      <c r="A14" s="74">
        <f>+'Sch 95'!A13</f>
        <v>7</v>
      </c>
      <c r="B14" s="250">
        <f>+'Sch 95'!B13</f>
        <v>11</v>
      </c>
      <c r="D14" s="134"/>
      <c r="E14" s="101">
        <f>+'[65]Delivered kWh'!$E$17</f>
        <v>135958671.66260606</v>
      </c>
      <c r="F14" s="133">
        <f>+E14*G14</f>
        <v>12795481.341433641</v>
      </c>
      <c r="G14" s="157">
        <f>+G15</f>
        <v>9.4113021147976525E-2</v>
      </c>
      <c r="H14" s="133"/>
    </row>
    <row r="15" spans="1:11" x14ac:dyDescent="0.2">
      <c r="A15" s="74">
        <f>+'Sch 95'!A14</f>
        <v>8</v>
      </c>
      <c r="B15" s="250">
        <f>+'Sch 95'!B14</f>
        <v>25</v>
      </c>
      <c r="D15" s="134"/>
      <c r="E15" s="101">
        <f>+'[65]Proforma kWh &amp; Revenue'!$D$14-E14</f>
        <v>2746336782.1565623</v>
      </c>
      <c r="F15" s="133">
        <f>+'[65]Proforma kWh &amp; Revenue'!$J$14-F14</f>
        <v>258466051.65856636</v>
      </c>
      <c r="G15" s="157">
        <f>+'[65]Proforma kWh &amp; Revenue'!$J$14/'[65]Proforma kWh &amp; Revenue'!$D$14</f>
        <v>9.4113021147976525E-2</v>
      </c>
      <c r="H15" s="133"/>
    </row>
    <row r="16" spans="1:11" x14ac:dyDescent="0.2">
      <c r="A16" s="74">
        <f>+'Sch 95'!A15</f>
        <v>9</v>
      </c>
      <c r="B16" s="250">
        <f>+'Sch 95'!B15</f>
        <v>12</v>
      </c>
      <c r="D16" s="134"/>
      <c r="E16" s="101">
        <f>+'[65]Delivered kWh'!$E$18</f>
        <v>16430488</v>
      </c>
      <c r="F16" s="133">
        <f>+E16*G16</f>
        <v>1422327.5969585124</v>
      </c>
      <c r="G16" s="157">
        <f>+G17</f>
        <v>8.6566363516318717E-2</v>
      </c>
      <c r="H16" s="133"/>
    </row>
    <row r="17" spans="1:8" x14ac:dyDescent="0.2">
      <c r="A17" s="74">
        <f>+'Sch 95'!A16</f>
        <v>10</v>
      </c>
      <c r="B17" s="250" t="str">
        <f>+'Sch 95'!B16</f>
        <v>26 &amp; 26P</v>
      </c>
      <c r="D17" s="134"/>
      <c r="E17" s="101">
        <f>+'[65]Proforma kWh &amp; Revenue'!$D$15+'[65]Proforma kWh &amp; Revenue'!$D$16-E16</f>
        <v>1824742786.7668719</v>
      </c>
      <c r="F17" s="133">
        <f>+'[65]Proforma kWh &amp; Revenue'!$J$15+'[65]Proforma kWh &amp; Revenue'!$J$16-F16</f>
        <v>157961347.40304148</v>
      </c>
      <c r="G17" s="157">
        <f>SUM('[65]Proforma kWh &amp; Revenue'!$J$15:$J$16)/SUM('[65]Proforma kWh &amp; Revenue'!$D$15:$D$16)</f>
        <v>8.6566363516318717E-2</v>
      </c>
      <c r="H17" s="133"/>
    </row>
    <row r="18" spans="1:8" x14ac:dyDescent="0.2">
      <c r="A18" s="74">
        <f>+'Sch 95'!A17</f>
        <v>11</v>
      </c>
      <c r="B18" s="250">
        <f>+'Sch 95'!B17</f>
        <v>29</v>
      </c>
      <c r="D18" s="134"/>
      <c r="E18" s="101">
        <f>+'[65]Proforma kWh &amp; Revenue'!$D$17</f>
        <v>11424740.434375001</v>
      </c>
      <c r="F18" s="133">
        <f>+'[65]Proforma kWh &amp; Revenue'!$J$17</f>
        <v>1039246</v>
      </c>
      <c r="G18" s="157">
        <f>+F18/E18</f>
        <v>9.0964517397095046E-2</v>
      </c>
      <c r="H18" s="133"/>
    </row>
    <row r="19" spans="1:8" x14ac:dyDescent="0.2">
      <c r="A19" s="74">
        <f>+'Sch 95'!A18</f>
        <v>12</v>
      </c>
      <c r="B19" s="250"/>
      <c r="C19" s="74" t="str">
        <f>+'Sch 95'!C18</f>
        <v>Total Secondary Voltage</v>
      </c>
      <c r="D19" s="134"/>
      <c r="E19" s="117">
        <f>SUM(E12:E18)</f>
        <v>7321231996.0221739</v>
      </c>
      <c r="F19" s="136">
        <f>SUM(F12:F18)</f>
        <v>698401468</v>
      </c>
      <c r="G19" s="157"/>
      <c r="H19" s="134"/>
    </row>
    <row r="20" spans="1:8" x14ac:dyDescent="0.2">
      <c r="A20" s="74">
        <f>+'Sch 95'!A19</f>
        <v>13</v>
      </c>
      <c r="B20" s="250"/>
      <c r="D20" s="134"/>
      <c r="E20" s="101"/>
      <c r="F20" s="133"/>
      <c r="G20" s="157"/>
      <c r="H20" s="133"/>
    </row>
    <row r="21" spans="1:8" x14ac:dyDescent="0.2">
      <c r="A21" s="74">
        <f>+'Sch 95'!A20</f>
        <v>14</v>
      </c>
      <c r="B21" s="250">
        <f>+'Sch 95'!B20</f>
        <v>10</v>
      </c>
      <c r="D21" s="134"/>
      <c r="E21" s="101">
        <f>+'[65]Delivered kWh'!$E$16</f>
        <v>25573920</v>
      </c>
      <c r="F21" s="133">
        <f>+E21*G21</f>
        <v>2183192.683293927</v>
      </c>
      <c r="G21" s="157">
        <f>+G22</f>
        <v>8.536793277268119E-2</v>
      </c>
      <c r="H21" s="133"/>
    </row>
    <row r="22" spans="1:8" x14ac:dyDescent="0.2">
      <c r="A22" s="74">
        <f>+'Sch 95'!A21</f>
        <v>15</v>
      </c>
      <c r="B22" s="250">
        <f>+'Sch 95'!B21</f>
        <v>31</v>
      </c>
      <c r="D22" s="134"/>
      <c r="E22" s="101">
        <f>+'[65]Proforma kWh &amp; Revenue'!$D$20-E21</f>
        <v>1310080421.1168144</v>
      </c>
      <c r="F22" s="133">
        <f>+'[65]Proforma kWh &amp; Revenue'!$J$20-F21</f>
        <v>111838857.31670608</v>
      </c>
      <c r="G22" s="157">
        <f>+'[65]Proforma kWh &amp; Revenue'!$J$20/'[65]Proforma kWh &amp; Revenue'!$D$20</f>
        <v>8.536793277268119E-2</v>
      </c>
      <c r="H22" s="133"/>
    </row>
    <row r="23" spans="1:8" x14ac:dyDescent="0.2">
      <c r="A23" s="74">
        <f>+'Sch 95'!A22</f>
        <v>16</v>
      </c>
      <c r="B23" s="250">
        <f>+'Sch 95'!B22</f>
        <v>35</v>
      </c>
      <c r="D23" s="134"/>
      <c r="E23" s="101">
        <f>+'[65]Proforma kWh &amp; Revenue'!$D$21</f>
        <v>5945040</v>
      </c>
      <c r="F23" s="133">
        <f>+'[65]Proforma kWh &amp; Revenue'!$J$21</f>
        <v>399858</v>
      </c>
      <c r="G23" s="157">
        <f t="shared" ref="G23:G24" si="1">+F23/E23</f>
        <v>6.725909329457834E-2</v>
      </c>
      <c r="H23" s="133"/>
    </row>
    <row r="24" spans="1:8" x14ac:dyDescent="0.2">
      <c r="A24" s="74">
        <f>+'Sch 95'!A23</f>
        <v>17</v>
      </c>
      <c r="B24" s="250">
        <f>+'Sch 95'!B23</f>
        <v>43</v>
      </c>
      <c r="D24" s="134"/>
      <c r="E24" s="101">
        <f>+'[65]Proforma kWh &amp; Revenue'!$D$22</f>
        <v>116280759.88464826</v>
      </c>
      <c r="F24" s="133">
        <f>+ '[65]Proforma kWh &amp; Revenue'!$J$22</f>
        <v>10673527</v>
      </c>
      <c r="G24" s="157">
        <f t="shared" si="1"/>
        <v>9.1790998017111783E-2</v>
      </c>
      <c r="H24" s="133"/>
    </row>
    <row r="25" spans="1:8" x14ac:dyDescent="0.2">
      <c r="A25" s="74">
        <f>+'Sch 95'!A24</f>
        <v>18</v>
      </c>
      <c r="B25" s="250"/>
      <c r="C25" s="74" t="str">
        <f>+'Sch 95'!C24</f>
        <v>Total Primary Voltage</v>
      </c>
      <c r="D25" s="134"/>
      <c r="E25" s="117">
        <f>SUM(E21:E24)</f>
        <v>1457880141.0014627</v>
      </c>
      <c r="F25" s="136">
        <f>SUM(F21:F24)</f>
        <v>125095435</v>
      </c>
      <c r="G25" s="157"/>
      <c r="H25" s="134"/>
    </row>
    <row r="26" spans="1:8" x14ac:dyDescent="0.2">
      <c r="A26" s="74">
        <f>+'Sch 95'!A25</f>
        <v>19</v>
      </c>
      <c r="B26" s="250"/>
      <c r="D26" s="134"/>
      <c r="E26" s="101"/>
      <c r="F26" s="133"/>
      <c r="G26" s="157"/>
      <c r="H26" s="133"/>
    </row>
    <row r="27" spans="1:8" x14ac:dyDescent="0.2">
      <c r="A27" s="74">
        <f>+'Sch 95'!A26</f>
        <v>20</v>
      </c>
      <c r="B27" s="250">
        <f>+'Sch 95'!B26</f>
        <v>46</v>
      </c>
      <c r="D27" s="134"/>
      <c r="E27" s="101">
        <f>+'[65]Proforma kWh &amp; Revenue'!$D$27</f>
        <v>81635228</v>
      </c>
      <c r="F27" s="133">
        <f>+'[65]Proforma kWh &amp; Revenue'!$J$27</f>
        <v>5647851</v>
      </c>
      <c r="G27" s="157">
        <f t="shared" ref="G27:G28" si="2">+F27/E27</f>
        <v>6.9183992479325218E-2</v>
      </c>
      <c r="H27" s="133"/>
    </row>
    <row r="28" spans="1:8" x14ac:dyDescent="0.2">
      <c r="A28" s="74">
        <f>+'Sch 95'!A27</f>
        <v>21</v>
      </c>
      <c r="B28" s="250">
        <f>+'Sch 95'!B27</f>
        <v>49</v>
      </c>
      <c r="D28" s="134"/>
      <c r="E28" s="101">
        <f>+'[65]Proforma kWh &amp; Revenue'!$D$28</f>
        <v>563071445.51999998</v>
      </c>
      <c r="F28" s="133">
        <f>+'[65]Proforma kWh &amp; Revenue'!$J$28</f>
        <v>38129814</v>
      </c>
      <c r="G28" s="157">
        <f t="shared" si="2"/>
        <v>6.771754153646857E-2</v>
      </c>
      <c r="H28" s="133"/>
    </row>
    <row r="29" spans="1:8" x14ac:dyDescent="0.2">
      <c r="A29" s="74">
        <f>+'Sch 95'!A28</f>
        <v>22</v>
      </c>
      <c r="B29" s="250"/>
      <c r="C29" s="74" t="str">
        <f>+'Sch 95'!C28</f>
        <v>Total High Voltage</v>
      </c>
      <c r="D29" s="134"/>
      <c r="E29" s="117">
        <f>SUM(E27:E28)</f>
        <v>644706673.51999998</v>
      </c>
      <c r="F29" s="136">
        <f>SUM(F27:F28)</f>
        <v>43777665</v>
      </c>
      <c r="G29" s="157"/>
      <c r="H29" s="134"/>
    </row>
    <row r="30" spans="1:8" x14ac:dyDescent="0.2">
      <c r="A30" s="74">
        <f>+'Sch 95'!A29</f>
        <v>23</v>
      </c>
      <c r="B30" s="250"/>
      <c r="D30" s="134"/>
      <c r="E30" s="101"/>
      <c r="F30" s="133"/>
      <c r="G30" s="157"/>
      <c r="H30" s="133"/>
    </row>
    <row r="31" spans="1:8" x14ac:dyDescent="0.2">
      <c r="A31" s="74">
        <f>+'Sch 95'!A28</f>
        <v>22</v>
      </c>
      <c r="B31" s="250" t="str">
        <f>+'Sch 95'!B30</f>
        <v>50-59</v>
      </c>
      <c r="C31" s="74" t="s">
        <v>156</v>
      </c>
      <c r="D31" s="134"/>
      <c r="E31" s="101">
        <f>+'[65]Proforma kWh &amp; Revenue'!$D$31</f>
        <v>68936797.67750001</v>
      </c>
      <c r="F31" s="133">
        <f>+'[65]Proforma kWh &amp; Revenue'!$J$31</f>
        <v>17648843</v>
      </c>
      <c r="G31" s="157">
        <f t="shared" ref="G31:G34" si="3">+F31/E31</f>
        <v>0.25601483669962133</v>
      </c>
      <c r="H31" s="133"/>
    </row>
    <row r="32" spans="1:8" x14ac:dyDescent="0.2">
      <c r="A32" s="74">
        <f>+'Sch 95'!A29</f>
        <v>23</v>
      </c>
      <c r="B32" s="250" t="s">
        <v>17</v>
      </c>
      <c r="C32" s="74" t="s">
        <v>110</v>
      </c>
      <c r="D32" s="134"/>
      <c r="E32" s="101">
        <f>+'[65]Sch 449 - Transportation'!$C$6+'[65]Sch 449 - Transportation'!$C$24</f>
        <v>1993508561.5469999</v>
      </c>
      <c r="F32" s="133">
        <f>+'[65]Sch 449 - Transportation'!$C$22+'[65]Sch 449 - Transportation'!$C$26</f>
        <v>9257176.9800000004</v>
      </c>
      <c r="G32" s="157">
        <f t="shared" si="3"/>
        <v>4.6436605081927804E-3</v>
      </c>
      <c r="H32" s="133"/>
    </row>
    <row r="33" spans="1:9" x14ac:dyDescent="0.2">
      <c r="A33" s="74">
        <f>+'Sch 95'!A30</f>
        <v>24</v>
      </c>
      <c r="B33" s="250" t="s">
        <v>347</v>
      </c>
      <c r="C33" s="74" t="s">
        <v>265</v>
      </c>
      <c r="D33" s="134"/>
      <c r="E33" s="101">
        <f>+'[65]Proforma kWh &amp; Revenue'!$D$33-E32</f>
        <v>303234527.03700018</v>
      </c>
      <c r="F33" s="133">
        <f>+'[65]Proforma kWh &amp; Revenue'!$J$33-F32</f>
        <v>4716790.9999999981</v>
      </c>
      <c r="G33" s="157">
        <f t="shared" si="3"/>
        <v>1.5554927224446518E-2</v>
      </c>
      <c r="H33" s="133"/>
    </row>
    <row r="34" spans="1:9" x14ac:dyDescent="0.2">
      <c r="A34" s="74">
        <f>+'Sch 95'!A31</f>
        <v>25</v>
      </c>
      <c r="B34" s="250">
        <f>+'Sch 95'!B33</f>
        <v>5</v>
      </c>
      <c r="C34" s="74" t="str">
        <f>+'Sch 95'!C33</f>
        <v>Firm Resale</v>
      </c>
      <c r="D34" s="134"/>
      <c r="E34" s="101">
        <f>+'[65]Proforma kWh &amp; Revenue'!$D$37</f>
        <v>7369853.2214806583</v>
      </c>
      <c r="F34" s="133">
        <f>+'[65]Proforma kWh &amp; Revenue'!$J$37</f>
        <v>346070.24</v>
      </c>
      <c r="G34" s="157">
        <f t="shared" si="3"/>
        <v>4.6957548488390642E-2</v>
      </c>
      <c r="H34" s="133"/>
    </row>
    <row r="35" spans="1:9" x14ac:dyDescent="0.2">
      <c r="A35" s="74">
        <f>+'Sch 95'!A32</f>
        <v>26</v>
      </c>
      <c r="B35" s="250"/>
      <c r="D35" s="134"/>
      <c r="E35" s="88"/>
      <c r="F35" s="133"/>
      <c r="G35" s="157"/>
      <c r="H35" s="133"/>
    </row>
    <row r="36" spans="1:9" ht="12" thickBot="1" x14ac:dyDescent="0.25">
      <c r="A36" s="74">
        <f>+'Sch 95'!A33</f>
        <v>27</v>
      </c>
      <c r="B36" s="250"/>
      <c r="C36" s="74" t="str">
        <f>+'Sch 95'!C35</f>
        <v>Total Sales</v>
      </c>
      <c r="D36" s="134"/>
      <c r="E36" s="120">
        <f>SUM(E10,E19,E25,E29,E31:E34)</f>
        <v>22662287646.298779</v>
      </c>
      <c r="F36" s="137">
        <f>SUM(F10,F19,F25,F29,F31:F34)</f>
        <v>2098201333.4585011</v>
      </c>
      <c r="G36" s="157"/>
      <c r="H36" s="236"/>
    </row>
    <row r="37" spans="1:9" ht="12" thickTop="1" x14ac:dyDescent="0.2">
      <c r="G37" s="233"/>
      <c r="H37" s="416"/>
    </row>
    <row r="38" spans="1:9" x14ac:dyDescent="0.2">
      <c r="G38" s="233"/>
      <c r="H38" s="416"/>
      <c r="I38" s="233"/>
    </row>
    <row r="41" spans="1:9" x14ac:dyDescent="0.2">
      <c r="E41" s="140"/>
      <c r="F41" s="140"/>
    </row>
  </sheetData>
  <mergeCells count="5">
    <mergeCell ref="E5:G5"/>
    <mergeCell ref="A1:G1"/>
    <mergeCell ref="A2:G2"/>
    <mergeCell ref="A3:G3"/>
    <mergeCell ref="A4:G4"/>
  </mergeCells>
  <printOptions horizontalCentered="1"/>
  <pageMargins left="0.25" right="0.25" top="0.75" bottom="0.75" header="0.3" footer="0.3"/>
  <pageSetup orientation="landscape" r:id="rId1"/>
  <headerFooter>
    <oddFooter>&amp;L&amp;"Times New Roman,Regular"&amp;F&amp;R&amp;"Times New Roman,Regular"&amp;A
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52"/>
  <sheetViews>
    <sheetView zoomScaleNormal="100" workbookViewId="0">
      <pane xSplit="2" ySplit="6" topLeftCell="C28" activePane="bottomRight" state="frozen"/>
      <selection activeCell="E10" sqref="E10"/>
      <selection pane="topRight" activeCell="E10" sqref="E10"/>
      <selection pane="bottomLeft" activeCell="E10" sqref="E10"/>
      <selection pane="bottomRight" sqref="A1:BL51"/>
    </sheetView>
  </sheetViews>
  <sheetFormatPr defaultColWidth="80.28515625" defaultRowHeight="11.25" x14ac:dyDescent="0.2"/>
  <cols>
    <col min="1" max="1" width="25.5703125" style="88" customWidth="1"/>
    <col min="2" max="2" width="6.42578125" style="88" bestFit="1" customWidth="1"/>
    <col min="3" max="3" width="9" style="88" bestFit="1" customWidth="1"/>
    <col min="4" max="4" width="9.140625" style="88" bestFit="1" customWidth="1"/>
    <col min="5" max="5" width="12.7109375" style="88" bestFit="1" customWidth="1"/>
    <col min="6" max="6" width="9.7109375" style="88" bestFit="1" customWidth="1"/>
    <col min="7" max="10" width="10.7109375" style="88" bestFit="1" customWidth="1"/>
    <col min="11" max="11" width="11.140625" style="88" bestFit="1" customWidth="1"/>
    <col min="12" max="12" width="10.85546875" style="88" bestFit="1" customWidth="1"/>
    <col min="13" max="13" width="11.140625" style="88" bestFit="1" customWidth="1"/>
    <col min="14" max="14" width="10.140625" style="88" bestFit="1" customWidth="1"/>
    <col min="15" max="15" width="11.140625" style="88" bestFit="1" customWidth="1"/>
    <col min="16" max="16" width="10.140625" style="88" bestFit="1" customWidth="1"/>
    <col min="17" max="18" width="10.7109375" style="88" bestFit="1" customWidth="1"/>
    <col min="19" max="19" width="10.140625" style="88" bestFit="1" customWidth="1"/>
    <col min="20" max="20" width="10.7109375" style="88" bestFit="1" customWidth="1"/>
    <col min="21" max="21" width="12.42578125" style="88" customWidth="1"/>
    <col min="22" max="22" width="9.140625" style="88" bestFit="1" customWidth="1"/>
    <col min="23" max="24" width="10.7109375" style="88" bestFit="1" customWidth="1"/>
    <col min="25" max="25" width="9.140625" style="88" bestFit="1" customWidth="1"/>
    <col min="26" max="26" width="10.7109375" style="88" bestFit="1" customWidth="1"/>
    <col min="27" max="27" width="10.140625" style="88" bestFit="1" customWidth="1"/>
    <col min="28" max="28" width="9.140625" style="88" bestFit="1" customWidth="1"/>
    <col min="29" max="31" width="9" style="88" bestFit="1" customWidth="1"/>
    <col min="32" max="33" width="9.140625" style="88" bestFit="1" customWidth="1"/>
    <col min="34" max="34" width="9" style="88" bestFit="1" customWidth="1"/>
    <col min="35" max="36" width="10.7109375" style="88" bestFit="1" customWidth="1"/>
    <col min="37" max="37" width="9" style="88" bestFit="1" customWidth="1"/>
    <col min="38" max="39" width="10.7109375" style="88" bestFit="1" customWidth="1"/>
    <col min="40" max="40" width="12.7109375" style="88" bestFit="1" customWidth="1"/>
    <col min="41" max="41" width="9.42578125" style="88" bestFit="1" customWidth="1"/>
    <col min="42" max="42" width="11.140625" style="88" bestFit="1" customWidth="1"/>
    <col min="43" max="43" width="10.140625" style="88" bestFit="1" customWidth="1"/>
    <col min="44" max="44" width="14.140625" style="88" bestFit="1" customWidth="1"/>
    <col min="45" max="45" width="10.140625" style="88" bestFit="1" customWidth="1"/>
    <col min="46" max="46" width="5.28515625" style="88" customWidth="1"/>
    <col min="47" max="47" width="12.7109375" style="88" bestFit="1" customWidth="1"/>
    <col min="48" max="48" width="8" style="88" bestFit="1" customWidth="1"/>
    <col min="49" max="49" width="14.5703125" style="88" bestFit="1" customWidth="1"/>
    <col min="50" max="51" width="11.140625" style="88" bestFit="1" customWidth="1"/>
    <col min="52" max="52" width="9.140625" style="88" bestFit="1" customWidth="1"/>
    <col min="53" max="53" width="11.140625" style="88" bestFit="1" customWidth="1"/>
    <col min="54" max="54" width="7.85546875" style="88" bestFit="1" customWidth="1"/>
    <col min="55" max="55" width="10.140625" style="88" bestFit="1" customWidth="1"/>
    <col min="56" max="56" width="10.7109375" style="88" bestFit="1" customWidth="1"/>
    <col min="57" max="57" width="9.140625" style="88" bestFit="1" customWidth="1"/>
    <col min="58" max="58" width="10.140625" style="88" bestFit="1" customWidth="1"/>
    <col min="59" max="59" width="9.140625" style="88" bestFit="1" customWidth="1"/>
    <col min="60" max="60" width="10.28515625" style="88" bestFit="1" customWidth="1"/>
    <col min="61" max="61" width="13.28515625" style="88" bestFit="1" customWidth="1"/>
    <col min="62" max="62" width="11.140625" style="88" bestFit="1" customWidth="1"/>
    <col min="63" max="63" width="12.7109375" style="88" bestFit="1" customWidth="1"/>
    <col min="64" max="64" width="10.140625" style="88" bestFit="1" customWidth="1"/>
    <col min="65" max="65" width="22.140625" style="88" bestFit="1" customWidth="1"/>
    <col min="66" max="66" width="23.7109375" style="88" bestFit="1" customWidth="1"/>
    <col min="67" max="16384" width="80.28515625" style="88"/>
  </cols>
  <sheetData>
    <row r="1" spans="1:64" ht="12.75" x14ac:dyDescent="0.2">
      <c r="A1" s="484" t="s">
        <v>348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4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6"/>
      <c r="AU1" s="615" t="s">
        <v>348</v>
      </c>
      <c r="AV1" s="615"/>
      <c r="AW1" s="615"/>
      <c r="AX1" s="615"/>
      <c r="AY1" s="615"/>
      <c r="AZ1" s="615"/>
      <c r="BA1" s="615"/>
      <c r="BB1" s="615"/>
      <c r="BC1" s="615"/>
      <c r="BD1" s="615"/>
      <c r="BE1" s="615"/>
      <c r="BF1" s="615"/>
      <c r="BG1" s="615"/>
      <c r="BH1" s="615"/>
      <c r="BI1" s="615"/>
      <c r="BJ1" s="615"/>
      <c r="BK1" s="615"/>
      <c r="BL1" s="615"/>
    </row>
    <row r="2" spans="1:64" ht="12.75" x14ac:dyDescent="0.2">
      <c r="A2" s="484" t="s">
        <v>383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4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6"/>
      <c r="AU2" s="615" t="s">
        <v>383</v>
      </c>
      <c r="AV2" s="615"/>
      <c r="AW2" s="615"/>
      <c r="AX2" s="615"/>
      <c r="AY2" s="615"/>
      <c r="AZ2" s="615"/>
      <c r="BA2" s="615"/>
      <c r="BB2" s="615"/>
      <c r="BC2" s="615"/>
      <c r="BD2" s="615"/>
      <c r="BE2" s="615"/>
      <c r="BF2" s="615"/>
      <c r="BG2" s="615"/>
      <c r="BH2" s="615"/>
      <c r="BI2" s="615"/>
      <c r="BJ2" s="615"/>
      <c r="BK2" s="615"/>
      <c r="BL2" s="615"/>
    </row>
    <row r="3" spans="1:64" ht="12.75" x14ac:dyDescent="0.2">
      <c r="A3" s="487" t="s">
        <v>204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7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485"/>
      <c r="AN3" s="485"/>
      <c r="AO3" s="485"/>
      <c r="AP3" s="485"/>
      <c r="AQ3" s="485"/>
      <c r="AR3" s="485"/>
      <c r="AS3" s="485"/>
      <c r="AT3" s="486"/>
      <c r="AU3" s="615" t="s">
        <v>204</v>
      </c>
      <c r="AV3" s="615"/>
      <c r="AW3" s="615"/>
      <c r="AX3" s="615"/>
      <c r="AY3" s="615"/>
      <c r="AZ3" s="615"/>
      <c r="BA3" s="615"/>
      <c r="BB3" s="615"/>
      <c r="BC3" s="615"/>
      <c r="BD3" s="615"/>
      <c r="BE3" s="615"/>
      <c r="BF3" s="615"/>
      <c r="BG3" s="615"/>
      <c r="BH3" s="615"/>
      <c r="BI3" s="615"/>
      <c r="BJ3" s="615"/>
      <c r="BK3" s="615"/>
      <c r="BL3" s="615"/>
    </row>
    <row r="4" spans="1:64" ht="15.75" x14ac:dyDescent="0.25">
      <c r="A4" s="488" t="s">
        <v>384</v>
      </c>
      <c r="B4" s="489"/>
      <c r="C4" s="489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8"/>
      <c r="V4" s="485"/>
      <c r="W4" s="485"/>
      <c r="X4" s="485"/>
      <c r="Y4" s="485"/>
      <c r="Z4" s="485"/>
      <c r="AA4" s="485"/>
      <c r="AB4" s="485"/>
      <c r="AC4" s="485"/>
      <c r="AD4" s="485"/>
      <c r="AE4" s="485"/>
      <c r="AF4" s="485"/>
      <c r="AG4" s="485"/>
      <c r="AH4" s="485"/>
      <c r="AI4" s="485"/>
      <c r="AJ4" s="485"/>
      <c r="AK4" s="485"/>
      <c r="AL4" s="485"/>
      <c r="AM4" s="485"/>
      <c r="AN4" s="485"/>
      <c r="AO4" s="485"/>
      <c r="AP4" s="485"/>
      <c r="AQ4" s="485"/>
      <c r="AR4" s="485"/>
      <c r="AS4" s="485"/>
      <c r="AT4" s="486"/>
      <c r="AU4" s="486"/>
      <c r="AV4" s="486"/>
      <c r="AW4" s="486"/>
      <c r="AX4" s="486"/>
      <c r="AY4" s="486"/>
      <c r="AZ4" s="486"/>
      <c r="BA4" s="486"/>
      <c r="BB4" s="486"/>
      <c r="BC4" s="486"/>
      <c r="BD4" s="486"/>
      <c r="BE4" s="486"/>
      <c r="BF4" s="486"/>
      <c r="BG4" s="486"/>
      <c r="BH4" s="486"/>
      <c r="BI4" s="486"/>
      <c r="BJ4" s="486"/>
      <c r="BK4" s="486"/>
      <c r="BL4" s="486"/>
    </row>
    <row r="5" spans="1:64" ht="12.75" x14ac:dyDescent="0.2">
      <c r="A5" s="485"/>
      <c r="B5" s="485"/>
      <c r="C5" s="485" t="s">
        <v>349</v>
      </c>
      <c r="D5" s="485" t="s">
        <v>209</v>
      </c>
      <c r="E5" s="485" t="s">
        <v>11</v>
      </c>
      <c r="F5" s="485" t="s">
        <v>11</v>
      </c>
      <c r="G5" s="485" t="s">
        <v>207</v>
      </c>
      <c r="H5" s="485" t="s">
        <v>207</v>
      </c>
      <c r="I5" s="485" t="s">
        <v>207</v>
      </c>
      <c r="J5" s="485" t="s">
        <v>207</v>
      </c>
      <c r="K5" s="485" t="s">
        <v>207</v>
      </c>
      <c r="L5" s="485" t="s">
        <v>208</v>
      </c>
      <c r="M5" s="485" t="s">
        <v>207</v>
      </c>
      <c r="N5" s="485" t="s">
        <v>208</v>
      </c>
      <c r="O5" s="485" t="s">
        <v>207</v>
      </c>
      <c r="P5" s="485" t="s">
        <v>208</v>
      </c>
      <c r="Q5" s="485" t="s">
        <v>207</v>
      </c>
      <c r="R5" s="485" t="s">
        <v>207</v>
      </c>
      <c r="S5" s="485" t="s">
        <v>208</v>
      </c>
      <c r="T5" s="485" t="s">
        <v>207</v>
      </c>
      <c r="U5" s="485" t="s">
        <v>207</v>
      </c>
      <c r="V5" s="485" t="s">
        <v>208</v>
      </c>
      <c r="W5" s="485" t="s">
        <v>207</v>
      </c>
      <c r="X5" s="485" t="s">
        <v>207</v>
      </c>
      <c r="Y5" s="485" t="s">
        <v>208</v>
      </c>
      <c r="Z5" s="485" t="s">
        <v>207</v>
      </c>
      <c r="AA5" s="485" t="s">
        <v>208</v>
      </c>
      <c r="AB5" s="485" t="s">
        <v>349</v>
      </c>
      <c r="AC5" s="485" t="s">
        <v>349</v>
      </c>
      <c r="AD5" s="485" t="s">
        <v>349</v>
      </c>
      <c r="AE5" s="485" t="s">
        <v>349</v>
      </c>
      <c r="AF5" s="485" t="s">
        <v>349</v>
      </c>
      <c r="AG5" s="485" t="s">
        <v>349</v>
      </c>
      <c r="AH5" s="485" t="s">
        <v>349</v>
      </c>
      <c r="AI5" s="485" t="s">
        <v>207</v>
      </c>
      <c r="AJ5" s="485" t="s">
        <v>207</v>
      </c>
      <c r="AK5" s="485" t="s">
        <v>349</v>
      </c>
      <c r="AL5" s="485" t="s">
        <v>207</v>
      </c>
      <c r="AM5" s="485" t="s">
        <v>207</v>
      </c>
      <c r="AN5" s="485"/>
      <c r="AO5" s="485" t="s">
        <v>350</v>
      </c>
      <c r="AP5" s="485" t="s">
        <v>350</v>
      </c>
      <c r="AQ5" s="485" t="s">
        <v>350</v>
      </c>
      <c r="AR5" s="485"/>
      <c r="AS5" s="485"/>
      <c r="AT5" s="486"/>
      <c r="AU5" s="486"/>
      <c r="AV5" s="486"/>
      <c r="AW5" s="486"/>
      <c r="AX5" s="486"/>
      <c r="AY5" s="486"/>
      <c r="AZ5" s="486"/>
      <c r="BA5" s="486"/>
      <c r="BB5" s="486"/>
      <c r="BC5" s="486"/>
      <c r="BD5" s="486"/>
      <c r="BE5" s="486"/>
      <c r="BF5" s="486"/>
      <c r="BG5" s="486"/>
      <c r="BH5" s="486"/>
      <c r="BI5" s="486"/>
      <c r="BJ5" s="486"/>
      <c r="BK5" s="486"/>
      <c r="BL5" s="486"/>
    </row>
    <row r="6" spans="1:64" ht="15" x14ac:dyDescent="0.25">
      <c r="A6" s="490" t="s">
        <v>205</v>
      </c>
      <c r="B6" s="490" t="s">
        <v>206</v>
      </c>
      <c r="C6" s="490" t="s">
        <v>213</v>
      </c>
      <c r="D6" s="491" t="s">
        <v>214</v>
      </c>
      <c r="E6" s="491" t="s">
        <v>215</v>
      </c>
      <c r="F6" s="491" t="s">
        <v>216</v>
      </c>
      <c r="G6" s="491" t="s">
        <v>217</v>
      </c>
      <c r="H6" s="491" t="s">
        <v>218</v>
      </c>
      <c r="I6" s="491" t="s">
        <v>219</v>
      </c>
      <c r="J6" s="491" t="s">
        <v>220</v>
      </c>
      <c r="K6" s="491" t="s">
        <v>221</v>
      </c>
      <c r="L6" s="491" t="s">
        <v>222</v>
      </c>
      <c r="M6" s="491" t="s">
        <v>223</v>
      </c>
      <c r="N6" s="491" t="s">
        <v>224</v>
      </c>
      <c r="O6" s="491" t="s">
        <v>225</v>
      </c>
      <c r="P6" s="491" t="s">
        <v>226</v>
      </c>
      <c r="Q6" s="491" t="s">
        <v>227</v>
      </c>
      <c r="R6" s="491" t="s">
        <v>228</v>
      </c>
      <c r="S6" s="491" t="s">
        <v>229</v>
      </c>
      <c r="T6" s="491" t="s">
        <v>230</v>
      </c>
      <c r="U6" s="491" t="s">
        <v>231</v>
      </c>
      <c r="V6" s="491" t="s">
        <v>232</v>
      </c>
      <c r="W6" s="491" t="s">
        <v>233</v>
      </c>
      <c r="X6" s="491" t="s">
        <v>234</v>
      </c>
      <c r="Y6" s="491" t="s">
        <v>235</v>
      </c>
      <c r="Z6" s="491" t="s">
        <v>236</v>
      </c>
      <c r="AA6" s="491" t="s">
        <v>237</v>
      </c>
      <c r="AB6" s="491" t="s">
        <v>238</v>
      </c>
      <c r="AC6" s="491" t="s">
        <v>239</v>
      </c>
      <c r="AD6" s="491" t="s">
        <v>240</v>
      </c>
      <c r="AE6" s="491" t="s">
        <v>241</v>
      </c>
      <c r="AF6" s="491" t="s">
        <v>242</v>
      </c>
      <c r="AG6" s="491" t="s">
        <v>243</v>
      </c>
      <c r="AH6" s="491" t="s">
        <v>244</v>
      </c>
      <c r="AI6" s="491" t="s">
        <v>245</v>
      </c>
      <c r="AJ6" s="491" t="s">
        <v>246</v>
      </c>
      <c r="AK6" s="491" t="s">
        <v>247</v>
      </c>
      <c r="AL6" s="491" t="s">
        <v>248</v>
      </c>
      <c r="AM6" s="492" t="s">
        <v>249</v>
      </c>
      <c r="AN6" s="493" t="s">
        <v>210</v>
      </c>
      <c r="AO6" s="490" t="s">
        <v>250</v>
      </c>
      <c r="AP6" s="491" t="s">
        <v>251</v>
      </c>
      <c r="AQ6" s="492" t="s">
        <v>252</v>
      </c>
      <c r="AR6" s="493" t="s">
        <v>212</v>
      </c>
      <c r="AS6" s="493" t="s">
        <v>351</v>
      </c>
      <c r="AT6" s="493"/>
      <c r="AU6" s="493" t="s">
        <v>253</v>
      </c>
      <c r="AV6" s="493" t="s">
        <v>254</v>
      </c>
      <c r="AW6" s="493" t="s">
        <v>255</v>
      </c>
      <c r="AX6" s="493" t="s">
        <v>256</v>
      </c>
      <c r="AY6" s="493" t="s">
        <v>257</v>
      </c>
      <c r="AZ6" s="493" t="s">
        <v>258</v>
      </c>
      <c r="BA6" s="493" t="s">
        <v>259</v>
      </c>
      <c r="BB6" s="493" t="s">
        <v>260</v>
      </c>
      <c r="BC6" s="493" t="s">
        <v>261</v>
      </c>
      <c r="BD6" s="493" t="s">
        <v>343</v>
      </c>
      <c r="BE6" s="493" t="s">
        <v>262</v>
      </c>
      <c r="BF6" s="493" t="s">
        <v>263</v>
      </c>
      <c r="BG6" s="493" t="s">
        <v>108</v>
      </c>
      <c r="BH6" s="493" t="s">
        <v>80</v>
      </c>
      <c r="BI6" s="493" t="s">
        <v>110</v>
      </c>
      <c r="BJ6" s="493" t="s">
        <v>351</v>
      </c>
      <c r="BK6" s="493" t="s">
        <v>264</v>
      </c>
      <c r="BL6" s="493" t="s">
        <v>76</v>
      </c>
    </row>
    <row r="7" spans="1:64" ht="12.75" x14ac:dyDescent="0.2">
      <c r="A7" s="494">
        <v>2020</v>
      </c>
      <c r="B7" s="494">
        <v>1</v>
      </c>
      <c r="C7" s="495">
        <v>520.87796269754426</v>
      </c>
      <c r="D7" s="496">
        <v>1025000</v>
      </c>
      <c r="E7" s="496">
        <v>1329993391.4825923</v>
      </c>
      <c r="F7" s="496">
        <v>287608.51740739751</v>
      </c>
      <c r="G7" s="496">
        <v>27587039.040131584</v>
      </c>
      <c r="H7" s="496">
        <v>3449447.1212674179</v>
      </c>
      <c r="I7" s="496">
        <v>16170624.591269892</v>
      </c>
      <c r="J7" s="496">
        <v>1783136.4497022945</v>
      </c>
      <c r="K7" s="496">
        <v>248648815.42971709</v>
      </c>
      <c r="L7" s="496">
        <v>8825479.1914716158</v>
      </c>
      <c r="M7" s="496">
        <v>246763469.82022655</v>
      </c>
      <c r="N7" s="496">
        <v>15493125.358129255</v>
      </c>
      <c r="O7" s="496">
        <v>136649792.90910432</v>
      </c>
      <c r="P7" s="496">
        <v>16613852.949865256</v>
      </c>
      <c r="Q7" s="496">
        <v>320677.13363014482</v>
      </c>
      <c r="R7" s="496">
        <v>72114482.0961667</v>
      </c>
      <c r="S7" s="496">
        <v>40461162.200378247</v>
      </c>
      <c r="T7" s="496">
        <v>2998.8052733074919</v>
      </c>
      <c r="U7" s="496">
        <v>3181063.7313918686</v>
      </c>
      <c r="V7" s="496">
        <v>4648207.5327765383</v>
      </c>
      <c r="W7" s="496">
        <v>15260993.648191024</v>
      </c>
      <c r="X7" s="496">
        <v>1717071.3812319855</v>
      </c>
      <c r="Y7" s="496">
        <v>3956675.3251200463</v>
      </c>
      <c r="Z7" s="496">
        <v>36652992.423108101</v>
      </c>
      <c r="AA7" s="496">
        <v>9842497.4422590323</v>
      </c>
      <c r="AB7" s="496">
        <v>1155600.7252935974</v>
      </c>
      <c r="AC7" s="496">
        <v>98688.671498817188</v>
      </c>
      <c r="AD7" s="496">
        <v>4289.2487447935637</v>
      </c>
      <c r="AE7" s="496">
        <v>233286.76319720497</v>
      </c>
      <c r="AF7" s="496">
        <v>1006550.9266629149</v>
      </c>
      <c r="AG7" s="496">
        <v>2595807.9212473617</v>
      </c>
      <c r="AH7" s="496">
        <v>478727.83686840051</v>
      </c>
      <c r="AI7" s="496">
        <v>153295.00505492408</v>
      </c>
      <c r="AJ7" s="496">
        <v>141742.33650328309</v>
      </c>
      <c r="AK7" s="496">
        <v>434527.02852421236</v>
      </c>
      <c r="AL7" s="496">
        <v>193748.02642515145</v>
      </c>
      <c r="AM7" s="496">
        <v>7610.0516043010275</v>
      </c>
      <c r="AN7" s="497">
        <v>2247954000</v>
      </c>
      <c r="AO7" s="496">
        <v>5707636.7257327344</v>
      </c>
      <c r="AP7" s="496">
        <v>136234719.01235116</v>
      </c>
      <c r="AQ7" s="496">
        <v>26008644.261916105</v>
      </c>
      <c r="AR7" s="497">
        <v>2415905000</v>
      </c>
      <c r="AS7" s="497">
        <v>43673125.728938505</v>
      </c>
      <c r="AT7" s="486"/>
      <c r="AU7" s="498">
        <f>ROUND(E7,-3)</f>
        <v>1329993000</v>
      </c>
      <c r="AV7" s="498">
        <f t="shared" ref="AV7:AV18" si="0">ROUND(F7,-3)</f>
        <v>288000</v>
      </c>
      <c r="AW7" s="498">
        <f t="shared" ref="AW7:AW18" si="1">ROUND(SUM(G7,K7:L7,AB7),-3)</f>
        <v>286217000</v>
      </c>
      <c r="AX7" s="498">
        <f>ROUND(SUM(I7,M7:N7,AC7),-3)</f>
        <v>278526000</v>
      </c>
      <c r="AY7" s="498">
        <f t="shared" ref="AY7:AY18" si="2">ROUND(SUM(J7,O7:P7),-3)</f>
        <v>155047000</v>
      </c>
      <c r="AZ7" s="498">
        <f t="shared" ref="AZ7:AZ18" si="3">ROUND(SUM(Q7),-3)</f>
        <v>321000</v>
      </c>
      <c r="BA7" s="498">
        <f t="shared" ref="BA7:BA18" si="4">ROUND(SUM(H7,R7:S7),-3)</f>
        <v>116025000</v>
      </c>
      <c r="BB7" s="498">
        <f t="shared" ref="BB7:BB18" si="5">ROUND(SUM(T7),-3)</f>
        <v>3000</v>
      </c>
      <c r="BC7" s="498">
        <f t="shared" ref="BC7:BC18" si="6">ROUND(SUM(W7),-3)</f>
        <v>15261000</v>
      </c>
      <c r="BD7" s="498">
        <f t="shared" ref="BD7:BD18" si="7">ROUND(SUM(U7:V7),-3)</f>
        <v>7829000</v>
      </c>
      <c r="BE7" s="498">
        <f t="shared" ref="BE7:BE18" si="8">ROUND(SUM(X7:Y7),-3)</f>
        <v>5674000</v>
      </c>
      <c r="BF7" s="498">
        <f t="shared" ref="BF7:BF18" si="9">ROUND(SUM(Z7:AA7),-3)</f>
        <v>46495000</v>
      </c>
      <c r="BG7" s="498">
        <f t="shared" ref="BG7:BG18" si="10">ROUND(SUM(,C7,AD7:AM7),-3)</f>
        <v>5250000</v>
      </c>
      <c r="BH7" s="498">
        <f t="shared" ref="BH7:BH18" si="11">ROUND(SUM(D7),-3)</f>
        <v>1025000</v>
      </c>
      <c r="BI7" s="498">
        <f t="shared" ref="BI7:BI18" si="12">ROUND(SUM(AO7:AQ7),-3)</f>
        <v>167951000</v>
      </c>
      <c r="BJ7" s="498">
        <f t="shared" ref="BJ7:BJ18" si="13">ROUND(SUM(AS7),-3)</f>
        <v>43673000</v>
      </c>
      <c r="BK7" s="498">
        <f t="shared" ref="BK7:BK18" si="14">SUM(AU7:BJ7)</f>
        <v>2459578000</v>
      </c>
      <c r="BL7" s="498">
        <f t="shared" ref="BL7:BL18" si="15">ROUND(BK7,-3)-ROUND(AR7+AS7,-3)</f>
        <v>0</v>
      </c>
    </row>
    <row r="8" spans="1:64" ht="15" x14ac:dyDescent="0.25">
      <c r="A8" s="499">
        <f>A7</f>
        <v>2020</v>
      </c>
      <c r="B8" s="500">
        <v>2</v>
      </c>
      <c r="C8" s="501">
        <v>486.20188311810915</v>
      </c>
      <c r="D8" s="498">
        <v>824000</v>
      </c>
      <c r="E8" s="498">
        <v>1062163452.9239837</v>
      </c>
      <c r="F8" s="498">
        <v>211547.07601629573</v>
      </c>
      <c r="G8" s="498">
        <v>23603163.121679917</v>
      </c>
      <c r="H8" s="498">
        <v>2940222.940206835</v>
      </c>
      <c r="I8" s="498">
        <v>13169781.241011273</v>
      </c>
      <c r="J8" s="498">
        <v>1549830.4982015865</v>
      </c>
      <c r="K8" s="498">
        <v>209092961.37150475</v>
      </c>
      <c r="L8" s="498">
        <v>7494412.6485698475</v>
      </c>
      <c r="M8" s="498">
        <v>220005893.15863952</v>
      </c>
      <c r="N8" s="498">
        <v>14072056.185520174</v>
      </c>
      <c r="O8" s="498">
        <v>120748653.1608402</v>
      </c>
      <c r="P8" s="498">
        <v>15806246.274721602</v>
      </c>
      <c r="Q8" s="498">
        <v>271537.77978210087</v>
      </c>
      <c r="R8" s="498">
        <v>64450250.947213091</v>
      </c>
      <c r="S8" s="498">
        <v>36108014.924172513</v>
      </c>
      <c r="T8" s="498">
        <v>2720.1952741265004</v>
      </c>
      <c r="U8" s="498">
        <v>4724149.9288902255</v>
      </c>
      <c r="V8" s="498">
        <v>4125053.3896593465</v>
      </c>
      <c r="W8" s="498">
        <v>13328199.56506145</v>
      </c>
      <c r="X8" s="498">
        <v>1410676.2180712931</v>
      </c>
      <c r="Y8" s="498">
        <v>4712613.589312138</v>
      </c>
      <c r="Z8" s="498">
        <v>30118136.205244549</v>
      </c>
      <c r="AA8" s="498">
        <v>8204602.9880443774</v>
      </c>
      <c r="AB8" s="498">
        <v>986799.57965832949</v>
      </c>
      <c r="AC8" s="498">
        <v>88736.554894609086</v>
      </c>
      <c r="AD8" s="498">
        <v>4003.7032975640782</v>
      </c>
      <c r="AE8" s="498">
        <v>220246.18399469994</v>
      </c>
      <c r="AF8" s="498">
        <v>939609.76075975236</v>
      </c>
      <c r="AG8" s="498">
        <v>2357993.0187078277</v>
      </c>
      <c r="AH8" s="498">
        <v>446512.35545430833</v>
      </c>
      <c r="AI8" s="498">
        <v>142067.05140854744</v>
      </c>
      <c r="AJ8" s="498">
        <v>134461.33506173984</v>
      </c>
      <c r="AK8" s="498">
        <v>235612.64134979001</v>
      </c>
      <c r="AL8" s="498">
        <v>171764.58945674833</v>
      </c>
      <c r="AM8" s="498">
        <v>6530.6924519424647</v>
      </c>
      <c r="AN8" s="502">
        <v>1864872999.9999998</v>
      </c>
      <c r="AO8" s="498">
        <v>5463500.4538129913</v>
      </c>
      <c r="AP8" s="498">
        <v>131919418.84469078</v>
      </c>
      <c r="AQ8" s="498">
        <v>25265080.701496236</v>
      </c>
      <c r="AR8" s="502">
        <v>2027520999.9999998</v>
      </c>
      <c r="AS8" s="502">
        <v>41464211.5796846</v>
      </c>
      <c r="AT8" s="486"/>
      <c r="AU8" s="498">
        <f>ROUND(E8,-3)</f>
        <v>1062163000</v>
      </c>
      <c r="AV8" s="498">
        <f t="shared" si="0"/>
        <v>212000</v>
      </c>
      <c r="AW8" s="498">
        <f t="shared" si="1"/>
        <v>241177000</v>
      </c>
      <c r="AX8" s="498">
        <f>ROUND(SUM(I8,M8:N8,AC8),-3)+1000</f>
        <v>247337000</v>
      </c>
      <c r="AY8" s="498">
        <f t="shared" si="2"/>
        <v>138105000</v>
      </c>
      <c r="AZ8" s="498">
        <f t="shared" si="3"/>
        <v>272000</v>
      </c>
      <c r="BA8" s="498">
        <f t="shared" si="4"/>
        <v>103498000</v>
      </c>
      <c r="BB8" s="498">
        <f t="shared" si="5"/>
        <v>3000</v>
      </c>
      <c r="BC8" s="498">
        <f t="shared" si="6"/>
        <v>13328000</v>
      </c>
      <c r="BD8" s="498">
        <f t="shared" si="7"/>
        <v>8849000</v>
      </c>
      <c r="BE8" s="498">
        <f t="shared" si="8"/>
        <v>6123000</v>
      </c>
      <c r="BF8" s="498">
        <f t="shared" si="9"/>
        <v>38323000</v>
      </c>
      <c r="BG8" s="498">
        <f t="shared" si="10"/>
        <v>4659000</v>
      </c>
      <c r="BH8" s="498">
        <f t="shared" si="11"/>
        <v>824000</v>
      </c>
      <c r="BI8" s="498">
        <f t="shared" si="12"/>
        <v>162648000</v>
      </c>
      <c r="BJ8" s="498">
        <f t="shared" si="13"/>
        <v>41464000</v>
      </c>
      <c r="BK8" s="498">
        <f t="shared" si="14"/>
        <v>2068985000</v>
      </c>
      <c r="BL8" s="498">
        <f t="shared" si="15"/>
        <v>0</v>
      </c>
    </row>
    <row r="9" spans="1:64" ht="15" x14ac:dyDescent="0.25">
      <c r="A9" s="499">
        <f t="shared" ref="A9:A18" si="16">A8</f>
        <v>2020</v>
      </c>
      <c r="B9" s="500">
        <v>3</v>
      </c>
      <c r="C9" s="501">
        <v>602.39796696474048</v>
      </c>
      <c r="D9" s="498">
        <v>728000</v>
      </c>
      <c r="E9" s="498">
        <v>1055401420.0178626</v>
      </c>
      <c r="F9" s="498">
        <v>202579.98213765383</v>
      </c>
      <c r="G9" s="498">
        <v>21230573.55377626</v>
      </c>
      <c r="H9" s="498">
        <v>2808554.8361141551</v>
      </c>
      <c r="I9" s="498">
        <v>12090247.09584718</v>
      </c>
      <c r="J9" s="498">
        <v>1420039.178116112</v>
      </c>
      <c r="K9" s="498">
        <v>202074647.99042782</v>
      </c>
      <c r="L9" s="498">
        <v>7675859.97121365</v>
      </c>
      <c r="M9" s="498">
        <v>201113557.46346301</v>
      </c>
      <c r="N9" s="498">
        <v>13839887.238413621</v>
      </c>
      <c r="O9" s="498">
        <v>115029333.78175047</v>
      </c>
      <c r="P9" s="498">
        <v>15472616.263616668</v>
      </c>
      <c r="Q9" s="498">
        <v>283677.54843411286</v>
      </c>
      <c r="R9" s="498">
        <v>61691624.485088274</v>
      </c>
      <c r="S9" s="498">
        <v>35157485.791741021</v>
      </c>
      <c r="T9" s="498">
        <v>2660.3062569201325</v>
      </c>
      <c r="U9" s="498">
        <v>6744438.5316806044</v>
      </c>
      <c r="V9" s="498">
        <v>4154455.0670739617</v>
      </c>
      <c r="W9" s="498">
        <v>11604258.833403554</v>
      </c>
      <c r="X9" s="498">
        <v>1506288.5783695204</v>
      </c>
      <c r="Y9" s="498">
        <v>5104482.0367201818</v>
      </c>
      <c r="Z9" s="498">
        <v>33123759.974176157</v>
      </c>
      <c r="AA9" s="498">
        <v>8684213.6312208809</v>
      </c>
      <c r="AB9" s="498">
        <v>1119738.5076407429</v>
      </c>
      <c r="AC9" s="498">
        <v>106796.95362512259</v>
      </c>
      <c r="AD9" s="498">
        <v>4960.5376090177397</v>
      </c>
      <c r="AE9" s="498">
        <v>273602.54704584548</v>
      </c>
      <c r="AF9" s="498">
        <v>1166056.1619820034</v>
      </c>
      <c r="AG9" s="498">
        <v>2909454.9152476308</v>
      </c>
      <c r="AH9" s="498">
        <v>553691.5764070428</v>
      </c>
      <c r="AI9" s="498">
        <v>136319.45792335441</v>
      </c>
      <c r="AJ9" s="498">
        <v>125392.24980570687</v>
      </c>
      <c r="AK9" s="498">
        <v>275096.40247562912</v>
      </c>
      <c r="AL9" s="498">
        <v>172857.33442758341</v>
      </c>
      <c r="AM9" s="498">
        <v>6768.8009390560283</v>
      </c>
      <c r="AN9" s="502">
        <v>1823996000.0000005</v>
      </c>
      <c r="AO9" s="498">
        <v>5198829.5440776553</v>
      </c>
      <c r="AP9" s="498">
        <v>130225632.44961773</v>
      </c>
      <c r="AQ9" s="498">
        <v>24158538.006304603</v>
      </c>
      <c r="AR9" s="502">
        <v>1983579000.0000002</v>
      </c>
      <c r="AS9" s="502">
        <v>43673125.72893852</v>
      </c>
      <c r="AT9" s="486"/>
      <c r="AU9" s="498">
        <f t="shared" ref="AU9:AU18" si="17">ROUND(E9,-3)</f>
        <v>1055401000</v>
      </c>
      <c r="AV9" s="498">
        <f t="shared" si="0"/>
        <v>203000</v>
      </c>
      <c r="AW9" s="498">
        <f t="shared" si="1"/>
        <v>232101000</v>
      </c>
      <c r="AX9" s="498">
        <f>ROUND(SUM(I9,M9:N9,AC9),-3)-1000</f>
        <v>227149000</v>
      </c>
      <c r="AY9" s="498">
        <f t="shared" si="2"/>
        <v>131922000</v>
      </c>
      <c r="AZ9" s="498">
        <f t="shared" si="3"/>
        <v>284000</v>
      </c>
      <c r="BA9" s="498">
        <f t="shared" si="4"/>
        <v>99658000</v>
      </c>
      <c r="BB9" s="498">
        <f t="shared" si="5"/>
        <v>3000</v>
      </c>
      <c r="BC9" s="498">
        <f t="shared" si="6"/>
        <v>11604000</v>
      </c>
      <c r="BD9" s="498">
        <f t="shared" si="7"/>
        <v>10899000</v>
      </c>
      <c r="BE9" s="498">
        <f t="shared" si="8"/>
        <v>6611000</v>
      </c>
      <c r="BF9" s="498">
        <f t="shared" si="9"/>
        <v>41808000</v>
      </c>
      <c r="BG9" s="498">
        <f t="shared" si="10"/>
        <v>5625000</v>
      </c>
      <c r="BH9" s="498">
        <f t="shared" si="11"/>
        <v>728000</v>
      </c>
      <c r="BI9" s="498">
        <f t="shared" si="12"/>
        <v>159583000</v>
      </c>
      <c r="BJ9" s="498">
        <f t="shared" si="13"/>
        <v>43673000</v>
      </c>
      <c r="BK9" s="498">
        <f t="shared" si="14"/>
        <v>2027252000</v>
      </c>
      <c r="BL9" s="498">
        <f t="shared" si="15"/>
        <v>0</v>
      </c>
    </row>
    <row r="10" spans="1:64" ht="15" x14ac:dyDescent="0.25">
      <c r="A10" s="499">
        <f t="shared" si="16"/>
        <v>2020</v>
      </c>
      <c r="B10" s="500">
        <v>4</v>
      </c>
      <c r="C10" s="501">
        <v>573.77047744711092</v>
      </c>
      <c r="D10" s="498">
        <v>662000</v>
      </c>
      <c r="E10" s="498">
        <v>849716937.23678195</v>
      </c>
      <c r="F10" s="498">
        <v>165062.76321806107</v>
      </c>
      <c r="G10" s="498">
        <v>17533631.049331628</v>
      </c>
      <c r="H10" s="498">
        <v>2412570.8342418685</v>
      </c>
      <c r="I10" s="498">
        <v>10181759.690742768</v>
      </c>
      <c r="J10" s="498">
        <v>1160206.128056647</v>
      </c>
      <c r="K10" s="498">
        <v>173354365.6686379</v>
      </c>
      <c r="L10" s="498">
        <v>6344635.4853138775</v>
      </c>
      <c r="M10" s="498">
        <v>183111842.47018385</v>
      </c>
      <c r="N10" s="498">
        <v>12148820.963428138</v>
      </c>
      <c r="O10" s="498">
        <v>102766917.23566495</v>
      </c>
      <c r="P10" s="498">
        <v>13922374.247667864</v>
      </c>
      <c r="Q10" s="498">
        <v>281901.79078869201</v>
      </c>
      <c r="R10" s="498">
        <v>54567726.754525743</v>
      </c>
      <c r="S10" s="498">
        <v>32272305.722237851</v>
      </c>
      <c r="T10" s="498">
        <v>2484.9456319702549</v>
      </c>
      <c r="U10" s="498">
        <v>6270703.2310411707</v>
      </c>
      <c r="V10" s="498">
        <v>3613867.7537261946</v>
      </c>
      <c r="W10" s="498">
        <v>8778803.5212494284</v>
      </c>
      <c r="X10" s="498">
        <v>1307198.0184299168</v>
      </c>
      <c r="Y10" s="498">
        <v>3398824.5513546108</v>
      </c>
      <c r="Z10" s="498">
        <v>29362694.995044772</v>
      </c>
      <c r="AA10" s="498">
        <v>8293171.2762714457</v>
      </c>
      <c r="AB10" s="498">
        <v>912392.69691959803</v>
      </c>
      <c r="AC10" s="498">
        <v>85075.427022192118</v>
      </c>
      <c r="AD10" s="498">
        <v>4724.800195892848</v>
      </c>
      <c r="AE10" s="498">
        <v>263538.57329438138</v>
      </c>
      <c r="AF10" s="498">
        <v>1112976.5599481524</v>
      </c>
      <c r="AG10" s="498">
        <v>2762750.8034248916</v>
      </c>
      <c r="AH10" s="498">
        <v>524537.67998153344</v>
      </c>
      <c r="AI10" s="498">
        <v>129146.65378083951</v>
      </c>
      <c r="AJ10" s="498">
        <v>122270.85163789635</v>
      </c>
      <c r="AK10" s="498">
        <v>263429.68873591052</v>
      </c>
      <c r="AL10" s="498">
        <v>158786.0244803419</v>
      </c>
      <c r="AM10" s="498">
        <v>5990.1365297036991</v>
      </c>
      <c r="AN10" s="502">
        <v>1527976999.9999998</v>
      </c>
      <c r="AO10" s="498">
        <v>5237613.2159863776</v>
      </c>
      <c r="AP10" s="498">
        <v>125519965.9283217</v>
      </c>
      <c r="AQ10" s="498">
        <v>19709420.85569194</v>
      </c>
      <c r="AR10" s="502">
        <v>1678443999.9999998</v>
      </c>
      <c r="AS10" s="502">
        <v>41464211.579684623</v>
      </c>
      <c r="AT10" s="486"/>
      <c r="AU10" s="498">
        <f t="shared" si="17"/>
        <v>849717000</v>
      </c>
      <c r="AV10" s="498">
        <f t="shared" si="0"/>
        <v>165000</v>
      </c>
      <c r="AW10" s="498">
        <f t="shared" si="1"/>
        <v>198145000</v>
      </c>
      <c r="AX10" s="498">
        <f>ROUND(SUM(I10,M10:N10,AC10),-3)</f>
        <v>205527000</v>
      </c>
      <c r="AY10" s="498">
        <f t="shared" si="2"/>
        <v>117849000</v>
      </c>
      <c r="AZ10" s="498">
        <f t="shared" si="3"/>
        <v>282000</v>
      </c>
      <c r="BA10" s="498">
        <f t="shared" si="4"/>
        <v>89253000</v>
      </c>
      <c r="BB10" s="498">
        <f t="shared" si="5"/>
        <v>2000</v>
      </c>
      <c r="BC10" s="498">
        <f t="shared" si="6"/>
        <v>8779000</v>
      </c>
      <c r="BD10" s="498">
        <f t="shared" si="7"/>
        <v>9885000</v>
      </c>
      <c r="BE10" s="498">
        <f t="shared" si="8"/>
        <v>4706000</v>
      </c>
      <c r="BF10" s="498">
        <f t="shared" si="9"/>
        <v>37656000</v>
      </c>
      <c r="BG10" s="498">
        <f t="shared" si="10"/>
        <v>5349000</v>
      </c>
      <c r="BH10" s="498">
        <f t="shared" si="11"/>
        <v>662000</v>
      </c>
      <c r="BI10" s="498">
        <f t="shared" si="12"/>
        <v>150467000</v>
      </c>
      <c r="BJ10" s="498">
        <f t="shared" si="13"/>
        <v>41464000</v>
      </c>
      <c r="BK10" s="498">
        <f t="shared" si="14"/>
        <v>1719908000</v>
      </c>
      <c r="BL10" s="498">
        <f t="shared" si="15"/>
        <v>0</v>
      </c>
    </row>
    <row r="11" spans="1:64" ht="15" x14ac:dyDescent="0.25">
      <c r="A11" s="499">
        <f t="shared" si="16"/>
        <v>2020</v>
      </c>
      <c r="B11" s="500">
        <v>5</v>
      </c>
      <c r="C11" s="501">
        <v>568.34810902058746</v>
      </c>
      <c r="D11" s="498">
        <v>462000</v>
      </c>
      <c r="E11" s="498">
        <v>777110103.94095075</v>
      </c>
      <c r="F11" s="498">
        <v>173896.05904938598</v>
      </c>
      <c r="G11" s="498">
        <v>16487160.0475451</v>
      </c>
      <c r="H11" s="498">
        <v>2397287.7641118076</v>
      </c>
      <c r="I11" s="498">
        <v>9972868.3707898427</v>
      </c>
      <c r="J11" s="498">
        <v>1165204.1265122741</v>
      </c>
      <c r="K11" s="498">
        <v>176064978.83189815</v>
      </c>
      <c r="L11" s="498">
        <v>6349810.4715694971</v>
      </c>
      <c r="M11" s="498">
        <v>192957567.57394451</v>
      </c>
      <c r="N11" s="498">
        <v>12657187.38856037</v>
      </c>
      <c r="O11" s="498">
        <v>112687497.22820874</v>
      </c>
      <c r="P11" s="498">
        <v>15754607.215654679</v>
      </c>
      <c r="Q11" s="498">
        <v>736067.23285737017</v>
      </c>
      <c r="R11" s="498">
        <v>59839265.860576354</v>
      </c>
      <c r="S11" s="498">
        <v>34970522.129142001</v>
      </c>
      <c r="T11" s="498">
        <v>292836.61698286515</v>
      </c>
      <c r="U11" s="498">
        <v>7218267.4421856645</v>
      </c>
      <c r="V11" s="498">
        <v>4252617.6557942443</v>
      </c>
      <c r="W11" s="498">
        <v>8052435.2366665574</v>
      </c>
      <c r="X11" s="498">
        <v>1537140.2645360641</v>
      </c>
      <c r="Y11" s="498">
        <v>3300152.304282492</v>
      </c>
      <c r="Z11" s="498">
        <v>31869794.70416205</v>
      </c>
      <c r="AA11" s="498">
        <v>8252102.8349967236</v>
      </c>
      <c r="AB11" s="498">
        <v>787772.34264456376</v>
      </c>
      <c r="AC11" s="498">
        <v>62962.497370230471</v>
      </c>
      <c r="AD11" s="498">
        <v>4680.1488790146586</v>
      </c>
      <c r="AE11" s="498">
        <v>268116.50224467088</v>
      </c>
      <c r="AF11" s="498">
        <v>1102553.9225449057</v>
      </c>
      <c r="AG11" s="498">
        <v>2721957.8792451951</v>
      </c>
      <c r="AH11" s="498">
        <v>517282.93381715572</v>
      </c>
      <c r="AI11" s="498">
        <v>136974.84539441176</v>
      </c>
      <c r="AJ11" s="498">
        <v>126425.05278130378</v>
      </c>
      <c r="AK11" s="498">
        <v>491105.42514524341</v>
      </c>
      <c r="AL11" s="498">
        <v>170382.06637452907</v>
      </c>
      <c r="AM11" s="498">
        <v>6846.7344721360014</v>
      </c>
      <c r="AN11" s="502">
        <v>1490958999.9999998</v>
      </c>
      <c r="AO11" s="498">
        <v>5287608.991385377</v>
      </c>
      <c r="AP11" s="498">
        <v>123400478.38886258</v>
      </c>
      <c r="AQ11" s="498">
        <v>20695912.619752061</v>
      </c>
      <c r="AR11" s="502">
        <v>1640343000</v>
      </c>
      <c r="AS11" s="502">
        <v>38854644.516490981</v>
      </c>
      <c r="AT11" s="486"/>
      <c r="AU11" s="498">
        <f t="shared" si="17"/>
        <v>777110000</v>
      </c>
      <c r="AV11" s="498">
        <f t="shared" si="0"/>
        <v>174000</v>
      </c>
      <c r="AW11" s="498">
        <f t="shared" si="1"/>
        <v>199690000</v>
      </c>
      <c r="AX11" s="498">
        <f>ROUND(SUM(I11,M11:N11,AC11),-3)</f>
        <v>215651000</v>
      </c>
      <c r="AY11" s="498">
        <f t="shared" si="2"/>
        <v>129607000</v>
      </c>
      <c r="AZ11" s="498">
        <f t="shared" si="3"/>
        <v>736000</v>
      </c>
      <c r="BA11" s="498">
        <f t="shared" si="4"/>
        <v>97207000</v>
      </c>
      <c r="BB11" s="498">
        <f t="shared" si="5"/>
        <v>293000</v>
      </c>
      <c r="BC11" s="498">
        <f t="shared" si="6"/>
        <v>8052000</v>
      </c>
      <c r="BD11" s="498">
        <f t="shared" si="7"/>
        <v>11471000</v>
      </c>
      <c r="BE11" s="498">
        <f t="shared" si="8"/>
        <v>4837000</v>
      </c>
      <c r="BF11" s="498">
        <f t="shared" si="9"/>
        <v>40122000</v>
      </c>
      <c r="BG11" s="498">
        <f t="shared" si="10"/>
        <v>5547000</v>
      </c>
      <c r="BH11" s="498">
        <f t="shared" si="11"/>
        <v>462000</v>
      </c>
      <c r="BI11" s="498">
        <f t="shared" si="12"/>
        <v>149384000</v>
      </c>
      <c r="BJ11" s="498">
        <f t="shared" si="13"/>
        <v>38855000</v>
      </c>
      <c r="BK11" s="498">
        <f t="shared" si="14"/>
        <v>1679198000</v>
      </c>
      <c r="BL11" s="498">
        <f t="shared" si="15"/>
        <v>0</v>
      </c>
    </row>
    <row r="12" spans="1:64" ht="15" x14ac:dyDescent="0.25">
      <c r="A12" s="499">
        <f t="shared" si="16"/>
        <v>2020</v>
      </c>
      <c r="B12" s="500">
        <v>6</v>
      </c>
      <c r="C12" s="501">
        <v>608.77116018587151</v>
      </c>
      <c r="D12" s="498">
        <v>360000</v>
      </c>
      <c r="E12" s="498">
        <v>710832422.16699612</v>
      </c>
      <c r="F12" s="498">
        <v>193577.8330038134</v>
      </c>
      <c r="G12" s="498">
        <v>16897740.871922906</v>
      </c>
      <c r="H12" s="498">
        <v>2410148.0049388637</v>
      </c>
      <c r="I12" s="498">
        <v>10103198.020376163</v>
      </c>
      <c r="J12" s="498">
        <v>1170682.883355567</v>
      </c>
      <c r="K12" s="498">
        <v>177553619.63577372</v>
      </c>
      <c r="L12" s="498">
        <v>6102526.9189646849</v>
      </c>
      <c r="M12" s="498">
        <v>201326769.35911927</v>
      </c>
      <c r="N12" s="498">
        <v>12545723.477390172</v>
      </c>
      <c r="O12" s="498">
        <v>119036700.48854226</v>
      </c>
      <c r="P12" s="498">
        <v>15645374.91777462</v>
      </c>
      <c r="Q12" s="498">
        <v>1383437.2823377869</v>
      </c>
      <c r="R12" s="498">
        <v>62972285.8965794</v>
      </c>
      <c r="S12" s="498">
        <v>34844665.15241272</v>
      </c>
      <c r="T12" s="498">
        <v>662939.64303359948</v>
      </c>
      <c r="U12" s="498">
        <v>4740947.1721544107</v>
      </c>
      <c r="V12" s="498">
        <v>4220297.9269355256</v>
      </c>
      <c r="W12" s="498">
        <v>7361131.676266049</v>
      </c>
      <c r="X12" s="498">
        <v>1706469.6826884125</v>
      </c>
      <c r="Y12" s="498">
        <v>3880926.6935909754</v>
      </c>
      <c r="Z12" s="498">
        <v>32662067.073499538</v>
      </c>
      <c r="AA12" s="498">
        <v>8233484.9129312951</v>
      </c>
      <c r="AB12" s="498">
        <v>780536.38630633825</v>
      </c>
      <c r="AC12" s="498">
        <v>64253.337689150736</v>
      </c>
      <c r="AD12" s="498">
        <v>5013.0186371696955</v>
      </c>
      <c r="AE12" s="498">
        <v>297429.36183683405</v>
      </c>
      <c r="AF12" s="498">
        <v>1183264.8226638702</v>
      </c>
      <c r="AG12" s="498">
        <v>2900436.121394726</v>
      </c>
      <c r="AH12" s="498">
        <v>552118.7750984485</v>
      </c>
      <c r="AI12" s="498">
        <v>143476.07232632214</v>
      </c>
      <c r="AJ12" s="498">
        <v>136232.50748141672</v>
      </c>
      <c r="AK12" s="498">
        <v>283339.40521327668</v>
      </c>
      <c r="AL12" s="498">
        <v>175492.668996864</v>
      </c>
      <c r="AM12" s="498">
        <v>6661.0606074911466</v>
      </c>
      <c r="AN12" s="502">
        <v>1443376000</v>
      </c>
      <c r="AO12" s="498">
        <v>5529506.1315782843</v>
      </c>
      <c r="AP12" s="498">
        <v>133026447.78228317</v>
      </c>
      <c r="AQ12" s="498">
        <v>24795046.086138558</v>
      </c>
      <c r="AR12" s="502">
        <v>1606726999.9999998</v>
      </c>
      <c r="AS12" s="502">
        <v>38892992.397201732</v>
      </c>
      <c r="AT12" s="486"/>
      <c r="AU12" s="498">
        <f t="shared" si="17"/>
        <v>710832000</v>
      </c>
      <c r="AV12" s="498">
        <f t="shared" si="0"/>
        <v>194000</v>
      </c>
      <c r="AW12" s="498">
        <f t="shared" si="1"/>
        <v>201334000</v>
      </c>
      <c r="AX12" s="498">
        <f>ROUND(SUM(I12,M12:N12,AC12),-3)+1000</f>
        <v>224041000</v>
      </c>
      <c r="AY12" s="498">
        <f t="shared" si="2"/>
        <v>135853000</v>
      </c>
      <c r="AZ12" s="498">
        <f t="shared" si="3"/>
        <v>1383000</v>
      </c>
      <c r="BA12" s="498">
        <f t="shared" si="4"/>
        <v>100227000</v>
      </c>
      <c r="BB12" s="498">
        <f t="shared" si="5"/>
        <v>663000</v>
      </c>
      <c r="BC12" s="498">
        <f t="shared" si="6"/>
        <v>7361000</v>
      </c>
      <c r="BD12" s="498">
        <f t="shared" si="7"/>
        <v>8961000</v>
      </c>
      <c r="BE12" s="498">
        <f t="shared" si="8"/>
        <v>5587000</v>
      </c>
      <c r="BF12" s="498">
        <f t="shared" si="9"/>
        <v>40896000</v>
      </c>
      <c r="BG12" s="498">
        <f t="shared" si="10"/>
        <v>5684000</v>
      </c>
      <c r="BH12" s="498">
        <f t="shared" si="11"/>
        <v>360000</v>
      </c>
      <c r="BI12" s="498">
        <f t="shared" si="12"/>
        <v>163351000</v>
      </c>
      <c r="BJ12" s="498">
        <f t="shared" si="13"/>
        <v>38893000</v>
      </c>
      <c r="BK12" s="498">
        <f t="shared" si="14"/>
        <v>1645620000</v>
      </c>
      <c r="BL12" s="498">
        <f t="shared" si="15"/>
        <v>0</v>
      </c>
    </row>
    <row r="13" spans="1:64" ht="15" x14ac:dyDescent="0.25">
      <c r="A13" s="499">
        <f t="shared" si="16"/>
        <v>2020</v>
      </c>
      <c r="B13" s="500">
        <v>7</v>
      </c>
      <c r="C13" s="501">
        <v>599.9323868717114</v>
      </c>
      <c r="D13" s="498">
        <v>295000.00000000006</v>
      </c>
      <c r="E13" s="498">
        <v>715691864.94368768</v>
      </c>
      <c r="F13" s="498">
        <v>239135.0563124514</v>
      </c>
      <c r="G13" s="498">
        <v>17664004.979065157</v>
      </c>
      <c r="H13" s="498">
        <v>2554765.1389290853</v>
      </c>
      <c r="I13" s="498">
        <v>10961889.95860905</v>
      </c>
      <c r="J13" s="498">
        <v>1500147.4098008161</v>
      </c>
      <c r="K13" s="498">
        <v>196072193.43554094</v>
      </c>
      <c r="L13" s="498">
        <v>6347149.7486929409</v>
      </c>
      <c r="M13" s="498">
        <v>219654601.2243062</v>
      </c>
      <c r="N13" s="498">
        <v>13002051.945616035</v>
      </c>
      <c r="O13" s="498">
        <v>132626368.39767344</v>
      </c>
      <c r="P13" s="498">
        <v>15772136.654923396</v>
      </c>
      <c r="Q13" s="498">
        <v>2574527.9573463742</v>
      </c>
      <c r="R13" s="498">
        <v>65741458.406227298</v>
      </c>
      <c r="S13" s="498">
        <v>35778718.626518197</v>
      </c>
      <c r="T13" s="498">
        <v>715631.7658677717</v>
      </c>
      <c r="U13" s="498">
        <v>5261836.1400605999</v>
      </c>
      <c r="V13" s="498">
        <v>4564478.0404118001</v>
      </c>
      <c r="W13" s="498">
        <v>5798907.6049446296</v>
      </c>
      <c r="X13" s="498">
        <v>2229688.4091238515</v>
      </c>
      <c r="Y13" s="498">
        <v>4411107.7296762886</v>
      </c>
      <c r="Z13" s="498">
        <v>37784903.227517024</v>
      </c>
      <c r="AA13" s="498">
        <v>8029357.2541613318</v>
      </c>
      <c r="AB13" s="498">
        <v>724711.06963262835</v>
      </c>
      <c r="AC13" s="498">
        <v>67326.252581565583</v>
      </c>
      <c r="AD13" s="498">
        <v>4940.2344150326389</v>
      </c>
      <c r="AE13" s="498">
        <v>300133.36094158626</v>
      </c>
      <c r="AF13" s="498">
        <v>1158513.7267523331</v>
      </c>
      <c r="AG13" s="498">
        <v>2852842.7487886008</v>
      </c>
      <c r="AH13" s="498">
        <v>568208.41084380925</v>
      </c>
      <c r="AI13" s="498">
        <v>151593.14922772045</v>
      </c>
      <c r="AJ13" s="498">
        <v>140063.22382157366</v>
      </c>
      <c r="AK13" s="498">
        <v>273724.26365757152</v>
      </c>
      <c r="AL13" s="498">
        <v>188797.83887356694</v>
      </c>
      <c r="AM13" s="498">
        <v>7621.7330648863035</v>
      </c>
      <c r="AN13" s="502">
        <v>1511711000.0000005</v>
      </c>
      <c r="AO13" s="498">
        <v>5431473.4233229356</v>
      </c>
      <c r="AP13" s="498">
        <v>137046684.61496481</v>
      </c>
      <c r="AQ13" s="498">
        <v>25654841.96171226</v>
      </c>
      <c r="AR13" s="502">
        <v>1679844000.0000005</v>
      </c>
      <c r="AS13" s="502">
        <v>38349988.051561423</v>
      </c>
      <c r="AT13" s="486"/>
      <c r="AU13" s="498">
        <f t="shared" si="17"/>
        <v>715692000</v>
      </c>
      <c r="AV13" s="498">
        <f t="shared" si="0"/>
        <v>239000</v>
      </c>
      <c r="AW13" s="498">
        <f t="shared" si="1"/>
        <v>220808000</v>
      </c>
      <c r="AX13" s="498">
        <f>ROUND(SUM(I13,M13:N13,AC13),-3)-1000</f>
        <v>243685000</v>
      </c>
      <c r="AY13" s="498">
        <f t="shared" si="2"/>
        <v>149899000</v>
      </c>
      <c r="AZ13" s="498">
        <f t="shared" si="3"/>
        <v>2575000</v>
      </c>
      <c r="BA13" s="498">
        <f t="shared" si="4"/>
        <v>104075000</v>
      </c>
      <c r="BB13" s="498">
        <f t="shared" si="5"/>
        <v>716000</v>
      </c>
      <c r="BC13" s="498">
        <f t="shared" si="6"/>
        <v>5799000</v>
      </c>
      <c r="BD13" s="498">
        <f t="shared" si="7"/>
        <v>9826000</v>
      </c>
      <c r="BE13" s="498">
        <f t="shared" si="8"/>
        <v>6641000</v>
      </c>
      <c r="BF13" s="498">
        <f t="shared" si="9"/>
        <v>45814000</v>
      </c>
      <c r="BG13" s="498">
        <f t="shared" si="10"/>
        <v>5647000</v>
      </c>
      <c r="BH13" s="498">
        <f t="shared" si="11"/>
        <v>295000</v>
      </c>
      <c r="BI13" s="498">
        <f t="shared" si="12"/>
        <v>168133000</v>
      </c>
      <c r="BJ13" s="498">
        <f t="shared" si="13"/>
        <v>38350000</v>
      </c>
      <c r="BK13" s="498">
        <f t="shared" si="14"/>
        <v>1718194000</v>
      </c>
      <c r="BL13" s="498">
        <f t="shared" si="15"/>
        <v>0</v>
      </c>
    </row>
    <row r="14" spans="1:64" ht="15" x14ac:dyDescent="0.25">
      <c r="A14" s="499">
        <f t="shared" si="16"/>
        <v>2020</v>
      </c>
      <c r="B14" s="500">
        <v>8</v>
      </c>
      <c r="C14" s="501">
        <v>575.54499231024295</v>
      </c>
      <c r="D14" s="498">
        <v>286000</v>
      </c>
      <c r="E14" s="498">
        <v>729309773.12972295</v>
      </c>
      <c r="F14" s="498">
        <v>251226.87027689442</v>
      </c>
      <c r="G14" s="498">
        <v>18155593.132154271</v>
      </c>
      <c r="H14" s="498">
        <v>2600292.8068631953</v>
      </c>
      <c r="I14" s="498">
        <v>11488528.447836855</v>
      </c>
      <c r="J14" s="498">
        <v>1747458.8768972915</v>
      </c>
      <c r="K14" s="498">
        <v>201181331.2640025</v>
      </c>
      <c r="L14" s="498">
        <v>6427549.8774927482</v>
      </c>
      <c r="M14" s="498">
        <v>226364211.38664827</v>
      </c>
      <c r="N14" s="498">
        <v>13349972.513296563</v>
      </c>
      <c r="O14" s="498">
        <v>135854787.16584322</v>
      </c>
      <c r="P14" s="498">
        <v>16337480.958007624</v>
      </c>
      <c r="Q14" s="498">
        <v>3868924.9653414506</v>
      </c>
      <c r="R14" s="498">
        <v>65567521.452354625</v>
      </c>
      <c r="S14" s="498">
        <v>36361060.392417945</v>
      </c>
      <c r="T14" s="498">
        <v>963630.72120126616</v>
      </c>
      <c r="U14" s="498">
        <v>3858768.8672053986</v>
      </c>
      <c r="V14" s="498">
        <v>4339247.8987166081</v>
      </c>
      <c r="W14" s="498">
        <v>4932119.6911995681</v>
      </c>
      <c r="X14" s="498">
        <v>2221556.868715168</v>
      </c>
      <c r="Y14" s="498">
        <v>3888016.3639374813</v>
      </c>
      <c r="Z14" s="498">
        <v>36801057.085786581</v>
      </c>
      <c r="AA14" s="498">
        <v>9705671.996131029</v>
      </c>
      <c r="AB14" s="498">
        <v>731505.55780852772</v>
      </c>
      <c r="AC14" s="498">
        <v>67225.720244734679</v>
      </c>
      <c r="AD14" s="498">
        <v>4752.4195372932363</v>
      </c>
      <c r="AE14" s="498">
        <v>290459.21565917745</v>
      </c>
      <c r="AF14" s="498">
        <v>1109749.5004481648</v>
      </c>
      <c r="AG14" s="498">
        <v>2738567.8499605437</v>
      </c>
      <c r="AH14" s="498">
        <v>499121.03510598873</v>
      </c>
      <c r="AI14" s="498">
        <v>154217.29599148879</v>
      </c>
      <c r="AJ14" s="498">
        <v>145836.54537868089</v>
      </c>
      <c r="AK14" s="498">
        <v>264043.15624325781</v>
      </c>
      <c r="AL14" s="498">
        <v>188836.5546294901</v>
      </c>
      <c r="AM14" s="498">
        <v>7326.8719507561837</v>
      </c>
      <c r="AN14" s="502">
        <v>1542064000.0000002</v>
      </c>
      <c r="AO14" s="498">
        <v>5537361.6266745226</v>
      </c>
      <c r="AP14" s="498">
        <v>138940564.61040753</v>
      </c>
      <c r="AQ14" s="498">
        <v>26130073.762917966</v>
      </c>
      <c r="AR14" s="502">
        <v>1712672000.0000002</v>
      </c>
      <c r="AS14" s="502">
        <v>41526933.40744146</v>
      </c>
      <c r="AT14" s="486"/>
      <c r="AU14" s="498">
        <f t="shared" si="17"/>
        <v>729310000</v>
      </c>
      <c r="AV14" s="498">
        <f t="shared" si="0"/>
        <v>251000</v>
      </c>
      <c r="AW14" s="498">
        <f t="shared" si="1"/>
        <v>226496000</v>
      </c>
      <c r="AX14" s="498">
        <f>ROUND(SUM(I14,M14:N14,AC14),-3)-1000</f>
        <v>251269000</v>
      </c>
      <c r="AY14" s="498">
        <f t="shared" si="2"/>
        <v>153940000</v>
      </c>
      <c r="AZ14" s="498">
        <f t="shared" si="3"/>
        <v>3869000</v>
      </c>
      <c r="BA14" s="498">
        <f t="shared" si="4"/>
        <v>104529000</v>
      </c>
      <c r="BB14" s="498">
        <f t="shared" si="5"/>
        <v>964000</v>
      </c>
      <c r="BC14" s="498">
        <f t="shared" si="6"/>
        <v>4932000</v>
      </c>
      <c r="BD14" s="498">
        <f t="shared" si="7"/>
        <v>8198000</v>
      </c>
      <c r="BE14" s="498">
        <f t="shared" si="8"/>
        <v>6110000</v>
      </c>
      <c r="BF14" s="498">
        <f t="shared" si="9"/>
        <v>46507000</v>
      </c>
      <c r="BG14" s="498">
        <f t="shared" si="10"/>
        <v>5403000</v>
      </c>
      <c r="BH14" s="498">
        <f t="shared" si="11"/>
        <v>286000</v>
      </c>
      <c r="BI14" s="498">
        <f t="shared" si="12"/>
        <v>170608000</v>
      </c>
      <c r="BJ14" s="498">
        <f t="shared" si="13"/>
        <v>41527000</v>
      </c>
      <c r="BK14" s="498">
        <f t="shared" si="14"/>
        <v>1754199000</v>
      </c>
      <c r="BL14" s="498">
        <f t="shared" si="15"/>
        <v>0</v>
      </c>
    </row>
    <row r="15" spans="1:64" ht="15" x14ac:dyDescent="0.25">
      <c r="A15" s="499">
        <f t="shared" si="16"/>
        <v>2020</v>
      </c>
      <c r="B15" s="500">
        <v>9</v>
      </c>
      <c r="C15" s="501">
        <v>613.26135102437718</v>
      </c>
      <c r="D15" s="498">
        <v>330000</v>
      </c>
      <c r="E15" s="498">
        <v>665467633.54099107</v>
      </c>
      <c r="F15" s="498">
        <v>196366.45900882166</v>
      </c>
      <c r="G15" s="498">
        <v>16318689.677536875</v>
      </c>
      <c r="H15" s="498">
        <v>2363795.8710380662</v>
      </c>
      <c r="I15" s="498">
        <v>10324792.40941054</v>
      </c>
      <c r="J15" s="498">
        <v>1362197.977218518</v>
      </c>
      <c r="K15" s="498">
        <v>179732276.55183339</v>
      </c>
      <c r="L15" s="498">
        <v>6023933.4674636284</v>
      </c>
      <c r="M15" s="498">
        <v>202934082.70625934</v>
      </c>
      <c r="N15" s="498">
        <v>12650004.629380638</v>
      </c>
      <c r="O15" s="498">
        <v>119841496.79458353</v>
      </c>
      <c r="P15" s="498">
        <v>15618442.779960066</v>
      </c>
      <c r="Q15" s="498">
        <v>2836720.9490824305</v>
      </c>
      <c r="R15" s="498">
        <v>60124066.413537562</v>
      </c>
      <c r="S15" s="498">
        <v>34172318.824612021</v>
      </c>
      <c r="T15" s="498">
        <v>784409.00059099426</v>
      </c>
      <c r="U15" s="498">
        <v>4633274.2992227925</v>
      </c>
      <c r="V15" s="498">
        <v>4739026.8916118732</v>
      </c>
      <c r="W15" s="498">
        <v>5752805.2452192092</v>
      </c>
      <c r="X15" s="498">
        <v>1694483.1850553476</v>
      </c>
      <c r="Y15" s="498">
        <v>3425246.3835247159</v>
      </c>
      <c r="Z15" s="498">
        <v>34468087.372794777</v>
      </c>
      <c r="AA15" s="498">
        <v>8640027.0234470572</v>
      </c>
      <c r="AB15" s="498">
        <v>886642.8728730327</v>
      </c>
      <c r="AC15" s="498">
        <v>73242.673604681928</v>
      </c>
      <c r="AD15" s="498">
        <v>4767.2692718446187</v>
      </c>
      <c r="AE15" s="498">
        <v>314877.26566992124</v>
      </c>
      <c r="AF15" s="498">
        <v>1187911.3478352036</v>
      </c>
      <c r="AG15" s="498">
        <v>2871943.0981745035</v>
      </c>
      <c r="AH15" s="498">
        <v>532518.06137119874</v>
      </c>
      <c r="AI15" s="498">
        <v>136536.3909133687</v>
      </c>
      <c r="AJ15" s="498">
        <v>125919.66990110802</v>
      </c>
      <c r="AK15" s="498">
        <v>293484.14984858962</v>
      </c>
      <c r="AL15" s="498">
        <v>170480.55007710954</v>
      </c>
      <c r="AM15" s="498">
        <v>6884.9357248267279</v>
      </c>
      <c r="AN15" s="502">
        <v>1401040000</v>
      </c>
      <c r="AO15" s="498">
        <v>5072579.7949159322</v>
      </c>
      <c r="AP15" s="498">
        <v>131949637.63970129</v>
      </c>
      <c r="AQ15" s="498">
        <v>26732782.565382741</v>
      </c>
      <c r="AR15" s="502">
        <v>1564795000</v>
      </c>
      <c r="AS15" s="502">
        <v>41374770.923496351</v>
      </c>
      <c r="AT15" s="486"/>
      <c r="AU15" s="498">
        <f t="shared" si="17"/>
        <v>665468000</v>
      </c>
      <c r="AV15" s="498">
        <f t="shared" si="0"/>
        <v>196000</v>
      </c>
      <c r="AW15" s="498">
        <f t="shared" si="1"/>
        <v>202962000</v>
      </c>
      <c r="AX15" s="498">
        <f>ROUND(SUM(I15,M15:N15,AC15),-3)</f>
        <v>225982000</v>
      </c>
      <c r="AY15" s="498">
        <f t="shared" si="2"/>
        <v>136822000</v>
      </c>
      <c r="AZ15" s="498">
        <f t="shared" si="3"/>
        <v>2837000</v>
      </c>
      <c r="BA15" s="498">
        <f t="shared" si="4"/>
        <v>96660000</v>
      </c>
      <c r="BB15" s="498">
        <f t="shared" si="5"/>
        <v>784000</v>
      </c>
      <c r="BC15" s="498">
        <f t="shared" si="6"/>
        <v>5753000</v>
      </c>
      <c r="BD15" s="498">
        <f t="shared" si="7"/>
        <v>9372000</v>
      </c>
      <c r="BE15" s="498">
        <f t="shared" si="8"/>
        <v>5120000</v>
      </c>
      <c r="BF15" s="498">
        <f t="shared" si="9"/>
        <v>43108000</v>
      </c>
      <c r="BG15" s="498">
        <f t="shared" si="10"/>
        <v>5646000</v>
      </c>
      <c r="BH15" s="498">
        <f t="shared" si="11"/>
        <v>330000</v>
      </c>
      <c r="BI15" s="498">
        <f t="shared" si="12"/>
        <v>163755000</v>
      </c>
      <c r="BJ15" s="498">
        <f t="shared" si="13"/>
        <v>41375000</v>
      </c>
      <c r="BK15" s="498">
        <f t="shared" si="14"/>
        <v>1606170000</v>
      </c>
      <c r="BL15" s="498">
        <f t="shared" si="15"/>
        <v>0</v>
      </c>
    </row>
    <row r="16" spans="1:64" ht="15" x14ac:dyDescent="0.25">
      <c r="A16" s="499">
        <f t="shared" si="16"/>
        <v>2020</v>
      </c>
      <c r="B16" s="500">
        <v>10</v>
      </c>
      <c r="C16" s="501">
        <v>584.7111143806485</v>
      </c>
      <c r="D16" s="498">
        <v>569000</v>
      </c>
      <c r="E16" s="498">
        <v>844394169.09082794</v>
      </c>
      <c r="F16" s="498">
        <v>211830.9091720451</v>
      </c>
      <c r="G16" s="498">
        <v>16875590.756783687</v>
      </c>
      <c r="H16" s="498">
        <v>2436971.061849372</v>
      </c>
      <c r="I16" s="498">
        <v>10883182.707250981</v>
      </c>
      <c r="J16" s="498">
        <v>1257228.7581813566</v>
      </c>
      <c r="K16" s="498">
        <v>181659667.06474406</v>
      </c>
      <c r="L16" s="498">
        <v>6125366.5819492042</v>
      </c>
      <c r="M16" s="498">
        <v>205005894.92179897</v>
      </c>
      <c r="N16" s="498">
        <v>13012008.181490464</v>
      </c>
      <c r="O16" s="498">
        <v>121589001.02957158</v>
      </c>
      <c r="P16" s="498">
        <v>15928130.424321</v>
      </c>
      <c r="Q16" s="498">
        <v>1125521.660225342</v>
      </c>
      <c r="R16" s="498">
        <v>61758698.945184834</v>
      </c>
      <c r="S16" s="498">
        <v>35649535.284733564</v>
      </c>
      <c r="T16" s="498">
        <v>668816.09524068679</v>
      </c>
      <c r="U16" s="498">
        <v>6776062.7045146031</v>
      </c>
      <c r="V16" s="498">
        <v>4651110.4267182089</v>
      </c>
      <c r="W16" s="498">
        <v>7665127.7455709549</v>
      </c>
      <c r="X16" s="498">
        <v>890155.14482433023</v>
      </c>
      <c r="Y16" s="498">
        <v>4103600.4373058639</v>
      </c>
      <c r="Z16" s="498">
        <v>35574863.244602762</v>
      </c>
      <c r="AA16" s="498">
        <v>8725248.6634817049</v>
      </c>
      <c r="AB16" s="498">
        <v>939770.88867034158</v>
      </c>
      <c r="AC16" s="498">
        <v>69477.923053898514</v>
      </c>
      <c r="AD16" s="498">
        <v>4545.3301823712791</v>
      </c>
      <c r="AE16" s="498">
        <v>304495.86592239584</v>
      </c>
      <c r="AF16" s="498">
        <v>1131546.8104380826</v>
      </c>
      <c r="AG16" s="498">
        <v>2742809.397237997</v>
      </c>
      <c r="AH16" s="498">
        <v>522963.5661027751</v>
      </c>
      <c r="AI16" s="498">
        <v>146813.31330556271</v>
      </c>
      <c r="AJ16" s="498">
        <v>138771.38987132465</v>
      </c>
      <c r="AK16" s="498">
        <v>474805.5072777574</v>
      </c>
      <c r="AL16" s="498">
        <v>180663.85686252185</v>
      </c>
      <c r="AM16" s="498">
        <v>6969.5996170846283</v>
      </c>
      <c r="AN16" s="502">
        <v>1594201000</v>
      </c>
      <c r="AO16" s="498">
        <v>4844585.4964849902</v>
      </c>
      <c r="AP16" s="498">
        <v>131694319.57924099</v>
      </c>
      <c r="AQ16" s="498">
        <v>27981094.924274001</v>
      </c>
      <c r="AR16" s="502">
        <v>1758721000</v>
      </c>
      <c r="AS16" s="502">
        <v>42900120.531643294</v>
      </c>
      <c r="AT16" s="486"/>
      <c r="AU16" s="498">
        <f t="shared" si="17"/>
        <v>844394000</v>
      </c>
      <c r="AV16" s="498">
        <f t="shared" si="0"/>
        <v>212000</v>
      </c>
      <c r="AW16" s="498">
        <f t="shared" si="1"/>
        <v>205600000</v>
      </c>
      <c r="AX16" s="498">
        <f>ROUND(SUM(I16,M16:N16,AC16),-3)</f>
        <v>228971000</v>
      </c>
      <c r="AY16" s="498">
        <f t="shared" si="2"/>
        <v>138774000</v>
      </c>
      <c r="AZ16" s="498">
        <f t="shared" si="3"/>
        <v>1126000</v>
      </c>
      <c r="BA16" s="498">
        <f t="shared" si="4"/>
        <v>99845000</v>
      </c>
      <c r="BB16" s="498">
        <f t="shared" si="5"/>
        <v>669000</v>
      </c>
      <c r="BC16" s="498">
        <f t="shared" si="6"/>
        <v>7665000</v>
      </c>
      <c r="BD16" s="498">
        <f t="shared" si="7"/>
        <v>11427000</v>
      </c>
      <c r="BE16" s="498">
        <f t="shared" si="8"/>
        <v>4994000</v>
      </c>
      <c r="BF16" s="498">
        <f t="shared" si="9"/>
        <v>44300000</v>
      </c>
      <c r="BG16" s="498">
        <f t="shared" si="10"/>
        <v>5655000</v>
      </c>
      <c r="BH16" s="498">
        <f t="shared" si="11"/>
        <v>569000</v>
      </c>
      <c r="BI16" s="498">
        <f t="shared" si="12"/>
        <v>164520000</v>
      </c>
      <c r="BJ16" s="498">
        <f t="shared" si="13"/>
        <v>42900000</v>
      </c>
      <c r="BK16" s="498">
        <f t="shared" si="14"/>
        <v>1801621000</v>
      </c>
      <c r="BL16" s="498">
        <f t="shared" si="15"/>
        <v>0</v>
      </c>
    </row>
    <row r="17" spans="1:64" ht="15" x14ac:dyDescent="0.25">
      <c r="A17" s="499">
        <f t="shared" si="16"/>
        <v>2020</v>
      </c>
      <c r="B17" s="500">
        <v>11</v>
      </c>
      <c r="C17" s="501">
        <v>596.16860344398947</v>
      </c>
      <c r="D17" s="498">
        <v>784000</v>
      </c>
      <c r="E17" s="498">
        <v>1073913078.7088752</v>
      </c>
      <c r="F17" s="498">
        <v>233921.29112507851</v>
      </c>
      <c r="G17" s="498">
        <v>19164868.880282052</v>
      </c>
      <c r="H17" s="498">
        <v>2565022.4994045971</v>
      </c>
      <c r="I17" s="498">
        <v>11976738.164159531</v>
      </c>
      <c r="J17" s="498">
        <v>1312053.2179549488</v>
      </c>
      <c r="K17" s="498">
        <v>195670288.85919148</v>
      </c>
      <c r="L17" s="498">
        <v>6514730.3616168192</v>
      </c>
      <c r="M17" s="498">
        <v>212108767.1759344</v>
      </c>
      <c r="N17" s="498">
        <v>12833754.443600854</v>
      </c>
      <c r="O17" s="498">
        <v>122370138.79742146</v>
      </c>
      <c r="P17" s="498">
        <v>14949828.443804417</v>
      </c>
      <c r="Q17" s="498">
        <v>375414.79969412915</v>
      </c>
      <c r="R17" s="498">
        <v>62598684.531460702</v>
      </c>
      <c r="S17" s="498">
        <v>34851878.953995176</v>
      </c>
      <c r="T17" s="498">
        <v>222641.85248470688</v>
      </c>
      <c r="U17" s="498">
        <v>6406054.7729270607</v>
      </c>
      <c r="V17" s="498">
        <v>4254896.5178503972</v>
      </c>
      <c r="W17" s="498">
        <v>9460127.5265851766</v>
      </c>
      <c r="X17" s="498">
        <v>1012339.1749174052</v>
      </c>
      <c r="Y17" s="498">
        <v>3594438.9699767716</v>
      </c>
      <c r="Z17" s="498">
        <v>36444201.378375158</v>
      </c>
      <c r="AA17" s="498">
        <v>8211472.3091555703</v>
      </c>
      <c r="AB17" s="498">
        <v>1099497.8330552466</v>
      </c>
      <c r="AC17" s="498">
        <v>83691.666195025915</v>
      </c>
      <c r="AD17" s="498">
        <v>4634.3965085842774</v>
      </c>
      <c r="AE17" s="498">
        <v>312207.08433967031</v>
      </c>
      <c r="AF17" s="498">
        <v>1152165.8596733729</v>
      </c>
      <c r="AG17" s="498">
        <v>2803562.0521417819</v>
      </c>
      <c r="AH17" s="498">
        <v>524566.58643023088</v>
      </c>
      <c r="AI17" s="498">
        <v>144511.35612547951</v>
      </c>
      <c r="AJ17" s="498">
        <v>133534.87258341536</v>
      </c>
      <c r="AK17" s="498">
        <v>271078.35305264342</v>
      </c>
      <c r="AL17" s="498">
        <v>183359.78901901623</v>
      </c>
      <c r="AM17" s="498">
        <v>7252.3514791635516</v>
      </c>
      <c r="AN17" s="502">
        <v>1848549999.9999998</v>
      </c>
      <c r="AO17" s="498">
        <v>4703598.0454697078</v>
      </c>
      <c r="AP17" s="498">
        <v>135794163.18314436</v>
      </c>
      <c r="AQ17" s="498">
        <v>28381238.771385945</v>
      </c>
      <c r="AR17" s="502">
        <v>2017428999.9999998</v>
      </c>
      <c r="AS17" s="502">
        <v>41533611.194864869</v>
      </c>
      <c r="AT17" s="486"/>
      <c r="AU17" s="498">
        <f t="shared" si="17"/>
        <v>1073913000</v>
      </c>
      <c r="AV17" s="498">
        <f t="shared" si="0"/>
        <v>234000</v>
      </c>
      <c r="AW17" s="498">
        <f t="shared" si="1"/>
        <v>222449000</v>
      </c>
      <c r="AX17" s="498">
        <f>ROUND(SUM(I17,M17:N17,AC17),-3)</f>
        <v>237003000</v>
      </c>
      <c r="AY17" s="498">
        <f t="shared" si="2"/>
        <v>138632000</v>
      </c>
      <c r="AZ17" s="498">
        <f t="shared" si="3"/>
        <v>375000</v>
      </c>
      <c r="BA17" s="498">
        <f t="shared" si="4"/>
        <v>100016000</v>
      </c>
      <c r="BB17" s="498">
        <f t="shared" si="5"/>
        <v>223000</v>
      </c>
      <c r="BC17" s="498">
        <f t="shared" si="6"/>
        <v>9460000</v>
      </c>
      <c r="BD17" s="498">
        <f t="shared" si="7"/>
        <v>10661000</v>
      </c>
      <c r="BE17" s="498">
        <f t="shared" si="8"/>
        <v>4607000</v>
      </c>
      <c r="BF17" s="498">
        <f t="shared" si="9"/>
        <v>44656000</v>
      </c>
      <c r="BG17" s="498">
        <f t="shared" si="10"/>
        <v>5537000</v>
      </c>
      <c r="BH17" s="498">
        <f t="shared" si="11"/>
        <v>784000</v>
      </c>
      <c r="BI17" s="498">
        <f t="shared" si="12"/>
        <v>168879000</v>
      </c>
      <c r="BJ17" s="498">
        <f t="shared" si="13"/>
        <v>41534000</v>
      </c>
      <c r="BK17" s="498">
        <f t="shared" si="14"/>
        <v>2058963000</v>
      </c>
      <c r="BL17" s="498">
        <f t="shared" si="15"/>
        <v>0</v>
      </c>
    </row>
    <row r="18" spans="1:64" ht="15" x14ac:dyDescent="0.25">
      <c r="A18" s="499">
        <f t="shared" si="16"/>
        <v>2020</v>
      </c>
      <c r="B18" s="500">
        <v>12</v>
      </c>
      <c r="C18" s="501">
        <v>598.68363627044789</v>
      </c>
      <c r="D18" s="498">
        <v>976000</v>
      </c>
      <c r="E18" s="498">
        <v>1256546796.2526636</v>
      </c>
      <c r="F18" s="498">
        <v>288203.74733627075</v>
      </c>
      <c r="G18" s="498">
        <v>24695893.350916244</v>
      </c>
      <c r="H18" s="498">
        <v>3076827.0558047127</v>
      </c>
      <c r="I18" s="498">
        <v>14050544.499200171</v>
      </c>
      <c r="J18" s="498">
        <v>1637674.3705031425</v>
      </c>
      <c r="K18" s="498">
        <v>223719882.53970537</v>
      </c>
      <c r="L18" s="498">
        <v>7374582.5597333862</v>
      </c>
      <c r="M18" s="498">
        <v>235272596.87583259</v>
      </c>
      <c r="N18" s="498">
        <v>13981601.718313949</v>
      </c>
      <c r="O18" s="498">
        <v>132923424.77264187</v>
      </c>
      <c r="P18" s="498">
        <v>14879278.149418807</v>
      </c>
      <c r="Q18" s="498">
        <v>300493.09086566413</v>
      </c>
      <c r="R18" s="498">
        <v>69469516.563801482</v>
      </c>
      <c r="S18" s="498">
        <v>36549863.432074845</v>
      </c>
      <c r="T18" s="498">
        <v>2966.8821845555512</v>
      </c>
      <c r="U18" s="498">
        <v>5367898.2442088025</v>
      </c>
      <c r="V18" s="498">
        <v>4002577.9712492521</v>
      </c>
      <c r="W18" s="498">
        <v>13429492.762296256</v>
      </c>
      <c r="X18" s="498">
        <v>1705186.7162687229</v>
      </c>
      <c r="Y18" s="498">
        <v>3484411.5243312451</v>
      </c>
      <c r="Z18" s="498">
        <v>39606163.661663488</v>
      </c>
      <c r="AA18" s="498">
        <v>8689684.6448785216</v>
      </c>
      <c r="AB18" s="498">
        <v>1232910.340143899</v>
      </c>
      <c r="AC18" s="498">
        <v>112569.03201965462</v>
      </c>
      <c r="AD18" s="498">
        <v>4653.9474532039385</v>
      </c>
      <c r="AE18" s="498">
        <v>327101.73657003482</v>
      </c>
      <c r="AF18" s="498">
        <v>1156792.0206334698</v>
      </c>
      <c r="AG18" s="498">
        <v>2722653.2720589601</v>
      </c>
      <c r="AH18" s="498">
        <v>518465.55742392218</v>
      </c>
      <c r="AI18" s="498">
        <v>152287.44829610593</v>
      </c>
      <c r="AJ18" s="498">
        <v>144055.48559146046</v>
      </c>
      <c r="AK18" s="498">
        <v>303255.41006058437</v>
      </c>
      <c r="AL18" s="498">
        <v>190843.71843304657</v>
      </c>
      <c r="AM18" s="498">
        <v>7251.9617864134034</v>
      </c>
      <c r="AN18" s="502">
        <v>2118905000.0000002</v>
      </c>
      <c r="AO18" s="498">
        <v>4465244.4422798408</v>
      </c>
      <c r="AP18" s="498">
        <v>133698741.69419169</v>
      </c>
      <c r="AQ18" s="498">
        <v>25965013.863528457</v>
      </c>
      <c r="AR18" s="502">
        <v>2283034000</v>
      </c>
      <c r="AS18" s="502">
        <v>39360109.668782443</v>
      </c>
      <c r="AT18" s="486"/>
      <c r="AU18" s="498">
        <f t="shared" si="17"/>
        <v>1256547000</v>
      </c>
      <c r="AV18" s="498">
        <f t="shared" si="0"/>
        <v>288000</v>
      </c>
      <c r="AW18" s="498">
        <f t="shared" si="1"/>
        <v>257023000</v>
      </c>
      <c r="AX18" s="498">
        <f>ROUND(SUM(I18,M18:N18,AC18),-3)+2000</f>
        <v>263419000</v>
      </c>
      <c r="AY18" s="498">
        <f t="shared" si="2"/>
        <v>149440000</v>
      </c>
      <c r="AZ18" s="498">
        <f t="shared" si="3"/>
        <v>300000</v>
      </c>
      <c r="BA18" s="498">
        <f t="shared" si="4"/>
        <v>109096000</v>
      </c>
      <c r="BB18" s="498">
        <f t="shared" si="5"/>
        <v>3000</v>
      </c>
      <c r="BC18" s="498">
        <f t="shared" si="6"/>
        <v>13429000</v>
      </c>
      <c r="BD18" s="498">
        <f t="shared" si="7"/>
        <v>9370000</v>
      </c>
      <c r="BE18" s="498">
        <f t="shared" si="8"/>
        <v>5190000</v>
      </c>
      <c r="BF18" s="498">
        <f t="shared" si="9"/>
        <v>48296000</v>
      </c>
      <c r="BG18" s="498">
        <f t="shared" si="10"/>
        <v>5528000</v>
      </c>
      <c r="BH18" s="498">
        <f t="shared" si="11"/>
        <v>976000</v>
      </c>
      <c r="BI18" s="498">
        <f t="shared" si="12"/>
        <v>164129000</v>
      </c>
      <c r="BJ18" s="498">
        <f t="shared" si="13"/>
        <v>39360000</v>
      </c>
      <c r="BK18" s="498">
        <f t="shared" si="14"/>
        <v>2322394000</v>
      </c>
      <c r="BL18" s="498">
        <f t="shared" si="15"/>
        <v>0</v>
      </c>
    </row>
    <row r="19" spans="1:64" ht="12.75" x14ac:dyDescent="0.2">
      <c r="A19" s="494">
        <v>2021</v>
      </c>
      <c r="B19" s="494">
        <v>1</v>
      </c>
      <c r="C19" s="495">
        <v>552.87104663628259</v>
      </c>
      <c r="D19" s="496">
        <v>993000</v>
      </c>
      <c r="E19" s="496">
        <v>1275428757.5601294</v>
      </c>
      <c r="F19" s="496">
        <v>274242.43987032952</v>
      </c>
      <c r="G19" s="496">
        <v>25141978.684427779</v>
      </c>
      <c r="H19" s="496">
        <v>3200480.94515055</v>
      </c>
      <c r="I19" s="496">
        <v>15029119.300407982</v>
      </c>
      <c r="J19" s="496">
        <v>1657262.5429663246</v>
      </c>
      <c r="K19" s="496">
        <v>230120445.23196393</v>
      </c>
      <c r="L19" s="496">
        <v>7732218.1867844844</v>
      </c>
      <c r="M19" s="496">
        <v>229481567.94962698</v>
      </c>
      <c r="N19" s="496">
        <v>13648183.144567138</v>
      </c>
      <c r="O19" s="496">
        <v>125893310.54310995</v>
      </c>
      <c r="P19" s="496">
        <v>14072373.555965215</v>
      </c>
      <c r="Q19" s="496">
        <v>302509.31246727891</v>
      </c>
      <c r="R19" s="496">
        <v>65907280.595605545</v>
      </c>
      <c r="S19" s="496">
        <v>35864635.180630483</v>
      </c>
      <c r="T19" s="496">
        <v>2782.3644769806465</v>
      </c>
      <c r="U19" s="496">
        <v>3509212.1815586002</v>
      </c>
      <c r="V19" s="496">
        <v>4059166.3276026482</v>
      </c>
      <c r="W19" s="496">
        <v>14159521.122664124</v>
      </c>
      <c r="X19" s="496">
        <v>1593140.5943910026</v>
      </c>
      <c r="Y19" s="496">
        <v>3474462.6933793328</v>
      </c>
      <c r="Z19" s="496">
        <v>34007537.935471594</v>
      </c>
      <c r="AA19" s="496">
        <v>8642960.9110707007</v>
      </c>
      <c r="AB19" s="496">
        <v>1177765.2232806454</v>
      </c>
      <c r="AC19" s="496">
        <v>104750.27359600096</v>
      </c>
      <c r="AD19" s="496">
        <v>4552.7006566687287</v>
      </c>
      <c r="AE19" s="496">
        <v>314903.62671523873</v>
      </c>
      <c r="AF19" s="496">
        <v>1071015.3049630406</v>
      </c>
      <c r="AG19" s="496">
        <v>2653533.7659659781</v>
      </c>
      <c r="AH19" s="496">
        <v>487254.87420938787</v>
      </c>
      <c r="AI19" s="496">
        <v>139618.99171106127</v>
      </c>
      <c r="AJ19" s="496">
        <v>128551.2217356124</v>
      </c>
      <c r="AK19" s="496">
        <v>448671.35956640349</v>
      </c>
      <c r="AL19" s="496">
        <v>181477.78709332604</v>
      </c>
      <c r="AM19" s="496">
        <v>7202.695171400459</v>
      </c>
      <c r="AN19" s="497">
        <v>2120916000</v>
      </c>
      <c r="AO19" s="496">
        <v>5537429.6087029204</v>
      </c>
      <c r="AP19" s="496">
        <v>140576528.48446804</v>
      </c>
      <c r="AQ19" s="496">
        <v>27027041.906829011</v>
      </c>
      <c r="AR19" s="497">
        <v>2294057000</v>
      </c>
      <c r="AS19" s="497">
        <v>39848782.925041668</v>
      </c>
      <c r="AT19" s="486"/>
      <c r="AU19" s="498">
        <f t="shared" ref="AU19:AU29" si="18">ROUND(E19,-3)</f>
        <v>1275429000</v>
      </c>
      <c r="AV19" s="498">
        <f t="shared" ref="AV19:AV30" si="19">ROUND(F19,-3)</f>
        <v>274000</v>
      </c>
      <c r="AW19" s="498">
        <f t="shared" ref="AW19:AW30" si="20">ROUND(SUM(G19,K19:L19,AB19),-3)</f>
        <v>264172000</v>
      </c>
      <c r="AX19" s="498">
        <f>ROUND(SUM(I19,M19:N19,AC19),-3)</f>
        <v>258264000</v>
      </c>
      <c r="AY19" s="498">
        <f t="shared" ref="AY19:AY30" si="21">ROUND(SUM(J19,O19:P19),-3)</f>
        <v>141623000</v>
      </c>
      <c r="AZ19" s="498">
        <f t="shared" ref="AZ19:AZ30" si="22">ROUND(SUM(Q19),-3)</f>
        <v>303000</v>
      </c>
      <c r="BA19" s="498">
        <f t="shared" ref="BA19:BA30" si="23">ROUND(SUM(H19,R19:S19),-3)</f>
        <v>104972000</v>
      </c>
      <c r="BB19" s="498">
        <f t="shared" ref="BB19:BB30" si="24">ROUND(SUM(T19),-3)</f>
        <v>3000</v>
      </c>
      <c r="BC19" s="498">
        <f t="shared" ref="BC19:BC30" si="25">ROUND(SUM(W19),-3)</f>
        <v>14160000</v>
      </c>
      <c r="BD19" s="498">
        <f t="shared" ref="BD19:BD30" si="26">ROUND(SUM(U19:V19),-3)</f>
        <v>7568000</v>
      </c>
      <c r="BE19" s="498">
        <f t="shared" ref="BE19:BE30" si="27">ROUND(SUM(X19:Y19),-3)</f>
        <v>5068000</v>
      </c>
      <c r="BF19" s="498">
        <f t="shared" ref="BF19:BF30" si="28">ROUND(SUM(Z19:AA19),-3)</f>
        <v>42650000</v>
      </c>
      <c r="BG19" s="498">
        <f t="shared" ref="BG19:BG30" si="29">ROUND(SUM(,C19,AD19:AM19),-3)</f>
        <v>5437000</v>
      </c>
      <c r="BH19" s="498">
        <f t="shared" ref="BH19:BH30" si="30">ROUND(SUM(D19),-3)</f>
        <v>993000</v>
      </c>
      <c r="BI19" s="498">
        <f t="shared" ref="BI19:BI30" si="31">ROUND(SUM(AO19:AQ19),-3)</f>
        <v>173141000</v>
      </c>
      <c r="BJ19" s="498">
        <f t="shared" ref="BJ19:BJ30" si="32">ROUND(SUM(AS19),-3)</f>
        <v>39849000</v>
      </c>
      <c r="BK19" s="498">
        <f t="shared" ref="BK19:BK30" si="33">SUM(AU19:BJ19)</f>
        <v>2333906000</v>
      </c>
      <c r="BL19" s="498">
        <f t="shared" ref="BL19:BL46" si="34">ROUND(BK19,-3)-ROUND(AR19+AS19,-3)</f>
        <v>0</v>
      </c>
    </row>
    <row r="20" spans="1:64" ht="15" x14ac:dyDescent="0.25">
      <c r="A20" s="499">
        <v>2021</v>
      </c>
      <c r="B20" s="500">
        <v>2</v>
      </c>
      <c r="C20" s="501">
        <v>541.61859915493937</v>
      </c>
      <c r="D20" s="498">
        <v>822000</v>
      </c>
      <c r="E20" s="498">
        <v>1039133161.3446268</v>
      </c>
      <c r="F20" s="498">
        <v>205838.65537314228</v>
      </c>
      <c r="G20" s="498">
        <v>21727287.628807742</v>
      </c>
      <c r="H20" s="498">
        <v>2754830.2284938521</v>
      </c>
      <c r="I20" s="498">
        <v>12363067.475320458</v>
      </c>
      <c r="J20" s="498">
        <v>1454895.7703950768</v>
      </c>
      <c r="K20" s="498">
        <v>195969782.97309139</v>
      </c>
      <c r="L20" s="498">
        <v>6694070.3343584491</v>
      </c>
      <c r="M20" s="498">
        <v>206608828.88405809</v>
      </c>
      <c r="N20" s="498">
        <v>12633384.461802324</v>
      </c>
      <c r="O20" s="498">
        <v>112335037.12030196</v>
      </c>
      <c r="P20" s="498">
        <v>13691460.226808676</v>
      </c>
      <c r="Q20" s="498">
        <v>258672.25090589485</v>
      </c>
      <c r="R20" s="498">
        <v>59494595.126706079</v>
      </c>
      <c r="S20" s="498">
        <v>32616374.833850969</v>
      </c>
      <c r="T20" s="498">
        <v>2548.6761789711936</v>
      </c>
      <c r="U20" s="498">
        <v>4911332.568487132</v>
      </c>
      <c r="V20" s="498">
        <v>3671592.9999328875</v>
      </c>
      <c r="W20" s="498">
        <v>12487803.748190258</v>
      </c>
      <c r="X20" s="498">
        <v>1321727.4904626126</v>
      </c>
      <c r="Y20" s="498">
        <v>4217865.1593100121</v>
      </c>
      <c r="Z20" s="498">
        <v>28219068.326249473</v>
      </c>
      <c r="AA20" s="498">
        <v>7343251.9839366553</v>
      </c>
      <c r="AB20" s="498">
        <v>1055526.0263925318</v>
      </c>
      <c r="AC20" s="498">
        <v>98850.642551251469</v>
      </c>
      <c r="AD20" s="498">
        <v>4460.0406677814035</v>
      </c>
      <c r="AE20" s="498">
        <v>311246.74310748524</v>
      </c>
      <c r="AF20" s="498">
        <v>1049292.3664356067</v>
      </c>
      <c r="AG20" s="498">
        <v>2529785.2128791935</v>
      </c>
      <c r="AH20" s="498">
        <v>476968.89879024203</v>
      </c>
      <c r="AI20" s="498">
        <v>130664.82286395654</v>
      </c>
      <c r="AJ20" s="498">
        <v>123146.72428432674</v>
      </c>
      <c r="AK20" s="498">
        <v>255328.45057675306</v>
      </c>
      <c r="AL20" s="498">
        <v>162468.30413245101</v>
      </c>
      <c r="AM20" s="498">
        <v>6241.8810700316217</v>
      </c>
      <c r="AN20" s="502">
        <v>1787142999.9999995</v>
      </c>
      <c r="AO20" s="498">
        <v>4870226.2033611313</v>
      </c>
      <c r="AP20" s="498">
        <v>125071972.19510269</v>
      </c>
      <c r="AQ20" s="498">
        <v>24122801.601536185</v>
      </c>
      <c r="AR20" s="502">
        <v>1941207999.9999995</v>
      </c>
      <c r="AS20" s="502">
        <v>41227027.42683886</v>
      </c>
      <c r="AT20" s="486"/>
      <c r="AU20" s="498">
        <f t="shared" si="18"/>
        <v>1039133000</v>
      </c>
      <c r="AV20" s="498">
        <f t="shared" si="19"/>
        <v>206000</v>
      </c>
      <c r="AW20" s="498">
        <f t="shared" si="20"/>
        <v>225447000</v>
      </c>
      <c r="AX20" s="498">
        <f>ROUND(SUM(I20,M20:N20,AC20),-3)-1000</f>
        <v>231703000</v>
      </c>
      <c r="AY20" s="498">
        <f t="shared" si="21"/>
        <v>127481000</v>
      </c>
      <c r="AZ20" s="498">
        <f t="shared" si="22"/>
        <v>259000</v>
      </c>
      <c r="BA20" s="498">
        <f t="shared" si="23"/>
        <v>94866000</v>
      </c>
      <c r="BB20" s="498">
        <f t="shared" si="24"/>
        <v>3000</v>
      </c>
      <c r="BC20" s="498">
        <f t="shared" si="25"/>
        <v>12488000</v>
      </c>
      <c r="BD20" s="498">
        <f t="shared" si="26"/>
        <v>8583000</v>
      </c>
      <c r="BE20" s="498">
        <f t="shared" si="27"/>
        <v>5540000</v>
      </c>
      <c r="BF20" s="498">
        <f t="shared" si="28"/>
        <v>35562000</v>
      </c>
      <c r="BG20" s="498">
        <f t="shared" si="29"/>
        <v>5050000</v>
      </c>
      <c r="BH20" s="498">
        <f t="shared" si="30"/>
        <v>822000</v>
      </c>
      <c r="BI20" s="498">
        <f t="shared" si="31"/>
        <v>154065000</v>
      </c>
      <c r="BJ20" s="498">
        <f t="shared" si="32"/>
        <v>41227000</v>
      </c>
      <c r="BK20" s="498">
        <f t="shared" si="33"/>
        <v>1982435000</v>
      </c>
      <c r="BL20" s="498">
        <f t="shared" si="34"/>
        <v>0</v>
      </c>
    </row>
    <row r="21" spans="1:64" ht="15" x14ac:dyDescent="0.25">
      <c r="A21" s="499">
        <v>2021</v>
      </c>
      <c r="B21" s="500">
        <v>3</v>
      </c>
      <c r="C21" s="501">
        <v>540.0011755914785</v>
      </c>
      <c r="D21" s="498">
        <v>835000</v>
      </c>
      <c r="E21" s="498">
        <v>1079882739.3543665</v>
      </c>
      <c r="F21" s="498">
        <v>206260.64563323138</v>
      </c>
      <c r="G21" s="498">
        <v>21712586.158340041</v>
      </c>
      <c r="H21" s="498">
        <v>2923123.483557764</v>
      </c>
      <c r="I21" s="498">
        <v>12609485.811596766</v>
      </c>
      <c r="J21" s="498">
        <v>1481025.4684138822</v>
      </c>
      <c r="K21" s="498">
        <v>210484888.09765503</v>
      </c>
      <c r="L21" s="498">
        <v>7539107.8113223324</v>
      </c>
      <c r="M21" s="498">
        <v>209804327.56420317</v>
      </c>
      <c r="N21" s="498">
        <v>13661627.320753744</v>
      </c>
      <c r="O21" s="498">
        <v>118864293.07509425</v>
      </c>
      <c r="P21" s="498">
        <v>14718042.699179087</v>
      </c>
      <c r="Q21" s="498">
        <v>300188.61749066575</v>
      </c>
      <c r="R21" s="498">
        <v>63267971.008418538</v>
      </c>
      <c r="S21" s="498">
        <v>34931331.546780467</v>
      </c>
      <c r="T21" s="498">
        <v>2768.8274386047333</v>
      </c>
      <c r="U21" s="498">
        <v>7513356.1302093659</v>
      </c>
      <c r="V21" s="498">
        <v>4065264.7775491648</v>
      </c>
      <c r="W21" s="498">
        <v>12077628.347871726</v>
      </c>
      <c r="X21" s="498">
        <v>1567734.2168397028</v>
      </c>
      <c r="Y21" s="498">
        <v>5022643.4806867559</v>
      </c>
      <c r="Z21" s="498">
        <v>34474968.90543516</v>
      </c>
      <c r="AA21" s="498">
        <v>8544982.3637284469</v>
      </c>
      <c r="AB21" s="498">
        <v>963808.78174123832</v>
      </c>
      <c r="AC21" s="498">
        <v>95734.852489185752</v>
      </c>
      <c r="AD21" s="498">
        <v>4446.7217476384867</v>
      </c>
      <c r="AE21" s="498">
        <v>310958.0006504815</v>
      </c>
      <c r="AF21" s="498">
        <v>1047858.7321898739</v>
      </c>
      <c r="AG21" s="498">
        <v>2511811.4818758033</v>
      </c>
      <c r="AH21" s="498">
        <v>475947.19520631741</v>
      </c>
      <c r="AI21" s="498">
        <v>139274.89630625214</v>
      </c>
      <c r="AJ21" s="498">
        <v>127569.19521591693</v>
      </c>
      <c r="AK21" s="498">
        <v>239894.23292386992</v>
      </c>
      <c r="AL21" s="498">
        <v>181623.69184386451</v>
      </c>
      <c r="AM21" s="498">
        <v>7186.5040691236136</v>
      </c>
      <c r="AN21" s="502">
        <v>1872598000.0000002</v>
      </c>
      <c r="AO21" s="498">
        <v>4903870.8922137199</v>
      </c>
      <c r="AP21" s="498">
        <v>130648083.63395974</v>
      </c>
      <c r="AQ21" s="498">
        <v>24408045.473826539</v>
      </c>
      <c r="AR21" s="502">
        <v>2032558000.0000005</v>
      </c>
      <c r="AS21" s="502">
        <v>43018028.843004435</v>
      </c>
      <c r="AT21" s="486"/>
      <c r="AU21" s="498">
        <f t="shared" si="18"/>
        <v>1079883000</v>
      </c>
      <c r="AV21" s="498">
        <f t="shared" si="19"/>
        <v>206000</v>
      </c>
      <c r="AW21" s="498">
        <f t="shared" si="20"/>
        <v>240700000</v>
      </c>
      <c r="AX21" s="498">
        <f>ROUND(SUM(I21,M21:N21,AC21),-3)+1000</f>
        <v>236172000</v>
      </c>
      <c r="AY21" s="498">
        <f t="shared" si="21"/>
        <v>135063000</v>
      </c>
      <c r="AZ21" s="498">
        <f t="shared" si="22"/>
        <v>300000</v>
      </c>
      <c r="BA21" s="498">
        <f t="shared" si="23"/>
        <v>101122000</v>
      </c>
      <c r="BB21" s="498">
        <f t="shared" si="24"/>
        <v>3000</v>
      </c>
      <c r="BC21" s="498">
        <f t="shared" si="25"/>
        <v>12078000</v>
      </c>
      <c r="BD21" s="498">
        <f t="shared" si="26"/>
        <v>11579000</v>
      </c>
      <c r="BE21" s="498">
        <f t="shared" si="27"/>
        <v>6590000</v>
      </c>
      <c r="BF21" s="498">
        <f t="shared" si="28"/>
        <v>43020000</v>
      </c>
      <c r="BG21" s="498">
        <f t="shared" si="29"/>
        <v>5047000</v>
      </c>
      <c r="BH21" s="498">
        <f t="shared" si="30"/>
        <v>835000</v>
      </c>
      <c r="BI21" s="498">
        <f t="shared" si="31"/>
        <v>159960000</v>
      </c>
      <c r="BJ21" s="498">
        <f t="shared" si="32"/>
        <v>43018000</v>
      </c>
      <c r="BK21" s="498">
        <f t="shared" si="33"/>
        <v>2075576000</v>
      </c>
      <c r="BL21" s="498">
        <f t="shared" si="34"/>
        <v>0</v>
      </c>
    </row>
    <row r="22" spans="1:64" ht="15" x14ac:dyDescent="0.25">
      <c r="A22" s="499">
        <v>2021</v>
      </c>
      <c r="B22" s="500">
        <v>4</v>
      </c>
      <c r="C22" s="501">
        <v>567.2304216771962</v>
      </c>
      <c r="D22" s="498">
        <v>703000</v>
      </c>
      <c r="E22" s="498">
        <v>867761913.91555512</v>
      </c>
      <c r="F22" s="498">
        <v>168086.08444495345</v>
      </c>
      <c r="G22" s="498">
        <v>19294868.232575249</v>
      </c>
      <c r="H22" s="498">
        <v>2703136.1796053979</v>
      </c>
      <c r="I22" s="498">
        <v>11426288.061626012</v>
      </c>
      <c r="J22" s="498">
        <v>1302019.477251275</v>
      </c>
      <c r="K22" s="498">
        <v>194131096.07603121</v>
      </c>
      <c r="L22" s="498">
        <v>6650939.5372606451</v>
      </c>
      <c r="M22" s="498">
        <v>205634796.16023812</v>
      </c>
      <c r="N22" s="498">
        <v>12794450.25857172</v>
      </c>
      <c r="O22" s="498">
        <v>114216781.62134141</v>
      </c>
      <c r="P22" s="498">
        <v>14134459.193355644</v>
      </c>
      <c r="Q22" s="498">
        <v>321137.25306138763</v>
      </c>
      <c r="R22" s="498">
        <v>60232898.585087791</v>
      </c>
      <c r="S22" s="498">
        <v>34200772.128778763</v>
      </c>
      <c r="T22" s="498">
        <v>2784.2276573993345</v>
      </c>
      <c r="U22" s="498">
        <v>7522964.5623375988</v>
      </c>
      <c r="V22" s="498">
        <v>3772466.1339301616</v>
      </c>
      <c r="W22" s="498">
        <v>9836105.5663651247</v>
      </c>
      <c r="X22" s="498">
        <v>1464634.4088117839</v>
      </c>
      <c r="Y22" s="498">
        <v>3567695.1805203655</v>
      </c>
      <c r="Z22" s="498">
        <v>32899080.949374773</v>
      </c>
      <c r="AA22" s="498">
        <v>8705217.567582706</v>
      </c>
      <c r="AB22" s="498">
        <v>866096.2819878161</v>
      </c>
      <c r="AC22" s="498">
        <v>84105.704704219184</v>
      </c>
      <c r="AD22" s="498">
        <v>4670.9451127238262</v>
      </c>
      <c r="AE22" s="498">
        <v>329520.29762155685</v>
      </c>
      <c r="AF22" s="498">
        <v>1103009.8609210744</v>
      </c>
      <c r="AG22" s="498">
        <v>2630432.9255391387</v>
      </c>
      <c r="AH22" s="498">
        <v>497253.27832194342</v>
      </c>
      <c r="AI22" s="498">
        <v>142043.62566110259</v>
      </c>
      <c r="AJ22" s="498">
        <v>133912.66593720918</v>
      </c>
      <c r="AK22" s="498">
        <v>253343.47536985058</v>
      </c>
      <c r="AL22" s="498">
        <v>179605.88424221941</v>
      </c>
      <c r="AM22" s="498">
        <v>6846.4627948893076</v>
      </c>
      <c r="AN22" s="502">
        <v>1619678999.9999998</v>
      </c>
      <c r="AO22" s="498">
        <v>4938665.6486006016</v>
      </c>
      <c r="AP22" s="498">
        <v>125881564.88438517</v>
      </c>
      <c r="AQ22" s="498">
        <v>19905769.467014238</v>
      </c>
      <c r="AR22" s="502">
        <v>1770404999.9999998</v>
      </c>
      <c r="AS22" s="502">
        <v>40842248.405989349</v>
      </c>
      <c r="AT22" s="486"/>
      <c r="AU22" s="498">
        <f t="shared" si="18"/>
        <v>867762000</v>
      </c>
      <c r="AV22" s="498">
        <f t="shared" si="19"/>
        <v>168000</v>
      </c>
      <c r="AW22" s="498">
        <f t="shared" si="20"/>
        <v>220943000</v>
      </c>
      <c r="AX22" s="498">
        <f>ROUND(SUM(I22,M22:N22,AC22),-3)+1000</f>
        <v>229941000</v>
      </c>
      <c r="AY22" s="498">
        <f t="shared" si="21"/>
        <v>129653000</v>
      </c>
      <c r="AZ22" s="498">
        <f t="shared" si="22"/>
        <v>321000</v>
      </c>
      <c r="BA22" s="498">
        <f t="shared" si="23"/>
        <v>97137000</v>
      </c>
      <c r="BB22" s="498">
        <f t="shared" si="24"/>
        <v>3000</v>
      </c>
      <c r="BC22" s="498">
        <f t="shared" si="25"/>
        <v>9836000</v>
      </c>
      <c r="BD22" s="498">
        <f t="shared" si="26"/>
        <v>11295000</v>
      </c>
      <c r="BE22" s="498">
        <f t="shared" si="27"/>
        <v>5032000</v>
      </c>
      <c r="BF22" s="498">
        <f t="shared" si="28"/>
        <v>41604000</v>
      </c>
      <c r="BG22" s="498">
        <f t="shared" si="29"/>
        <v>5281000</v>
      </c>
      <c r="BH22" s="498">
        <f t="shared" si="30"/>
        <v>703000</v>
      </c>
      <c r="BI22" s="498">
        <f t="shared" si="31"/>
        <v>150726000</v>
      </c>
      <c r="BJ22" s="498">
        <f t="shared" si="32"/>
        <v>40842000</v>
      </c>
      <c r="BK22" s="498">
        <f t="shared" si="33"/>
        <v>1811247000</v>
      </c>
      <c r="BL22" s="498">
        <f t="shared" si="34"/>
        <v>0</v>
      </c>
    </row>
    <row r="23" spans="1:64" ht="15" x14ac:dyDescent="0.25">
      <c r="A23" s="499">
        <v>2021</v>
      </c>
      <c r="B23" s="500">
        <v>5</v>
      </c>
      <c r="C23" s="501">
        <v>544.17423935400791</v>
      </c>
      <c r="D23" s="498">
        <v>452000</v>
      </c>
      <c r="E23" s="498">
        <v>777238185.64475775</v>
      </c>
      <c r="F23" s="498">
        <v>173814.35524225922</v>
      </c>
      <c r="G23" s="498">
        <v>17072589.047025453</v>
      </c>
      <c r="H23" s="498">
        <v>2528375.4796887217</v>
      </c>
      <c r="I23" s="498">
        <v>10531397.187226092</v>
      </c>
      <c r="J23" s="498">
        <v>1230461.1877198301</v>
      </c>
      <c r="K23" s="498">
        <v>185466502.88094816</v>
      </c>
      <c r="L23" s="498">
        <v>6409130.3941082275</v>
      </c>
      <c r="M23" s="498">
        <v>203969617.6554471</v>
      </c>
      <c r="N23" s="498">
        <v>12829615.143053049</v>
      </c>
      <c r="O23" s="498">
        <v>117868568.28689945</v>
      </c>
      <c r="P23" s="498">
        <v>15431175.926727002</v>
      </c>
      <c r="Q23" s="498">
        <v>789303.24350543215</v>
      </c>
      <c r="R23" s="498">
        <v>62228763.169651687</v>
      </c>
      <c r="S23" s="498">
        <v>35661515.56545791</v>
      </c>
      <c r="T23" s="498">
        <v>308849.4143333651</v>
      </c>
      <c r="U23" s="498">
        <v>8111207.9173199646</v>
      </c>
      <c r="V23" s="498">
        <v>4272318.4772962378</v>
      </c>
      <c r="W23" s="498">
        <v>8492755.9006302152</v>
      </c>
      <c r="X23" s="498">
        <v>1621193.672231148</v>
      </c>
      <c r="Y23" s="498">
        <v>3333858.523029217</v>
      </c>
      <c r="Z23" s="498">
        <v>33612488.529332295</v>
      </c>
      <c r="AA23" s="498">
        <v>8336385.9703283636</v>
      </c>
      <c r="AB23" s="498">
        <v>724248.06969926751</v>
      </c>
      <c r="AC23" s="498">
        <v>60284.478069817567</v>
      </c>
      <c r="AD23" s="498">
        <v>4481.0854753966642</v>
      </c>
      <c r="AE23" s="498">
        <v>322841.93300370284</v>
      </c>
      <c r="AF23" s="498">
        <v>1058267.5001470626</v>
      </c>
      <c r="AG23" s="498">
        <v>2509973.6470796512</v>
      </c>
      <c r="AH23" s="498">
        <v>474931.91803681623</v>
      </c>
      <c r="AI23" s="498">
        <v>141811.99255298954</v>
      </c>
      <c r="AJ23" s="498">
        <v>130336.30709348396</v>
      </c>
      <c r="AK23" s="498">
        <v>457427.19424893078</v>
      </c>
      <c r="AL23" s="498">
        <v>181411.87649675479</v>
      </c>
      <c r="AM23" s="498">
        <v>7366.251897734307</v>
      </c>
      <c r="AN23" s="502">
        <v>1524044000.0000005</v>
      </c>
      <c r="AO23" s="498">
        <v>5059444.5924007865</v>
      </c>
      <c r="AP23" s="498">
        <v>125583757.82219392</v>
      </c>
      <c r="AQ23" s="498">
        <v>21210797.585405305</v>
      </c>
      <c r="AR23" s="502">
        <v>1675898000.0000005</v>
      </c>
      <c r="AS23" s="502">
        <v>38271824.848743618</v>
      </c>
      <c r="AT23" s="486"/>
      <c r="AU23" s="498">
        <f t="shared" si="18"/>
        <v>777238000</v>
      </c>
      <c r="AV23" s="498">
        <f t="shared" si="19"/>
        <v>174000</v>
      </c>
      <c r="AW23" s="498">
        <f t="shared" si="20"/>
        <v>209672000</v>
      </c>
      <c r="AX23" s="498">
        <f>ROUND(SUM(I23,M23:N23,AC23),-3)</f>
        <v>227391000</v>
      </c>
      <c r="AY23" s="498">
        <f t="shared" si="21"/>
        <v>134530000</v>
      </c>
      <c r="AZ23" s="498">
        <f t="shared" si="22"/>
        <v>789000</v>
      </c>
      <c r="BA23" s="498">
        <f t="shared" si="23"/>
        <v>100419000</v>
      </c>
      <c r="BB23" s="498">
        <f t="shared" si="24"/>
        <v>309000</v>
      </c>
      <c r="BC23" s="498">
        <f t="shared" si="25"/>
        <v>8493000</v>
      </c>
      <c r="BD23" s="498">
        <f t="shared" si="26"/>
        <v>12384000</v>
      </c>
      <c r="BE23" s="498">
        <f t="shared" si="27"/>
        <v>4955000</v>
      </c>
      <c r="BF23" s="498">
        <f t="shared" si="28"/>
        <v>41949000</v>
      </c>
      <c r="BG23" s="498">
        <f t="shared" si="29"/>
        <v>5289000</v>
      </c>
      <c r="BH23" s="498">
        <f t="shared" si="30"/>
        <v>452000</v>
      </c>
      <c r="BI23" s="498">
        <f t="shared" si="31"/>
        <v>151854000</v>
      </c>
      <c r="BJ23" s="498">
        <f t="shared" si="32"/>
        <v>38272000</v>
      </c>
      <c r="BK23" s="498">
        <f t="shared" si="33"/>
        <v>1714170000</v>
      </c>
      <c r="BL23" s="498">
        <f t="shared" si="34"/>
        <v>0</v>
      </c>
    </row>
    <row r="24" spans="1:64" ht="15" x14ac:dyDescent="0.25">
      <c r="A24" s="499">
        <v>2021</v>
      </c>
      <c r="B24" s="500">
        <v>6</v>
      </c>
      <c r="C24" s="501">
        <v>578.68577100868094</v>
      </c>
      <c r="D24" s="498">
        <v>347000</v>
      </c>
      <c r="E24" s="498">
        <v>704136132.95987189</v>
      </c>
      <c r="F24" s="498">
        <v>191867.04012808594</v>
      </c>
      <c r="G24" s="498">
        <v>16601324.399760725</v>
      </c>
      <c r="H24" s="498">
        <v>2411583.6946534039</v>
      </c>
      <c r="I24" s="498">
        <v>10122442.719947208</v>
      </c>
      <c r="J24" s="498">
        <v>1172912.8149413588</v>
      </c>
      <c r="K24" s="498">
        <v>177530641.22579294</v>
      </c>
      <c r="L24" s="498">
        <v>6052889.0500046341</v>
      </c>
      <c r="M24" s="498">
        <v>201902579.06371924</v>
      </c>
      <c r="N24" s="498">
        <v>12491586.949905332</v>
      </c>
      <c r="O24" s="498">
        <v>118160798.40990348</v>
      </c>
      <c r="P24" s="498">
        <v>15067019.641449172</v>
      </c>
      <c r="Q24" s="498">
        <v>1407418.0048621325</v>
      </c>
      <c r="R24" s="498">
        <v>62186970.696067236</v>
      </c>
      <c r="S24" s="498">
        <v>34900585.989514098</v>
      </c>
      <c r="T24" s="498">
        <v>663334.54642746318</v>
      </c>
      <c r="U24" s="498">
        <v>5270228.0708753867</v>
      </c>
      <c r="V24" s="498">
        <v>4164954.7923298236</v>
      </c>
      <c r="W24" s="498">
        <v>7365516.5941272462</v>
      </c>
      <c r="X24" s="498">
        <v>1707486.2015771235</v>
      </c>
      <c r="Y24" s="498">
        <v>3851310.3954178342</v>
      </c>
      <c r="Z24" s="498">
        <v>32681523.3864135</v>
      </c>
      <c r="AA24" s="498">
        <v>8170653.1813791059</v>
      </c>
      <c r="AB24" s="498">
        <v>712434.50400471443</v>
      </c>
      <c r="AC24" s="498">
        <v>61077.946348796628</v>
      </c>
      <c r="AD24" s="498">
        <v>4765.2759277323576</v>
      </c>
      <c r="AE24" s="498">
        <v>352978.64342803997</v>
      </c>
      <c r="AF24" s="498">
        <v>1127568.0152645423</v>
      </c>
      <c r="AG24" s="498">
        <v>2655316.1728712078</v>
      </c>
      <c r="AH24" s="498">
        <v>503269.83129730588</v>
      </c>
      <c r="AI24" s="498">
        <v>140925.2598431689</v>
      </c>
      <c r="AJ24" s="498">
        <v>133244.79193540278</v>
      </c>
      <c r="AK24" s="498">
        <v>262010.92508665143</v>
      </c>
      <c r="AL24" s="498">
        <v>177271.14030008047</v>
      </c>
      <c r="AM24" s="498">
        <v>6798.9788526900893</v>
      </c>
      <c r="AN24" s="502">
        <v>1434697000.0000002</v>
      </c>
      <c r="AO24" s="498">
        <v>5431875.7069570553</v>
      </c>
      <c r="AP24" s="498">
        <v>138987131.94833106</v>
      </c>
      <c r="AQ24" s="498">
        <v>26088992.344711874</v>
      </c>
      <c r="AR24" s="502">
        <v>1605205000.0000002</v>
      </c>
      <c r="AS24" s="502">
        <v>38309597.511243716</v>
      </c>
      <c r="AT24" s="486"/>
      <c r="AU24" s="498">
        <f t="shared" si="18"/>
        <v>704136000</v>
      </c>
      <c r="AV24" s="498">
        <f t="shared" si="19"/>
        <v>192000</v>
      </c>
      <c r="AW24" s="498">
        <f t="shared" si="20"/>
        <v>200897000</v>
      </c>
      <c r="AX24" s="498">
        <f>ROUND(SUM(I24,M24:N24,AC24),-3)</f>
        <v>224578000</v>
      </c>
      <c r="AY24" s="498">
        <f t="shared" si="21"/>
        <v>134401000</v>
      </c>
      <c r="AZ24" s="498">
        <f t="shared" si="22"/>
        <v>1407000</v>
      </c>
      <c r="BA24" s="498">
        <f t="shared" si="23"/>
        <v>99499000</v>
      </c>
      <c r="BB24" s="498">
        <f t="shared" si="24"/>
        <v>663000</v>
      </c>
      <c r="BC24" s="498">
        <f t="shared" si="25"/>
        <v>7366000</v>
      </c>
      <c r="BD24" s="498">
        <f t="shared" si="26"/>
        <v>9435000</v>
      </c>
      <c r="BE24" s="498">
        <f t="shared" si="27"/>
        <v>5559000</v>
      </c>
      <c r="BF24" s="498">
        <f t="shared" si="28"/>
        <v>40852000</v>
      </c>
      <c r="BG24" s="498">
        <f t="shared" si="29"/>
        <v>5365000</v>
      </c>
      <c r="BH24" s="498">
        <f t="shared" si="30"/>
        <v>347000</v>
      </c>
      <c r="BI24" s="498">
        <f t="shared" si="31"/>
        <v>170508000</v>
      </c>
      <c r="BJ24" s="498">
        <f t="shared" si="32"/>
        <v>38310000</v>
      </c>
      <c r="BK24" s="498">
        <f t="shared" si="33"/>
        <v>1643515000</v>
      </c>
      <c r="BL24" s="498">
        <f t="shared" si="34"/>
        <v>0</v>
      </c>
    </row>
    <row r="25" spans="1:64" ht="15" x14ac:dyDescent="0.25">
      <c r="A25" s="499">
        <v>2021</v>
      </c>
      <c r="B25" s="500">
        <v>7</v>
      </c>
      <c r="C25" s="501">
        <v>580.41571641298503</v>
      </c>
      <c r="D25" s="498">
        <v>303000</v>
      </c>
      <c r="E25" s="498">
        <v>699175112.40135241</v>
      </c>
      <c r="F25" s="498">
        <v>233887.59864772769</v>
      </c>
      <c r="G25" s="498">
        <v>17447316.837762684</v>
      </c>
      <c r="H25" s="498">
        <v>2570073.4941873713</v>
      </c>
      <c r="I25" s="498">
        <v>11041733.985264229</v>
      </c>
      <c r="J25" s="498">
        <v>1511074.1578549475</v>
      </c>
      <c r="K25" s="498">
        <v>197358491.95041171</v>
      </c>
      <c r="L25" s="498">
        <v>6418510.9869172098</v>
      </c>
      <c r="M25" s="498">
        <v>221470970.81086117</v>
      </c>
      <c r="N25" s="498">
        <v>13194634.829176381</v>
      </c>
      <c r="O25" s="498">
        <v>132394502.74843101</v>
      </c>
      <c r="P25" s="498">
        <v>15480226.736934632</v>
      </c>
      <c r="Q25" s="498">
        <v>2633280.8147977972</v>
      </c>
      <c r="R25" s="498">
        <v>65291410.952454567</v>
      </c>
      <c r="S25" s="498">
        <v>36526473.713749506</v>
      </c>
      <c r="T25" s="498">
        <v>719919.88814527041</v>
      </c>
      <c r="U25" s="498">
        <v>5863214.4363756608</v>
      </c>
      <c r="V25" s="498">
        <v>4591238.6943471907</v>
      </c>
      <c r="W25" s="498">
        <v>5833655.1190600293</v>
      </c>
      <c r="X25" s="498">
        <v>2243048.8788445471</v>
      </c>
      <c r="Y25" s="498">
        <v>4461617.2998318179</v>
      </c>
      <c r="Z25" s="498">
        <v>38011313.363303229</v>
      </c>
      <c r="AA25" s="498">
        <v>8121297.7390432628</v>
      </c>
      <c r="AB25" s="498">
        <v>673232.08979948447</v>
      </c>
      <c r="AC25" s="498">
        <v>65136.031960693559</v>
      </c>
      <c r="AD25" s="498">
        <v>4779.5214260743196</v>
      </c>
      <c r="AE25" s="498">
        <v>360775.38756642316</v>
      </c>
      <c r="AF25" s="498">
        <v>1123595.7835581794</v>
      </c>
      <c r="AG25" s="498">
        <v>2658146.3693931322</v>
      </c>
      <c r="AH25" s="498">
        <v>527137.80243101798</v>
      </c>
      <c r="AI25" s="498">
        <v>149701.06004136108</v>
      </c>
      <c r="AJ25" s="498">
        <v>137730.31680965502</v>
      </c>
      <c r="AK25" s="498">
        <v>257616.59814858239</v>
      </c>
      <c r="AL25" s="498">
        <v>191739.68673764475</v>
      </c>
      <c r="AM25" s="498">
        <v>7821.4986572102407</v>
      </c>
      <c r="AN25" s="502">
        <v>1499053999.9999998</v>
      </c>
      <c r="AO25" s="498">
        <v>5315700.7044728827</v>
      </c>
      <c r="AP25" s="498">
        <v>142654184.1755133</v>
      </c>
      <c r="AQ25" s="498">
        <v>26893115.120013818</v>
      </c>
      <c r="AR25" s="502">
        <v>1673916999.9999995</v>
      </c>
      <c r="AS25" s="502">
        <v>37774738.230787992</v>
      </c>
      <c r="AT25" s="486"/>
      <c r="AU25" s="498">
        <f t="shared" si="18"/>
        <v>699175000</v>
      </c>
      <c r="AV25" s="498">
        <f t="shared" si="19"/>
        <v>234000</v>
      </c>
      <c r="AW25" s="498">
        <f t="shared" si="20"/>
        <v>221898000</v>
      </c>
      <c r="AX25" s="498">
        <f t="shared" ref="AX25" si="35">ROUND(SUM(I25,M25:N25,AC25),-3)-1000</f>
        <v>245771000</v>
      </c>
      <c r="AY25" s="498">
        <f t="shared" si="21"/>
        <v>149386000</v>
      </c>
      <c r="AZ25" s="498">
        <f t="shared" si="22"/>
        <v>2633000</v>
      </c>
      <c r="BA25" s="498">
        <f t="shared" si="23"/>
        <v>104388000</v>
      </c>
      <c r="BB25" s="498">
        <f t="shared" si="24"/>
        <v>720000</v>
      </c>
      <c r="BC25" s="498">
        <f t="shared" si="25"/>
        <v>5834000</v>
      </c>
      <c r="BD25" s="498">
        <f t="shared" si="26"/>
        <v>10454000</v>
      </c>
      <c r="BE25" s="498">
        <f t="shared" si="27"/>
        <v>6705000</v>
      </c>
      <c r="BF25" s="498">
        <f t="shared" si="28"/>
        <v>46133000</v>
      </c>
      <c r="BG25" s="498">
        <f t="shared" si="29"/>
        <v>5420000</v>
      </c>
      <c r="BH25" s="498">
        <f t="shared" si="30"/>
        <v>303000</v>
      </c>
      <c r="BI25" s="498">
        <f t="shared" si="31"/>
        <v>174863000</v>
      </c>
      <c r="BJ25" s="498">
        <f t="shared" si="32"/>
        <v>37775000</v>
      </c>
      <c r="BK25" s="498">
        <f t="shared" si="33"/>
        <v>1711692000</v>
      </c>
      <c r="BL25" s="498">
        <f t="shared" si="34"/>
        <v>0</v>
      </c>
    </row>
    <row r="26" spans="1:64" ht="15" x14ac:dyDescent="0.25">
      <c r="A26" s="499">
        <v>2021</v>
      </c>
      <c r="B26" s="500">
        <v>8</v>
      </c>
      <c r="C26" s="501">
        <v>578.14171443802513</v>
      </c>
      <c r="D26" s="498">
        <v>293000</v>
      </c>
      <c r="E26" s="498">
        <v>712807062.49170995</v>
      </c>
      <c r="F26" s="498">
        <v>245937.50828988408</v>
      </c>
      <c r="G26" s="498">
        <v>17741263.823216997</v>
      </c>
      <c r="H26" s="498">
        <v>2588037.7133592442</v>
      </c>
      <c r="I26" s="498">
        <v>11448560.648247099</v>
      </c>
      <c r="J26" s="498">
        <v>1741379.5877611502</v>
      </c>
      <c r="K26" s="498">
        <v>200613263.084236</v>
      </c>
      <c r="L26" s="498">
        <v>6363798.2358118845</v>
      </c>
      <c r="M26" s="498">
        <v>225806804.15694284</v>
      </c>
      <c r="N26" s="498">
        <v>13259582.307961341</v>
      </c>
      <c r="O26" s="498">
        <v>134200450.83054018</v>
      </c>
      <c r="P26" s="498">
        <v>15725221.480223883</v>
      </c>
      <c r="Q26" s="498">
        <v>3915107.1683525755</v>
      </c>
      <c r="R26" s="498">
        <v>64475223.149046682</v>
      </c>
      <c r="S26" s="498">
        <v>36327642.719333835</v>
      </c>
      <c r="T26" s="498">
        <v>959089.1616659587</v>
      </c>
      <c r="U26" s="498">
        <v>4423513.7942666821</v>
      </c>
      <c r="V26" s="498">
        <v>4272335.2829316296</v>
      </c>
      <c r="W26" s="498">
        <v>4908874.7751544239</v>
      </c>
      <c r="X26" s="498">
        <v>2211086.7450896329</v>
      </c>
      <c r="Y26" s="498">
        <v>3849327.4014095804</v>
      </c>
      <c r="Z26" s="498">
        <v>36627614.927872598</v>
      </c>
      <c r="AA26" s="498">
        <v>9609092.5723278522</v>
      </c>
      <c r="AB26" s="498">
        <v>705562.8633434308</v>
      </c>
      <c r="AC26" s="498">
        <v>67529.026706693243</v>
      </c>
      <c r="AD26" s="498">
        <v>4773.8613240134327</v>
      </c>
      <c r="AE26" s="498">
        <v>361880.08250879124</v>
      </c>
      <c r="AF26" s="498">
        <v>1117511.6141574585</v>
      </c>
      <c r="AG26" s="498">
        <v>2649370.7273781071</v>
      </c>
      <c r="AH26" s="498">
        <v>480773.52852717479</v>
      </c>
      <c r="AI26" s="498">
        <v>150671.86683480599</v>
      </c>
      <c r="AJ26" s="498">
        <v>141881.43785294433</v>
      </c>
      <c r="AK26" s="498">
        <v>258020.15433989279</v>
      </c>
      <c r="AL26" s="498">
        <v>189738.23116366338</v>
      </c>
      <c r="AM26" s="498">
        <v>7438.8983964139406</v>
      </c>
      <c r="AN26" s="502">
        <v>1520549000</v>
      </c>
      <c r="AO26" s="498">
        <v>5353935.2829076396</v>
      </c>
      <c r="AP26" s="498">
        <v>142880318.2831375</v>
      </c>
      <c r="AQ26" s="498">
        <v>27060746.433954868</v>
      </c>
      <c r="AR26" s="502">
        <v>1695844000.0000002</v>
      </c>
      <c r="AS26" s="502">
        <v>40904029.40632984</v>
      </c>
      <c r="AT26" s="486"/>
      <c r="AU26" s="498">
        <f t="shared" si="18"/>
        <v>712807000</v>
      </c>
      <c r="AV26" s="498">
        <f t="shared" si="19"/>
        <v>246000</v>
      </c>
      <c r="AW26" s="498">
        <f t="shared" si="20"/>
        <v>225424000</v>
      </c>
      <c r="AX26" s="498">
        <f>ROUND(SUM(I26,M26:N26,AC26),-3)</f>
        <v>250582000</v>
      </c>
      <c r="AY26" s="498">
        <f t="shared" si="21"/>
        <v>151667000</v>
      </c>
      <c r="AZ26" s="498">
        <f t="shared" si="22"/>
        <v>3915000</v>
      </c>
      <c r="BA26" s="498">
        <f t="shared" si="23"/>
        <v>103391000</v>
      </c>
      <c r="BB26" s="498">
        <f t="shared" si="24"/>
        <v>959000</v>
      </c>
      <c r="BC26" s="498">
        <f t="shared" si="25"/>
        <v>4909000</v>
      </c>
      <c r="BD26" s="498">
        <f t="shared" si="26"/>
        <v>8696000</v>
      </c>
      <c r="BE26" s="498">
        <f t="shared" si="27"/>
        <v>6060000</v>
      </c>
      <c r="BF26" s="498">
        <f t="shared" si="28"/>
        <v>46237000</v>
      </c>
      <c r="BG26" s="498">
        <f t="shared" si="29"/>
        <v>5363000</v>
      </c>
      <c r="BH26" s="498">
        <f t="shared" si="30"/>
        <v>293000</v>
      </c>
      <c r="BI26" s="498">
        <f t="shared" si="31"/>
        <v>175295000</v>
      </c>
      <c r="BJ26" s="498">
        <f t="shared" si="32"/>
        <v>40904000</v>
      </c>
      <c r="BK26" s="498">
        <f t="shared" si="33"/>
        <v>1736748000</v>
      </c>
      <c r="BL26" s="498">
        <f t="shared" si="34"/>
        <v>0</v>
      </c>
    </row>
    <row r="27" spans="1:64" ht="15" x14ac:dyDescent="0.25">
      <c r="A27" s="499">
        <v>2021</v>
      </c>
      <c r="B27" s="500">
        <v>9</v>
      </c>
      <c r="C27" s="501">
        <v>591.94137618971001</v>
      </c>
      <c r="D27" s="498">
        <v>329000</v>
      </c>
      <c r="E27" s="498">
        <v>655958093.68397701</v>
      </c>
      <c r="F27" s="498">
        <v>193906.31602293407</v>
      </c>
      <c r="G27" s="498">
        <v>15838947.853395624</v>
      </c>
      <c r="H27" s="498">
        <v>2336500.0028209649</v>
      </c>
      <c r="I27" s="498">
        <v>10219619.969936395</v>
      </c>
      <c r="J27" s="498">
        <v>1348322.0871637953</v>
      </c>
      <c r="K27" s="498">
        <v>178138641.72534099</v>
      </c>
      <c r="L27" s="498">
        <v>5957289.8483038023</v>
      </c>
      <c r="M27" s="498">
        <v>201046591.86624226</v>
      </c>
      <c r="N27" s="498">
        <v>12544734.084973818</v>
      </c>
      <c r="O27" s="498">
        <v>117554842.58081712</v>
      </c>
      <c r="P27" s="498">
        <v>15009560.842831058</v>
      </c>
      <c r="Q27" s="498">
        <v>2850870.1291393228</v>
      </c>
      <c r="R27" s="498">
        <v>58768032.865814634</v>
      </c>
      <c r="S27" s="498">
        <v>34095637.422221787</v>
      </c>
      <c r="T27" s="498">
        <v>775351.05909495568</v>
      </c>
      <c r="U27" s="498">
        <v>5088715.2815659931</v>
      </c>
      <c r="V27" s="498">
        <v>4658257.1020212155</v>
      </c>
      <c r="W27" s="498">
        <v>5686374.8838770529</v>
      </c>
      <c r="X27" s="498">
        <v>1674916.1867869848</v>
      </c>
      <c r="Y27" s="498">
        <v>3385571.5714254864</v>
      </c>
      <c r="Z27" s="498">
        <v>34070068.0758873</v>
      </c>
      <c r="AA27" s="498">
        <v>8539949.1282228362</v>
      </c>
      <c r="AB27" s="498">
        <v>821759.79107078968</v>
      </c>
      <c r="AC27" s="498">
        <v>70696.398748998909</v>
      </c>
      <c r="AD27" s="498">
        <v>4601.535591194378</v>
      </c>
      <c r="AE27" s="498">
        <v>375674.351643776</v>
      </c>
      <c r="AF27" s="498">
        <v>1149447.6434767656</v>
      </c>
      <c r="AG27" s="498">
        <v>2669765.6140244808</v>
      </c>
      <c r="AH27" s="498">
        <v>492886.6920106677</v>
      </c>
      <c r="AI27" s="498">
        <v>132481.41992997381</v>
      </c>
      <c r="AJ27" s="498">
        <v>121663.48699350137</v>
      </c>
      <c r="AK27" s="498">
        <v>275576.03205713583</v>
      </c>
      <c r="AL27" s="498">
        <v>170118.32096563347</v>
      </c>
      <c r="AM27" s="498">
        <v>6942.2042274447349</v>
      </c>
      <c r="AN27" s="502">
        <v>1382361999.9999998</v>
      </c>
      <c r="AO27" s="498">
        <v>4860172.3022144893</v>
      </c>
      <c r="AP27" s="498">
        <v>134463403.45147523</v>
      </c>
      <c r="AQ27" s="498">
        <v>27434424.24631026</v>
      </c>
      <c r="AR27" s="502">
        <v>1549119999.9999995</v>
      </c>
      <c r="AS27" s="502">
        <v>40754149.359643906</v>
      </c>
      <c r="AT27" s="486"/>
      <c r="AU27" s="498">
        <f t="shared" si="18"/>
        <v>655958000</v>
      </c>
      <c r="AV27" s="498">
        <f t="shared" si="19"/>
        <v>194000</v>
      </c>
      <c r="AW27" s="498">
        <f>ROUND(SUM(G27,K27:L27,AB27),-3)-1000</f>
        <v>200756000</v>
      </c>
      <c r="AX27" s="498">
        <f>ROUND(SUM(I27,M27:N27,AC27),-3)+1000</f>
        <v>223883000</v>
      </c>
      <c r="AY27" s="498">
        <f t="shared" si="21"/>
        <v>133913000</v>
      </c>
      <c r="AZ27" s="498">
        <f t="shared" si="22"/>
        <v>2851000</v>
      </c>
      <c r="BA27" s="498">
        <f t="shared" si="23"/>
        <v>95200000</v>
      </c>
      <c r="BB27" s="498">
        <f t="shared" si="24"/>
        <v>775000</v>
      </c>
      <c r="BC27" s="498">
        <f t="shared" si="25"/>
        <v>5686000</v>
      </c>
      <c r="BD27" s="498">
        <f t="shared" si="26"/>
        <v>9747000</v>
      </c>
      <c r="BE27" s="498">
        <f t="shared" si="27"/>
        <v>5060000</v>
      </c>
      <c r="BF27" s="498">
        <f t="shared" si="28"/>
        <v>42610000</v>
      </c>
      <c r="BG27" s="498">
        <f t="shared" si="29"/>
        <v>5400000</v>
      </c>
      <c r="BH27" s="498">
        <f t="shared" si="30"/>
        <v>329000</v>
      </c>
      <c r="BI27" s="498">
        <f t="shared" si="31"/>
        <v>166758000</v>
      </c>
      <c r="BJ27" s="498">
        <f t="shared" si="32"/>
        <v>40754000</v>
      </c>
      <c r="BK27" s="498">
        <f t="shared" si="33"/>
        <v>1589874000</v>
      </c>
      <c r="BL27" s="498">
        <f t="shared" si="34"/>
        <v>0</v>
      </c>
    </row>
    <row r="28" spans="1:64" ht="15" x14ac:dyDescent="0.25">
      <c r="A28" s="499">
        <v>2021</v>
      </c>
      <c r="B28" s="500">
        <v>10</v>
      </c>
      <c r="C28" s="501">
        <v>557.01155605915983</v>
      </c>
      <c r="D28" s="498">
        <v>573000</v>
      </c>
      <c r="E28" s="498">
        <v>848236807.3439014</v>
      </c>
      <c r="F28" s="498">
        <v>213192.65609860123</v>
      </c>
      <c r="G28" s="498">
        <v>16605330.947566546</v>
      </c>
      <c r="H28" s="498">
        <v>2441949.6715508648</v>
      </c>
      <c r="I28" s="498">
        <v>10920860.09454638</v>
      </c>
      <c r="J28" s="498">
        <v>1261581.2620504082</v>
      </c>
      <c r="K28" s="498">
        <v>182629203.14918956</v>
      </c>
      <c r="L28" s="498">
        <v>6155283.5485061342</v>
      </c>
      <c r="M28" s="498">
        <v>205892133.06289464</v>
      </c>
      <c r="N28" s="498">
        <v>13105483.265797483</v>
      </c>
      <c r="O28" s="498">
        <v>120871053.64275855</v>
      </c>
      <c r="P28" s="498">
        <v>15546152.442539241</v>
      </c>
      <c r="Q28" s="498">
        <v>1146687.8093732612</v>
      </c>
      <c r="R28" s="498">
        <v>61237302.293221094</v>
      </c>
      <c r="S28" s="498">
        <v>36124081.321881659</v>
      </c>
      <c r="T28" s="498">
        <v>670182.45299208036</v>
      </c>
      <c r="U28" s="498">
        <v>7305194.8557402464</v>
      </c>
      <c r="V28" s="498">
        <v>4643100.3477791557</v>
      </c>
      <c r="W28" s="498">
        <v>7680787.2172629656</v>
      </c>
      <c r="X28" s="498">
        <v>891973.68715716084</v>
      </c>
      <c r="Y28" s="498">
        <v>4119290.1915368317</v>
      </c>
      <c r="Z28" s="498">
        <v>35647540.906661019</v>
      </c>
      <c r="AA28" s="498">
        <v>8758608.8819595017</v>
      </c>
      <c r="AB28" s="498">
        <v>859622.75164642057</v>
      </c>
      <c r="AC28" s="498">
        <v>66186.540806571327</v>
      </c>
      <c r="AD28" s="498">
        <v>4330.0039548026825</v>
      </c>
      <c r="AE28" s="498">
        <v>357549.77502583666</v>
      </c>
      <c r="AF28" s="498">
        <v>1080606.1672232216</v>
      </c>
      <c r="AG28" s="498">
        <v>2516417.442055353</v>
      </c>
      <c r="AH28" s="498">
        <v>477720.56502596114</v>
      </c>
      <c r="AI28" s="498">
        <v>144411.74503824874</v>
      </c>
      <c r="AJ28" s="498">
        <v>135924.31146192481</v>
      </c>
      <c r="AK28" s="498">
        <v>440009.74270577478</v>
      </c>
      <c r="AL28" s="498">
        <v>182758.69475181605</v>
      </c>
      <c r="AM28" s="498">
        <v>7124.1957832087246</v>
      </c>
      <c r="AN28" s="502">
        <v>1598950000.0000005</v>
      </c>
      <c r="AO28" s="498">
        <v>4688334.7041563708</v>
      </c>
      <c r="AP28" s="498">
        <v>135550819.02449128</v>
      </c>
      <c r="AQ28" s="498">
        <v>29003846.271352328</v>
      </c>
      <c r="AR28" s="502">
        <v>1768193000.0000005</v>
      </c>
      <c r="AS28" s="502">
        <v>42256618.72366865</v>
      </c>
      <c r="AT28" s="486"/>
      <c r="AU28" s="498">
        <f t="shared" si="18"/>
        <v>848237000</v>
      </c>
      <c r="AV28" s="498">
        <f t="shared" si="19"/>
        <v>213000</v>
      </c>
      <c r="AW28" s="498">
        <f t="shared" si="20"/>
        <v>206249000</v>
      </c>
      <c r="AX28" s="498">
        <f>ROUND(SUM(I28,M28:N28,AC28),-3)+1000</f>
        <v>229986000</v>
      </c>
      <c r="AY28" s="498">
        <f t="shared" si="21"/>
        <v>137679000</v>
      </c>
      <c r="AZ28" s="498">
        <f t="shared" si="22"/>
        <v>1147000</v>
      </c>
      <c r="BA28" s="498">
        <f t="shared" si="23"/>
        <v>99803000</v>
      </c>
      <c r="BB28" s="498">
        <f t="shared" si="24"/>
        <v>670000</v>
      </c>
      <c r="BC28" s="498">
        <f t="shared" si="25"/>
        <v>7681000</v>
      </c>
      <c r="BD28" s="498">
        <f t="shared" si="26"/>
        <v>11948000</v>
      </c>
      <c r="BE28" s="498">
        <f t="shared" si="27"/>
        <v>5011000</v>
      </c>
      <c r="BF28" s="498">
        <f t="shared" si="28"/>
        <v>44406000</v>
      </c>
      <c r="BG28" s="498">
        <f t="shared" si="29"/>
        <v>5347000</v>
      </c>
      <c r="BH28" s="498">
        <f t="shared" si="30"/>
        <v>573000</v>
      </c>
      <c r="BI28" s="498">
        <f t="shared" si="31"/>
        <v>169243000</v>
      </c>
      <c r="BJ28" s="498">
        <f t="shared" si="32"/>
        <v>42257000</v>
      </c>
      <c r="BK28" s="498">
        <f t="shared" si="33"/>
        <v>1810450000</v>
      </c>
      <c r="BL28" s="498">
        <f t="shared" si="34"/>
        <v>0</v>
      </c>
    </row>
    <row r="29" spans="1:64" ht="15" x14ac:dyDescent="0.25">
      <c r="A29" s="499">
        <v>2021</v>
      </c>
      <c r="B29" s="500">
        <v>11</v>
      </c>
      <c r="C29" s="501">
        <v>584.74335559930125</v>
      </c>
      <c r="D29" s="498">
        <v>802000</v>
      </c>
      <c r="E29" s="498">
        <v>1078151323.2770572</v>
      </c>
      <c r="F29" s="498">
        <v>234676.72294286484</v>
      </c>
      <c r="G29" s="498">
        <v>18937814.0757179</v>
      </c>
      <c r="H29" s="498">
        <v>2581363.5808699024</v>
      </c>
      <c r="I29" s="498">
        <v>12069101.06175309</v>
      </c>
      <c r="J29" s="498">
        <v>1322171.5853556758</v>
      </c>
      <c r="K29" s="498">
        <v>197938421.47755012</v>
      </c>
      <c r="L29" s="498">
        <v>6552116.3327446869</v>
      </c>
      <c r="M29" s="498">
        <v>213944203.61124134</v>
      </c>
      <c r="N29" s="498">
        <v>12937525.131009914</v>
      </c>
      <c r="O29" s="498">
        <v>122160168.62242229</v>
      </c>
      <c r="P29" s="498">
        <v>14603148.527349802</v>
      </c>
      <c r="Q29" s="498">
        <v>384126.60733162111</v>
      </c>
      <c r="R29" s="498">
        <v>62401758.52658806</v>
      </c>
      <c r="S29" s="498">
        <v>35346113.524467684</v>
      </c>
      <c r="T29" s="498">
        <v>224060.24497439602</v>
      </c>
      <c r="U29" s="498">
        <v>6975395.0835940829</v>
      </c>
      <c r="V29" s="498">
        <v>4251652.4953823946</v>
      </c>
      <c r="W29" s="498">
        <v>9520395.5026438627</v>
      </c>
      <c r="X29" s="498">
        <v>1018788.5206567447</v>
      </c>
      <c r="Y29" s="498">
        <v>3611650.972573258</v>
      </c>
      <c r="Z29" s="498">
        <v>36676377.768173009</v>
      </c>
      <c r="AA29" s="498">
        <v>8250793.0164722623</v>
      </c>
      <c r="AB29" s="498">
        <v>1035508.4095456607</v>
      </c>
      <c r="AC29" s="498">
        <v>82087.760817773145</v>
      </c>
      <c r="AD29" s="498">
        <v>4545.5808138038865</v>
      </c>
      <c r="AE29" s="498">
        <v>377048.96960788709</v>
      </c>
      <c r="AF29" s="498">
        <v>1132878.3000009516</v>
      </c>
      <c r="AG29" s="498">
        <v>2648320.666820765</v>
      </c>
      <c r="AH29" s="498">
        <v>493374.23530013993</v>
      </c>
      <c r="AI29" s="498">
        <v>142761.37273496183</v>
      </c>
      <c r="AJ29" s="498">
        <v>131360.12797289519</v>
      </c>
      <c r="AK29" s="498">
        <v>258651.33373741907</v>
      </c>
      <c r="AL29" s="498">
        <v>186286.99349498237</v>
      </c>
      <c r="AM29" s="498">
        <v>7445.2369248410914</v>
      </c>
      <c r="AN29" s="502">
        <v>1857395999.999999</v>
      </c>
      <c r="AO29" s="498">
        <v>4517907.9415108729</v>
      </c>
      <c r="AP29" s="498">
        <v>138727128.96181437</v>
      </c>
      <c r="AQ29" s="498">
        <v>29198963.096674778</v>
      </c>
      <c r="AR29" s="502">
        <v>2029839999.999999</v>
      </c>
      <c r="AS29" s="502">
        <v>40910607.026941903</v>
      </c>
      <c r="AT29" s="486"/>
      <c r="AU29" s="498">
        <f t="shared" si="18"/>
        <v>1078151000</v>
      </c>
      <c r="AV29" s="498">
        <f t="shared" si="19"/>
        <v>235000</v>
      </c>
      <c r="AW29" s="498">
        <f t="shared" si="20"/>
        <v>224464000</v>
      </c>
      <c r="AX29" s="498">
        <f>ROUND(SUM(I29,M29:N29,AC29),-3)+2000</f>
        <v>239035000</v>
      </c>
      <c r="AY29" s="498">
        <f t="shared" si="21"/>
        <v>138085000</v>
      </c>
      <c r="AZ29" s="498">
        <f t="shared" si="22"/>
        <v>384000</v>
      </c>
      <c r="BA29" s="498">
        <f t="shared" si="23"/>
        <v>100329000</v>
      </c>
      <c r="BB29" s="498">
        <f t="shared" si="24"/>
        <v>224000</v>
      </c>
      <c r="BC29" s="498">
        <f t="shared" si="25"/>
        <v>9520000</v>
      </c>
      <c r="BD29" s="498">
        <f t="shared" si="26"/>
        <v>11227000</v>
      </c>
      <c r="BE29" s="498">
        <f t="shared" si="27"/>
        <v>4630000</v>
      </c>
      <c r="BF29" s="498">
        <f t="shared" si="28"/>
        <v>44927000</v>
      </c>
      <c r="BG29" s="498">
        <f t="shared" si="29"/>
        <v>5383000</v>
      </c>
      <c r="BH29" s="498">
        <f t="shared" si="30"/>
        <v>802000</v>
      </c>
      <c r="BI29" s="498">
        <f t="shared" si="31"/>
        <v>172444000</v>
      </c>
      <c r="BJ29" s="498">
        <f t="shared" si="32"/>
        <v>40911000</v>
      </c>
      <c r="BK29" s="498">
        <f t="shared" si="33"/>
        <v>2070751000</v>
      </c>
      <c r="BL29" s="498">
        <f t="shared" si="34"/>
        <v>0</v>
      </c>
    </row>
    <row r="30" spans="1:64" ht="15" x14ac:dyDescent="0.25">
      <c r="A30" s="503">
        <v>2021</v>
      </c>
      <c r="B30" s="504">
        <v>12</v>
      </c>
      <c r="C30" s="505">
        <v>580.06595748240841</v>
      </c>
      <c r="D30" s="506">
        <v>983000</v>
      </c>
      <c r="E30" s="506">
        <v>1228414998.8540318</v>
      </c>
      <c r="F30" s="506">
        <v>281001.14596851222</v>
      </c>
      <c r="G30" s="506">
        <v>23881830.736991938</v>
      </c>
      <c r="H30" s="506">
        <v>3030277.2195944074</v>
      </c>
      <c r="I30" s="506">
        <v>13856335.884455234</v>
      </c>
      <c r="J30" s="506">
        <v>1615038.2035619395</v>
      </c>
      <c r="K30" s="506">
        <v>221954454.07650304</v>
      </c>
      <c r="L30" s="506">
        <v>7192780.5532439761</v>
      </c>
      <c r="M30" s="506">
        <v>232238713.01482996</v>
      </c>
      <c r="N30" s="506">
        <v>13667205.513704708</v>
      </c>
      <c r="O30" s="506">
        <v>129919072.16831601</v>
      </c>
      <c r="P30" s="506">
        <v>14080874.463413354</v>
      </c>
      <c r="Q30" s="506">
        <v>300897.63027456746</v>
      </c>
      <c r="R30" s="506">
        <v>67877240.428748563</v>
      </c>
      <c r="S30" s="506">
        <v>35949898.165805906</v>
      </c>
      <c r="T30" s="506">
        <v>2921.995722872311</v>
      </c>
      <c r="U30" s="506">
        <v>5839613.8040939951</v>
      </c>
      <c r="V30" s="506">
        <v>3878624.0746787391</v>
      </c>
      <c r="W30" s="506">
        <v>13226315.698023828</v>
      </c>
      <c r="X30" s="506">
        <v>1679388.6584284073</v>
      </c>
      <c r="Y30" s="506">
        <v>3395261.513255754</v>
      </c>
      <c r="Z30" s="506">
        <v>39006955.32205572</v>
      </c>
      <c r="AA30" s="506">
        <v>8467355.7158975713</v>
      </c>
      <c r="AB30" s="506">
        <v>1147029.3830986258</v>
      </c>
      <c r="AC30" s="506">
        <v>109068.39503435424</v>
      </c>
      <c r="AD30" s="506">
        <v>4509.2204329033129</v>
      </c>
      <c r="AE30" s="506">
        <v>387086.78718364477</v>
      </c>
      <c r="AF30" s="506">
        <v>1123588.6302762236</v>
      </c>
      <c r="AG30" s="506">
        <v>2540601.3841511938</v>
      </c>
      <c r="AH30" s="506">
        <v>481703.21974987071</v>
      </c>
      <c r="AI30" s="506">
        <v>147229.25823906952</v>
      </c>
      <c r="AJ30" s="506">
        <v>138681.95101749705</v>
      </c>
      <c r="AK30" s="506">
        <v>285832.91411570238</v>
      </c>
      <c r="AL30" s="506">
        <v>189748.1622952387</v>
      </c>
      <c r="AM30" s="506">
        <v>7285.7868479215504</v>
      </c>
      <c r="AN30" s="507">
        <v>2077303000.0000005</v>
      </c>
      <c r="AO30" s="506">
        <v>4268681.3993647033</v>
      </c>
      <c r="AP30" s="506">
        <v>135940524.78462479</v>
      </c>
      <c r="AQ30" s="506">
        <v>26586793.816010509</v>
      </c>
      <c r="AR30" s="507">
        <v>2244099000.0000005</v>
      </c>
      <c r="AS30" s="507">
        <v>38769708.023750708</v>
      </c>
      <c r="AT30" s="486"/>
      <c r="AU30" s="498">
        <f>ROUND(E30,-3)</f>
        <v>1228415000</v>
      </c>
      <c r="AV30" s="498">
        <f t="shared" si="19"/>
        <v>281000</v>
      </c>
      <c r="AW30" s="498">
        <f t="shared" si="20"/>
        <v>254176000</v>
      </c>
      <c r="AX30" s="498">
        <f>ROUND(SUM(I30,M30:N30,AC30),-3)+1000</f>
        <v>259872000</v>
      </c>
      <c r="AY30" s="498">
        <f t="shared" si="21"/>
        <v>145615000</v>
      </c>
      <c r="AZ30" s="498">
        <f t="shared" si="22"/>
        <v>301000</v>
      </c>
      <c r="BA30" s="498">
        <f t="shared" si="23"/>
        <v>106857000</v>
      </c>
      <c r="BB30" s="498">
        <f t="shared" si="24"/>
        <v>3000</v>
      </c>
      <c r="BC30" s="498">
        <f t="shared" si="25"/>
        <v>13226000</v>
      </c>
      <c r="BD30" s="498">
        <f t="shared" si="26"/>
        <v>9718000</v>
      </c>
      <c r="BE30" s="498">
        <f t="shared" si="27"/>
        <v>5075000</v>
      </c>
      <c r="BF30" s="498">
        <f t="shared" si="28"/>
        <v>47474000</v>
      </c>
      <c r="BG30" s="498">
        <f t="shared" si="29"/>
        <v>5307000</v>
      </c>
      <c r="BH30" s="498">
        <f t="shared" si="30"/>
        <v>983000</v>
      </c>
      <c r="BI30" s="498">
        <f t="shared" si="31"/>
        <v>166796000</v>
      </c>
      <c r="BJ30" s="498">
        <f t="shared" si="32"/>
        <v>38770000</v>
      </c>
      <c r="BK30" s="498">
        <f t="shared" si="33"/>
        <v>2282869000</v>
      </c>
      <c r="BL30" s="498">
        <f>ROUND(BK30,-3)-ROUND(AR30+AS30,-3)</f>
        <v>0</v>
      </c>
    </row>
    <row r="31" spans="1:64" ht="12.75" x14ac:dyDescent="0.2">
      <c r="A31" s="494">
        <v>2022</v>
      </c>
      <c r="B31" s="494">
        <v>1</v>
      </c>
      <c r="C31" s="495">
        <v>535.56568940461125</v>
      </c>
      <c r="D31" s="496">
        <v>993000</v>
      </c>
      <c r="E31" s="496">
        <v>1233208795.7946019</v>
      </c>
      <c r="F31" s="496">
        <v>264204.20539834589</v>
      </c>
      <c r="G31" s="496">
        <v>24045513.070666436</v>
      </c>
      <c r="H31" s="496">
        <v>3117349.3554886631</v>
      </c>
      <c r="I31" s="496">
        <v>14658195.135535318</v>
      </c>
      <c r="J31" s="496">
        <v>1616360.6968609549</v>
      </c>
      <c r="K31" s="496">
        <v>226007202.43071121</v>
      </c>
      <c r="L31" s="496">
        <v>7408122.8533664225</v>
      </c>
      <c r="M31" s="496">
        <v>223620452.84429172</v>
      </c>
      <c r="N31" s="496">
        <v>13111187.260741161</v>
      </c>
      <c r="O31" s="496">
        <v>121703420.76677249</v>
      </c>
      <c r="P31" s="496">
        <v>13074050.237613842</v>
      </c>
      <c r="Q31" s="496">
        <v>299580.80242656247</v>
      </c>
      <c r="R31" s="496">
        <v>63679859.170760721</v>
      </c>
      <c r="S31" s="496">
        <v>34665096.394505307</v>
      </c>
      <c r="T31" s="496">
        <v>2710.0933446245422</v>
      </c>
      <c r="U31" s="496">
        <v>3953169.1696626716</v>
      </c>
      <c r="V31" s="496">
        <v>3865662.3569472712</v>
      </c>
      <c r="W31" s="496">
        <v>13791731.556048606</v>
      </c>
      <c r="X31" s="496">
        <v>1551759.216892947</v>
      </c>
      <c r="Y31" s="496">
        <v>3327213.1593743092</v>
      </c>
      <c r="Z31" s="496">
        <v>33124201.731471885</v>
      </c>
      <c r="AA31" s="496">
        <v>8276667.7374516828</v>
      </c>
      <c r="AB31" s="496">
        <v>1095495.7158222436</v>
      </c>
      <c r="AC31" s="496">
        <v>101471.49653628151</v>
      </c>
      <c r="AD31" s="496">
        <v>4410.1970625451822</v>
      </c>
      <c r="AE31" s="496">
        <v>371030.51293050835</v>
      </c>
      <c r="AF31" s="496">
        <v>1040055.793093775</v>
      </c>
      <c r="AG31" s="496">
        <v>2475584.2996027945</v>
      </c>
      <c r="AH31" s="496">
        <v>452610.61943664809</v>
      </c>
      <c r="AI31" s="496">
        <v>133495.14339380056</v>
      </c>
      <c r="AJ31" s="496">
        <v>122393.20435234102</v>
      </c>
      <c r="AK31" s="496">
        <v>422805.7998257982</v>
      </c>
      <c r="AL31" s="496">
        <v>178449.00802125401</v>
      </c>
      <c r="AM31" s="496">
        <v>7156.6032977278637</v>
      </c>
      <c r="AN31" s="497">
        <v>2055771000.0000002</v>
      </c>
      <c r="AO31" s="496">
        <v>5311858.6750234868</v>
      </c>
      <c r="AP31" s="496">
        <v>143424791.34224793</v>
      </c>
      <c r="AQ31" s="496">
        <v>27769349.982728563</v>
      </c>
      <c r="AR31" s="497">
        <v>2232277000</v>
      </c>
      <c r="AS31" s="497">
        <v>39251051.181166045</v>
      </c>
      <c r="AT31" s="486"/>
      <c r="AU31" s="498">
        <f t="shared" ref="AU31:AU42" si="36">ROUND(E31,-3)</f>
        <v>1233209000</v>
      </c>
      <c r="AV31" s="498">
        <f t="shared" ref="AV31:AV42" si="37">ROUND(F31,-3)</f>
        <v>264000</v>
      </c>
      <c r="AW31" s="498">
        <f t="shared" ref="AW31:AW42" si="38">ROUND(SUM(G31,K31:L31,AB31),-3)</f>
        <v>258556000</v>
      </c>
      <c r="AX31" s="498">
        <f>ROUND(SUM(I31,M31:N31,AC31),-3)-1000</f>
        <v>251490000</v>
      </c>
      <c r="AY31" s="498">
        <f t="shared" ref="AY31:AY42" si="39">ROUND(SUM(J31,O31:P31),-3)</f>
        <v>136394000</v>
      </c>
      <c r="AZ31" s="498">
        <f t="shared" ref="AZ31:AZ42" si="40">ROUND(SUM(Q31),-3)</f>
        <v>300000</v>
      </c>
      <c r="BA31" s="498">
        <f t="shared" ref="BA31:BA42" si="41">ROUND(SUM(H31,R31:S31),-3)</f>
        <v>101462000</v>
      </c>
      <c r="BB31" s="498">
        <f t="shared" ref="BB31:BB42" si="42">ROUND(SUM(T31),-3)</f>
        <v>3000</v>
      </c>
      <c r="BC31" s="498">
        <f t="shared" ref="BC31:BC42" si="43">ROUND(SUM(W31),-3)</f>
        <v>13792000</v>
      </c>
      <c r="BD31" s="498">
        <f t="shared" ref="BD31:BD42" si="44">ROUND(SUM(U31:V31),-3)</f>
        <v>7819000</v>
      </c>
      <c r="BE31" s="498">
        <f t="shared" ref="BE31:BE42" si="45">ROUND(SUM(X31:Y31),-3)</f>
        <v>4879000</v>
      </c>
      <c r="BF31" s="498">
        <f t="shared" ref="BF31:BF42" si="46">ROUND(SUM(Z31:AA31),-3)</f>
        <v>41401000</v>
      </c>
      <c r="BG31" s="498">
        <f t="shared" ref="BG31:BG42" si="47">ROUND(SUM(,C31,AD31:AM31),-3)</f>
        <v>5209000</v>
      </c>
      <c r="BH31" s="498">
        <f t="shared" ref="BH31:BH42" si="48">ROUND(SUM(D31),-3)</f>
        <v>993000</v>
      </c>
      <c r="BI31" s="498">
        <f t="shared" ref="BI31:BI42" si="49">ROUND(SUM(AO31:AQ31),-3)</f>
        <v>176506000</v>
      </c>
      <c r="BJ31" s="498">
        <f t="shared" ref="BJ31:BJ42" si="50">ROUND(SUM(AS31),-3)</f>
        <v>39251000</v>
      </c>
      <c r="BK31" s="498">
        <f t="shared" ref="BK31:BK42" si="51">SUM(AU31:BJ31)</f>
        <v>2271528000</v>
      </c>
      <c r="BL31" s="498">
        <f t="shared" ref="BL31:BL42" si="52">ROUND(BK31,-3)-ROUND(AR31+AS31,-3)</f>
        <v>0</v>
      </c>
    </row>
    <row r="32" spans="1:64" ht="15" x14ac:dyDescent="0.25">
      <c r="A32" s="499">
        <v>2022</v>
      </c>
      <c r="B32" s="500">
        <v>2</v>
      </c>
      <c r="C32" s="501">
        <v>524.63836957639251</v>
      </c>
      <c r="D32" s="498">
        <v>822000</v>
      </c>
      <c r="E32" s="498">
        <v>1007610044.6354673</v>
      </c>
      <c r="F32" s="498">
        <v>198955.36453268657</v>
      </c>
      <c r="G32" s="498">
        <v>20821842.342942521</v>
      </c>
      <c r="H32" s="498">
        <v>2688295.4777976503</v>
      </c>
      <c r="I32" s="498">
        <v>12082373.3735877</v>
      </c>
      <c r="J32" s="498">
        <v>1421863.4616900522</v>
      </c>
      <c r="K32" s="498">
        <v>192659539.28089279</v>
      </c>
      <c r="L32" s="498">
        <v>6418378.4936701525</v>
      </c>
      <c r="M32" s="498">
        <v>201706899.05514309</v>
      </c>
      <c r="N32" s="498">
        <v>12143689.619543552</v>
      </c>
      <c r="O32" s="498">
        <v>108790480.90205252</v>
      </c>
      <c r="P32" s="498">
        <v>12758708.38305016</v>
      </c>
      <c r="Q32" s="498">
        <v>256647.48060349998</v>
      </c>
      <c r="R32" s="498">
        <v>57572186.677653804</v>
      </c>
      <c r="S32" s="498">
        <v>31543080.181977801</v>
      </c>
      <c r="T32" s="498">
        <v>2487.1204676902457</v>
      </c>
      <c r="U32" s="498">
        <v>5258957.602294853</v>
      </c>
      <c r="V32" s="498">
        <v>3499067.7718702531</v>
      </c>
      <c r="W32" s="498">
        <v>12186197.899475876</v>
      </c>
      <c r="X32" s="498">
        <v>1289805.0844440297</v>
      </c>
      <c r="Y32" s="498">
        <v>4042000.9744934803</v>
      </c>
      <c r="Z32" s="498">
        <v>27537520.455696084</v>
      </c>
      <c r="AA32" s="498">
        <v>7037074.5753945932</v>
      </c>
      <c r="AB32" s="498">
        <v>981744.51567352423</v>
      </c>
      <c r="AC32" s="498">
        <v>95751.586117210958</v>
      </c>
      <c r="AD32" s="498">
        <v>4320.214386729117</v>
      </c>
      <c r="AE32" s="498">
        <v>366108.54356466845</v>
      </c>
      <c r="AF32" s="498">
        <v>1018908.1926632922</v>
      </c>
      <c r="AG32" s="498">
        <v>2360012.653750306</v>
      </c>
      <c r="AH32" s="498">
        <v>443033.11481830972</v>
      </c>
      <c r="AI32" s="498">
        <v>125167.5019607002</v>
      </c>
      <c r="AJ32" s="498">
        <v>117467.00411933303</v>
      </c>
      <c r="AK32" s="498">
        <v>240596.54065638303</v>
      </c>
      <c r="AL32" s="498">
        <v>160055.7358573043</v>
      </c>
      <c r="AM32" s="498">
        <v>6213.5433204030487</v>
      </c>
      <c r="AN32" s="502">
        <v>1736267999.9999998</v>
      </c>
      <c r="AO32" s="498">
        <v>4663021.709438879</v>
      </c>
      <c r="AP32" s="498">
        <v>127365387.60188451</v>
      </c>
      <c r="AQ32" s="498">
        <v>24738590.688676618</v>
      </c>
      <c r="AR32" s="502">
        <v>1893034999.9999998</v>
      </c>
      <c r="AS32" s="502">
        <v>40608622.015436277</v>
      </c>
      <c r="AT32" s="486"/>
      <c r="AU32" s="498">
        <f t="shared" si="36"/>
        <v>1007610000</v>
      </c>
      <c r="AV32" s="498">
        <f t="shared" si="37"/>
        <v>199000</v>
      </c>
      <c r="AW32" s="498">
        <f t="shared" si="38"/>
        <v>220882000</v>
      </c>
      <c r="AX32" s="498">
        <f>ROUND(SUM(I32,M32:N32,AC32),-3)-1000</f>
        <v>226028000</v>
      </c>
      <c r="AY32" s="498">
        <f t="shared" si="39"/>
        <v>122971000</v>
      </c>
      <c r="AZ32" s="498">
        <f t="shared" si="40"/>
        <v>257000</v>
      </c>
      <c r="BA32" s="498">
        <f t="shared" si="41"/>
        <v>91804000</v>
      </c>
      <c r="BB32" s="498">
        <f t="shared" si="42"/>
        <v>2000</v>
      </c>
      <c r="BC32" s="498">
        <f t="shared" si="43"/>
        <v>12186000</v>
      </c>
      <c r="BD32" s="498">
        <f t="shared" si="44"/>
        <v>8758000</v>
      </c>
      <c r="BE32" s="498">
        <f t="shared" si="45"/>
        <v>5332000</v>
      </c>
      <c r="BF32" s="498">
        <f t="shared" si="46"/>
        <v>34575000</v>
      </c>
      <c r="BG32" s="498">
        <f t="shared" si="47"/>
        <v>4842000</v>
      </c>
      <c r="BH32" s="498">
        <f t="shared" si="48"/>
        <v>822000</v>
      </c>
      <c r="BI32" s="498">
        <f t="shared" si="49"/>
        <v>156767000</v>
      </c>
      <c r="BJ32" s="498">
        <f t="shared" si="50"/>
        <v>40609000</v>
      </c>
      <c r="BK32" s="498">
        <f t="shared" si="51"/>
        <v>1933644000</v>
      </c>
      <c r="BL32" s="498">
        <f t="shared" si="52"/>
        <v>0</v>
      </c>
    </row>
    <row r="33" spans="1:66" ht="15" x14ac:dyDescent="0.25">
      <c r="A33" s="499">
        <v>2022</v>
      </c>
      <c r="B33" s="500">
        <v>3</v>
      </c>
      <c r="C33" s="501">
        <v>523.21414433260748</v>
      </c>
      <c r="D33" s="498">
        <v>835000</v>
      </c>
      <c r="E33" s="498">
        <v>1048700216.7644187</v>
      </c>
      <c r="F33" s="498">
        <v>199783.23558121122</v>
      </c>
      <c r="G33" s="498">
        <v>20836290.930589013</v>
      </c>
      <c r="H33" s="498">
        <v>2856143.2861739537</v>
      </c>
      <c r="I33" s="498">
        <v>12340097.976034561</v>
      </c>
      <c r="J33" s="498">
        <v>1449384.9835194396</v>
      </c>
      <c r="K33" s="498">
        <v>207117413.92410982</v>
      </c>
      <c r="L33" s="498">
        <v>7252575.6951692766</v>
      </c>
      <c r="M33" s="498">
        <v>205089927.12389219</v>
      </c>
      <c r="N33" s="498">
        <v>13178506.7273902</v>
      </c>
      <c r="O33" s="498">
        <v>115243304.29748212</v>
      </c>
      <c r="P33" s="498">
        <v>13740014.313924365</v>
      </c>
      <c r="Q33" s="498">
        <v>298216.76270097581</v>
      </c>
      <c r="R33" s="498">
        <v>61276630.519238174</v>
      </c>
      <c r="S33" s="498">
        <v>33913314.756583095</v>
      </c>
      <c r="T33" s="498">
        <v>2705.3827673814244</v>
      </c>
      <c r="U33" s="498">
        <v>7816437.2898917701</v>
      </c>
      <c r="V33" s="498">
        <v>3887424.1135128667</v>
      </c>
      <c r="W33" s="498">
        <v>11800882.621863548</v>
      </c>
      <c r="X33" s="498">
        <v>1531811.2912842378</v>
      </c>
      <c r="Y33" s="498">
        <v>4829601.9723710157</v>
      </c>
      <c r="Z33" s="498">
        <v>33685012.464978427</v>
      </c>
      <c r="AA33" s="498">
        <v>8216562.4210491795</v>
      </c>
      <c r="AB33" s="498">
        <v>896682.52735116018</v>
      </c>
      <c r="AC33" s="498">
        <v>92758.74052139408</v>
      </c>
      <c r="AD33" s="498">
        <v>4308.4863875110832</v>
      </c>
      <c r="AE33" s="498">
        <v>365731.36294444377</v>
      </c>
      <c r="AF33" s="498">
        <v>1017793.2548046451</v>
      </c>
      <c r="AG33" s="498">
        <v>2343883.4569023284</v>
      </c>
      <c r="AH33" s="498">
        <v>442204.53297257109</v>
      </c>
      <c r="AI33" s="498">
        <v>133584.60548337572</v>
      </c>
      <c r="AJ33" s="498">
        <v>121839.89383897046</v>
      </c>
      <c r="AK33" s="498">
        <v>226114.42397161337</v>
      </c>
      <c r="AL33" s="498">
        <v>179153.69178497352</v>
      </c>
      <c r="AM33" s="498">
        <v>7162.9543669245568</v>
      </c>
      <c r="AN33" s="502">
        <v>1821928999.999999</v>
      </c>
      <c r="AO33" s="498">
        <v>4689030.306630278</v>
      </c>
      <c r="AP33" s="498">
        <v>132867931.83258089</v>
      </c>
      <c r="AQ33" s="498">
        <v>24998037.860788826</v>
      </c>
      <c r="AR33" s="502">
        <v>1984483999.999999</v>
      </c>
      <c r="AS33" s="502">
        <v>42372758.410359375</v>
      </c>
      <c r="AT33" s="486"/>
      <c r="AU33" s="498">
        <f t="shared" si="36"/>
        <v>1048700000</v>
      </c>
      <c r="AV33" s="498">
        <f t="shared" si="37"/>
        <v>200000</v>
      </c>
      <c r="AW33" s="498">
        <f t="shared" si="38"/>
        <v>236103000</v>
      </c>
      <c r="AX33" s="498">
        <f t="shared" ref="AX33:AX41" si="53">ROUND(SUM(I33,M33:N33,AC33),-3)</f>
        <v>230701000</v>
      </c>
      <c r="AY33" s="498">
        <f t="shared" si="39"/>
        <v>130433000</v>
      </c>
      <c r="AZ33" s="498">
        <f t="shared" si="40"/>
        <v>298000</v>
      </c>
      <c r="BA33" s="498">
        <f t="shared" si="41"/>
        <v>98046000</v>
      </c>
      <c r="BB33" s="498">
        <f t="shared" si="42"/>
        <v>3000</v>
      </c>
      <c r="BC33" s="498">
        <f t="shared" si="43"/>
        <v>11801000</v>
      </c>
      <c r="BD33" s="498">
        <f t="shared" si="44"/>
        <v>11704000</v>
      </c>
      <c r="BE33" s="498">
        <f t="shared" si="45"/>
        <v>6361000</v>
      </c>
      <c r="BF33" s="498">
        <f t="shared" si="46"/>
        <v>41902000</v>
      </c>
      <c r="BG33" s="498">
        <f t="shared" si="47"/>
        <v>4842000</v>
      </c>
      <c r="BH33" s="498">
        <f t="shared" si="48"/>
        <v>835000</v>
      </c>
      <c r="BI33" s="498">
        <f t="shared" si="49"/>
        <v>162555000</v>
      </c>
      <c r="BJ33" s="498">
        <f t="shared" si="50"/>
        <v>42373000</v>
      </c>
      <c r="BK33" s="498">
        <f t="shared" si="51"/>
        <v>2026857000</v>
      </c>
      <c r="BL33" s="498">
        <f t="shared" si="52"/>
        <v>0</v>
      </c>
    </row>
    <row r="34" spans="1:66" ht="15" x14ac:dyDescent="0.25">
      <c r="A34" s="499">
        <v>2022</v>
      </c>
      <c r="B34" s="500">
        <v>4</v>
      </c>
      <c r="C34" s="501">
        <v>549.79486300289739</v>
      </c>
      <c r="D34" s="498">
        <v>703000</v>
      </c>
      <c r="E34" s="498">
        <v>843267859.14754784</v>
      </c>
      <c r="F34" s="498">
        <v>163140.85245219804</v>
      </c>
      <c r="G34" s="498">
        <v>18493428.842469499</v>
      </c>
      <c r="H34" s="498">
        <v>2637760.4144617198</v>
      </c>
      <c r="I34" s="498">
        <v>11168456.699372072</v>
      </c>
      <c r="J34" s="498">
        <v>1272639.729979869</v>
      </c>
      <c r="K34" s="498">
        <v>190504763.90622857</v>
      </c>
      <c r="L34" s="498">
        <v>6415695.4020667979</v>
      </c>
      <c r="M34" s="498">
        <v>200752351.78174102</v>
      </c>
      <c r="N34" s="498">
        <v>12373854.080388682</v>
      </c>
      <c r="O34" s="498">
        <v>110553132.0826111</v>
      </c>
      <c r="P34" s="498">
        <v>13223898.44411293</v>
      </c>
      <c r="Q34" s="498">
        <v>318612.72040478693</v>
      </c>
      <c r="R34" s="498">
        <v>58209997.855098411</v>
      </c>
      <c r="S34" s="498">
        <v>33281519.691988345</v>
      </c>
      <c r="T34" s="498">
        <v>2716.8906823664147</v>
      </c>
      <c r="U34" s="498">
        <v>7818754.6320606824</v>
      </c>
      <c r="V34" s="498">
        <v>3616421.0514071141</v>
      </c>
      <c r="W34" s="498">
        <v>9598217.8371834662</v>
      </c>
      <c r="X34" s="498">
        <v>1429211.9998875665</v>
      </c>
      <c r="Y34" s="498">
        <v>3439119.6198557918</v>
      </c>
      <c r="Z34" s="498">
        <v>32103411.60581135</v>
      </c>
      <c r="AA34" s="498">
        <v>8391491.7101803403</v>
      </c>
      <c r="AB34" s="498">
        <v>806065.61327057006</v>
      </c>
      <c r="AC34" s="498">
        <v>81520.459108826573</v>
      </c>
      <c r="AD34" s="498">
        <v>4527.3693550334674</v>
      </c>
      <c r="AE34" s="498">
        <v>387086.79467887699</v>
      </c>
      <c r="AF34" s="498">
        <v>1071747.8443597103</v>
      </c>
      <c r="AG34" s="498">
        <v>2455458.4895969764</v>
      </c>
      <c r="AH34" s="498">
        <v>462166.50311799283</v>
      </c>
      <c r="AI34" s="498">
        <v>136062.95834909772</v>
      </c>
      <c r="AJ34" s="498">
        <v>127732.06816941286</v>
      </c>
      <c r="AK34" s="498">
        <v>238877.13164900985</v>
      </c>
      <c r="AL34" s="498">
        <v>176932.82652696801</v>
      </c>
      <c r="AM34" s="498">
        <v>6815.1489623632478</v>
      </c>
      <c r="AN34" s="502">
        <v>1575695000</v>
      </c>
      <c r="AO34" s="498">
        <v>4803971.7805061936</v>
      </c>
      <c r="AP34" s="498">
        <v>130234508.33725634</v>
      </c>
      <c r="AQ34" s="498">
        <v>20739519.882237494</v>
      </c>
      <c r="AR34" s="502">
        <v>1731473000</v>
      </c>
      <c r="AS34" s="502">
        <v>40229614.679899514</v>
      </c>
      <c r="AT34" s="486"/>
      <c r="AU34" s="498">
        <f t="shared" si="36"/>
        <v>843268000</v>
      </c>
      <c r="AV34" s="498">
        <f t="shared" si="37"/>
        <v>163000</v>
      </c>
      <c r="AW34" s="498">
        <f t="shared" si="38"/>
        <v>216220000</v>
      </c>
      <c r="AX34" s="498">
        <f t="shared" si="53"/>
        <v>224376000</v>
      </c>
      <c r="AY34" s="498">
        <f t="shared" si="39"/>
        <v>125050000</v>
      </c>
      <c r="AZ34" s="498">
        <f t="shared" si="40"/>
        <v>319000</v>
      </c>
      <c r="BA34" s="498">
        <f t="shared" si="41"/>
        <v>94129000</v>
      </c>
      <c r="BB34" s="498">
        <f t="shared" si="42"/>
        <v>3000</v>
      </c>
      <c r="BC34" s="498">
        <f t="shared" si="43"/>
        <v>9598000</v>
      </c>
      <c r="BD34" s="498">
        <f t="shared" si="44"/>
        <v>11435000</v>
      </c>
      <c r="BE34" s="498">
        <f t="shared" si="45"/>
        <v>4868000</v>
      </c>
      <c r="BF34" s="498">
        <f t="shared" si="46"/>
        <v>40495000</v>
      </c>
      <c r="BG34" s="498">
        <f t="shared" si="47"/>
        <v>5068000</v>
      </c>
      <c r="BH34" s="498">
        <f t="shared" si="48"/>
        <v>703000</v>
      </c>
      <c r="BI34" s="498">
        <f t="shared" si="49"/>
        <v>155778000</v>
      </c>
      <c r="BJ34" s="498">
        <f t="shared" si="50"/>
        <v>40230000</v>
      </c>
      <c r="BK34" s="498">
        <f t="shared" si="51"/>
        <v>1771703000</v>
      </c>
      <c r="BL34" s="498">
        <f t="shared" si="52"/>
        <v>0</v>
      </c>
    </row>
    <row r="35" spans="1:66" ht="15" x14ac:dyDescent="0.25">
      <c r="A35" s="499">
        <v>2022</v>
      </c>
      <c r="B35" s="500">
        <v>5</v>
      </c>
      <c r="C35" s="501">
        <v>527.8230066898775</v>
      </c>
      <c r="D35" s="498">
        <v>452000</v>
      </c>
      <c r="E35" s="498">
        <v>753829339.43273461</v>
      </c>
      <c r="F35" s="498">
        <v>168660.56726529408</v>
      </c>
      <c r="G35" s="498">
        <v>16308463.558439454</v>
      </c>
      <c r="H35" s="498">
        <v>2458830.8143559182</v>
      </c>
      <c r="I35" s="498">
        <v>10259165.263447359</v>
      </c>
      <c r="J35" s="498">
        <v>1198654.3143949569</v>
      </c>
      <c r="K35" s="498">
        <v>181153940.1457538</v>
      </c>
      <c r="L35" s="498">
        <v>6190433.1803381182</v>
      </c>
      <c r="M35" s="498">
        <v>198449499.00605503</v>
      </c>
      <c r="N35" s="498">
        <v>12422806.395372052</v>
      </c>
      <c r="O35" s="498">
        <v>113720954.35442843</v>
      </c>
      <c r="P35" s="498">
        <v>14476104.540903067</v>
      </c>
      <c r="Q35" s="498">
        <v>780433.61321375344</v>
      </c>
      <c r="R35" s="498">
        <v>59920938.555467546</v>
      </c>
      <c r="S35" s="498">
        <v>34737135.415641941</v>
      </c>
      <c r="T35" s="498">
        <v>300354.30380465102</v>
      </c>
      <c r="U35" s="498">
        <v>8365365.0162246833</v>
      </c>
      <c r="V35" s="498">
        <v>4100204.1754209292</v>
      </c>
      <c r="W35" s="498">
        <v>8259156.9468327211</v>
      </c>
      <c r="X35" s="498">
        <v>1576601.6516706361</v>
      </c>
      <c r="Y35" s="498">
        <v>3217324.9824873512</v>
      </c>
      <c r="Z35" s="498">
        <v>32687954.462080982</v>
      </c>
      <c r="AA35" s="498">
        <v>8044991.3098365301</v>
      </c>
      <c r="AB35" s="498">
        <v>674529.17896648124</v>
      </c>
      <c r="AC35" s="498">
        <v>58473.062799360428</v>
      </c>
      <c r="AD35" s="498">
        <v>4346.4387650285898</v>
      </c>
      <c r="AE35" s="498">
        <v>378087.9529761016</v>
      </c>
      <c r="AF35" s="498">
        <v>1029005.8816455619</v>
      </c>
      <c r="AG35" s="498">
        <v>2344680.658326298</v>
      </c>
      <c r="AH35" s="498">
        <v>441734.52344090451</v>
      </c>
      <c r="AI35" s="498">
        <v>135378.83597131155</v>
      </c>
      <c r="AJ35" s="498">
        <v>123897.73181003252</v>
      </c>
      <c r="AK35" s="498">
        <v>431614.48007357382</v>
      </c>
      <c r="AL35" s="498">
        <v>178103.81670275872</v>
      </c>
      <c r="AM35" s="498">
        <v>7307.6093460183929</v>
      </c>
      <c r="AN35" s="502">
        <v>1478887000.0000012</v>
      </c>
      <c r="AO35" s="498">
        <v>4859774.4581688773</v>
      </c>
      <c r="AP35" s="498">
        <v>128297993.2120007</v>
      </c>
      <c r="AQ35" s="498">
        <v>21822232.329830423</v>
      </c>
      <c r="AR35" s="502">
        <v>1633867000.0000012</v>
      </c>
      <c r="AS35" s="502">
        <v>37697747.476012468</v>
      </c>
      <c r="AT35" s="486"/>
      <c r="AU35" s="498">
        <f t="shared" si="36"/>
        <v>753829000</v>
      </c>
      <c r="AV35" s="498">
        <f t="shared" si="37"/>
        <v>169000</v>
      </c>
      <c r="AW35" s="498">
        <f t="shared" si="38"/>
        <v>204327000</v>
      </c>
      <c r="AX35" s="498">
        <f t="shared" si="53"/>
        <v>221190000</v>
      </c>
      <c r="AY35" s="498">
        <f t="shared" si="39"/>
        <v>129396000</v>
      </c>
      <c r="AZ35" s="498">
        <f t="shared" si="40"/>
        <v>780000</v>
      </c>
      <c r="BA35" s="498">
        <f t="shared" si="41"/>
        <v>97117000</v>
      </c>
      <c r="BB35" s="498">
        <f t="shared" si="42"/>
        <v>300000</v>
      </c>
      <c r="BC35" s="498">
        <f t="shared" si="43"/>
        <v>8259000</v>
      </c>
      <c r="BD35" s="498">
        <f t="shared" si="44"/>
        <v>12466000</v>
      </c>
      <c r="BE35" s="498">
        <f t="shared" si="45"/>
        <v>4794000</v>
      </c>
      <c r="BF35" s="498">
        <f t="shared" si="46"/>
        <v>40733000</v>
      </c>
      <c r="BG35" s="498">
        <f t="shared" si="47"/>
        <v>5075000</v>
      </c>
      <c r="BH35" s="498">
        <f t="shared" si="48"/>
        <v>452000</v>
      </c>
      <c r="BI35" s="498">
        <f t="shared" si="49"/>
        <v>154980000</v>
      </c>
      <c r="BJ35" s="498">
        <f t="shared" si="50"/>
        <v>37698000</v>
      </c>
      <c r="BK35" s="498">
        <f t="shared" si="51"/>
        <v>1671565000</v>
      </c>
      <c r="BL35" s="498">
        <f t="shared" si="52"/>
        <v>0</v>
      </c>
    </row>
    <row r="36" spans="1:66" ht="15" x14ac:dyDescent="0.25">
      <c r="A36" s="508">
        <v>2022</v>
      </c>
      <c r="B36" s="500">
        <v>6</v>
      </c>
      <c r="C36" s="509">
        <v>561.24714727156845</v>
      </c>
      <c r="D36" s="498">
        <v>347000</v>
      </c>
      <c r="E36" s="498">
        <v>679699483.19914722</v>
      </c>
      <c r="F36" s="498">
        <v>185516.80085269664</v>
      </c>
      <c r="G36" s="498">
        <v>15822610.49071118</v>
      </c>
      <c r="H36" s="498">
        <v>2339955.4035991621</v>
      </c>
      <c r="I36" s="498">
        <v>9838595.4100607447</v>
      </c>
      <c r="J36" s="498">
        <v>1140022.7155391267</v>
      </c>
      <c r="K36" s="498">
        <v>172871729.61856937</v>
      </c>
      <c r="L36" s="498">
        <v>5848548.8473205874</v>
      </c>
      <c r="M36" s="498">
        <v>195993703.24024484</v>
      </c>
      <c r="N36" s="498">
        <v>12100467.791035268</v>
      </c>
      <c r="O36" s="498">
        <v>113775681.00174868</v>
      </c>
      <c r="P36" s="498">
        <v>14142828.336996801</v>
      </c>
      <c r="Q36" s="498">
        <v>1388459.9133550785</v>
      </c>
      <c r="R36" s="498">
        <v>59737435.773471683</v>
      </c>
      <c r="S36" s="498">
        <v>34006322.513989493</v>
      </c>
      <c r="T36" s="498">
        <v>643632.3399217634</v>
      </c>
      <c r="U36" s="498">
        <v>5616850.787034519</v>
      </c>
      <c r="V36" s="498">
        <v>3998940.3924301784</v>
      </c>
      <c r="W36" s="498">
        <v>7146747.7545722844</v>
      </c>
      <c r="X36" s="498">
        <v>1656770.8484716841</v>
      </c>
      <c r="Y36" s="498">
        <v>3718339.686180755</v>
      </c>
      <c r="Z36" s="498">
        <v>31710824.474155977</v>
      </c>
      <c r="AA36" s="498">
        <v>7888552.4320469294</v>
      </c>
      <c r="AB36" s="498">
        <v>663467.02805146168</v>
      </c>
      <c r="AC36" s="498">
        <v>59237.37003195432</v>
      </c>
      <c r="AD36" s="498">
        <v>4621.6749303164434</v>
      </c>
      <c r="AE36" s="498">
        <v>411338.88738444843</v>
      </c>
      <c r="AF36" s="498">
        <v>1096291.7644119025</v>
      </c>
      <c r="AG36" s="498">
        <v>2480229.0225737356</v>
      </c>
      <c r="AH36" s="498">
        <v>468049.60983387724</v>
      </c>
      <c r="AI36" s="498">
        <v>134228.5272027232</v>
      </c>
      <c r="AJ36" s="498">
        <v>126376.50818294447</v>
      </c>
      <c r="AK36" s="498">
        <v>247203.39563503087</v>
      </c>
      <c r="AL36" s="498">
        <v>173645.57208001093</v>
      </c>
      <c r="AM36" s="498">
        <v>6729.621078183678</v>
      </c>
      <c r="AN36" s="498">
        <v>1387490999.9999995</v>
      </c>
      <c r="AO36" s="498">
        <v>5141137.6016524686</v>
      </c>
      <c r="AP36" s="498">
        <v>139912693.17036518</v>
      </c>
      <c r="AQ36" s="498">
        <v>26448169.227982339</v>
      </c>
      <c r="AR36" s="498">
        <v>1558992999.9999993</v>
      </c>
      <c r="AS36" s="498">
        <v>37734953.548575059</v>
      </c>
      <c r="AT36" s="486"/>
      <c r="AU36" s="498">
        <f t="shared" si="36"/>
        <v>679699000</v>
      </c>
      <c r="AV36" s="498">
        <f t="shared" si="37"/>
        <v>186000</v>
      </c>
      <c r="AW36" s="498">
        <f t="shared" si="38"/>
        <v>195206000</v>
      </c>
      <c r="AX36" s="498">
        <f>ROUND(SUM(I36,M36:N36,AC36),-3)</f>
        <v>217992000</v>
      </c>
      <c r="AY36" s="498">
        <f t="shared" si="39"/>
        <v>129059000</v>
      </c>
      <c r="AZ36" s="498">
        <f t="shared" si="40"/>
        <v>1388000</v>
      </c>
      <c r="BA36" s="498">
        <f t="shared" si="41"/>
        <v>96084000</v>
      </c>
      <c r="BB36" s="498">
        <f t="shared" si="42"/>
        <v>644000</v>
      </c>
      <c r="BC36" s="498">
        <f t="shared" si="43"/>
        <v>7147000</v>
      </c>
      <c r="BD36" s="498">
        <f t="shared" si="44"/>
        <v>9616000</v>
      </c>
      <c r="BE36" s="498">
        <f t="shared" si="45"/>
        <v>5375000</v>
      </c>
      <c r="BF36" s="498">
        <f t="shared" si="46"/>
        <v>39599000</v>
      </c>
      <c r="BG36" s="498">
        <f t="shared" si="47"/>
        <v>5149000</v>
      </c>
      <c r="BH36" s="498">
        <f t="shared" si="48"/>
        <v>347000</v>
      </c>
      <c r="BI36" s="498">
        <f t="shared" si="49"/>
        <v>171502000</v>
      </c>
      <c r="BJ36" s="498">
        <f t="shared" si="50"/>
        <v>37735000</v>
      </c>
      <c r="BK36" s="498">
        <f t="shared" si="51"/>
        <v>1596728000</v>
      </c>
      <c r="BL36" s="498">
        <f t="shared" si="52"/>
        <v>0</v>
      </c>
    </row>
    <row r="37" spans="1:66" ht="15" x14ac:dyDescent="0.25">
      <c r="A37" s="508">
        <v>2022</v>
      </c>
      <c r="B37" s="500">
        <v>7</v>
      </c>
      <c r="C37" s="509">
        <v>563.44385525591258</v>
      </c>
      <c r="D37" s="498">
        <v>303000</v>
      </c>
      <c r="E37" s="498">
        <v>672641512.68284512</v>
      </c>
      <c r="F37" s="498">
        <v>225487.31715478637</v>
      </c>
      <c r="G37" s="498">
        <v>16574927.652680818</v>
      </c>
      <c r="H37" s="498">
        <v>2485662.559005728</v>
      </c>
      <c r="I37" s="498">
        <v>10697262.332532862</v>
      </c>
      <c r="J37" s="498">
        <v>1463932.8109206152</v>
      </c>
      <c r="K37" s="498">
        <v>191499001.7087599</v>
      </c>
      <c r="L37" s="498">
        <v>6186429.2809042288</v>
      </c>
      <c r="M37" s="498">
        <v>214293665.31587157</v>
      </c>
      <c r="N37" s="498">
        <v>12752518.262389142</v>
      </c>
      <c r="O37" s="498">
        <v>127103642.79842997</v>
      </c>
      <c r="P37" s="498">
        <v>14484894.642937003</v>
      </c>
      <c r="Q37" s="498">
        <v>2589397.9777429947</v>
      </c>
      <c r="R37" s="498">
        <v>62463149.003625505</v>
      </c>
      <c r="S37" s="498">
        <v>35511692.50324133</v>
      </c>
      <c r="T37" s="498">
        <v>696274.9958292935</v>
      </c>
      <c r="U37" s="498">
        <v>6213510.263221452</v>
      </c>
      <c r="V37" s="498">
        <v>4398316.5886376891</v>
      </c>
      <c r="W37" s="498">
        <v>5642055.8184016105</v>
      </c>
      <c r="X37" s="498">
        <v>2169378.6690433011</v>
      </c>
      <c r="Y37" s="498">
        <v>4297885.3997138841</v>
      </c>
      <c r="Z37" s="498">
        <v>36762878.049785689</v>
      </c>
      <c r="AA37" s="498">
        <v>7823263.3221767247</v>
      </c>
      <c r="AB37" s="498">
        <v>627537.01751378737</v>
      </c>
      <c r="AC37" s="498">
        <v>63231.397645152501</v>
      </c>
      <c r="AD37" s="498">
        <v>4639.7640560604659</v>
      </c>
      <c r="AE37" s="498">
        <v>419449.81718345999</v>
      </c>
      <c r="AF37" s="498">
        <v>1093436.6960382364</v>
      </c>
      <c r="AG37" s="498">
        <v>2485161.2686605253</v>
      </c>
      <c r="AH37" s="498">
        <v>490699.13524140365</v>
      </c>
      <c r="AI37" s="498">
        <v>142125.57763541656</v>
      </c>
      <c r="AJ37" s="498">
        <v>130207.81208527592</v>
      </c>
      <c r="AK37" s="498">
        <v>243281.45980611848</v>
      </c>
      <c r="AL37" s="498">
        <v>187210.01367096914</v>
      </c>
      <c r="AM37" s="498">
        <v>7716.6407569748053</v>
      </c>
      <c r="AN37" s="498">
        <v>1445175000</v>
      </c>
      <c r="AO37" s="498">
        <v>5033591.7534429543</v>
      </c>
      <c r="AP37" s="498">
        <v>143672980.92504784</v>
      </c>
      <c r="AQ37" s="498">
        <v>27276427.321509205</v>
      </c>
      <c r="AR37" s="498">
        <v>1621158000</v>
      </c>
      <c r="AS37" s="498">
        <v>37208117.157326177</v>
      </c>
      <c r="AT37" s="486"/>
      <c r="AU37" s="498">
        <f t="shared" si="36"/>
        <v>672642000</v>
      </c>
      <c r="AV37" s="498">
        <f t="shared" si="37"/>
        <v>225000</v>
      </c>
      <c r="AW37" s="498">
        <f t="shared" si="38"/>
        <v>214888000</v>
      </c>
      <c r="AX37" s="498">
        <f>ROUND(SUM(I37,M37:N37,AC37),-3)+1000</f>
        <v>237808000</v>
      </c>
      <c r="AY37" s="498">
        <f t="shared" si="39"/>
        <v>143052000</v>
      </c>
      <c r="AZ37" s="498">
        <f t="shared" si="40"/>
        <v>2589000</v>
      </c>
      <c r="BA37" s="498">
        <f t="shared" si="41"/>
        <v>100461000</v>
      </c>
      <c r="BB37" s="498">
        <f t="shared" si="42"/>
        <v>696000</v>
      </c>
      <c r="BC37" s="498">
        <f t="shared" si="43"/>
        <v>5642000</v>
      </c>
      <c r="BD37" s="498">
        <f t="shared" si="44"/>
        <v>10612000</v>
      </c>
      <c r="BE37" s="498">
        <f t="shared" si="45"/>
        <v>6467000</v>
      </c>
      <c r="BF37" s="498">
        <f t="shared" si="46"/>
        <v>44586000</v>
      </c>
      <c r="BG37" s="498">
        <f t="shared" si="47"/>
        <v>5204000</v>
      </c>
      <c r="BH37" s="498">
        <f t="shared" si="48"/>
        <v>303000</v>
      </c>
      <c r="BI37" s="498">
        <f t="shared" si="49"/>
        <v>175983000</v>
      </c>
      <c r="BJ37" s="498">
        <f t="shared" si="50"/>
        <v>37208000</v>
      </c>
      <c r="BK37" s="498">
        <f t="shared" si="51"/>
        <v>1658366000</v>
      </c>
      <c r="BL37" s="498">
        <f t="shared" si="52"/>
        <v>0</v>
      </c>
    </row>
    <row r="38" spans="1:66" ht="15" x14ac:dyDescent="0.25">
      <c r="A38" s="508">
        <v>2022</v>
      </c>
      <c r="B38" s="500">
        <v>8</v>
      </c>
      <c r="C38" s="509">
        <v>561.72101254963889</v>
      </c>
      <c r="D38" s="498">
        <v>293000</v>
      </c>
      <c r="E38" s="498">
        <v>685838781.88423336</v>
      </c>
      <c r="F38" s="498">
        <v>237218.11576671668</v>
      </c>
      <c r="G38" s="498">
        <v>16861678.142652098</v>
      </c>
      <c r="H38" s="498">
        <v>2504367.371322508</v>
      </c>
      <c r="I38" s="498">
        <v>11096333.546302445</v>
      </c>
      <c r="J38" s="498">
        <v>1687804.1991662011</v>
      </c>
      <c r="K38" s="498">
        <v>194710496.54618734</v>
      </c>
      <c r="L38" s="498">
        <v>6137998.1166133713</v>
      </c>
      <c r="M38" s="498">
        <v>218604030.73944223</v>
      </c>
      <c r="N38" s="498">
        <v>12826631.364129275</v>
      </c>
      <c r="O38" s="498">
        <v>128926281.31177615</v>
      </c>
      <c r="P38" s="498">
        <v>14744066.835995225</v>
      </c>
      <c r="Q38" s="498">
        <v>3851909.6530253477</v>
      </c>
      <c r="R38" s="498">
        <v>61684632.22670076</v>
      </c>
      <c r="S38" s="498">
        <v>35345990.118038714</v>
      </c>
      <c r="T38" s="498">
        <v>928082.14898369089</v>
      </c>
      <c r="U38" s="498">
        <v>4836127.1008244473</v>
      </c>
      <c r="V38" s="498">
        <v>4096886.6038872567</v>
      </c>
      <c r="W38" s="498">
        <v>4750172.5934464308</v>
      </c>
      <c r="X38" s="498">
        <v>2139603.0942604439</v>
      </c>
      <c r="Y38" s="498">
        <v>3711755.5626546782</v>
      </c>
      <c r="Z38" s="498">
        <v>35443457.118585072</v>
      </c>
      <c r="AA38" s="498">
        <v>9265671.3986814804</v>
      </c>
      <c r="AB38" s="498">
        <v>658241.31184113049</v>
      </c>
      <c r="AC38" s="498">
        <v>65611.029806155901</v>
      </c>
      <c r="AD38" s="498">
        <v>4638.2714648137389</v>
      </c>
      <c r="AE38" s="498">
        <v>420597.67060364597</v>
      </c>
      <c r="AF38" s="498">
        <v>1088454.9786976711</v>
      </c>
      <c r="AG38" s="498">
        <v>2479095.7414313131</v>
      </c>
      <c r="AH38" s="498">
        <v>447926.29605966649</v>
      </c>
      <c r="AI38" s="498">
        <v>143123.30110567692</v>
      </c>
      <c r="AJ38" s="498">
        <v>134203.51293583604</v>
      </c>
      <c r="AK38" s="498">
        <v>243872.97908305403</v>
      </c>
      <c r="AL38" s="498">
        <v>185354.32202831077</v>
      </c>
      <c r="AM38" s="498">
        <v>7343.0712549523187</v>
      </c>
      <c r="AN38" s="498">
        <v>1466402000.0000007</v>
      </c>
      <c r="AO38" s="498">
        <v>5071435.9459559331</v>
      </c>
      <c r="AP38" s="498">
        <v>143947244.37339133</v>
      </c>
      <c r="AQ38" s="498">
        <v>27455319.680652715</v>
      </c>
      <c r="AR38" s="498">
        <v>1642876000.0000007</v>
      </c>
      <c r="AS38" s="498">
        <v>40290468.965234898</v>
      </c>
      <c r="AT38" s="486"/>
      <c r="AU38" s="498">
        <f t="shared" si="36"/>
        <v>685839000</v>
      </c>
      <c r="AV38" s="498">
        <f t="shared" si="37"/>
        <v>237000</v>
      </c>
      <c r="AW38" s="498">
        <f t="shared" si="38"/>
        <v>218368000</v>
      </c>
      <c r="AX38" s="498">
        <f>ROUND(SUM(I38,M38:N38,AC38),-3)+1000</f>
        <v>242594000</v>
      </c>
      <c r="AY38" s="498">
        <f t="shared" si="39"/>
        <v>145358000</v>
      </c>
      <c r="AZ38" s="498">
        <f t="shared" si="40"/>
        <v>3852000</v>
      </c>
      <c r="BA38" s="498">
        <f t="shared" si="41"/>
        <v>99535000</v>
      </c>
      <c r="BB38" s="498">
        <f t="shared" si="42"/>
        <v>928000</v>
      </c>
      <c r="BC38" s="498">
        <f t="shared" si="43"/>
        <v>4750000</v>
      </c>
      <c r="BD38" s="498">
        <f t="shared" si="44"/>
        <v>8933000</v>
      </c>
      <c r="BE38" s="498">
        <f t="shared" si="45"/>
        <v>5851000</v>
      </c>
      <c r="BF38" s="498">
        <f t="shared" si="46"/>
        <v>44709000</v>
      </c>
      <c r="BG38" s="498">
        <f t="shared" si="47"/>
        <v>5155000</v>
      </c>
      <c r="BH38" s="498">
        <f t="shared" si="48"/>
        <v>293000</v>
      </c>
      <c r="BI38" s="498">
        <f t="shared" si="49"/>
        <v>176474000</v>
      </c>
      <c r="BJ38" s="498">
        <f t="shared" si="50"/>
        <v>40290000</v>
      </c>
      <c r="BK38" s="498">
        <f t="shared" si="51"/>
        <v>1683166000</v>
      </c>
      <c r="BL38" s="498">
        <f t="shared" si="52"/>
        <v>0</v>
      </c>
    </row>
    <row r="39" spans="1:66" ht="15" x14ac:dyDescent="0.25">
      <c r="A39" s="508">
        <v>2022</v>
      </c>
      <c r="B39" s="500">
        <v>9</v>
      </c>
      <c r="C39" s="509">
        <v>575.80373219330988</v>
      </c>
      <c r="D39" s="498">
        <v>329000</v>
      </c>
      <c r="E39" s="498">
        <v>627879954.34378755</v>
      </c>
      <c r="F39" s="498">
        <v>186045.65621256561</v>
      </c>
      <c r="G39" s="498">
        <v>15051286.418965926</v>
      </c>
      <c r="H39" s="498">
        <v>2260215.7724027243</v>
      </c>
      <c r="I39" s="498">
        <v>9903630.078605298</v>
      </c>
      <c r="J39" s="498">
        <v>1306632.0682535467</v>
      </c>
      <c r="K39" s="498">
        <v>172723351.4707028</v>
      </c>
      <c r="L39" s="498">
        <v>5748821.1164586926</v>
      </c>
      <c r="M39" s="498">
        <v>194572153.99645355</v>
      </c>
      <c r="N39" s="498">
        <v>12142730.749228388</v>
      </c>
      <c r="O39" s="498">
        <v>112887112.05993617</v>
      </c>
      <c r="P39" s="498">
        <v>14069810.358807873</v>
      </c>
      <c r="Q39" s="498">
        <v>2803926.0167919779</v>
      </c>
      <c r="R39" s="498">
        <v>56184641.797644667</v>
      </c>
      <c r="S39" s="498">
        <v>33202742.287811749</v>
      </c>
      <c r="T39" s="498">
        <v>750036.67485544551</v>
      </c>
      <c r="U39" s="498">
        <v>5407516.3797863163</v>
      </c>
      <c r="V39" s="498">
        <v>4469372.6115513816</v>
      </c>
      <c r="W39" s="498">
        <v>5500720.8152434342</v>
      </c>
      <c r="X39" s="498">
        <v>1620231.9615912491</v>
      </c>
      <c r="Y39" s="498">
        <v>3266337.1390567767</v>
      </c>
      <c r="Z39" s="498">
        <v>32957716.729716443</v>
      </c>
      <c r="AA39" s="498">
        <v>8239185.7370851403</v>
      </c>
      <c r="AB39" s="498">
        <v>767544.78001678549</v>
      </c>
      <c r="AC39" s="498">
        <v>68769.057021034867</v>
      </c>
      <c r="AD39" s="498">
        <v>4476.0874536010015</v>
      </c>
      <c r="AE39" s="498">
        <v>436125.00879559643</v>
      </c>
      <c r="AF39" s="498">
        <v>1120874.612710539</v>
      </c>
      <c r="AG39" s="498">
        <v>2501111.8541636276</v>
      </c>
      <c r="AH39" s="498">
        <v>459750.82540952164</v>
      </c>
      <c r="AI39" s="498">
        <v>125802.66135217447</v>
      </c>
      <c r="AJ39" s="498">
        <v>115041.6870464854</v>
      </c>
      <c r="AK39" s="498">
        <v>260771.97069710048</v>
      </c>
      <c r="AL39" s="498">
        <v>166132.89630206104</v>
      </c>
      <c r="AM39" s="498">
        <v>6850.5143495842485</v>
      </c>
      <c r="AN39" s="498">
        <v>1329496999.9999998</v>
      </c>
      <c r="AO39" s="498">
        <v>4604805.1761883786</v>
      </c>
      <c r="AP39" s="498">
        <v>135499225.5946745</v>
      </c>
      <c r="AQ39" s="498">
        <v>27840969.229137156</v>
      </c>
      <c r="AR39" s="498">
        <v>1497442000</v>
      </c>
      <c r="AS39" s="498">
        <v>40142837.119249247</v>
      </c>
      <c r="AT39" s="486"/>
      <c r="AU39" s="498">
        <f t="shared" si="36"/>
        <v>627880000</v>
      </c>
      <c r="AV39" s="498">
        <f t="shared" si="37"/>
        <v>186000</v>
      </c>
      <c r="AW39" s="498">
        <f t="shared" si="38"/>
        <v>194291000</v>
      </c>
      <c r="AX39" s="498">
        <f>ROUND(SUM(I39,M39:N39,AC39),-3)-2000</f>
        <v>216685000</v>
      </c>
      <c r="AY39" s="498">
        <f t="shared" si="39"/>
        <v>128264000</v>
      </c>
      <c r="AZ39" s="498">
        <f t="shared" si="40"/>
        <v>2804000</v>
      </c>
      <c r="BA39" s="498">
        <f t="shared" si="41"/>
        <v>91648000</v>
      </c>
      <c r="BB39" s="498">
        <f t="shared" si="42"/>
        <v>750000</v>
      </c>
      <c r="BC39" s="498">
        <f t="shared" si="43"/>
        <v>5501000</v>
      </c>
      <c r="BD39" s="498">
        <f t="shared" si="44"/>
        <v>9877000</v>
      </c>
      <c r="BE39" s="498">
        <f t="shared" si="45"/>
        <v>4887000</v>
      </c>
      <c r="BF39" s="498">
        <f t="shared" si="46"/>
        <v>41197000</v>
      </c>
      <c r="BG39" s="498">
        <f t="shared" si="47"/>
        <v>5198000</v>
      </c>
      <c r="BH39" s="498">
        <f t="shared" si="48"/>
        <v>329000</v>
      </c>
      <c r="BI39" s="498">
        <f t="shared" si="49"/>
        <v>167945000</v>
      </c>
      <c r="BJ39" s="498">
        <f t="shared" si="50"/>
        <v>40143000</v>
      </c>
      <c r="BK39" s="498">
        <f t="shared" si="51"/>
        <v>1537585000</v>
      </c>
      <c r="BL39" s="498">
        <f t="shared" si="52"/>
        <v>0</v>
      </c>
    </row>
    <row r="40" spans="1:66" ht="15" x14ac:dyDescent="0.25">
      <c r="A40" s="508">
        <v>2022</v>
      </c>
      <c r="B40" s="500">
        <v>10</v>
      </c>
      <c r="C40" s="509">
        <v>542.8480837760244</v>
      </c>
      <c r="D40" s="498">
        <v>573000</v>
      </c>
      <c r="E40" s="498">
        <v>810381863.66822875</v>
      </c>
      <c r="F40" s="498">
        <v>204136.33177125108</v>
      </c>
      <c r="G40" s="498">
        <v>15824446.991542548</v>
      </c>
      <c r="H40" s="498">
        <v>2368815.8243577331</v>
      </c>
      <c r="I40" s="498">
        <v>10613294.673107913</v>
      </c>
      <c r="J40" s="498">
        <v>1226051.2058843032</v>
      </c>
      <c r="K40" s="498">
        <v>177332478.23954734</v>
      </c>
      <c r="L40" s="498">
        <v>5954189.7415631628</v>
      </c>
      <c r="M40" s="498">
        <v>199818486.68454307</v>
      </c>
      <c r="N40" s="498">
        <v>12718251.174901808</v>
      </c>
      <c r="O40" s="498">
        <v>116360136.66457292</v>
      </c>
      <c r="P40" s="498">
        <v>14595314.183761887</v>
      </c>
      <c r="Q40" s="498">
        <v>1130953.5902403488</v>
      </c>
      <c r="R40" s="498">
        <v>58654080.0407947</v>
      </c>
      <c r="S40" s="498">
        <v>35267295.071900278</v>
      </c>
      <c r="T40" s="498">
        <v>650111.18711807358</v>
      </c>
      <c r="U40" s="498">
        <v>7578770.6618689066</v>
      </c>
      <c r="V40" s="498">
        <v>4466115.6844489211</v>
      </c>
      <c r="W40" s="498">
        <v>7450755.6465002811</v>
      </c>
      <c r="X40" s="498">
        <v>865260.00501341012</v>
      </c>
      <c r="Y40" s="498">
        <v>3984283.0823246585</v>
      </c>
      <c r="Z40" s="498">
        <v>34579934.215232804</v>
      </c>
      <c r="AA40" s="498">
        <v>8471551.0610992871</v>
      </c>
      <c r="AB40" s="498">
        <v>804424.08034960576</v>
      </c>
      <c r="AC40" s="498">
        <v>64503.5752988846</v>
      </c>
      <c r="AD40" s="498">
        <v>4219.9023055054795</v>
      </c>
      <c r="AE40" s="498">
        <v>415078.33562040282</v>
      </c>
      <c r="AF40" s="498">
        <v>1055731.8074980269</v>
      </c>
      <c r="AG40" s="498">
        <v>2361897.2051992607</v>
      </c>
      <c r="AH40" s="498">
        <v>446444.71757602494</v>
      </c>
      <c r="AI40" s="498">
        <v>137514.29345097981</v>
      </c>
      <c r="AJ40" s="498">
        <v>128885.06512429102</v>
      </c>
      <c r="AK40" s="498">
        <v>417157.52806851349</v>
      </c>
      <c r="AL40" s="498">
        <v>178975.28714071205</v>
      </c>
      <c r="AM40" s="498">
        <v>7049.7239596759946</v>
      </c>
      <c r="AN40" s="498">
        <v>1537092000</v>
      </c>
      <c r="AO40" s="498">
        <v>4443360.17922395</v>
      </c>
      <c r="AP40" s="498">
        <v>136636954.98796079</v>
      </c>
      <c r="AQ40" s="498">
        <v>29442684.832815245</v>
      </c>
      <c r="AR40" s="498">
        <v>1707615000</v>
      </c>
      <c r="AS40" s="498">
        <v>41622769.442813627</v>
      </c>
      <c r="AT40" s="486"/>
      <c r="AU40" s="498">
        <f t="shared" si="36"/>
        <v>810382000</v>
      </c>
      <c r="AV40" s="498">
        <f t="shared" si="37"/>
        <v>204000</v>
      </c>
      <c r="AW40" s="498">
        <f t="shared" si="38"/>
        <v>199916000</v>
      </c>
      <c r="AX40" s="498">
        <f>ROUND(SUM(I40,M40:N40,AC40),-3)-1000</f>
        <v>223214000</v>
      </c>
      <c r="AY40" s="498">
        <f t="shared" si="39"/>
        <v>132182000</v>
      </c>
      <c r="AZ40" s="498">
        <f t="shared" si="40"/>
        <v>1131000</v>
      </c>
      <c r="BA40" s="498">
        <f t="shared" si="41"/>
        <v>96290000</v>
      </c>
      <c r="BB40" s="498">
        <f t="shared" si="42"/>
        <v>650000</v>
      </c>
      <c r="BC40" s="498">
        <f t="shared" si="43"/>
        <v>7451000</v>
      </c>
      <c r="BD40" s="498">
        <f t="shared" si="44"/>
        <v>12045000</v>
      </c>
      <c r="BE40" s="498">
        <f t="shared" si="45"/>
        <v>4850000</v>
      </c>
      <c r="BF40" s="498">
        <f t="shared" si="46"/>
        <v>43051000</v>
      </c>
      <c r="BG40" s="498">
        <f t="shared" si="47"/>
        <v>5153000</v>
      </c>
      <c r="BH40" s="498">
        <f t="shared" si="48"/>
        <v>573000</v>
      </c>
      <c r="BI40" s="498">
        <f t="shared" si="49"/>
        <v>170523000</v>
      </c>
      <c r="BJ40" s="498">
        <f t="shared" si="50"/>
        <v>41623000</v>
      </c>
      <c r="BK40" s="498">
        <f t="shared" si="51"/>
        <v>1749238000</v>
      </c>
      <c r="BL40" s="498">
        <f t="shared" si="52"/>
        <v>0</v>
      </c>
    </row>
    <row r="41" spans="1:66" ht="15" x14ac:dyDescent="0.25">
      <c r="A41" s="508">
        <v>2022</v>
      </c>
      <c r="B41" s="500">
        <v>11</v>
      </c>
      <c r="C41" s="509">
        <v>570.4458846519201</v>
      </c>
      <c r="D41" s="498">
        <v>802000</v>
      </c>
      <c r="E41" s="498">
        <v>1031823535.6518781</v>
      </c>
      <c r="F41" s="498">
        <v>224464.34812188058</v>
      </c>
      <c r="G41" s="498">
        <v>18112254.190016653</v>
      </c>
      <c r="H41" s="498">
        <v>2513385.7467507385</v>
      </c>
      <c r="I41" s="498">
        <v>11771449.736141395</v>
      </c>
      <c r="J41" s="498">
        <v>1289563.8440621358</v>
      </c>
      <c r="K41" s="498">
        <v>192970583.62703064</v>
      </c>
      <c r="L41" s="498">
        <v>6355169.2827418866</v>
      </c>
      <c r="M41" s="498">
        <v>208404629.6307725</v>
      </c>
      <c r="N41" s="498">
        <v>12596013.303361241</v>
      </c>
      <c r="O41" s="498">
        <v>118022203.50617784</v>
      </c>
      <c r="P41" s="498">
        <v>13738469.08476207</v>
      </c>
      <c r="Q41" s="498">
        <v>380267.63292815234</v>
      </c>
      <c r="R41" s="498">
        <v>59958746.841226131</v>
      </c>
      <c r="S41" s="498">
        <v>34618556.717370957</v>
      </c>
      <c r="T41" s="498">
        <v>218159.82463901813</v>
      </c>
      <c r="U41" s="498">
        <v>7298596.0141506223</v>
      </c>
      <c r="V41" s="498">
        <v>4103132.9435490449</v>
      </c>
      <c r="W41" s="498">
        <v>9269684.6492702104</v>
      </c>
      <c r="X41" s="498">
        <v>991959.66261716001</v>
      </c>
      <c r="Y41" s="498">
        <v>3504850.5403594058</v>
      </c>
      <c r="Z41" s="498">
        <v>35710539.115108706</v>
      </c>
      <c r="AA41" s="498">
        <v>8006808.1278553978</v>
      </c>
      <c r="AB41" s="498">
        <v>969986.84281759127</v>
      </c>
      <c r="AC41" s="498">
        <v>80080.64544965612</v>
      </c>
      <c r="AD41" s="498">
        <v>4434.4375079381443</v>
      </c>
      <c r="AE41" s="498">
        <v>437825.89968456031</v>
      </c>
      <c r="AF41" s="498">
        <v>1107909.9801823876</v>
      </c>
      <c r="AG41" s="498">
        <v>2488192.2161308154</v>
      </c>
      <c r="AH41" s="498">
        <v>461535.66818677419</v>
      </c>
      <c r="AI41" s="498">
        <v>136449.33512040405</v>
      </c>
      <c r="AJ41" s="498">
        <v>125021.41188963814</v>
      </c>
      <c r="AK41" s="498">
        <v>245463.86415562496</v>
      </c>
      <c r="AL41" s="498">
        <v>183110.36843795481</v>
      </c>
      <c r="AM41" s="498">
        <v>7394.8636600753689</v>
      </c>
      <c r="AN41" s="498">
        <v>1788933000</v>
      </c>
      <c r="AO41" s="498">
        <v>4280869.9050392685</v>
      </c>
      <c r="AP41" s="498">
        <v>139807081.58683568</v>
      </c>
      <c r="AQ41" s="498">
        <v>29634048.508125052</v>
      </c>
      <c r="AR41" s="498">
        <v>1962655000</v>
      </c>
      <c r="AS41" s="498">
        <v>40296947.921537779</v>
      </c>
      <c r="AT41" s="486"/>
      <c r="AU41" s="498">
        <f t="shared" si="36"/>
        <v>1031824000</v>
      </c>
      <c r="AV41" s="498">
        <f t="shared" si="37"/>
        <v>224000</v>
      </c>
      <c r="AW41" s="498">
        <f t="shared" si="38"/>
        <v>218408000</v>
      </c>
      <c r="AX41" s="498">
        <f t="shared" si="53"/>
        <v>232852000</v>
      </c>
      <c r="AY41" s="498">
        <f t="shared" si="39"/>
        <v>133050000</v>
      </c>
      <c r="AZ41" s="498">
        <f t="shared" si="40"/>
        <v>380000</v>
      </c>
      <c r="BA41" s="498">
        <f t="shared" si="41"/>
        <v>97091000</v>
      </c>
      <c r="BB41" s="498">
        <f t="shared" si="42"/>
        <v>218000</v>
      </c>
      <c r="BC41" s="498">
        <f t="shared" si="43"/>
        <v>9270000</v>
      </c>
      <c r="BD41" s="498">
        <f t="shared" si="44"/>
        <v>11402000</v>
      </c>
      <c r="BE41" s="498">
        <f t="shared" si="45"/>
        <v>4497000</v>
      </c>
      <c r="BF41" s="498">
        <f t="shared" si="46"/>
        <v>43717000</v>
      </c>
      <c r="BG41" s="498">
        <f t="shared" si="47"/>
        <v>5198000</v>
      </c>
      <c r="BH41" s="498">
        <f t="shared" si="48"/>
        <v>802000</v>
      </c>
      <c r="BI41" s="498">
        <f t="shared" si="49"/>
        <v>173722000</v>
      </c>
      <c r="BJ41" s="498">
        <f t="shared" si="50"/>
        <v>40297000</v>
      </c>
      <c r="BK41" s="498">
        <f t="shared" si="51"/>
        <v>2002952000</v>
      </c>
      <c r="BL41" s="498">
        <f t="shared" si="52"/>
        <v>0</v>
      </c>
    </row>
    <row r="42" spans="1:66" ht="15" x14ac:dyDescent="0.25">
      <c r="A42" s="508">
        <v>2022</v>
      </c>
      <c r="B42" s="504">
        <v>12</v>
      </c>
      <c r="C42" s="509">
        <v>566.41767059457595</v>
      </c>
      <c r="D42" s="498">
        <v>983000</v>
      </c>
      <c r="E42" s="498">
        <v>1194543450.3545353</v>
      </c>
      <c r="F42" s="498">
        <v>272549.64546460134</v>
      </c>
      <c r="G42" s="498">
        <v>23227864.041148677</v>
      </c>
      <c r="H42" s="498">
        <v>3000812.8577052215</v>
      </c>
      <c r="I42" s="498">
        <v>13743660.998879524</v>
      </c>
      <c r="J42" s="498">
        <v>1601905.276769158</v>
      </c>
      <c r="K42" s="498">
        <v>220275666.37009341</v>
      </c>
      <c r="L42" s="498">
        <v>7095700.2520597549</v>
      </c>
      <c r="M42" s="498">
        <v>230083377.96699196</v>
      </c>
      <c r="N42" s="498">
        <v>13538280.508382741</v>
      </c>
      <c r="O42" s="498">
        <v>127705039.59520951</v>
      </c>
      <c r="P42" s="498">
        <v>13448497.939830774</v>
      </c>
      <c r="Q42" s="498">
        <v>302956.53144619835</v>
      </c>
      <c r="R42" s="498">
        <v>66355785.660847589</v>
      </c>
      <c r="S42" s="498">
        <v>35829204.587922864</v>
      </c>
      <c r="T42" s="498">
        <v>2893.5842168686181</v>
      </c>
      <c r="U42" s="498">
        <v>6322171.1984844012</v>
      </c>
      <c r="V42" s="498">
        <v>3808736.4890386621</v>
      </c>
      <c r="W42" s="498">
        <v>13097711.968415439</v>
      </c>
      <c r="X42" s="498">
        <v>1663059.4213326834</v>
      </c>
      <c r="Y42" s="498">
        <v>3352604.8547742786</v>
      </c>
      <c r="Z42" s="498">
        <v>38627678.125773929</v>
      </c>
      <c r="AA42" s="498">
        <v>8360975.3679909185</v>
      </c>
      <c r="AB42" s="498">
        <v>1075466.8187480508</v>
      </c>
      <c r="AC42" s="498">
        <v>106502.14075478041</v>
      </c>
      <c r="AD42" s="498">
        <v>4403.1236462967527</v>
      </c>
      <c r="AE42" s="498">
        <v>447396.27118367312</v>
      </c>
      <c r="AF42" s="498">
        <v>1099863.5552712204</v>
      </c>
      <c r="AG42" s="498">
        <v>2389242.0362753617</v>
      </c>
      <c r="AH42" s="498">
        <v>451043.69029160024</v>
      </c>
      <c r="AI42" s="498">
        <v>143120.35809783879</v>
      </c>
      <c r="AJ42" s="498">
        <v>134241.67447366347</v>
      </c>
      <c r="AK42" s="498">
        <v>271515.94615842297</v>
      </c>
      <c r="AL42" s="498">
        <v>189694.42303249121</v>
      </c>
      <c r="AM42" s="498">
        <v>7359.9470816211551</v>
      </c>
      <c r="AN42" s="498">
        <v>2033563999.9999998</v>
      </c>
      <c r="AO42" s="498">
        <v>4047741.3562173159</v>
      </c>
      <c r="AP42" s="498">
        <v>137101142.42312595</v>
      </c>
      <c r="AQ42" s="498">
        <v>27003116.220656719</v>
      </c>
      <c r="AR42" s="498">
        <v>2201716000</v>
      </c>
      <c r="AS42" s="498">
        <v>38188162.403394453</v>
      </c>
      <c r="AT42" s="486"/>
      <c r="AU42" s="498">
        <f t="shared" si="36"/>
        <v>1194543000</v>
      </c>
      <c r="AV42" s="498">
        <f t="shared" si="37"/>
        <v>273000</v>
      </c>
      <c r="AW42" s="498">
        <f t="shared" si="38"/>
        <v>251675000</v>
      </c>
      <c r="AX42" s="498">
        <f>ROUND(SUM(I42,M42:N42,AC42),-3)-1000</f>
        <v>257471000</v>
      </c>
      <c r="AY42" s="498">
        <f t="shared" si="39"/>
        <v>142755000</v>
      </c>
      <c r="AZ42" s="498">
        <f t="shared" si="40"/>
        <v>303000</v>
      </c>
      <c r="BA42" s="498">
        <f t="shared" si="41"/>
        <v>105186000</v>
      </c>
      <c r="BB42" s="498">
        <f t="shared" si="42"/>
        <v>3000</v>
      </c>
      <c r="BC42" s="498">
        <f t="shared" si="43"/>
        <v>13098000</v>
      </c>
      <c r="BD42" s="498">
        <f t="shared" si="44"/>
        <v>10131000</v>
      </c>
      <c r="BE42" s="498">
        <f t="shared" si="45"/>
        <v>5016000</v>
      </c>
      <c r="BF42" s="498">
        <f t="shared" si="46"/>
        <v>46989000</v>
      </c>
      <c r="BG42" s="498">
        <f t="shared" si="47"/>
        <v>5138000</v>
      </c>
      <c r="BH42" s="498">
        <f t="shared" si="48"/>
        <v>983000</v>
      </c>
      <c r="BI42" s="498">
        <f t="shared" si="49"/>
        <v>168152000</v>
      </c>
      <c r="BJ42" s="498">
        <f t="shared" si="50"/>
        <v>38188000</v>
      </c>
      <c r="BK42" s="498">
        <f t="shared" si="51"/>
        <v>2239904000</v>
      </c>
      <c r="BL42" s="498">
        <f t="shared" si="52"/>
        <v>0</v>
      </c>
    </row>
    <row r="44" spans="1:66" ht="12.75" x14ac:dyDescent="0.2">
      <c r="A44" s="439" t="s">
        <v>465</v>
      </c>
      <c r="C44" s="482">
        <f>ROUND(SUM(C18:C29),-3)</f>
        <v>7000</v>
      </c>
      <c r="D44" s="482">
        <f t="shared" ref="D44" si="54">ROUND(SUM(D18:D29),-3)</f>
        <v>7428000</v>
      </c>
      <c r="E44" s="482">
        <f>ROUND(SUM(E24:E35),-3)</f>
        <v>10813496000</v>
      </c>
      <c r="F44" s="482">
        <f t="shared" ref="F44:AS44" si="55">ROUND(SUM(F24:F35),-3)</f>
        <v>2589000</v>
      </c>
      <c r="G44" s="482">
        <f t="shared" si="55"/>
        <v>227559000</v>
      </c>
      <c r="H44" s="482">
        <f t="shared" si="55"/>
        <v>31718000</v>
      </c>
      <c r="I44" s="482">
        <f t="shared" si="55"/>
        <v>140187000</v>
      </c>
      <c r="J44" s="482">
        <f t="shared" si="55"/>
        <v>16931000</v>
      </c>
      <c r="K44" s="482">
        <f t="shared" si="55"/>
        <v>2353606000</v>
      </c>
      <c r="L44" s="482">
        <f t="shared" si="55"/>
        <v>78378000</v>
      </c>
      <c r="M44" s="482">
        <f t="shared" si="55"/>
        <v>2531921000</v>
      </c>
      <c r="N44" s="482">
        <f t="shared" si="55"/>
        <v>154431000</v>
      </c>
      <c r="O44" s="482">
        <f t="shared" si="55"/>
        <v>1445272000</v>
      </c>
      <c r="P44" s="482">
        <f t="shared" si="55"/>
        <v>172785000</v>
      </c>
      <c r="Q44" s="482">
        <f t="shared" si="55"/>
        <v>14592000</v>
      </c>
      <c r="R44" s="482">
        <f t="shared" si="55"/>
        <v>742898000</v>
      </c>
      <c r="S44" s="482">
        <f t="shared" si="55"/>
        <v>417411000</v>
      </c>
      <c r="T44" s="482">
        <f t="shared" si="55"/>
        <v>4326000</v>
      </c>
      <c r="U44" s="482">
        <f t="shared" si="55"/>
        <v>73979000</v>
      </c>
      <c r="V44" s="482">
        <f t="shared" si="55"/>
        <v>49429000</v>
      </c>
      <c r="W44" s="482">
        <f t="shared" si="55"/>
        <v>109858000</v>
      </c>
      <c r="X44" s="482">
        <f t="shared" si="55"/>
        <v>18806000</v>
      </c>
      <c r="Y44" s="482">
        <f t="shared" si="55"/>
        <v>45529000</v>
      </c>
      <c r="Z44" s="482">
        <f t="shared" si="55"/>
        <v>411859000</v>
      </c>
      <c r="AA44" s="482">
        <f t="shared" si="55"/>
        <v>99885000</v>
      </c>
      <c r="AB44" s="482">
        <f t="shared" si="55"/>
        <v>10410000</v>
      </c>
      <c r="AC44" s="482">
        <f t="shared" si="55"/>
        <v>952000</v>
      </c>
      <c r="AD44" s="482">
        <f t="shared" si="55"/>
        <v>54000</v>
      </c>
      <c r="AE44" s="482">
        <f t="shared" si="55"/>
        <v>4441000</v>
      </c>
      <c r="AF44" s="482">
        <f t="shared" si="55"/>
        <v>13033000</v>
      </c>
      <c r="AG44" s="482">
        <f t="shared" si="55"/>
        <v>30318000</v>
      </c>
      <c r="AH44" s="482">
        <f t="shared" si="55"/>
        <v>5699000</v>
      </c>
      <c r="AI44" s="482">
        <f t="shared" si="55"/>
        <v>1672000</v>
      </c>
      <c r="AJ44" s="482">
        <f t="shared" si="55"/>
        <v>1554000</v>
      </c>
      <c r="AK44" s="482">
        <f t="shared" si="55"/>
        <v>3598000</v>
      </c>
      <c r="AL44" s="482">
        <f t="shared" si="55"/>
        <v>2160000</v>
      </c>
      <c r="AM44" s="482">
        <f t="shared" si="55"/>
        <v>86000</v>
      </c>
      <c r="AN44" s="482">
        <f t="shared" si="55"/>
        <v>20038861000</v>
      </c>
      <c r="AO44" s="482">
        <f t="shared" si="55"/>
        <v>58764000</v>
      </c>
      <c r="AP44" s="482">
        <f t="shared" si="55"/>
        <v>1631394000</v>
      </c>
      <c r="AQ44" s="482">
        <f t="shared" si="55"/>
        <v>312335000</v>
      </c>
      <c r="AR44" s="482">
        <f t="shared" si="55"/>
        <v>22041354000</v>
      </c>
      <c r="AS44" s="482">
        <f t="shared" si="55"/>
        <v>479839000</v>
      </c>
      <c r="AT44" s="482"/>
      <c r="AU44" s="482">
        <f t="shared" ref="AU44:BI44" si="56">ROUND(SUM(AU24:AU35),-3)</f>
        <v>10813495000</v>
      </c>
      <c r="AV44" s="482">
        <f t="shared" si="56"/>
        <v>2590000</v>
      </c>
      <c r="AW44" s="482">
        <f t="shared" si="56"/>
        <v>2669952000</v>
      </c>
      <c r="AX44" s="482">
        <f t="shared" si="56"/>
        <v>2827492000</v>
      </c>
      <c r="AY44" s="482">
        <f t="shared" si="56"/>
        <v>1634990000</v>
      </c>
      <c r="AZ44" s="482">
        <f t="shared" si="56"/>
        <v>14592000</v>
      </c>
      <c r="BA44" s="482">
        <f t="shared" si="56"/>
        <v>1192025000</v>
      </c>
      <c r="BB44" s="482">
        <f t="shared" si="56"/>
        <v>4325000</v>
      </c>
      <c r="BC44" s="482">
        <f t="shared" si="56"/>
        <v>109858000</v>
      </c>
      <c r="BD44" s="482">
        <f t="shared" si="56"/>
        <v>123407000</v>
      </c>
      <c r="BE44" s="482">
        <f t="shared" si="56"/>
        <v>64334000</v>
      </c>
      <c r="BF44" s="482">
        <f t="shared" si="56"/>
        <v>511745000</v>
      </c>
      <c r="BG44" s="482">
        <f t="shared" si="56"/>
        <v>62621000</v>
      </c>
      <c r="BH44" s="482">
        <f t="shared" si="56"/>
        <v>7435000</v>
      </c>
      <c r="BI44" s="482">
        <f t="shared" si="56"/>
        <v>2002493000</v>
      </c>
      <c r="BJ44" s="482">
        <f>ROUND(SUM(BJ24:BJ35),-3)-3000</f>
        <v>479839000</v>
      </c>
      <c r="BK44" s="482">
        <f>SUM(AU44:BJ44)</f>
        <v>22521193000</v>
      </c>
      <c r="BL44" s="498">
        <f t="shared" si="34"/>
        <v>0</v>
      </c>
    </row>
    <row r="46" spans="1:66" ht="12.75" x14ac:dyDescent="0.2">
      <c r="A46" s="439" t="str">
        <f>+A44</f>
        <v>Total TY June 2021 to May 2022</v>
      </c>
      <c r="C46" s="482">
        <f>SUM(C18:C29)</f>
        <v>6815.5186083922144</v>
      </c>
      <c r="D46" s="482">
        <f t="shared" ref="D46" si="57">SUM(D18:D29)</f>
        <v>7428000</v>
      </c>
      <c r="E46" s="482">
        <f>SUM(E24:E35)</f>
        <v>10813495786.786674</v>
      </c>
      <c r="F46" s="482">
        <f t="shared" ref="F46:AS46" si="58">SUM(F24:F35)</f>
        <v>2589213.2133283457</v>
      </c>
      <c r="G46" s="482">
        <f t="shared" si="58"/>
        <v>227559367.41951934</v>
      </c>
      <c r="H46" s="482">
        <f t="shared" si="58"/>
        <v>31718164.725314062</v>
      </c>
      <c r="I46" s="482">
        <f t="shared" si="58"/>
        <v>140186942.81212664</v>
      </c>
      <c r="J46" s="482">
        <f t="shared" si="58"/>
        <v>16931382.885134548</v>
      </c>
      <c r="K46" s="482">
        <f t="shared" si="58"/>
        <v>2353605976.3767209</v>
      </c>
      <c r="L46" s="482">
        <f t="shared" si="58"/>
        <v>78377874.180143088</v>
      </c>
      <c r="M46" s="482">
        <f t="shared" si="58"/>
        <v>2531921125.3978543</v>
      </c>
      <c r="N46" s="482">
        <f t="shared" si="58"/>
        <v>154430796.16596463</v>
      </c>
      <c r="O46" s="482">
        <f t="shared" si="58"/>
        <v>1445272181.4065354</v>
      </c>
      <c r="P46" s="482">
        <f t="shared" si="58"/>
        <v>172784980.05434549</v>
      </c>
      <c r="Q46" s="482">
        <f t="shared" si="58"/>
        <v>14591879.543480854</v>
      </c>
      <c r="R46" s="482">
        <f t="shared" si="58"/>
        <v>742897551.69015932</v>
      </c>
      <c r="S46" s="482">
        <f t="shared" si="58"/>
        <v>417410579.29767096</v>
      </c>
      <c r="T46" s="482">
        <f t="shared" si="58"/>
        <v>4325833.1400897102</v>
      </c>
      <c r="U46" s="482">
        <f t="shared" si="58"/>
        <v>73978559.036646709</v>
      </c>
      <c r="V46" s="482">
        <f t="shared" si="58"/>
        <v>49428942.258628584</v>
      </c>
      <c r="W46" s="482">
        <f t="shared" si="58"/>
        <v>109858106.6515536</v>
      </c>
      <c r="X46" s="482">
        <f t="shared" si="58"/>
        <v>18805878.122720014</v>
      </c>
      <c r="Y46" s="482">
        <f t="shared" si="58"/>
        <v>45529290.054032505</v>
      </c>
      <c r="Z46" s="482">
        <f t="shared" si="58"/>
        <v>411859494.4704051</v>
      </c>
      <c r="AA46" s="482">
        <f t="shared" si="58"/>
        <v>99884537.989214748</v>
      </c>
      <c r="AB46" s="482">
        <f t="shared" si="58"/>
        <v>10409667.343593104</v>
      </c>
      <c r="AC46" s="482">
        <f t="shared" si="58"/>
        <v>951757.44550695457</v>
      </c>
      <c r="AD46" s="482">
        <f t="shared" si="58"/>
        <v>54217.705427371795</v>
      </c>
      <c r="AE46" s="482">
        <f t="shared" si="58"/>
        <v>4441039.1640589982</v>
      </c>
      <c r="AF46" s="482">
        <f t="shared" si="58"/>
        <v>13032707.120524326</v>
      </c>
      <c r="AG46" s="482">
        <f t="shared" si="58"/>
        <v>30317557.934872944</v>
      </c>
      <c r="AH46" s="482">
        <f t="shared" si="58"/>
        <v>5698615.168128565</v>
      </c>
      <c r="AI46" s="482">
        <f t="shared" si="58"/>
        <v>1671871.0278198756</v>
      </c>
      <c r="AJ46" s="482">
        <f t="shared" si="58"/>
        <v>1553816.3263339107</v>
      </c>
      <c r="AK46" s="482">
        <f t="shared" si="58"/>
        <v>3597726.0763675375</v>
      </c>
      <c r="AL46" s="482">
        <f t="shared" si="58"/>
        <v>2160356.3086023182</v>
      </c>
      <c r="AM46" s="482">
        <f t="shared" si="58"/>
        <v>85512.658983167479</v>
      </c>
      <c r="AN46" s="482">
        <f t="shared" si="58"/>
        <v>20038861000</v>
      </c>
      <c r="AO46" s="482">
        <f t="shared" si="58"/>
        <v>58764264.97135172</v>
      </c>
      <c r="AP46" s="482">
        <f t="shared" si="58"/>
        <v>1631394122.955358</v>
      </c>
      <c r="AQ46" s="482">
        <f t="shared" si="58"/>
        <v>312334612.07329035</v>
      </c>
      <c r="AR46" s="482">
        <f t="shared" si="58"/>
        <v>22041354000</v>
      </c>
      <c r="AS46" s="482">
        <f t="shared" si="58"/>
        <v>479839242.0452404</v>
      </c>
      <c r="AT46" s="482"/>
      <c r="AU46" s="482">
        <f t="shared" ref="AU46:BI46" si="59">SUM(AU24:AU35)</f>
        <v>10813495000</v>
      </c>
      <c r="AV46" s="482">
        <f t="shared" si="59"/>
        <v>2590000</v>
      </c>
      <c r="AW46" s="482">
        <f t="shared" si="59"/>
        <v>2669952000</v>
      </c>
      <c r="AX46" s="482">
        <f t="shared" si="59"/>
        <v>2827492000</v>
      </c>
      <c r="AY46" s="482">
        <f t="shared" si="59"/>
        <v>1634990000</v>
      </c>
      <c r="AZ46" s="482">
        <f t="shared" si="59"/>
        <v>14592000</v>
      </c>
      <c r="BA46" s="482">
        <f t="shared" si="59"/>
        <v>1192025000</v>
      </c>
      <c r="BB46" s="482">
        <f t="shared" si="59"/>
        <v>4325000</v>
      </c>
      <c r="BC46" s="482">
        <f t="shared" si="59"/>
        <v>109858000</v>
      </c>
      <c r="BD46" s="482">
        <f t="shared" si="59"/>
        <v>123407000</v>
      </c>
      <c r="BE46" s="482">
        <f t="shared" si="59"/>
        <v>64334000</v>
      </c>
      <c r="BF46" s="482">
        <f t="shared" si="59"/>
        <v>511745000</v>
      </c>
      <c r="BG46" s="482">
        <f t="shared" si="59"/>
        <v>62621000</v>
      </c>
      <c r="BH46" s="482">
        <f t="shared" si="59"/>
        <v>7435000</v>
      </c>
      <c r="BI46" s="482">
        <f t="shared" si="59"/>
        <v>2002493000</v>
      </c>
      <c r="BJ46" s="482">
        <f>SUM(BJ24:BJ35)-3000</f>
        <v>479839000</v>
      </c>
      <c r="BK46" s="482">
        <f>SUM(AU46:BJ46)</f>
        <v>22521193000</v>
      </c>
      <c r="BL46" s="498">
        <f t="shared" si="34"/>
        <v>0</v>
      </c>
    </row>
    <row r="47" spans="1:66" x14ac:dyDescent="0.2">
      <c r="BM47" s="439" t="s">
        <v>415</v>
      </c>
      <c r="BN47" s="439" t="s">
        <v>417</v>
      </c>
    </row>
    <row r="48" spans="1:66" x14ac:dyDescent="0.2">
      <c r="A48" s="88" t="s">
        <v>368</v>
      </c>
      <c r="K48" s="482">
        <f>+AW44-'F2020 Sch Level Delivered Load'!G44</f>
        <v>2442393000</v>
      </c>
      <c r="BD48" s="251">
        <f>ROUND(SUM($BD$18:$BD$29)*BM48,-3)</f>
        <v>642000</v>
      </c>
      <c r="BM48" s="483">
        <f>+BN48/$BN$52</f>
        <v>5.2532030811456047E-3</v>
      </c>
      <c r="BN48" s="251">
        <v>853457</v>
      </c>
    </row>
    <row r="49" spans="1:66" x14ac:dyDescent="0.2">
      <c r="A49" s="88" t="s">
        <v>369</v>
      </c>
      <c r="K49" s="482">
        <f>+AX44-I44</f>
        <v>2687305000</v>
      </c>
      <c r="BD49" s="251">
        <f t="shared" ref="BD49:BD52" si="60">ROUND(SUM($BD$18:$BD$29)*BM49,-3)</f>
        <v>5111000</v>
      </c>
      <c r="BM49" s="483">
        <f t="shared" ref="BM49:BM51" si="61">+BN49/$BN$52</f>
        <v>4.1798940747020466E-2</v>
      </c>
      <c r="BN49" s="251">
        <v>6790828</v>
      </c>
    </row>
    <row r="50" spans="1:66" x14ac:dyDescent="0.2">
      <c r="A50" s="88" t="s">
        <v>370</v>
      </c>
      <c r="K50" s="482">
        <f>+AY44-J44</f>
        <v>1618059000</v>
      </c>
      <c r="BD50" s="251">
        <f t="shared" si="60"/>
        <v>33174000</v>
      </c>
      <c r="BK50" s="482"/>
      <c r="BM50" s="483">
        <f t="shared" si="61"/>
        <v>0.27128592955698644</v>
      </c>
      <c r="BN50" s="251">
        <v>44074229</v>
      </c>
    </row>
    <row r="51" spans="1:66" x14ac:dyDescent="0.2">
      <c r="A51" s="439" t="s">
        <v>371</v>
      </c>
      <c r="K51" s="482">
        <f>+BA44-H44</f>
        <v>1160307000</v>
      </c>
      <c r="BD51" s="251">
        <f t="shared" si="60"/>
        <v>83358000</v>
      </c>
      <c r="BM51" s="483">
        <f t="shared" si="61"/>
        <v>0.68166192661484748</v>
      </c>
      <c r="BN51" s="251">
        <v>110745603</v>
      </c>
    </row>
    <row r="52" spans="1:66" x14ac:dyDescent="0.2">
      <c r="BD52" s="251">
        <f t="shared" si="60"/>
        <v>122286000</v>
      </c>
      <c r="BM52" s="483">
        <f>SUM(BM48:BM51)</f>
        <v>1</v>
      </c>
      <c r="BN52" s="251">
        <f>SUM(BN48:BN51)</f>
        <v>162464117</v>
      </c>
    </row>
  </sheetData>
  <mergeCells count="3">
    <mergeCell ref="AU1:BL1"/>
    <mergeCell ref="AU2:BL2"/>
    <mergeCell ref="AU3:BL3"/>
  </mergeCells>
  <pageMargins left="0.7" right="0.7" top="0.75" bottom="0.75" header="0.3" footer="0.3"/>
  <pageSetup scale="65" orientation="landscape" r:id="rId1"/>
  <headerFooter>
    <oddFooter>&amp;L&amp;F&amp;R&amp;A
Page &amp;P of &amp;N</oddFooter>
  </headerFooter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pane xSplit="2" ySplit="7" topLeftCell="C8" activePane="bottomRight" state="frozen"/>
      <selection activeCell="E10" sqref="E10"/>
      <selection pane="topRight" activeCell="E10" sqref="E10"/>
      <selection pane="bottomLeft" activeCell="E10" sqref="E10"/>
      <selection pane="bottomRight" sqref="A1:J43"/>
    </sheetView>
  </sheetViews>
  <sheetFormatPr defaultColWidth="8.85546875" defaultRowHeight="11.25" x14ac:dyDescent="0.2"/>
  <cols>
    <col min="1" max="1" width="5" style="88" bestFit="1" customWidth="1"/>
    <col min="2" max="2" width="6.42578125" style="88" bestFit="1" customWidth="1"/>
    <col min="3" max="3" width="9.85546875" style="88" bestFit="1" customWidth="1"/>
    <col min="4" max="4" width="10.7109375" style="88" bestFit="1" customWidth="1"/>
    <col min="5" max="5" width="8.5703125" style="88" bestFit="1" customWidth="1"/>
    <col min="6" max="6" width="7.28515625" style="88" bestFit="1" customWidth="1"/>
    <col min="7" max="7" width="6.28515625" style="88" bestFit="1" customWidth="1"/>
    <col min="8" max="8" width="9.7109375" style="88" bestFit="1" customWidth="1"/>
    <col min="9" max="9" width="8.85546875" style="88"/>
    <col min="10" max="10" width="14.140625" style="88" bestFit="1" customWidth="1"/>
    <col min="11" max="16384" width="8.85546875" style="88"/>
  </cols>
  <sheetData>
    <row r="1" spans="1:10" x14ac:dyDescent="0.2">
      <c r="A1" s="616" t="s">
        <v>203</v>
      </c>
      <c r="B1" s="616"/>
      <c r="C1" s="616"/>
      <c r="D1" s="616"/>
      <c r="E1" s="616"/>
      <c r="F1" s="616"/>
      <c r="G1" s="616"/>
      <c r="H1" s="616"/>
      <c r="I1" s="616"/>
      <c r="J1" s="616"/>
    </row>
    <row r="2" spans="1:10" x14ac:dyDescent="0.2">
      <c r="A2" s="617" t="s">
        <v>319</v>
      </c>
      <c r="B2" s="617"/>
      <c r="C2" s="617"/>
      <c r="D2" s="617"/>
      <c r="E2" s="617"/>
      <c r="F2" s="617"/>
      <c r="G2" s="617"/>
      <c r="H2" s="617"/>
      <c r="I2" s="617"/>
      <c r="J2" s="617"/>
    </row>
    <row r="3" spans="1:10" x14ac:dyDescent="0.2">
      <c r="A3" s="616" t="s">
        <v>385</v>
      </c>
      <c r="B3" s="616"/>
      <c r="C3" s="616"/>
      <c r="D3" s="616"/>
      <c r="E3" s="616"/>
      <c r="F3" s="616"/>
      <c r="G3" s="616"/>
      <c r="H3" s="616"/>
      <c r="I3" s="616"/>
      <c r="J3" s="616"/>
    </row>
    <row r="4" spans="1:10" x14ac:dyDescent="0.2">
      <c r="A4" s="521"/>
    </row>
    <row r="7" spans="1:10" x14ac:dyDescent="0.2">
      <c r="A7" s="522" t="s">
        <v>205</v>
      </c>
      <c r="B7" s="523" t="s">
        <v>206</v>
      </c>
      <c r="C7" s="522" t="s">
        <v>11</v>
      </c>
      <c r="D7" s="524" t="s">
        <v>207</v>
      </c>
      <c r="E7" s="524" t="s">
        <v>208</v>
      </c>
      <c r="F7" s="524" t="s">
        <v>156</v>
      </c>
      <c r="G7" s="523" t="s">
        <v>209</v>
      </c>
      <c r="H7" s="525" t="s">
        <v>210</v>
      </c>
      <c r="I7" s="525" t="s">
        <v>211</v>
      </c>
      <c r="J7" s="525" t="s">
        <v>212</v>
      </c>
    </row>
    <row r="8" spans="1:10" x14ac:dyDescent="0.2">
      <c r="A8" s="510">
        <v>2020</v>
      </c>
      <c r="B8" s="440">
        <v>1</v>
      </c>
      <c r="C8" s="511">
        <v>1034329</v>
      </c>
      <c r="D8" s="511">
        <v>130492</v>
      </c>
      <c r="E8" s="511">
        <v>3315</v>
      </c>
      <c r="F8" s="511">
        <v>7533</v>
      </c>
      <c r="G8" s="512">
        <v>8</v>
      </c>
      <c r="H8" s="513">
        <f t="shared" ref="H8:H31" si="0">SUM(C8:G8)</f>
        <v>1175677</v>
      </c>
      <c r="I8" s="513">
        <v>16</v>
      </c>
      <c r="J8" s="513">
        <f t="shared" ref="J8:J43" si="1">SUM(H8:I8)</f>
        <v>1175693</v>
      </c>
    </row>
    <row r="9" spans="1:10" x14ac:dyDescent="0.2">
      <c r="A9" s="514">
        <v>2020</v>
      </c>
      <c r="B9" s="515">
        <v>2</v>
      </c>
      <c r="C9" s="516">
        <v>1034974</v>
      </c>
      <c r="D9" s="516">
        <v>130655</v>
      </c>
      <c r="E9" s="516">
        <v>3307</v>
      </c>
      <c r="F9" s="516">
        <v>7544</v>
      </c>
      <c r="G9" s="517">
        <v>8</v>
      </c>
      <c r="H9" s="513">
        <f t="shared" si="0"/>
        <v>1176488</v>
      </c>
      <c r="I9" s="513">
        <v>16</v>
      </c>
      <c r="J9" s="513">
        <f t="shared" si="1"/>
        <v>1176504</v>
      </c>
    </row>
    <row r="10" spans="1:10" x14ac:dyDescent="0.2">
      <c r="A10" s="514">
        <v>2020</v>
      </c>
      <c r="B10" s="515">
        <v>3</v>
      </c>
      <c r="C10" s="516">
        <v>1036436</v>
      </c>
      <c r="D10" s="516">
        <v>130622</v>
      </c>
      <c r="E10" s="516">
        <v>3307</v>
      </c>
      <c r="F10" s="516">
        <v>7567</v>
      </c>
      <c r="G10" s="517">
        <v>8</v>
      </c>
      <c r="H10" s="513">
        <f t="shared" si="0"/>
        <v>1177940</v>
      </c>
      <c r="I10" s="513">
        <v>16</v>
      </c>
      <c r="J10" s="513">
        <f t="shared" si="1"/>
        <v>1177956</v>
      </c>
    </row>
    <row r="11" spans="1:10" x14ac:dyDescent="0.2">
      <c r="A11" s="514">
        <v>2020</v>
      </c>
      <c r="B11" s="515">
        <v>4</v>
      </c>
      <c r="C11" s="516">
        <v>1036897</v>
      </c>
      <c r="D11" s="516">
        <v>130613</v>
      </c>
      <c r="E11" s="516">
        <v>3292</v>
      </c>
      <c r="F11" s="516">
        <v>7617</v>
      </c>
      <c r="G11" s="517">
        <v>8</v>
      </c>
      <c r="H11" s="513">
        <f t="shared" si="0"/>
        <v>1178427</v>
      </c>
      <c r="I11" s="513">
        <v>16</v>
      </c>
      <c r="J11" s="513">
        <f t="shared" si="1"/>
        <v>1178443</v>
      </c>
    </row>
    <row r="12" spans="1:10" x14ac:dyDescent="0.2">
      <c r="A12" s="514">
        <v>2020</v>
      </c>
      <c r="B12" s="515">
        <v>5</v>
      </c>
      <c r="C12" s="516">
        <v>1037586</v>
      </c>
      <c r="D12" s="516">
        <v>130465</v>
      </c>
      <c r="E12" s="516">
        <v>3290</v>
      </c>
      <c r="F12" s="516">
        <v>7633</v>
      </c>
      <c r="G12" s="517">
        <v>8</v>
      </c>
      <c r="H12" s="513">
        <f t="shared" si="0"/>
        <v>1178982</v>
      </c>
      <c r="I12" s="513">
        <v>16</v>
      </c>
      <c r="J12" s="513">
        <f t="shared" si="1"/>
        <v>1178998</v>
      </c>
    </row>
    <row r="13" spans="1:10" x14ac:dyDescent="0.2">
      <c r="A13" s="514">
        <v>2020</v>
      </c>
      <c r="B13" s="515">
        <v>6</v>
      </c>
      <c r="C13" s="516">
        <v>1038107</v>
      </c>
      <c r="D13" s="516">
        <v>130105</v>
      </c>
      <c r="E13" s="516">
        <v>3278</v>
      </c>
      <c r="F13" s="516">
        <v>7650</v>
      </c>
      <c r="G13" s="517">
        <v>8</v>
      </c>
      <c r="H13" s="513">
        <f t="shared" si="0"/>
        <v>1179148</v>
      </c>
      <c r="I13" s="513">
        <v>16</v>
      </c>
      <c r="J13" s="513">
        <f t="shared" si="1"/>
        <v>1179164</v>
      </c>
    </row>
    <row r="14" spans="1:10" x14ac:dyDescent="0.2">
      <c r="A14" s="514">
        <v>2020</v>
      </c>
      <c r="B14" s="515">
        <v>7</v>
      </c>
      <c r="C14" s="516">
        <v>1038424</v>
      </c>
      <c r="D14" s="516">
        <v>129715</v>
      </c>
      <c r="E14" s="516">
        <v>3273</v>
      </c>
      <c r="F14" s="516">
        <v>7666</v>
      </c>
      <c r="G14" s="517">
        <v>8</v>
      </c>
      <c r="H14" s="513">
        <f t="shared" si="0"/>
        <v>1179086</v>
      </c>
      <c r="I14" s="513">
        <v>16</v>
      </c>
      <c r="J14" s="513">
        <f t="shared" si="1"/>
        <v>1179102</v>
      </c>
    </row>
    <row r="15" spans="1:10" x14ac:dyDescent="0.2">
      <c r="A15" s="514">
        <v>2020</v>
      </c>
      <c r="B15" s="515">
        <v>8</v>
      </c>
      <c r="C15" s="516">
        <v>1039290</v>
      </c>
      <c r="D15" s="516">
        <v>129434</v>
      </c>
      <c r="E15" s="516">
        <v>3267</v>
      </c>
      <c r="F15" s="516">
        <v>7682</v>
      </c>
      <c r="G15" s="517">
        <v>8</v>
      </c>
      <c r="H15" s="513">
        <f t="shared" si="0"/>
        <v>1179681</v>
      </c>
      <c r="I15" s="513">
        <v>16</v>
      </c>
      <c r="J15" s="513">
        <f t="shared" si="1"/>
        <v>1179697</v>
      </c>
    </row>
    <row r="16" spans="1:10" x14ac:dyDescent="0.2">
      <c r="A16" s="514">
        <v>2020</v>
      </c>
      <c r="B16" s="515">
        <v>9</v>
      </c>
      <c r="C16" s="516">
        <v>1040606</v>
      </c>
      <c r="D16" s="516">
        <v>129432</v>
      </c>
      <c r="E16" s="516">
        <v>3274</v>
      </c>
      <c r="F16" s="516">
        <v>7698</v>
      </c>
      <c r="G16" s="517">
        <v>8</v>
      </c>
      <c r="H16" s="513">
        <f t="shared" si="0"/>
        <v>1181018</v>
      </c>
      <c r="I16" s="513">
        <v>16</v>
      </c>
      <c r="J16" s="513">
        <f t="shared" si="1"/>
        <v>1181034</v>
      </c>
    </row>
    <row r="17" spans="1:10" x14ac:dyDescent="0.2">
      <c r="A17" s="514">
        <v>2020</v>
      </c>
      <c r="B17" s="515">
        <v>10</v>
      </c>
      <c r="C17" s="516">
        <v>1042102</v>
      </c>
      <c r="D17" s="516">
        <v>129628</v>
      </c>
      <c r="E17" s="516">
        <v>3278</v>
      </c>
      <c r="F17" s="516">
        <v>7715</v>
      </c>
      <c r="G17" s="517">
        <v>8</v>
      </c>
      <c r="H17" s="513">
        <f t="shared" si="0"/>
        <v>1182731</v>
      </c>
      <c r="I17" s="513">
        <v>16</v>
      </c>
      <c r="J17" s="513">
        <f t="shared" si="1"/>
        <v>1182747</v>
      </c>
    </row>
    <row r="18" spans="1:10" x14ac:dyDescent="0.2">
      <c r="A18" s="514">
        <v>2020</v>
      </c>
      <c r="B18" s="515">
        <v>11</v>
      </c>
      <c r="C18" s="516">
        <v>1043668</v>
      </c>
      <c r="D18" s="516">
        <v>129854</v>
      </c>
      <c r="E18" s="516">
        <v>3279</v>
      </c>
      <c r="F18" s="516">
        <v>7731</v>
      </c>
      <c r="G18" s="517">
        <v>8</v>
      </c>
      <c r="H18" s="513">
        <f t="shared" si="0"/>
        <v>1184540</v>
      </c>
      <c r="I18" s="513">
        <v>16</v>
      </c>
      <c r="J18" s="513">
        <f t="shared" si="1"/>
        <v>1184556</v>
      </c>
    </row>
    <row r="19" spans="1:10" x14ac:dyDescent="0.2">
      <c r="A19" s="441">
        <v>2020</v>
      </c>
      <c r="B19" s="442">
        <v>12</v>
      </c>
      <c r="C19" s="518">
        <v>1044955</v>
      </c>
      <c r="D19" s="518">
        <v>129996</v>
      </c>
      <c r="E19" s="518">
        <v>3279</v>
      </c>
      <c r="F19" s="518">
        <v>7747</v>
      </c>
      <c r="G19" s="519">
        <v>8</v>
      </c>
      <c r="H19" s="520">
        <f t="shared" si="0"/>
        <v>1185985</v>
      </c>
      <c r="I19" s="520">
        <v>16</v>
      </c>
      <c r="J19" s="520">
        <f t="shared" si="1"/>
        <v>1186001</v>
      </c>
    </row>
    <row r="20" spans="1:10" x14ac:dyDescent="0.2">
      <c r="A20" s="510">
        <v>2021</v>
      </c>
      <c r="B20" s="440">
        <v>1</v>
      </c>
      <c r="C20" s="511">
        <v>1046238</v>
      </c>
      <c r="D20" s="511">
        <v>129930</v>
      </c>
      <c r="E20" s="511">
        <v>3278</v>
      </c>
      <c r="F20" s="511">
        <v>7763</v>
      </c>
      <c r="G20" s="512">
        <v>8</v>
      </c>
      <c r="H20" s="513">
        <f t="shared" si="0"/>
        <v>1187217</v>
      </c>
      <c r="I20" s="513">
        <v>16</v>
      </c>
      <c r="J20" s="513">
        <f t="shared" si="1"/>
        <v>1187233</v>
      </c>
    </row>
    <row r="21" spans="1:10" x14ac:dyDescent="0.2">
      <c r="A21" s="514">
        <v>2021</v>
      </c>
      <c r="B21" s="515">
        <v>2</v>
      </c>
      <c r="C21" s="516">
        <v>1047537</v>
      </c>
      <c r="D21" s="516">
        <v>130196</v>
      </c>
      <c r="E21" s="516">
        <v>3278</v>
      </c>
      <c r="F21" s="516">
        <v>7779</v>
      </c>
      <c r="G21" s="517">
        <v>8</v>
      </c>
      <c r="H21" s="513">
        <f t="shared" si="0"/>
        <v>1188798</v>
      </c>
      <c r="I21" s="513">
        <v>16</v>
      </c>
      <c r="J21" s="513">
        <f t="shared" si="1"/>
        <v>1188814</v>
      </c>
    </row>
    <row r="22" spans="1:10" x14ac:dyDescent="0.2">
      <c r="A22" s="514">
        <v>2021</v>
      </c>
      <c r="B22" s="515">
        <v>3</v>
      </c>
      <c r="C22" s="516">
        <v>1048562</v>
      </c>
      <c r="D22" s="516">
        <v>130462</v>
      </c>
      <c r="E22" s="516">
        <v>3279</v>
      </c>
      <c r="F22" s="516">
        <v>7795</v>
      </c>
      <c r="G22" s="517">
        <v>8</v>
      </c>
      <c r="H22" s="513">
        <f t="shared" si="0"/>
        <v>1190106</v>
      </c>
      <c r="I22" s="513">
        <v>16</v>
      </c>
      <c r="J22" s="513">
        <f t="shared" si="1"/>
        <v>1190122</v>
      </c>
    </row>
    <row r="23" spans="1:10" x14ac:dyDescent="0.2">
      <c r="A23" s="514">
        <v>2021</v>
      </c>
      <c r="B23" s="515">
        <v>4</v>
      </c>
      <c r="C23" s="516">
        <v>1049113</v>
      </c>
      <c r="D23" s="516">
        <v>130728</v>
      </c>
      <c r="E23" s="516">
        <v>3277</v>
      </c>
      <c r="F23" s="516">
        <v>7811</v>
      </c>
      <c r="G23" s="517">
        <v>8</v>
      </c>
      <c r="H23" s="513">
        <f t="shared" si="0"/>
        <v>1190937</v>
      </c>
      <c r="I23" s="513">
        <v>16</v>
      </c>
      <c r="J23" s="513">
        <f t="shared" si="1"/>
        <v>1190953</v>
      </c>
    </row>
    <row r="24" spans="1:10" x14ac:dyDescent="0.2">
      <c r="A24" s="514">
        <v>2021</v>
      </c>
      <c r="B24" s="515">
        <v>5</v>
      </c>
      <c r="C24" s="516">
        <v>1049680</v>
      </c>
      <c r="D24" s="516">
        <v>130885</v>
      </c>
      <c r="E24" s="516">
        <v>3275</v>
      </c>
      <c r="F24" s="516">
        <v>7827</v>
      </c>
      <c r="G24" s="517">
        <v>8</v>
      </c>
      <c r="H24" s="513">
        <f t="shared" si="0"/>
        <v>1191675</v>
      </c>
      <c r="I24" s="513">
        <v>16</v>
      </c>
      <c r="J24" s="513">
        <f t="shared" si="1"/>
        <v>1191691</v>
      </c>
    </row>
    <row r="25" spans="1:10" x14ac:dyDescent="0.2">
      <c r="A25" s="514">
        <v>2021</v>
      </c>
      <c r="B25" s="515">
        <v>6</v>
      </c>
      <c r="C25" s="516">
        <v>1050246</v>
      </c>
      <c r="D25" s="516">
        <v>131043</v>
      </c>
      <c r="E25" s="516">
        <v>3273</v>
      </c>
      <c r="F25" s="516">
        <v>7843</v>
      </c>
      <c r="G25" s="517">
        <v>8</v>
      </c>
      <c r="H25" s="513">
        <f t="shared" si="0"/>
        <v>1192413</v>
      </c>
      <c r="I25" s="513">
        <v>16</v>
      </c>
      <c r="J25" s="513">
        <f t="shared" si="1"/>
        <v>1192429</v>
      </c>
    </row>
    <row r="26" spans="1:10" x14ac:dyDescent="0.2">
      <c r="A26" s="514">
        <v>2021</v>
      </c>
      <c r="B26" s="515">
        <v>7</v>
      </c>
      <c r="C26" s="516">
        <v>1050812</v>
      </c>
      <c r="D26" s="516">
        <v>131200</v>
      </c>
      <c r="E26" s="516">
        <v>3271</v>
      </c>
      <c r="F26" s="516">
        <v>7859</v>
      </c>
      <c r="G26" s="517">
        <v>8</v>
      </c>
      <c r="H26" s="513">
        <f t="shared" si="0"/>
        <v>1193150</v>
      </c>
      <c r="I26" s="513">
        <v>16</v>
      </c>
      <c r="J26" s="513">
        <f t="shared" si="1"/>
        <v>1193166</v>
      </c>
    </row>
    <row r="27" spans="1:10" x14ac:dyDescent="0.2">
      <c r="A27" s="514">
        <v>2021</v>
      </c>
      <c r="B27" s="515">
        <v>8</v>
      </c>
      <c r="C27" s="516">
        <v>1051819</v>
      </c>
      <c r="D27" s="516">
        <v>131257</v>
      </c>
      <c r="E27" s="516">
        <v>3270</v>
      </c>
      <c r="F27" s="516">
        <v>7875</v>
      </c>
      <c r="G27" s="517">
        <v>8</v>
      </c>
      <c r="H27" s="513">
        <f t="shared" si="0"/>
        <v>1194229</v>
      </c>
      <c r="I27" s="513">
        <v>16</v>
      </c>
      <c r="J27" s="513">
        <f t="shared" si="1"/>
        <v>1194245</v>
      </c>
    </row>
    <row r="28" spans="1:10" x14ac:dyDescent="0.2">
      <c r="A28" s="514">
        <v>2021</v>
      </c>
      <c r="B28" s="515">
        <v>9</v>
      </c>
      <c r="C28" s="516">
        <v>1052826</v>
      </c>
      <c r="D28" s="516">
        <v>131313</v>
      </c>
      <c r="E28" s="516">
        <v>3268</v>
      </c>
      <c r="F28" s="516">
        <v>7890</v>
      </c>
      <c r="G28" s="517">
        <v>8</v>
      </c>
      <c r="H28" s="513">
        <f t="shared" si="0"/>
        <v>1195305</v>
      </c>
      <c r="I28" s="513">
        <v>16</v>
      </c>
      <c r="J28" s="513">
        <f t="shared" si="1"/>
        <v>1195321</v>
      </c>
    </row>
    <row r="29" spans="1:10" x14ac:dyDescent="0.2">
      <c r="A29" s="514">
        <v>2021</v>
      </c>
      <c r="B29" s="515">
        <v>10</v>
      </c>
      <c r="C29" s="516">
        <v>1053834</v>
      </c>
      <c r="D29" s="516">
        <v>131369</v>
      </c>
      <c r="E29" s="516">
        <v>3267</v>
      </c>
      <c r="F29" s="516">
        <v>7906</v>
      </c>
      <c r="G29" s="517">
        <v>8</v>
      </c>
      <c r="H29" s="513">
        <f t="shared" si="0"/>
        <v>1196384</v>
      </c>
      <c r="I29" s="513">
        <v>16</v>
      </c>
      <c r="J29" s="513">
        <f t="shared" si="1"/>
        <v>1196400</v>
      </c>
    </row>
    <row r="30" spans="1:10" x14ac:dyDescent="0.2">
      <c r="A30" s="514">
        <v>2021</v>
      </c>
      <c r="B30" s="515">
        <v>11</v>
      </c>
      <c r="C30" s="516">
        <v>1055023</v>
      </c>
      <c r="D30" s="516">
        <v>131415</v>
      </c>
      <c r="E30" s="516">
        <v>3265</v>
      </c>
      <c r="F30" s="516">
        <v>7922</v>
      </c>
      <c r="G30" s="517">
        <v>8</v>
      </c>
      <c r="H30" s="513">
        <f t="shared" si="0"/>
        <v>1197633</v>
      </c>
      <c r="I30" s="513">
        <v>16</v>
      </c>
      <c r="J30" s="513">
        <f t="shared" si="1"/>
        <v>1197649</v>
      </c>
    </row>
    <row r="31" spans="1:10" x14ac:dyDescent="0.2">
      <c r="A31" s="514">
        <v>2021</v>
      </c>
      <c r="B31" s="515">
        <v>12</v>
      </c>
      <c r="C31" s="516">
        <v>1056213</v>
      </c>
      <c r="D31" s="518">
        <v>131462</v>
      </c>
      <c r="E31" s="518">
        <v>3264</v>
      </c>
      <c r="F31" s="518">
        <v>7938</v>
      </c>
      <c r="G31" s="519">
        <v>8</v>
      </c>
      <c r="H31" s="520">
        <f t="shared" si="0"/>
        <v>1198885</v>
      </c>
      <c r="I31" s="520">
        <v>16</v>
      </c>
      <c r="J31" s="520">
        <f t="shared" si="1"/>
        <v>1198901</v>
      </c>
    </row>
    <row r="32" spans="1:10" x14ac:dyDescent="0.2">
      <c r="A32" s="510">
        <v>2022</v>
      </c>
      <c r="B32" s="440">
        <v>1</v>
      </c>
      <c r="C32" s="511">
        <v>1057402</v>
      </c>
      <c r="D32" s="511">
        <v>131519</v>
      </c>
      <c r="E32" s="511">
        <v>3262</v>
      </c>
      <c r="F32" s="511">
        <v>7953</v>
      </c>
      <c r="G32" s="512">
        <v>8</v>
      </c>
      <c r="H32" s="513">
        <f>SUM(C32:G32)</f>
        <v>1200144</v>
      </c>
      <c r="I32" s="513">
        <v>16</v>
      </c>
      <c r="J32" s="513">
        <f t="shared" si="1"/>
        <v>1200160</v>
      </c>
    </row>
    <row r="33" spans="1:10" x14ac:dyDescent="0.2">
      <c r="A33" s="514">
        <v>2022</v>
      </c>
      <c r="B33" s="515">
        <v>2</v>
      </c>
      <c r="C33" s="516">
        <v>1058018</v>
      </c>
      <c r="D33" s="516">
        <v>131664</v>
      </c>
      <c r="E33" s="516">
        <v>3261</v>
      </c>
      <c r="F33" s="516">
        <v>7969</v>
      </c>
      <c r="G33" s="517">
        <v>8</v>
      </c>
      <c r="H33" s="513">
        <f t="shared" ref="H33:H43" si="2">SUM(C33:G33)</f>
        <v>1200920</v>
      </c>
      <c r="I33" s="513">
        <v>16</v>
      </c>
      <c r="J33" s="513">
        <f t="shared" si="1"/>
        <v>1200936</v>
      </c>
    </row>
    <row r="34" spans="1:10" x14ac:dyDescent="0.2">
      <c r="A34" s="514">
        <v>2022</v>
      </c>
      <c r="B34" s="515">
        <v>3</v>
      </c>
      <c r="C34" s="516">
        <v>1058633</v>
      </c>
      <c r="D34" s="516">
        <v>131810</v>
      </c>
      <c r="E34" s="516">
        <v>3260</v>
      </c>
      <c r="F34" s="516">
        <v>7984</v>
      </c>
      <c r="G34" s="517">
        <v>8</v>
      </c>
      <c r="H34" s="513">
        <f t="shared" si="2"/>
        <v>1201695</v>
      </c>
      <c r="I34" s="513">
        <v>16</v>
      </c>
      <c r="J34" s="513">
        <f t="shared" si="1"/>
        <v>1201711</v>
      </c>
    </row>
    <row r="35" spans="1:10" x14ac:dyDescent="0.2">
      <c r="A35" s="514">
        <v>2022</v>
      </c>
      <c r="B35" s="515">
        <v>4</v>
      </c>
      <c r="C35" s="516">
        <v>1059249</v>
      </c>
      <c r="D35" s="516">
        <v>131955</v>
      </c>
      <c r="E35" s="516">
        <v>3259</v>
      </c>
      <c r="F35" s="516">
        <v>8000</v>
      </c>
      <c r="G35" s="517">
        <v>8</v>
      </c>
      <c r="H35" s="513">
        <f t="shared" si="2"/>
        <v>1202471</v>
      </c>
      <c r="I35" s="513">
        <v>16</v>
      </c>
      <c r="J35" s="513">
        <f t="shared" si="1"/>
        <v>1202487</v>
      </c>
    </row>
    <row r="36" spans="1:10" x14ac:dyDescent="0.2">
      <c r="A36" s="514">
        <v>2022</v>
      </c>
      <c r="B36" s="515">
        <v>5</v>
      </c>
      <c r="C36" s="516">
        <v>1059754</v>
      </c>
      <c r="D36" s="516">
        <v>132160</v>
      </c>
      <c r="E36" s="516">
        <v>3258</v>
      </c>
      <c r="F36" s="516">
        <v>8015</v>
      </c>
      <c r="G36" s="517">
        <v>8</v>
      </c>
      <c r="H36" s="513">
        <f t="shared" si="2"/>
        <v>1203195</v>
      </c>
      <c r="I36" s="513">
        <v>16</v>
      </c>
      <c r="J36" s="513">
        <f t="shared" si="1"/>
        <v>1203211</v>
      </c>
    </row>
    <row r="37" spans="1:10" x14ac:dyDescent="0.2">
      <c r="A37" s="514">
        <v>2022</v>
      </c>
      <c r="B37" s="515">
        <v>6</v>
      </c>
      <c r="C37" s="516">
        <v>1060259</v>
      </c>
      <c r="D37" s="516">
        <v>132365</v>
      </c>
      <c r="E37" s="516">
        <v>3256</v>
      </c>
      <c r="F37" s="516">
        <v>8031</v>
      </c>
      <c r="G37" s="517">
        <v>8</v>
      </c>
      <c r="H37" s="513">
        <f t="shared" si="2"/>
        <v>1203919</v>
      </c>
      <c r="I37" s="513">
        <v>16</v>
      </c>
      <c r="J37" s="513">
        <f t="shared" si="1"/>
        <v>1203935</v>
      </c>
    </row>
    <row r="38" spans="1:10" x14ac:dyDescent="0.2">
      <c r="A38" s="514">
        <v>2022</v>
      </c>
      <c r="B38" s="515">
        <v>7</v>
      </c>
      <c r="C38" s="516">
        <v>1060763</v>
      </c>
      <c r="D38" s="516">
        <v>132570</v>
      </c>
      <c r="E38" s="516">
        <v>3255</v>
      </c>
      <c r="F38" s="516">
        <v>8046</v>
      </c>
      <c r="G38" s="517">
        <v>8</v>
      </c>
      <c r="H38" s="513">
        <f t="shared" si="2"/>
        <v>1204642</v>
      </c>
      <c r="I38" s="513">
        <v>16</v>
      </c>
      <c r="J38" s="513">
        <f t="shared" si="1"/>
        <v>1204658</v>
      </c>
    </row>
    <row r="39" spans="1:10" x14ac:dyDescent="0.2">
      <c r="A39" s="514">
        <v>2022</v>
      </c>
      <c r="B39" s="515">
        <v>8</v>
      </c>
      <c r="C39" s="516">
        <v>1061775</v>
      </c>
      <c r="D39" s="516">
        <v>132670</v>
      </c>
      <c r="E39" s="516">
        <v>3254</v>
      </c>
      <c r="F39" s="516">
        <v>8061</v>
      </c>
      <c r="G39" s="517">
        <v>8</v>
      </c>
      <c r="H39" s="513">
        <f>SUM(C39:G39)</f>
        <v>1205768</v>
      </c>
      <c r="I39" s="513">
        <v>16</v>
      </c>
      <c r="J39" s="513">
        <f>SUM(H39:I39)</f>
        <v>1205784</v>
      </c>
    </row>
    <row r="40" spans="1:10" x14ac:dyDescent="0.2">
      <c r="A40" s="514">
        <v>2022</v>
      </c>
      <c r="B40" s="515">
        <v>9</v>
      </c>
      <c r="C40" s="516">
        <v>1062787</v>
      </c>
      <c r="D40" s="516">
        <v>132770</v>
      </c>
      <c r="E40" s="516">
        <v>3253</v>
      </c>
      <c r="F40" s="516">
        <v>8077</v>
      </c>
      <c r="G40" s="517">
        <v>8</v>
      </c>
      <c r="H40" s="513">
        <f t="shared" si="2"/>
        <v>1206895</v>
      </c>
      <c r="I40" s="513">
        <v>16</v>
      </c>
      <c r="J40" s="513">
        <f t="shared" si="1"/>
        <v>1206911</v>
      </c>
    </row>
    <row r="41" spans="1:10" x14ac:dyDescent="0.2">
      <c r="A41" s="514">
        <v>2022</v>
      </c>
      <c r="B41" s="515">
        <v>10</v>
      </c>
      <c r="C41" s="516">
        <v>1063798</v>
      </c>
      <c r="D41" s="516">
        <v>132870</v>
      </c>
      <c r="E41" s="516">
        <v>3252</v>
      </c>
      <c r="F41" s="516">
        <v>8092</v>
      </c>
      <c r="G41" s="517">
        <v>8</v>
      </c>
      <c r="H41" s="513">
        <f t="shared" si="2"/>
        <v>1208020</v>
      </c>
      <c r="I41" s="513">
        <v>16</v>
      </c>
      <c r="J41" s="513">
        <f t="shared" si="1"/>
        <v>1208036</v>
      </c>
    </row>
    <row r="42" spans="1:10" x14ac:dyDescent="0.2">
      <c r="A42" s="514">
        <v>2022</v>
      </c>
      <c r="B42" s="515">
        <v>11</v>
      </c>
      <c r="C42" s="516">
        <v>1065046</v>
      </c>
      <c r="D42" s="516">
        <v>132950</v>
      </c>
      <c r="E42" s="516">
        <v>3251</v>
      </c>
      <c r="F42" s="516">
        <v>8107</v>
      </c>
      <c r="G42" s="517">
        <v>8</v>
      </c>
      <c r="H42" s="513">
        <f t="shared" si="2"/>
        <v>1209362</v>
      </c>
      <c r="I42" s="513">
        <v>16</v>
      </c>
      <c r="J42" s="513">
        <f t="shared" si="1"/>
        <v>1209378</v>
      </c>
    </row>
    <row r="43" spans="1:10" x14ac:dyDescent="0.2">
      <c r="A43" s="441">
        <v>2022</v>
      </c>
      <c r="B43" s="442">
        <v>12</v>
      </c>
      <c r="C43" s="518">
        <v>1066293</v>
      </c>
      <c r="D43" s="518">
        <v>133029</v>
      </c>
      <c r="E43" s="518">
        <v>3249</v>
      </c>
      <c r="F43" s="518">
        <v>8122</v>
      </c>
      <c r="G43" s="519">
        <v>8</v>
      </c>
      <c r="H43" s="520">
        <f t="shared" si="2"/>
        <v>1210701</v>
      </c>
      <c r="I43" s="520">
        <v>16</v>
      </c>
      <c r="J43" s="520">
        <f t="shared" si="1"/>
        <v>1210717</v>
      </c>
    </row>
  </sheetData>
  <mergeCells count="3">
    <mergeCell ref="A1:J1"/>
    <mergeCell ref="A2:J2"/>
    <mergeCell ref="A3:J3"/>
  </mergeCells>
  <printOptions horizontalCentered="1"/>
  <pageMargins left="0.7" right="0.7" top="0.75" bottom="0.75" header="0.3" footer="0.3"/>
  <pageSetup orientation="landscape" r:id="rId1"/>
  <headerFooter>
    <oddFooter>&amp;L&amp;F&amp;R&amp;A
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"/>
  <sheetViews>
    <sheetView workbookViewId="0"/>
  </sheetViews>
  <sheetFormatPr defaultColWidth="8.85546875" defaultRowHeight="12.75" x14ac:dyDescent="0.2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997540-6E1C-41EE-9D2B-AE329D311BB3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FDE7537-0497-4264-A4BA-247F476F8FBF}"/>
</file>

<file path=customXml/itemProps3.xml><?xml version="1.0" encoding="utf-8"?>
<ds:datastoreItem xmlns:ds="http://schemas.openxmlformats.org/officeDocument/2006/customXml" ds:itemID="{17EE476F-D55B-4CF9-88F2-BF26BF0ED748}"/>
</file>

<file path=customXml/itemProps4.xml><?xml version="1.0" encoding="utf-8"?>
<ds:datastoreItem xmlns:ds="http://schemas.openxmlformats.org/officeDocument/2006/customXml" ds:itemID="{2B9E08D2-BD39-43AC-B586-2C532D1604CC}"/>
</file>

<file path=customXml/itemProps5.xml><?xml version="1.0" encoding="utf-8"?>
<ds:datastoreItem xmlns:ds="http://schemas.openxmlformats.org/officeDocument/2006/customXml" ds:itemID="{9CE467FD-0295-44AB-9A81-5A92494D4E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34</vt:i4>
      </vt:variant>
    </vt:vector>
  </HeadingPairs>
  <TitlesOfParts>
    <vt:vector size="69" baseType="lpstr">
      <vt:lpstr>Exh BDJ-8 p1-2 (Rate Impacts)</vt:lpstr>
      <vt:lpstr>Exh BDJ-8 p3 (Typ Res Bill)</vt:lpstr>
      <vt:lpstr>Controls</vt:lpstr>
      <vt:lpstr>Schedule_RateImpacts</vt:lpstr>
      <vt:lpstr>Forecast-&gt;</vt:lpstr>
      <vt:lpstr>TY June 2020 Proforma Rev</vt:lpstr>
      <vt:lpstr>F2020 Sch Level Delivered Load</vt:lpstr>
      <vt:lpstr>F2020 Customers</vt:lpstr>
      <vt:lpstr>Rider Revenue Impacts-&gt;</vt:lpstr>
      <vt:lpstr>Sch 95</vt:lpstr>
      <vt:lpstr>Sch 95a</vt:lpstr>
      <vt:lpstr>Sch 120</vt:lpstr>
      <vt:lpstr>Sch 129</vt:lpstr>
      <vt:lpstr>Sch 137</vt:lpstr>
      <vt:lpstr>Sch 139</vt:lpstr>
      <vt:lpstr>Sch 140</vt:lpstr>
      <vt:lpstr>Sch 141X</vt:lpstr>
      <vt:lpstr>Sch 141Y</vt:lpstr>
      <vt:lpstr>Sch 141Z</vt:lpstr>
      <vt:lpstr>Sch 142 Deferral</vt:lpstr>
      <vt:lpstr>Sch 194</vt:lpstr>
      <vt:lpstr>Compliance Eff 7-1-21=&gt;</vt:lpstr>
      <vt:lpstr>UE-200980 Sch 95 PCORC Complian</vt:lpstr>
      <vt:lpstr>Compliance Filings-&gt;</vt:lpstr>
      <vt:lpstr>UE-200893 Sch 95 Eff 12-01-2020</vt:lpstr>
      <vt:lpstr>UE-200897 Sch 95A</vt:lpstr>
      <vt:lpstr>UE-210140 Sch 120</vt:lpstr>
      <vt:lpstr>UE-200770 Sch 129</vt:lpstr>
      <vt:lpstr>UE-200967 Sch 137</vt:lpstr>
      <vt:lpstr>UE-210217 Sch 140</vt:lpstr>
      <vt:lpstr>UE-180899 141X</vt:lpstr>
      <vt:lpstr>UE-190529 Sch 141X &amp; 141Z</vt:lpstr>
      <vt:lpstr>UE-200661 Sch 141Y</vt:lpstr>
      <vt:lpstr>UE-190529-210214 Sch 142</vt:lpstr>
      <vt:lpstr>UE-190753 Sch 194</vt:lpstr>
      <vt:lpstr>Controls!Print_Area</vt:lpstr>
      <vt:lpstr>'Exh BDJ-8 p1-2 (Rate Impacts)'!Print_Area</vt:lpstr>
      <vt:lpstr>'Exh BDJ-8 p3 (Typ Res Bill)'!Print_Area</vt:lpstr>
      <vt:lpstr>'F2020 Customers'!Print_Area</vt:lpstr>
      <vt:lpstr>'F2020 Sch Level Delivered Load'!Print_Area</vt:lpstr>
      <vt:lpstr>'Sch 120'!Print_Area</vt:lpstr>
      <vt:lpstr>'Sch 129'!Print_Area</vt:lpstr>
      <vt:lpstr>'Sch 137'!Print_Area</vt:lpstr>
      <vt:lpstr>'Sch 139'!Print_Area</vt:lpstr>
      <vt:lpstr>'Sch 140'!Print_Area</vt:lpstr>
      <vt:lpstr>'Sch 141X'!Print_Area</vt:lpstr>
      <vt:lpstr>'Sch 141Y'!Print_Area</vt:lpstr>
      <vt:lpstr>'Sch 141Z'!Print_Area</vt:lpstr>
      <vt:lpstr>'Sch 142 Deferral'!Print_Area</vt:lpstr>
      <vt:lpstr>'Sch 194'!Print_Area</vt:lpstr>
      <vt:lpstr>'Sch 95'!Print_Area</vt:lpstr>
      <vt:lpstr>'Sch 95a'!Print_Area</vt:lpstr>
      <vt:lpstr>Schedule_RateImpacts!Print_Area</vt:lpstr>
      <vt:lpstr>'TY June 2020 Proforma Rev'!Print_Area</vt:lpstr>
      <vt:lpstr>'UE-180899 141X'!Print_Area</vt:lpstr>
      <vt:lpstr>'UE-190529 Sch 141X &amp; 141Z'!Print_Area</vt:lpstr>
      <vt:lpstr>'UE-190529-210214 Sch 142'!Print_Area</vt:lpstr>
      <vt:lpstr>'UE-190753 Sch 194'!Print_Area</vt:lpstr>
      <vt:lpstr>'UE-200661 Sch 141Y'!Print_Area</vt:lpstr>
      <vt:lpstr>'UE-200770 Sch 129'!Print_Area</vt:lpstr>
      <vt:lpstr>'UE-200893 Sch 95 Eff 12-01-2020'!Print_Area</vt:lpstr>
      <vt:lpstr>'UE-200897 Sch 95A'!Print_Area</vt:lpstr>
      <vt:lpstr>'UE-200967 Sch 137'!Print_Area</vt:lpstr>
      <vt:lpstr>'UE-200980 Sch 95 PCORC Complian'!Print_Area</vt:lpstr>
      <vt:lpstr>'UE-210140 Sch 120'!Print_Area</vt:lpstr>
      <vt:lpstr>'UE-210217 Sch 140'!Print_Area</vt:lpstr>
      <vt:lpstr>'Exh BDJ-8 p1-2 (Rate Impacts)'!Print_Titles</vt:lpstr>
      <vt:lpstr>'F2020 Sch Level Delivered Load'!Print_Titles</vt:lpstr>
      <vt:lpstr>Schedule_RateImpacts!Print_Titles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Pam Rasanen</cp:lastModifiedBy>
  <cp:lastPrinted>2020-11-23T21:36:18Z</cp:lastPrinted>
  <dcterms:created xsi:type="dcterms:W3CDTF">2016-12-27T22:31:24Z</dcterms:created>
  <dcterms:modified xsi:type="dcterms:W3CDTF">2021-06-09T16:18:45Z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