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Compliance Filing\2020 PCORC Work Papers COMPLIANCE\"/>
    </mc:Choice>
  </mc:AlternateContent>
  <bookViews>
    <workbookView xWindow="-15" yWindow="2355" windowWidth="7680" windowHeight="8985" tabRatio="642"/>
  </bookViews>
  <sheets>
    <sheet name="Exh BDJ-6 p1 (Rate Spread)" sheetId="67" r:id="rId1"/>
    <sheet name="Exh BDJ-6 p 2-6 (Lighting)" sheetId="37" r:id="rId2"/>
    <sheet name="WP Support=====&gt;" sheetId="83" r:id="rId3"/>
    <sheet name="2020 PCORC Deficiency" sheetId="84" r:id="rId4"/>
    <sheet name="UE-200893 Sch 95 Eff 12-01-2020" sheetId="72" r:id="rId5"/>
    <sheet name="UE-190529 Load Research " sheetId="80" r:id="rId6"/>
    <sheet name="UE-190529 LR - Energy" sheetId="81" r:id="rId7"/>
    <sheet name="UE-190529 LR - Dem 4CP" sheetId="8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hidden="1">{#N/A,#N/A,FALSE,"Summ";#N/A,#N/A,FALSE,"General"}</definedName>
    <definedName name="______Jun09">" BS!$AI$7:$AI$1643"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hidden="1">{#N/A,#N/A,FALSE,"Summ";#N/A,#N/A,FALSE,"General"}</definedName>
    <definedName name="_____Jun09">" BS!$AI$7:$AI$1643"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localSheetId="3" hidden="1">#REF!</definedName>
    <definedName name="__123Graph_D" hidden="1">#REF!</definedName>
    <definedName name="__123Graph_ECURRENT" localSheetId="3" hidden="1">#N/A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ex1" hidden="1">{#N/A,#N/A,FALSE,"Summ";#N/A,#N/A,FALSE,"General"}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ew1" hidden="1">{#N/A,#N/A,FALSE,"Summ";#N/A,#N/A,FALSE,"General"}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Deficiency">'2020 PCORC Deficiency'!$A$1:$G$49</definedName>
    <definedName name="_ex1" localSheetId="3" hidden="1">{#N/A,#N/A,FALSE,"Summ";#N/A,#N/A,FALSE,"General"}</definedName>
    <definedName name="_ex1" hidden="1">{#N/A,#N/A,FALSE,"Summ";#N/A,#N/A,FALSE,"General"}</definedName>
    <definedName name="_Feb04">[7]BS!$S$7:$S$3582</definedName>
    <definedName name="_Fill" localSheetId="3" hidden="1">#REF!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localSheetId="3" hidden="1">{#N/A,#N/A,FALSE,"Summ";#N/A,#N/A,FALSE,"General"}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>255</definedName>
    <definedName name="_Order2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>1</definedName>
    <definedName name="_SEC24">[13]EXTERNAL!$A$112:$IV$114</definedName>
    <definedName name="_Sep03">[14]BS!$AB$7:$AB$3420</definedName>
    <definedName name="_Sep04">[7]BS!$Z$7:$Z$3582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hidden="1">#REF!</definedName>
    <definedName name="_TOP1">[1]Jan!#REF!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localSheetId="3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3" hidden="1">#REF!</definedName>
    <definedName name="BEx3L7D0PI38HWZ7VADU16C9E33D" hidden="1">#REF!</definedName>
    <definedName name="BEx3LANPY1HT49TAH98H4B9RC1D4" localSheetId="3" hidden="1">#REF!</definedName>
    <definedName name="BEx3LANPY1HT49TAH98H4B9RC1D4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3" hidden="1">#REF!</definedName>
    <definedName name="BEx3O85IKWARA6NCJOLRBRJFMEWW" hidden="1">[26]ZZCOOM_M03_Q005!#REF!</definedName>
    <definedName name="BEx3OJZSCGFRW7SVGBFI0X9DNVMM" localSheetId="3" hidden="1">#REF!</definedName>
    <definedName name="BEx3OJZSCGFRW7SVGBFI0X9DNVMM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3" hidden="1">#REF!</definedName>
    <definedName name="BEx3UKOCOQG7S1YQ436S997K1KWV" hidden="1">#REF!</definedName>
    <definedName name="BEx3UNISOEXF3OFHT2BUA6P9RBIJ" localSheetId="3" hidden="1">#REF!</definedName>
    <definedName name="BEx3UNISOEXF3OFHT2BUA6P9RBIJ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3" hidden="1">#REF!</definedName>
    <definedName name="BEx5MLQZM68YQSKARVWTTPINFQ2C" hidden="1">[26]ZZCOOM_M03_Q005!#REF!</definedName>
    <definedName name="BEx5MMCJMU7FOOWUCW9EA13B7V5F" localSheetId="3" hidden="1">#REF!</definedName>
    <definedName name="BEx5MMCJMU7FOOWUCW9EA13B7V5F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3" hidden="1">#REF!</definedName>
    <definedName name="BEx9EG9KBJ77M8LEOR9ITOKN5KXY" hidden="1">#REF!</definedName>
    <definedName name="BEx9EL27NGDBCTVPW97K42QANS5K" localSheetId="3" hidden="1">#REF!</definedName>
    <definedName name="BEx9EL27NGDBCTVPW97K42QANS5K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3" hidden="1">#REF!</definedName>
    <definedName name="BExBCK9SCAABKOT9IP6TEPRR7YDT" hidden="1">#REF!</definedName>
    <definedName name="BExBCKKJFFT2RP50WNPKBT7X8PJ3" localSheetId="3" hidden="1">#REF!</definedName>
    <definedName name="BExBCKKJFFT2RP50WNPKBT7X8PJ3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3" hidden="1">#REF!</definedName>
    <definedName name="BExDCP3UZ3C2O4C1F7KMU0Z9U32N" hidden="1">#REF!</definedName>
    <definedName name="BExENU8ISP26W97JG63CN1XT9KB4" localSheetId="3" hidden="1">#REF!</definedName>
    <definedName name="BExENU8ISP26W97JG63CN1XT9KB4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3" hidden="1">#REF!</definedName>
    <definedName name="BExERWCEBKQRYWRQLYJ4UCMMKTHG" hidden="1">[26]ZZCOOM_M03_Q005!#REF!</definedName>
    <definedName name="BExERXE1QW042A2T25RI4DVUU59O" localSheetId="3" hidden="1">#REF!</definedName>
    <definedName name="BExERXE1QW042A2T25RI4DVUU59O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3" hidden="1">#REF!</definedName>
    <definedName name="BExEUNU7FYVTR4DD1D31SS7PNXX2" hidden="1">#REF!</definedName>
    <definedName name="BExEUOAHB0OT3BACAHNZ3B905C0P" localSheetId="3" hidden="1">#REF!</definedName>
    <definedName name="BExEUOAHB0OT3BACAHNZ3B905C0P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3" hidden="1">#REF!</definedName>
    <definedName name="BExIPKNFUDPDKOSH5GHDVNA8D66S" hidden="1">#REF!</definedName>
    <definedName name="BExIPVL5VEVK9Q7AYB7EC2VZWBEZ" localSheetId="3" hidden="1">#REF!</definedName>
    <definedName name="BExIPVL5VEVK9Q7AYB7EC2VZWBEZ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3" hidden="1">#REF!</definedName>
    <definedName name="BExKGNK5YGKP0YHHTAAOV17Z9EIM" hidden="1">#REF!</definedName>
    <definedName name="BExKGQ3T3TWGZUSNVWJE1XWXHGRQ" localSheetId="3" hidden="1">#REF!</definedName>
    <definedName name="BExKGQ3T3TWGZUSNVWJE1XWXHGRQ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3" hidden="1">#REF!</definedName>
    <definedName name="BExKPFFSVTL757PNITV8R9RN4452" hidden="1">#REF!</definedName>
    <definedName name="BExKPIL5ZWOXQAENH3VP3ZHA2N7N" localSheetId="3" hidden="1">#REF!</definedName>
    <definedName name="BExKPIL5ZWOXQAENH3VP3ZHA2N7N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3" hidden="1">#REF!</definedName>
    <definedName name="BExMBYPQDG9AYDQ5E8IECVFREPO6" hidden="1">[26]ZZCOOM_M03_Q005!#REF!</definedName>
    <definedName name="BExMC7PESEESXVMDCGGIP5LPMUGY" localSheetId="3" hidden="1">#REF!</definedName>
    <definedName name="BExMC7PESEESXVMDCGGIP5LPMUGY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3" hidden="1">#REF!</definedName>
    <definedName name="BExMKP92JGBM5BJO174H9A4HQIB9" hidden="1">#REF!</definedName>
    <definedName name="BExMKPEDT6IOYLLC3KJKRZOETC3Y" localSheetId="3" hidden="1">#REF!</definedName>
    <definedName name="BExMKPEDT6IOYLLC3KJKRZOETC3Y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3" hidden="1">#REF!</definedName>
    <definedName name="BExQ9ZLYHWABXAA9NJDW8ZS0UQ9P" hidden="1">[26]ZZCOOM_M03_Q005!#REF!</definedName>
    <definedName name="BExQ9ZWQ19KSRZNZNPY6ZNWEST1J" localSheetId="3" hidden="1">#REF!</definedName>
    <definedName name="BExQ9ZWQ19KSRZNZNPY6ZNWEST1J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3" hidden="1">#REF!</definedName>
    <definedName name="BExQG8TYRD2G42UA5ZPCRLNKUDMX" hidden="1">#REF!</definedName>
    <definedName name="BExQG9A8OZ31BDN5QEGQGWG59A43" localSheetId="3" hidden="1">#REF!</definedName>
    <definedName name="BExQG9A8OZ31BDN5QEGQGWG59A43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3" hidden="1">#REF!</definedName>
    <definedName name="BExQL2NSE8OYZFXQH8A23RMVMFW7" hidden="1">#REF!</definedName>
    <definedName name="BExQL4GJ3LZJL6JDEHT7UDXW90TV" localSheetId="3" hidden="1">#REF!</definedName>
    <definedName name="BExQL4GJ3LZJL6JDEHT7UDXW90TV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3" hidden="1">#REF!</definedName>
    <definedName name="BExTUY9WNSJ91GV8CP0SKJTEIV82" hidden="1">[26]ZZCOOM_M03_Q005!#REF!</definedName>
    <definedName name="BExTV67VIM8PV6KO253M4DUBJQLC" localSheetId="3" hidden="1">#REF!</definedName>
    <definedName name="BExTV67VIM8PV6KO253M4DUBJQLC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3" hidden="1">#REF!</definedName>
    <definedName name="BExUAMWQODKBXMRH1QCMJLJBF8M7" hidden="1">#REF!</definedName>
    <definedName name="BExUAPR6Y32097JKJCTGC4C6EGE9" localSheetId="3" hidden="1">#REF!</definedName>
    <definedName name="BExUAPR6Y32097JKJCTGC4C6EGE9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3" hidden="1">#REF!</definedName>
    <definedName name="BExW1U0JLKQ094DW5MMOI8UHO09V" hidden="1">#REF!</definedName>
    <definedName name="BExW1VNZHNB5P9V6232N0DQCE0WE" localSheetId="3" hidden="1">#REF!</definedName>
    <definedName name="BExW1VNZHNB5P9V6232N0DQCE0WE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3" hidden="1">#REF!</definedName>
    <definedName name="BExXO278QHQN8JDK5425EJ615ECC" hidden="1">#REF!</definedName>
    <definedName name="BExXO4QVV7YZ6L5A7WZEMIA5AZOV" localSheetId="3" hidden="1">#REF!</definedName>
    <definedName name="BExXO4QVV7YZ6L5A7WZEMIA5AZOV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3" hidden="1">#REF!</definedName>
    <definedName name="BExZSTNUWCRNCL22SMKXKFSLCJ0O" hidden="1">#REF!</definedName>
    <definedName name="BExZSYRA4NR7K6RLC3I81QSG5SQR" localSheetId="3" hidden="1">#REF!</definedName>
    <definedName name="BExZSYRA4NR7K6RLC3I81QSG5SQR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3" hidden="1">#REF!</definedName>
    <definedName name="BExZZZEMIIFKMLLV4DJKX5TB9R5V" hidden="1">#REF!</definedName>
    <definedName name="BOOK_LIFE">'[27]Lvl FCR'!$G$10</definedName>
    <definedName name="BOOKADJ">#REF!</definedName>
    <definedName name="BPAX">[13]EXTERNAL!$A$121:$IV$123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[28]Readings!$B$2</definedName>
    <definedName name="Capital_Inflation">'[23]Assumptions (Input)'!$B$11</definedName>
    <definedName name="CASE">[29]INPUTS!$C$8</definedName>
    <definedName name="Case_Name">'[30]KJB-6,13 Cmn Adj'!$B$8</definedName>
    <definedName name="CaseDescription">'[21]Dispatch Cases'!$C$11</definedName>
    <definedName name="CBWorkbookPriority">-2060790043</definedName>
    <definedName name="CCGT_HeatRate">[21]Assumptions!$H$23</definedName>
    <definedName name="CCGTPrice">[21]Assumptions!$H$22</definedName>
    <definedName name="Check">#REF!</definedName>
    <definedName name="CL_RT2">'[31]Transp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'[32]Virtual 49 Back-Up'!$E$54</definedName>
    <definedName name="ConversionFactor">[21]Assumptions!$I$65</definedName>
    <definedName name="COSFacVal">[17]Inputs!$R$5</definedName>
    <definedName name="CurrQtr">'[33]Inc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'[34]Mix Variance'!$B$1:$N$31</definedName>
    <definedName name="Data.Avg">'[33]Avg Amts'!$A$5:$BP$34</definedName>
    <definedName name="Data.Qtrs.Avg">'[33]Avg Amts'!$A$5:$IV$5</definedName>
    <definedName name="data1">'[35]Mix Variance'!$O$5:$T$25</definedName>
    <definedName name="_xlnm.Database">[36]Invoice!#REF!</definedName>
    <definedName name="DATE">[37]Jan!#REF!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[38]Inputs!$D$11</definedName>
    <definedName name="DES1.T">[13]INTERNAL!$A$40:$IV$42</definedName>
    <definedName name="DES2.T">[13]INTERNAL!$A$43:$IV$45</definedName>
    <definedName name="df" hidden="1">{#N/A,#N/A,FALSE,"CESTSUM";#N/A,#N/A,FALSE,"est sum A";#N/A,#N/A,FALSE,"est detail A"}</definedName>
    <definedName name="DF_HeatRate">[21]Assumptions!$L$23</definedName>
    <definedName name="DFIT" localSheetId="3" hidden="1">{#N/A,#N/A,FALSE,"Coversheet";#N/A,#N/A,FALSE,"QA"}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'[39]JHS-19'!$AR$2</definedName>
    <definedName name="DP.T">[13]INTERNAL!$A$46:$IV$48</definedName>
    <definedName name="DUDE" hidden="1">#REF!</definedName>
    <definedName name="EBFIT.T">[13]INTERNAL!$A$88:$IV$90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ffTax">[13]INPUTS!$F$31</definedName>
    <definedName name="Electric_Prices">'[40]Monthly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[28]Readings!$B$3</definedName>
    <definedName name="ENERGY_1">[13]EXTERNAL!$A$4:$IV$6</definedName>
    <definedName name="ENERGY_2">[13]EXTERNAL!$A$145:$IV$147</definedName>
    <definedName name="Engy">[16]Inputs!$D$9</definedName>
    <definedName name="Engy2">[38]Inputs!$D$12</definedName>
    <definedName name="EPIS.T">[13]INTERNAL!$A$49:$IV$51</definedName>
    <definedName name="error" localSheetId="3" hidden="1">{#N/A,#N/A,FALSE,"Coversheet";#N/A,#N/A,FALSE,"QA"}</definedName>
    <definedName name="error" hidden="1">{#N/A,#N/A,FALSE,"Coversheet";#N/A,#N/A,FALSE,"QA"}</definedName>
    <definedName name="Escalator">1.025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'[32]Virtual 49 Back-Up'!$B$20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[41]Inputs!$E$112</definedName>
    <definedName name="FedTaxRate">[21]Assumptions!$C$33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IT">'[42]ROR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>1252</definedName>
    <definedName name="HTML_Control" localSheetId="3" hidden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[13]INTERNAL!$A$85:$IV$87</definedName>
    <definedName name="ID_0303_RVN_data">#REF!</definedName>
    <definedName name="IDcontractsRVN">#REF!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[43]Summary!#REF!</definedName>
    <definedName name="Instructions">#REF!</definedName>
    <definedName name="Insurance_Rate">'[23]Assumptions (Input)'!$B$9</definedName>
    <definedName name="INTRESEXCH">[44]Sheet1!$AG$1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jj">[45]Inputs!$N$18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'[30]KJB-12 Sum'!$AS$2</definedName>
    <definedName name="k_FITrate">'[30]KJB-3,11 Def'!$L$20</definedName>
    <definedName name="keep_Docket_Number">'[46]KJB-3 Sum'!$AQ$2</definedName>
    <definedName name="keep_FIT">'[46]KJB-7 Def'!$L$20</definedName>
    <definedName name="keep_KJB_3_Rate_Increase">'[46]KJB-7 Def'!$C$3</definedName>
    <definedName name="keep_KJB_4_Electric_Summary">'[46]KJB-3 Sum'!$AQ$3</definedName>
    <definedName name="keep_KJB_8_Common_Adjs">'[46]KJB-5 Cmn Adj'!$L$3</definedName>
    <definedName name="keep_KJB_9_Electric_Only">'[46]KJB-5 El Adj'!$E$3</definedName>
    <definedName name="keep_TESTYEAR">'[46]KJB-5 Cmn Adj'!$B$7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[44]Sheet1!$E$3:$E$25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'[47]Load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localSheetId="3" hidden="1">{#N/A,#N/A,FALSE,"Coversheet";#N/A,#N/A,FALSE,"QA"}</definedName>
    <definedName name="lookup" hidden="1">{#N/A,#N/A,FALSE,"Coversheet";#N/A,#N/A,FALSE,"QA"}</definedName>
    <definedName name="LOSS">[24]Backup!#REF!</definedName>
    <definedName name="M9100F4_v4">[48]M9100F4!$A$1:$V$99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[44]Sheet1!$AF$3:$AJ$28</definedName>
    <definedName name="Method">[16]Inputs!$C$6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NTH">[24]Backup!#REF!</definedName>
    <definedName name="monthlist">[49]Table!$R$2:$S$13</definedName>
    <definedName name="monthtotals">'[49]WA SBC'!$D$40:$O$40</definedName>
    <definedName name="MTD_Format">[50]Mthly!$B$11:$D$11,[50]Mthly!$B$31:$D$31</definedName>
    <definedName name="MTKWH">#REF!</definedName>
    <definedName name="MTR_YR3">[51]Variables!$E$14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localSheetId="3" hidden="1">{#N/A,#N/A,FALSE,"Summ";#N/A,#N/A,FALSE,"General"}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 localSheetId="3">"V1999-02-28"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 localSheetId="3">"%,FPPL_SUPP_RES_CTR,TPPL_RPTD_SRC,NFOSSIL"</definedName>
    <definedName name="NvsInstSpec">"%"</definedName>
    <definedName name="NvsLayoutType">"M3"</definedName>
    <definedName name="NvsNplSpec" localSheetId="3">"%,X,RNF..,CZF.."</definedName>
    <definedName name="NvsNplSpec">"%,X,RZF..,CZF.."</definedName>
    <definedName name="NvsPanelEffdt" localSheetId="3">"V1900-01-01"</definedName>
    <definedName name="NvsPanelEffdt">"V2020-12-31"</definedName>
    <definedName name="NvsPanelSetid" localSheetId="3">"VSHARE"</definedName>
    <definedName name="NvsPanelSetid">"VCPSTD"</definedName>
    <definedName name="NvsReqBU" localSheetId="3">"V10000"</definedName>
    <definedName name="NvsReqBU">"VCPSTD"</definedName>
    <definedName name="NvsReqBUOnly">"VN"</definedName>
    <definedName name="NvsTransLed">"VN"</definedName>
    <definedName name="NvsTreeASD" localSheetId="3">"V1999-02-28"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'[32]Virtual 49 Back-Up'!$B$21</definedName>
    <definedName name="OBCLEASE">[44]Sheet1!$AF$4:$AI$23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'[52]Dist Misc'!$F$120</definedName>
    <definedName name="OthRCF">[29]INPUTS!$F$41</definedName>
    <definedName name="OthUnc">[13]INPUTS!$F$36</definedName>
    <definedName name="outlookdata">'[53]pivoted data'!$D$3:$Q$90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[54]TransInvest!#REF!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[41]Inputs!$E$129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'[40]Monthly Price Summary'!$C$4:$H$63</definedName>
    <definedName name="_xlnm.Print_Area" localSheetId="1">'Exh BDJ-6 p 2-6 (Lighting)'!$A$1:$N$171</definedName>
    <definedName name="_xlnm.Print_Area" localSheetId="0">'Exh BDJ-6 p1 (Rate Spread)'!$A$1:$N$32</definedName>
    <definedName name="_xlnm.Print_Area" localSheetId="5">'UE-190529 Load Research '!$A$1:$H$42</definedName>
    <definedName name="_xlnm.Print_Area" localSheetId="7">'UE-190529 LR - Dem 4CP'!$A$1:$R$18</definedName>
    <definedName name="_xlnm.Print_Area" localSheetId="6">'UE-190529 LR - Energy'!$A$1:$J$47</definedName>
    <definedName name="_xlnm.Print_Area" localSheetId="4">'UE-200893 Sch 95 Eff 12-01-2020'!$A$1:$N$35</definedName>
    <definedName name="Print_Area_Reset">OFFSET(Full_Print,0,0,Last_Row)</definedName>
    <definedName name="_xlnm.Print_Titles" localSheetId="1">'Exh BDJ-6 p 2-6 (Lighting)'!$1:$7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[41]Inputs!$E$111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QTD_Format">[55]QTD!$B$11:$D$11,[55]QTD!$B$35:$D$35</definedName>
    <definedName name="Query1">#REF!</definedName>
    <definedName name="RATE2">'[31]Transp Data'!$A$8:$I$112</definedName>
    <definedName name="Rates">[56]Codes!$A$1:$C$500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'[57]#REF'!$B$3:$C$112</definedName>
    <definedName name="ResourceSupplier">[22]Variables!$D$28</definedName>
    <definedName name="ResRCF">[29]INPUTS!$F$39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[56]Codes!$F$2:$G$10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>[29]INPUTS!$F$24</definedName>
    <definedName name="RY">'[58]Name Ranges'!$B$4</definedName>
    <definedName name="SAPBEXhrIndnt">"Wide"</definedName>
    <definedName name="SAPsysID">"708C5W7SBKP804JT78WJ0JNKI"</definedName>
    <definedName name="SAPwbID">"ARS"</definedName>
    <definedName name="SBRCF">[29]INPUTS!$F$40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[44]Sheet1!$A$4:$E$40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'[59]JHS-6'!$A$7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db">'[60]Transp Unbilled'!$A$8:$E$174</definedName>
    <definedName name="Transfer" localSheetId="3" hidden="1">#REF!</definedName>
    <definedName name="Transfer" hidden="1">#REF!</definedName>
    <definedName name="Transfers" localSheetId="3" hidden="1">#REF!</definedName>
    <definedName name="Transfers" hidden="1">#REF!</definedName>
    <definedName name="TRANSM_2">[61]Transm2!$A$1:$M$461:'[61]10 Yr FC'!$M$47</definedName>
    <definedName name="TY">'[58]Name Ranges'!$B$3</definedName>
    <definedName name="u" localSheetId="3" hidden="1">{#N/A,#N/A,FALSE,"Coversheet";#N/A,#N/A,FALSE,"QA"}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[22]Variables!$D$29</definedName>
    <definedName name="v" localSheetId="3" hidden="1">{#N/A,#N/A,FALSE,"Coversheet";#N/A,#N/A,FALSE,"QA"}</definedName>
    <definedName name="v" hidden="1">{#N/A,#N/A,FALSE,"Coversheet";#N/A,#N/A,FALSE,"QA"}</definedName>
    <definedName name="ValidAccount">[20]Variables!$AK$43:$AK$369</definedName>
    <definedName name="Value" localSheetId="3" hidden="1">{#N/A,#N/A,FALSE,"Summ";#N/A,#N/A,FALSE,"General"}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[43]Summary!#REF!</definedName>
    <definedName name="VOMEsc">[21]Assumptions!$C$21</definedName>
    <definedName name="VOUCHER">#REF!</definedName>
    <definedName name="w" localSheetId="3" hidden="1">{#N/A,#N/A,FALSE,"Schedule F";#N/A,#N/A,FALSE,"Schedule G"}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3" hidden="1">{#N/A,#N/A,FALSE,"Coversheet";#N/A,#N/A,FALSE,"QA"}</definedName>
    <definedName name="WH" hidden="1">{#N/A,#N/A,FALSE,"Coversheet";#N/A,#N/A,FALSE,"QA"}</definedName>
    <definedName name="WIDTH">#REF!</definedName>
    <definedName name="Winter">'[62]Input Tab'!$B$11</definedName>
    <definedName name="WinterPeak">'[63]Load Data'!$D$9:$H$12,'[63]Load Data'!$D$20:$H$22</definedName>
    <definedName name="WORK1">#REF!</definedName>
    <definedName name="WORK2">#REF!</definedName>
    <definedName name="WORK3">#REF!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'[64]Revison Inputs'!$B$6</definedName>
    <definedName name="YEFactors">[20]Factors!$S$3:$AG$99</definedName>
    <definedName name="YTD_Format">[50]YTD!$B$13:$D$13,[50]YTD!$B$32:$D$32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hidden="1">{#N/A,#N/A,FALSE,"Coversheet";#N/A,#N/A,FALSE,"QA"}</definedName>
    <definedName name="ZA">'[65] annual balance '!#REF!</definedName>
  </definedNames>
  <calcPr calcId="162913"/>
</workbook>
</file>

<file path=xl/calcChain.xml><?xml version="1.0" encoding="utf-8"?>
<calcChain xmlns="http://schemas.openxmlformats.org/spreadsheetml/2006/main">
  <c r="A3" i="37" l="1"/>
  <c r="A46" i="84" l="1"/>
  <c r="G46" i="84"/>
  <c r="A47" i="84"/>
  <c r="A48" i="84"/>
  <c r="A49" i="84"/>
  <c r="A50" i="84"/>
  <c r="F50" i="84"/>
  <c r="A45" i="84" l="1"/>
  <c r="A44" i="84"/>
  <c r="A43" i="84"/>
  <c r="A42" i="84"/>
  <c r="A41" i="84"/>
  <c r="A40" i="84"/>
  <c r="A39" i="84"/>
  <c r="A38" i="84"/>
  <c r="A37" i="84"/>
  <c r="A36" i="84"/>
  <c r="A35" i="84"/>
  <c r="F34" i="84"/>
  <c r="A34" i="84"/>
  <c r="A33" i="84"/>
  <c r="B36" i="84" s="1"/>
  <c r="A32" i="84"/>
  <c r="A31" i="84"/>
  <c r="F30" i="84"/>
  <c r="D30" i="84"/>
  <c r="A30" i="84"/>
  <c r="A29" i="84"/>
  <c r="A28" i="84"/>
  <c r="A27" i="84"/>
  <c r="A26" i="84"/>
  <c r="A25" i="84"/>
  <c r="A24" i="84"/>
  <c r="A23" i="84"/>
  <c r="A22" i="84"/>
  <c r="A21" i="84"/>
  <c r="F20" i="84"/>
  <c r="D20" i="84"/>
  <c r="G24" i="84" s="1"/>
  <c r="A20" i="84"/>
  <c r="A19" i="84"/>
  <c r="B22" i="84" s="1"/>
  <c r="A18" i="84"/>
  <c r="F17" i="84"/>
  <c r="F31" i="84" s="1"/>
  <c r="D17" i="84"/>
  <c r="D31" i="84" s="1"/>
  <c r="D33" i="84" s="1"/>
  <c r="A17" i="84"/>
  <c r="F16" i="84"/>
  <c r="D16" i="84"/>
  <c r="D19" i="84" s="1"/>
  <c r="D22" i="84" s="1"/>
  <c r="A16" i="84"/>
  <c r="A15" i="84"/>
  <c r="A14" i="84"/>
  <c r="F19" i="84" l="1"/>
  <c r="F22" i="84" s="1"/>
  <c r="F23" i="84" s="1"/>
  <c r="D23" i="84"/>
  <c r="F33" i="84"/>
  <c r="F36" i="84" s="1"/>
  <c r="D34" i="84"/>
  <c r="G38" i="84" s="1"/>
  <c r="G22" i="84" l="1"/>
  <c r="G26" i="84" s="1"/>
  <c r="D36" i="84"/>
  <c r="G36" i="84" s="1"/>
  <c r="G40" i="84" s="1"/>
  <c r="K25" i="67" l="1"/>
  <c r="K21" i="67"/>
  <c r="K19" i="67"/>
  <c r="K17" i="67"/>
  <c r="K16" i="67"/>
  <c r="K14" i="67"/>
  <c r="K13" i="67"/>
  <c r="K12" i="67"/>
  <c r="K11" i="67"/>
  <c r="K10" i="67"/>
  <c r="K9" i="67"/>
  <c r="K8" i="67"/>
  <c r="K7" i="67"/>
  <c r="K23" i="67" l="1"/>
  <c r="K27" i="67" l="1"/>
  <c r="N171" i="37"/>
  <c r="N170" i="37"/>
  <c r="N169" i="37"/>
  <c r="N168" i="37"/>
  <c r="N167" i="37"/>
  <c r="N166" i="37"/>
  <c r="N165" i="37"/>
  <c r="N164" i="37"/>
  <c r="N163" i="37"/>
  <c r="N162" i="37"/>
  <c r="N161" i="37"/>
  <c r="N160" i="37"/>
  <c r="N159" i="37"/>
  <c r="N158" i="37"/>
  <c r="N154" i="37"/>
  <c r="N153" i="37"/>
  <c r="N151" i="37"/>
  <c r="N150" i="37"/>
  <c r="N149" i="37"/>
  <c r="N148" i="37"/>
  <c r="N146" i="37"/>
  <c r="N145" i="37"/>
  <c r="N144" i="37"/>
  <c r="N143" i="37"/>
  <c r="N142" i="37"/>
  <c r="N140" i="37"/>
  <c r="N139" i="37"/>
  <c r="N138" i="37"/>
  <c r="N137" i="37"/>
  <c r="N136" i="37"/>
  <c r="N132" i="37"/>
  <c r="N129" i="37"/>
  <c r="N128" i="37"/>
  <c r="N127" i="37"/>
  <c r="N126" i="37"/>
  <c r="N125" i="37"/>
  <c r="N124" i="37"/>
  <c r="N123" i="37"/>
  <c r="N122" i="37"/>
  <c r="N121" i="37"/>
  <c r="N119" i="37"/>
  <c r="N114" i="37"/>
  <c r="N115" i="37"/>
  <c r="N116" i="37"/>
  <c r="N117" i="37"/>
  <c r="N113" i="37"/>
  <c r="N109" i="37"/>
  <c r="N108" i="37"/>
  <c r="N107" i="37"/>
  <c r="N106" i="37"/>
  <c r="N105" i="37"/>
  <c r="N104" i="37"/>
  <c r="N103" i="37"/>
  <c r="N102" i="37"/>
  <c r="N101" i="37"/>
  <c r="N84" i="37"/>
  <c r="N79" i="37"/>
  <c r="N87" i="37"/>
  <c r="N86" i="37"/>
  <c r="N85" i="37"/>
  <c r="N83" i="37"/>
  <c r="N82" i="37"/>
  <c r="N81" i="37"/>
  <c r="N80" i="37"/>
  <c r="N41" i="37"/>
  <c r="N40" i="37"/>
  <c r="N39" i="37"/>
  <c r="N37" i="37"/>
  <c r="N36" i="37"/>
  <c r="N35" i="37"/>
  <c r="N34" i="37"/>
  <c r="N98" i="37"/>
  <c r="N97" i="37"/>
  <c r="N96" i="37"/>
  <c r="N95" i="37"/>
  <c r="N94" i="37"/>
  <c r="N93" i="37"/>
  <c r="N92" i="37"/>
  <c r="N91" i="37"/>
  <c r="N90" i="37"/>
  <c r="N77" i="37"/>
  <c r="N76" i="37"/>
  <c r="N75" i="37"/>
  <c r="N74" i="37"/>
  <c r="N73" i="37"/>
  <c r="N70" i="37"/>
  <c r="N69" i="37"/>
  <c r="N68" i="37"/>
  <c r="N67" i="37"/>
  <c r="N66" i="37"/>
  <c r="N65" i="37"/>
  <c r="N64" i="37"/>
  <c r="N63" i="37"/>
  <c r="N62" i="37"/>
  <c r="N59" i="37"/>
  <c r="N58" i="37"/>
  <c r="N57" i="37"/>
  <c r="N56" i="37"/>
  <c r="N55" i="37"/>
  <c r="N54" i="37"/>
  <c r="N53" i="37"/>
  <c r="N51" i="37"/>
  <c r="N50" i="37"/>
  <c r="N49" i="37"/>
  <c r="N48" i="37"/>
  <c r="N47" i="37"/>
  <c r="N46" i="37"/>
  <c r="N45" i="37"/>
  <c r="N30" i="37"/>
  <c r="N29" i="37"/>
  <c r="N28" i="37"/>
  <c r="N27" i="37"/>
  <c r="N17" i="67"/>
  <c r="N9" i="67"/>
  <c r="N10" i="67"/>
  <c r="N11" i="67"/>
  <c r="N12" i="67"/>
  <c r="N13" i="67"/>
  <c r="N14" i="67"/>
  <c r="N8" i="67"/>
  <c r="G171" i="37" l="1"/>
  <c r="G170" i="37"/>
  <c r="I170" i="37" s="1"/>
  <c r="G169" i="37"/>
  <c r="G168" i="37"/>
  <c r="I168" i="37" s="1"/>
  <c r="G167" i="37"/>
  <c r="G166" i="37"/>
  <c r="I166" i="37" s="1"/>
  <c r="G165" i="37"/>
  <c r="G164" i="37"/>
  <c r="I164" i="37" s="1"/>
  <c r="G163" i="37"/>
  <c r="G162" i="37"/>
  <c r="I162" i="37" s="1"/>
  <c r="G161" i="37"/>
  <c r="G160" i="37"/>
  <c r="I160" i="37" s="1"/>
  <c r="G159" i="37"/>
  <c r="G158" i="37"/>
  <c r="I158" i="37" s="1"/>
  <c r="B158" i="37"/>
  <c r="B159" i="37" s="1"/>
  <c r="B160" i="37" s="1"/>
  <c r="B161" i="37" s="1"/>
  <c r="B162" i="37" s="1"/>
  <c r="B163" i="37" s="1"/>
  <c r="B164" i="37" s="1"/>
  <c r="B165" i="37" s="1"/>
  <c r="B166" i="37" s="1"/>
  <c r="B167" i="37" s="1"/>
  <c r="B168" i="37" s="1"/>
  <c r="B169" i="37" s="1"/>
  <c r="B170" i="37" s="1"/>
  <c r="B171" i="37" s="1"/>
  <c r="G157" i="37"/>
  <c r="G154" i="37"/>
  <c r="B154" i="37"/>
  <c r="I153" i="37"/>
  <c r="G153" i="37"/>
  <c r="B153" i="37"/>
  <c r="G151" i="37"/>
  <c r="G150" i="37"/>
  <c r="I150" i="37" s="1"/>
  <c r="G149" i="37"/>
  <c r="G148" i="37"/>
  <c r="I148" i="37" s="1"/>
  <c r="I146" i="37"/>
  <c r="G146" i="37"/>
  <c r="I145" i="37"/>
  <c r="G145" i="37"/>
  <c r="B145" i="37"/>
  <c r="B146" i="37" s="1"/>
  <c r="I144" i="37"/>
  <c r="G144" i="37"/>
  <c r="I143" i="37"/>
  <c r="G143" i="37"/>
  <c r="B143" i="37"/>
  <c r="B144" i="37" s="1"/>
  <c r="I142" i="37"/>
  <c r="G142" i="37"/>
  <c r="I140" i="37"/>
  <c r="G140" i="37"/>
  <c r="I139" i="37"/>
  <c r="G139" i="37"/>
  <c r="I138" i="37"/>
  <c r="G138" i="37"/>
  <c r="I137" i="37"/>
  <c r="G137" i="37"/>
  <c r="I136" i="37"/>
  <c r="G136" i="37"/>
  <c r="B136" i="37"/>
  <c r="I135" i="37"/>
  <c r="G135" i="37"/>
  <c r="G132" i="37"/>
  <c r="I129" i="37"/>
  <c r="G129" i="37"/>
  <c r="G128" i="37"/>
  <c r="I127" i="37"/>
  <c r="G127" i="37"/>
  <c r="G126" i="37"/>
  <c r="I126" i="37" s="1"/>
  <c r="I125" i="37"/>
  <c r="G125" i="37"/>
  <c r="G124" i="37"/>
  <c r="I123" i="37"/>
  <c r="G123" i="37"/>
  <c r="G122" i="37"/>
  <c r="I122" i="37" s="1"/>
  <c r="I121" i="37"/>
  <c r="G121" i="37"/>
  <c r="I119" i="37"/>
  <c r="G119" i="37"/>
  <c r="G117" i="37"/>
  <c r="G116" i="37"/>
  <c r="I116" i="37" s="1"/>
  <c r="G115" i="37"/>
  <c r="G114" i="37"/>
  <c r="I114" i="37" s="1"/>
  <c r="G113" i="37"/>
  <c r="B113" i="37"/>
  <c r="B114" i="37" s="1"/>
  <c r="B115" i="37" s="1"/>
  <c r="B116" i="37" s="1"/>
  <c r="B117" i="37" s="1"/>
  <c r="B119" i="37" s="1"/>
  <c r="G112" i="37"/>
  <c r="I112" i="37" s="1"/>
  <c r="I109" i="37"/>
  <c r="G109" i="37"/>
  <c r="I108" i="37"/>
  <c r="G108" i="37"/>
  <c r="I107" i="37"/>
  <c r="G107" i="37"/>
  <c r="I106" i="37"/>
  <c r="G106" i="37"/>
  <c r="I105" i="37"/>
  <c r="G105" i="37"/>
  <c r="I104" i="37"/>
  <c r="G104" i="37"/>
  <c r="I103" i="37"/>
  <c r="G103" i="37"/>
  <c r="I102" i="37"/>
  <c r="G102" i="37"/>
  <c r="I101" i="37"/>
  <c r="G101" i="37"/>
  <c r="I98" i="37"/>
  <c r="G98" i="37"/>
  <c r="I97" i="37"/>
  <c r="G97" i="37"/>
  <c r="I96" i="37"/>
  <c r="G96" i="37"/>
  <c r="I95" i="37"/>
  <c r="G95" i="37"/>
  <c r="I94" i="37"/>
  <c r="G94" i="37"/>
  <c r="I93" i="37"/>
  <c r="G93" i="37"/>
  <c r="I92" i="37"/>
  <c r="G92" i="37"/>
  <c r="I91" i="37"/>
  <c r="G91" i="37"/>
  <c r="B91" i="37"/>
  <c r="B92" i="37" s="1"/>
  <c r="B93" i="37" s="1"/>
  <c r="B94" i="37" s="1"/>
  <c r="B95" i="37" s="1"/>
  <c r="B96" i="37" s="1"/>
  <c r="B97" i="37" s="1"/>
  <c r="B98" i="37" s="1"/>
  <c r="B101" i="37" s="1"/>
  <c r="B102" i="37" s="1"/>
  <c r="B103" i="37" s="1"/>
  <c r="B104" i="37" s="1"/>
  <c r="B105" i="37" s="1"/>
  <c r="B106" i="37" s="1"/>
  <c r="B107" i="37" s="1"/>
  <c r="B108" i="37" s="1"/>
  <c r="B109" i="37" s="1"/>
  <c r="I90" i="37"/>
  <c r="G90" i="37"/>
  <c r="G87" i="37"/>
  <c r="I87" i="37" s="1"/>
  <c r="I86" i="37"/>
  <c r="G86" i="37"/>
  <c r="G85" i="37"/>
  <c r="I84" i="37"/>
  <c r="G84" i="37"/>
  <c r="G83" i="37"/>
  <c r="I82" i="37"/>
  <c r="G82" i="37"/>
  <c r="G81" i="37"/>
  <c r="I80" i="37"/>
  <c r="G80" i="37"/>
  <c r="G79" i="37"/>
  <c r="G77" i="37"/>
  <c r="I77" i="37" s="1"/>
  <c r="G76" i="37"/>
  <c r="G75" i="37"/>
  <c r="I75" i="37" s="1"/>
  <c r="G74" i="37"/>
  <c r="G73" i="37"/>
  <c r="I73" i="37" s="1"/>
  <c r="G72" i="37"/>
  <c r="G70" i="37"/>
  <c r="I69" i="37"/>
  <c r="G69" i="37"/>
  <c r="G68" i="37"/>
  <c r="I67" i="37"/>
  <c r="G67" i="37"/>
  <c r="G66" i="37"/>
  <c r="I65" i="37"/>
  <c r="G65" i="37"/>
  <c r="G64" i="37"/>
  <c r="B64" i="37"/>
  <c r="B65" i="37" s="1"/>
  <c r="B66" i="37" s="1"/>
  <c r="B67" i="37" s="1"/>
  <c r="B68" i="37" s="1"/>
  <c r="B69" i="37" s="1"/>
  <c r="B70" i="37" s="1"/>
  <c r="B72" i="37" s="1"/>
  <c r="B73" i="37" s="1"/>
  <c r="B74" i="37" s="1"/>
  <c r="B75" i="37" s="1"/>
  <c r="B76" i="37" s="1"/>
  <c r="B77" i="37" s="1"/>
  <c r="B79" i="37" s="1"/>
  <c r="B80" i="37" s="1"/>
  <c r="B81" i="37" s="1"/>
  <c r="B82" i="37" s="1"/>
  <c r="B83" i="37" s="1"/>
  <c r="B84" i="37" s="1"/>
  <c r="B85" i="37" s="1"/>
  <c r="B86" i="37" s="1"/>
  <c r="B87" i="37" s="1"/>
  <c r="I63" i="37"/>
  <c r="G63" i="37"/>
  <c r="B63" i="37"/>
  <c r="G62" i="37"/>
  <c r="G59" i="37"/>
  <c r="I59" i="37" s="1"/>
  <c r="C59" i="37"/>
  <c r="I58" i="37"/>
  <c r="G58" i="37"/>
  <c r="C58" i="37"/>
  <c r="G57" i="37"/>
  <c r="C57" i="37"/>
  <c r="G56" i="37"/>
  <c r="I55" i="37"/>
  <c r="G55" i="37"/>
  <c r="G54" i="37"/>
  <c r="I53" i="37"/>
  <c r="G53" i="37"/>
  <c r="G51" i="37"/>
  <c r="I51" i="37" s="1"/>
  <c r="G50" i="37"/>
  <c r="I50" i="37" s="1"/>
  <c r="I49" i="37"/>
  <c r="G49" i="37"/>
  <c r="G48" i="37"/>
  <c r="I48" i="37" s="1"/>
  <c r="G47" i="37"/>
  <c r="G46" i="37"/>
  <c r="I46" i="37" s="1"/>
  <c r="B46" i="37"/>
  <c r="B47" i="37" s="1"/>
  <c r="B48" i="37" s="1"/>
  <c r="I45" i="37"/>
  <c r="G45" i="37"/>
  <c r="B45" i="37"/>
  <c r="G44" i="37"/>
  <c r="I44" i="37" s="1"/>
  <c r="I41" i="37"/>
  <c r="G41" i="37"/>
  <c r="G40" i="37"/>
  <c r="I40" i="37" s="1"/>
  <c r="G39" i="37"/>
  <c r="I38" i="37"/>
  <c r="G38" i="37"/>
  <c r="I37" i="37"/>
  <c r="G37" i="37"/>
  <c r="G36" i="37"/>
  <c r="I36" i="37" s="1"/>
  <c r="G35" i="37"/>
  <c r="I34" i="37"/>
  <c r="G34" i="37"/>
  <c r="I33" i="37"/>
  <c r="G33" i="37"/>
  <c r="I30" i="37"/>
  <c r="G30" i="37"/>
  <c r="I29" i="37"/>
  <c r="G29" i="37"/>
  <c r="I28" i="37"/>
  <c r="G28" i="37"/>
  <c r="B28" i="37"/>
  <c r="B29" i="37" s="1"/>
  <c r="B30" i="37" s="1"/>
  <c r="I27" i="37"/>
  <c r="G27" i="37"/>
  <c r="I25" i="37"/>
  <c r="G25" i="37"/>
  <c r="H21" i="37"/>
  <c r="H20" i="37"/>
  <c r="H19" i="37"/>
  <c r="I18" i="37"/>
  <c r="H18" i="37"/>
  <c r="H17" i="37"/>
  <c r="H16" i="37"/>
  <c r="H15" i="37"/>
  <c r="I14" i="37"/>
  <c r="H14" i="37"/>
  <c r="H22" i="37" s="1"/>
  <c r="A11" i="37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B49" i="37" l="1"/>
  <c r="B53" i="37"/>
  <c r="I57" i="37"/>
  <c r="I128" i="37"/>
  <c r="I72" i="37"/>
  <c r="I74" i="37"/>
  <c r="I76" i="37"/>
  <c r="I47" i="37"/>
  <c r="I16" i="37" s="1"/>
  <c r="I35" i="37"/>
  <c r="I39" i="37"/>
  <c r="I54" i="37"/>
  <c r="I132" i="37"/>
  <c r="I20" i="37" s="1"/>
  <c r="B137" i="37"/>
  <c r="B138" i="37" s="1"/>
  <c r="B139" i="37" s="1"/>
  <c r="B140" i="37" s="1"/>
  <c r="B148" i="37"/>
  <c r="B149" i="37" s="1"/>
  <c r="B150" i="37" s="1"/>
  <c r="B151" i="37" s="1"/>
  <c r="I56" i="37"/>
  <c r="I62" i="37"/>
  <c r="I64" i="37"/>
  <c r="I66" i="37"/>
  <c r="I68" i="37"/>
  <c r="I70" i="37"/>
  <c r="I79" i="37"/>
  <c r="I81" i="37"/>
  <c r="I83" i="37"/>
  <c r="I85" i="37"/>
  <c r="I149" i="37"/>
  <c r="I151" i="37"/>
  <c r="I157" i="37"/>
  <c r="I113" i="37"/>
  <c r="I115" i="37"/>
  <c r="I117" i="37"/>
  <c r="I124" i="37"/>
  <c r="I159" i="37"/>
  <c r="I161" i="37"/>
  <c r="I163" i="37"/>
  <c r="I165" i="37"/>
  <c r="I167" i="37"/>
  <c r="I169" i="37"/>
  <c r="I171" i="37"/>
  <c r="I154" i="37"/>
  <c r="I17" i="37" l="1"/>
  <c r="I21" i="37"/>
  <c r="B50" i="37"/>
  <c r="B54" i="37"/>
  <c r="I19" i="37"/>
  <c r="I10" i="37"/>
  <c r="I15" i="37"/>
  <c r="I22" i="37" s="1"/>
  <c r="B51" i="37" l="1"/>
  <c r="B56" i="37" s="1"/>
  <c r="B57" i="37" s="1"/>
  <c r="B58" i="37" s="1"/>
  <c r="B59" i="37" s="1"/>
  <c r="B55" i="37"/>
  <c r="D10" i="67" l="1"/>
  <c r="D11" i="67"/>
  <c r="D9" i="67" l="1"/>
  <c r="F21" i="67" l="1"/>
  <c r="F19" i="67"/>
  <c r="F17" i="67"/>
  <c r="F14" i="67"/>
  <c r="F13" i="67"/>
  <c r="F12" i="67"/>
  <c r="F11" i="67"/>
  <c r="F8" i="67"/>
  <c r="F10" i="67"/>
  <c r="F7" i="67"/>
  <c r="D21" i="67"/>
  <c r="D19" i="67"/>
  <c r="D17" i="67"/>
  <c r="D14" i="67"/>
  <c r="D13" i="67"/>
  <c r="D12" i="67"/>
  <c r="D8" i="67"/>
  <c r="D7" i="67"/>
  <c r="R18" i="82"/>
  <c r="P18" i="82"/>
  <c r="O18" i="82"/>
  <c r="H18" i="80" s="1"/>
  <c r="E18" i="80" s="1"/>
  <c r="F18" i="80" s="1"/>
  <c r="N18" i="82"/>
  <c r="M18" i="82"/>
  <c r="L18" i="82"/>
  <c r="K18" i="82"/>
  <c r="H15" i="80" s="1"/>
  <c r="J18" i="82"/>
  <c r="I18" i="82"/>
  <c r="H18" i="82"/>
  <c r="G18" i="82"/>
  <c r="H12" i="80" s="1"/>
  <c r="E12" i="80" s="1"/>
  <c r="F12" i="80" s="1"/>
  <c r="F18" i="82"/>
  <c r="E18" i="82"/>
  <c r="D18" i="82"/>
  <c r="Q16" i="82"/>
  <c r="Q15" i="82"/>
  <c r="Q14" i="82"/>
  <c r="Q13" i="82"/>
  <c r="Q12" i="82"/>
  <c r="Q11" i="82"/>
  <c r="Q10" i="82"/>
  <c r="Q9" i="82"/>
  <c r="Q8" i="82"/>
  <c r="Q7" i="82"/>
  <c r="Q6" i="82"/>
  <c r="Q5" i="82"/>
  <c r="Q18" i="82" s="1"/>
  <c r="H23" i="80" s="1"/>
  <c r="G23" i="80"/>
  <c r="C23" i="80" s="1"/>
  <c r="D23" i="80"/>
  <c r="H20" i="80"/>
  <c r="E20" i="80" s="1"/>
  <c r="F20" i="80" s="1"/>
  <c r="G20" i="80"/>
  <c r="D20" i="80"/>
  <c r="C20" i="80"/>
  <c r="H19" i="80"/>
  <c r="G19" i="80"/>
  <c r="C19" i="80" s="1"/>
  <c r="E19" i="80"/>
  <c r="G18" i="80"/>
  <c r="D18" i="80"/>
  <c r="C18" i="80"/>
  <c r="H17" i="80"/>
  <c r="G17" i="80"/>
  <c r="F17" i="80"/>
  <c r="E17" i="80"/>
  <c r="D17" i="80"/>
  <c r="C17" i="80"/>
  <c r="H16" i="80"/>
  <c r="G16" i="80"/>
  <c r="C16" i="80" s="1"/>
  <c r="E16" i="80"/>
  <c r="G15" i="80"/>
  <c r="F15" i="80"/>
  <c r="C15" i="80"/>
  <c r="D15" i="80" s="1"/>
  <c r="H14" i="80"/>
  <c r="G14" i="80"/>
  <c r="C14" i="80" s="1"/>
  <c r="D14" i="80" s="1"/>
  <c r="E14" i="80"/>
  <c r="F14" i="80" s="1"/>
  <c r="H13" i="80"/>
  <c r="G13" i="80"/>
  <c r="E13" i="80"/>
  <c r="F13" i="80" s="1"/>
  <c r="C13" i="80"/>
  <c r="D13" i="80" s="1"/>
  <c r="G12" i="80"/>
  <c r="C12" i="80" s="1"/>
  <c r="D12" i="80" s="1"/>
  <c r="H11" i="80"/>
  <c r="G11" i="80"/>
  <c r="E11" i="80"/>
  <c r="F11" i="80" s="1"/>
  <c r="D11" i="80"/>
  <c r="C11" i="80"/>
  <c r="H10" i="80"/>
  <c r="G10" i="80"/>
  <c r="C10" i="80" s="1"/>
  <c r="D10" i="80" s="1"/>
  <c r="F10" i="80"/>
  <c r="E10" i="80"/>
  <c r="H9" i="80"/>
  <c r="H22" i="80" s="1"/>
  <c r="H24" i="80" s="1"/>
  <c r="G9" i="80"/>
  <c r="G22" i="80" s="1"/>
  <c r="G24" i="80" s="1"/>
  <c r="E9" i="80"/>
  <c r="D9" i="80"/>
  <c r="C9" i="80"/>
  <c r="C22" i="80" s="1"/>
  <c r="C24" i="80" s="1"/>
  <c r="F9" i="67" l="1"/>
  <c r="D16" i="67"/>
  <c r="D22" i="80"/>
  <c r="D24" i="80" s="1"/>
  <c r="E22" i="80"/>
  <c r="E24" i="80" s="1"/>
  <c r="F9" i="80"/>
  <c r="F22" i="80" s="1"/>
  <c r="F24" i="80" s="1"/>
  <c r="A8" i="67" l="1"/>
  <c r="A9" i="67" l="1"/>
  <c r="A10" i="67" l="1"/>
  <c r="A11" i="67" l="1"/>
  <c r="F23" i="67"/>
  <c r="A12" i="67" l="1"/>
  <c r="G16" i="67"/>
  <c r="G10" i="67"/>
  <c r="G14" i="67"/>
  <c r="G12" i="67"/>
  <c r="G17" i="67"/>
  <c r="G11" i="67"/>
  <c r="G21" i="67"/>
  <c r="G9" i="67"/>
  <c r="G8" i="67"/>
  <c r="G13" i="67"/>
  <c r="G19" i="67"/>
  <c r="G7" i="67"/>
  <c r="F27" i="67"/>
  <c r="D23" i="67"/>
  <c r="A13" i="67" l="1"/>
  <c r="E17" i="67"/>
  <c r="E8" i="67"/>
  <c r="E12" i="67"/>
  <c r="E9" i="67"/>
  <c r="E21" i="67"/>
  <c r="E10" i="67"/>
  <c r="E16" i="67"/>
  <c r="E13" i="67"/>
  <c r="E14" i="67"/>
  <c r="E19" i="67"/>
  <c r="E11" i="67"/>
  <c r="E7" i="67"/>
  <c r="D27" i="67"/>
  <c r="H14" i="67"/>
  <c r="G23" i="67"/>
  <c r="A14" i="67" l="1"/>
  <c r="H7" i="67"/>
  <c r="H9" i="67"/>
  <c r="H11" i="67"/>
  <c r="H16" i="67"/>
  <c r="H12" i="67"/>
  <c r="H19" i="67"/>
  <c r="H10" i="67"/>
  <c r="H8" i="67"/>
  <c r="H21" i="67"/>
  <c r="H17" i="67"/>
  <c r="E23" i="67"/>
  <c r="H13" i="67"/>
  <c r="A15" i="67" l="1"/>
  <c r="H23" i="67"/>
  <c r="A16" i="67" l="1"/>
  <c r="A17" i="67" l="1"/>
  <c r="A18" i="67" l="1"/>
  <c r="A19" i="67" l="1"/>
  <c r="A20" i="67" l="1"/>
  <c r="A21" i="67" l="1"/>
  <c r="A22" i="67" l="1"/>
  <c r="A23" i="67" l="1"/>
  <c r="A24" i="67" l="1"/>
  <c r="A25" i="67" l="1"/>
  <c r="A26" i="67" l="1"/>
  <c r="A27" i="67" l="1"/>
  <c r="A28" i="67" l="1"/>
  <c r="G42" i="84" l="1"/>
  <c r="G44" i="84" s="1"/>
  <c r="G48" i="84"/>
  <c r="F48" i="84" s="1"/>
  <c r="F44" i="84"/>
  <c r="I23" i="67"/>
  <c r="J12" i="67" l="1"/>
  <c r="L12" i="67" s="1"/>
  <c r="J11" i="67"/>
  <c r="L11" i="67" s="1"/>
  <c r="J19" i="67"/>
  <c r="J14" i="67"/>
  <c r="L14" i="67" s="1"/>
  <c r="J7" i="67"/>
  <c r="J10" i="67"/>
  <c r="L10" i="67" s="1"/>
  <c r="J13" i="67"/>
  <c r="L13" i="67" s="1"/>
  <c r="J21" i="67"/>
  <c r="L21" i="67" s="1"/>
  <c r="J8" i="67"/>
  <c r="L8" i="67" s="1"/>
  <c r="J9" i="67"/>
  <c r="L9" i="67" s="1"/>
  <c r="J17" i="67"/>
  <c r="L17" i="67" s="1"/>
  <c r="J16" i="67"/>
  <c r="L16" i="67" s="1"/>
  <c r="L19" i="67" l="1"/>
  <c r="K11" i="37"/>
  <c r="L11" i="37" s="1"/>
  <c r="L10" i="37" s="1"/>
  <c r="J23" i="67"/>
  <c r="L23" i="67" s="1"/>
  <c r="L7" i="67"/>
  <c r="J33" i="37" l="1"/>
  <c r="K33" i="37" s="1"/>
  <c r="J85" i="37"/>
  <c r="K85" i="37" s="1"/>
  <c r="J107" i="37"/>
  <c r="K107" i="37" s="1"/>
  <c r="J35" i="37"/>
  <c r="K35" i="37" s="1"/>
  <c r="J166" i="37"/>
  <c r="K166" i="37" s="1"/>
  <c r="J162" i="37"/>
  <c r="K162" i="37" s="1"/>
  <c r="J47" i="37"/>
  <c r="K47" i="37" s="1"/>
  <c r="J125" i="37"/>
  <c r="K125" i="37" s="1"/>
  <c r="J164" i="37"/>
  <c r="K164" i="37" s="1"/>
  <c r="J82" i="37"/>
  <c r="K82" i="37" s="1"/>
  <c r="J28" i="37"/>
  <c r="K28" i="37" s="1"/>
  <c r="J34" i="37"/>
  <c r="K34" i="37" s="1"/>
  <c r="J171" i="37"/>
  <c r="K171" i="37" s="1"/>
  <c r="J105" i="37"/>
  <c r="K105" i="37" s="1"/>
  <c r="J76" i="37"/>
  <c r="K76" i="37" s="1"/>
  <c r="J158" i="37"/>
  <c r="K158" i="37" s="1"/>
  <c r="J46" i="37"/>
  <c r="K46" i="37" s="1"/>
  <c r="J41" i="37"/>
  <c r="K41" i="37" s="1"/>
  <c r="J79" i="37"/>
  <c r="K79" i="37" s="1"/>
  <c r="J149" i="37"/>
  <c r="K149" i="37" s="1"/>
  <c r="J45" i="37"/>
  <c r="K45" i="37" s="1"/>
  <c r="J102" i="37"/>
  <c r="K102" i="37" s="1"/>
  <c r="J163" i="37"/>
  <c r="K163" i="37" s="1"/>
  <c r="J153" i="37"/>
  <c r="K153" i="37" s="1"/>
  <c r="J135" i="37"/>
  <c r="K135" i="37" s="1"/>
  <c r="J96" i="37"/>
  <c r="K96" i="37" s="1"/>
  <c r="J112" i="37"/>
  <c r="K112" i="37" s="1"/>
  <c r="J25" i="37"/>
  <c r="K25" i="37" s="1"/>
  <c r="J116" i="37"/>
  <c r="K116" i="37" s="1"/>
  <c r="J84" i="37"/>
  <c r="K84" i="37" s="1"/>
  <c r="J94" i="37"/>
  <c r="K94" i="37" s="1"/>
  <c r="J117" i="37"/>
  <c r="K117" i="37" s="1"/>
  <c r="J75" i="37"/>
  <c r="K75" i="37" s="1"/>
  <c r="J62" i="37"/>
  <c r="K62" i="37" s="1"/>
  <c r="J151" i="37"/>
  <c r="K151" i="37" s="1"/>
  <c r="J66" i="37"/>
  <c r="K66" i="37" s="1"/>
  <c r="J38" i="37"/>
  <c r="K38" i="37" s="1"/>
  <c r="J115" i="37"/>
  <c r="K115" i="37" s="1"/>
  <c r="J97" i="37"/>
  <c r="K97" i="37" s="1"/>
  <c r="J92" i="37"/>
  <c r="K92" i="37" s="1"/>
  <c r="J121" i="37"/>
  <c r="K121" i="37" s="1"/>
  <c r="J93" i="37"/>
  <c r="K93" i="37" s="1"/>
  <c r="J83" i="37"/>
  <c r="K83" i="37" s="1"/>
  <c r="J108" i="37"/>
  <c r="K108" i="37" s="1"/>
  <c r="J104" i="37"/>
  <c r="K104" i="37" s="1"/>
  <c r="J87" i="37"/>
  <c r="K87" i="37" s="1"/>
  <c r="J68" i="37"/>
  <c r="K68" i="37" s="1"/>
  <c r="J27" i="37"/>
  <c r="K27" i="37" s="1"/>
  <c r="J159" i="37"/>
  <c r="K159" i="37" s="1"/>
  <c r="J57" i="37"/>
  <c r="K57" i="37" s="1"/>
  <c r="J119" i="37"/>
  <c r="K119" i="37" s="1"/>
  <c r="J51" i="37"/>
  <c r="K51" i="37" s="1"/>
  <c r="J169" i="37"/>
  <c r="K169" i="37" s="1"/>
  <c r="J157" i="37"/>
  <c r="K157" i="37" s="1"/>
  <c r="J81" i="37"/>
  <c r="K81" i="37" s="1"/>
  <c r="J113" i="37"/>
  <c r="K113" i="37" s="1"/>
  <c r="J53" i="37"/>
  <c r="K53" i="37" s="1"/>
  <c r="J74" i="37"/>
  <c r="K74" i="37" s="1"/>
  <c r="J160" i="37"/>
  <c r="K160" i="37" s="1"/>
  <c r="J129" i="37"/>
  <c r="K129" i="37" s="1"/>
  <c r="J136" i="37"/>
  <c r="K136" i="37" s="1"/>
  <c r="J56" i="37"/>
  <c r="K56" i="37" s="1"/>
  <c r="J58" i="37"/>
  <c r="K58" i="37" s="1"/>
  <c r="J39" i="37"/>
  <c r="K39" i="37" s="1"/>
  <c r="J91" i="37"/>
  <c r="K91" i="37" s="1"/>
  <c r="J138" i="37"/>
  <c r="K138" i="37" s="1"/>
  <c r="J128" i="37"/>
  <c r="K128" i="37" s="1"/>
  <c r="J77" i="37"/>
  <c r="K77" i="37" s="1"/>
  <c r="J36" i="37"/>
  <c r="K36" i="37" s="1"/>
  <c r="J150" i="37"/>
  <c r="K150" i="37" s="1"/>
  <c r="J142" i="37"/>
  <c r="K142" i="37" s="1"/>
  <c r="J70" i="37"/>
  <c r="K70" i="37" s="1"/>
  <c r="J64" i="37"/>
  <c r="K64" i="37" s="1"/>
  <c r="J109" i="37"/>
  <c r="K109" i="37" s="1"/>
  <c r="J103" i="37"/>
  <c r="K103" i="37" s="1"/>
  <c r="J124" i="37"/>
  <c r="K124" i="37" s="1"/>
  <c r="J114" i="37"/>
  <c r="K114" i="37" s="1"/>
  <c r="J80" i="37"/>
  <c r="K80" i="37" s="1"/>
  <c r="J65" i="37"/>
  <c r="K65" i="37" s="1"/>
  <c r="J106" i="37"/>
  <c r="K106" i="37" s="1"/>
  <c r="J143" i="37"/>
  <c r="K143" i="37" s="1"/>
  <c r="J37" i="37"/>
  <c r="K37" i="37" s="1"/>
  <c r="J54" i="37"/>
  <c r="K54" i="37" s="1"/>
  <c r="J101" i="37"/>
  <c r="K101" i="37" s="1"/>
  <c r="J161" i="37"/>
  <c r="K161" i="37" s="1"/>
  <c r="J48" i="37"/>
  <c r="K48" i="37" s="1"/>
  <c r="J63" i="37"/>
  <c r="K63" i="37" s="1"/>
  <c r="J40" i="37"/>
  <c r="K40" i="37" s="1"/>
  <c r="J86" i="37"/>
  <c r="K86" i="37" s="1"/>
  <c r="J30" i="37"/>
  <c r="K30" i="37" s="1"/>
  <c r="J44" i="37"/>
  <c r="K44" i="37" s="1"/>
  <c r="J72" i="37"/>
  <c r="K72" i="37" s="1"/>
  <c r="J165" i="37"/>
  <c r="K165" i="37" s="1"/>
  <c r="J168" i="37"/>
  <c r="K168" i="37" s="1"/>
  <c r="J55" i="37"/>
  <c r="K55" i="37" s="1"/>
  <c r="J132" i="37"/>
  <c r="K132" i="37" s="1"/>
  <c r="K20" i="37" s="1"/>
  <c r="J167" i="37"/>
  <c r="K167" i="37" s="1"/>
  <c r="J69" i="37"/>
  <c r="K69" i="37" s="1"/>
  <c r="J154" i="37"/>
  <c r="K154" i="37" s="1"/>
  <c r="J140" i="37"/>
  <c r="K140" i="37" s="1"/>
  <c r="J145" i="37"/>
  <c r="K145" i="37" s="1"/>
  <c r="J90" i="37"/>
  <c r="K90" i="37" s="1"/>
  <c r="J73" i="37"/>
  <c r="K73" i="37" s="1"/>
  <c r="J139" i="37"/>
  <c r="K139" i="37" s="1"/>
  <c r="J170" i="37"/>
  <c r="K170" i="37" s="1"/>
  <c r="J126" i="37"/>
  <c r="K126" i="37" s="1"/>
  <c r="J98" i="37"/>
  <c r="K98" i="37" s="1"/>
  <c r="J59" i="37"/>
  <c r="K59" i="37" s="1"/>
  <c r="J67" i="37"/>
  <c r="K67" i="37" s="1"/>
  <c r="J127" i="37"/>
  <c r="K127" i="37" s="1"/>
  <c r="J148" i="37"/>
  <c r="K148" i="37" s="1"/>
  <c r="J137" i="37"/>
  <c r="K137" i="37" s="1"/>
  <c r="J122" i="37"/>
  <c r="K122" i="37" s="1"/>
  <c r="J49" i="37"/>
  <c r="K49" i="37" s="1"/>
  <c r="J95" i="37"/>
  <c r="K95" i="37" s="1"/>
  <c r="J29" i="37"/>
  <c r="K29" i="37" s="1"/>
  <c r="J123" i="37"/>
  <c r="K123" i="37" s="1"/>
  <c r="J146" i="37"/>
  <c r="K146" i="37" s="1"/>
  <c r="J144" i="37"/>
  <c r="K144" i="37" s="1"/>
  <c r="J50" i="37"/>
  <c r="K50" i="37" s="1"/>
  <c r="K19" i="37" l="1"/>
  <c r="K16" i="37"/>
  <c r="K18" i="37"/>
  <c r="K17" i="37"/>
  <c r="K14" i="37"/>
  <c r="K10" i="37"/>
  <c r="K12" i="37" s="1"/>
  <c r="K21" i="37"/>
  <c r="K15" i="37"/>
  <c r="K22" i="37" l="1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<sst xmlns="http://schemas.openxmlformats.org/spreadsheetml/2006/main" count="558" uniqueCount="310">
  <si>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</si>
  <si>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</si>
  <si>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</si>
  <si>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</si>
  <si>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</si>
  <si>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</si>
  <si>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</si>
  <si>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</si>
  <si>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</si>
  <si>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</si>
  <si>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Total</t>
  </si>
  <si>
    <t>Customer Class</t>
  </si>
  <si>
    <t>Weighted Allocation</t>
  </si>
  <si>
    <t>Firm Resale</t>
  </si>
  <si>
    <t>Tariff</t>
  </si>
  <si>
    <t>Puget Sound Energy</t>
  </si>
  <si>
    <t>Schedule</t>
  </si>
  <si>
    <t>Lamp Type</t>
  </si>
  <si>
    <t>Mercury Vapor</t>
  </si>
  <si>
    <t>Sodium Vapor</t>
  </si>
  <si>
    <t>a</t>
  </si>
  <si>
    <t>c</t>
  </si>
  <si>
    <t>h</t>
  </si>
  <si>
    <t>e = b + d</t>
  </si>
  <si>
    <t>Line No.</t>
  </si>
  <si>
    <t>kWh</t>
  </si>
  <si>
    <t xml:space="preserve"> </t>
  </si>
  <si>
    <t>Losses</t>
  </si>
  <si>
    <t>Class</t>
  </si>
  <si>
    <t>449 PV</t>
  </si>
  <si>
    <t>449 HV</t>
  </si>
  <si>
    <t>Check</t>
  </si>
  <si>
    <t>Load Research Allocation Factors</t>
  </si>
  <si>
    <t>Electric Cost of Service Allocation Factors</t>
  </si>
  <si>
    <t>Load Research Data</t>
  </si>
  <si>
    <t>ENERGY_1</t>
  </si>
  <si>
    <t>ENERGY_2</t>
  </si>
  <si>
    <t>DEM_2A</t>
  </si>
  <si>
    <t>DEM_2B</t>
  </si>
  <si>
    <t>Energy - All Rate Schedules</t>
  </si>
  <si>
    <t>Energy - Exclude Transportation</t>
  </si>
  <si>
    <t>Energy</t>
  </si>
  <si>
    <t>Special Contract</t>
  </si>
  <si>
    <t>NET GPI</t>
  </si>
  <si>
    <t>TEMP ADJ</t>
  </si>
  <si>
    <t>TEMP ADJUSTED</t>
  </si>
  <si>
    <t>TEMP ADJ GPI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</si>
  <si>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</si>
  <si>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</si>
  <si>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</si>
  <si>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</si>
  <si>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</si>
  <si>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</si>
  <si>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</si>
  <si>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</si>
  <si>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</si>
  <si>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</si>
  <si>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</si>
  <si>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</si>
  <si>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</si>
  <si>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</si>
  <si>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</si>
  <si>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</si>
  <si>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</si>
  <si>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</si>
  <si>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actual kWh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</si>
  <si>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</si>
  <si>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</si>
  <si>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</si>
  <si>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</si>
  <si>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</si>
  <si>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</si>
  <si>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</si>
  <si>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</si>
  <si>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</si>
  <si>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</si>
  <si>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</si>
  <si>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</si>
  <si>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</si>
  <si>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</si>
  <si>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</si>
  <si>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Total Transp.</t>
  </si>
  <si>
    <t>System</t>
  </si>
  <si>
    <t>with losses</t>
  </si>
  <si>
    <t>High Voltage Interruptible</t>
  </si>
  <si>
    <t>High Voltage General Service</t>
  </si>
  <si>
    <t>50-59</t>
  </si>
  <si>
    <t>Rate Schedule</t>
  </si>
  <si>
    <t xml:space="preserve">f </t>
  </si>
  <si>
    <t>g = e * f</t>
  </si>
  <si>
    <t>8 &amp; 24</t>
  </si>
  <si>
    <t>11, 25 &amp; 7A</t>
  </si>
  <si>
    <t>12, 26 &amp; 26P</t>
  </si>
  <si>
    <t>10 &amp; 31</t>
  </si>
  <si>
    <t>i = g / h</t>
  </si>
  <si>
    <t>Twelve Months ended December 30, 2018</t>
  </si>
  <si>
    <t>2019 GRC - Docket UE-190529</t>
  </si>
  <si>
    <t>4 CP Demand - Exclude Interruptible</t>
  </si>
  <si>
    <t>4 CP Demand - Exclude Interruptible &amp; Transportation</t>
  </si>
  <si>
    <t>4 CP  Demand</t>
  </si>
  <si>
    <t>7A, 11, 25 &amp; 29</t>
  </si>
  <si>
    <t>12 &amp; 26</t>
  </si>
  <si>
    <t>46 &amp;49</t>
  </si>
  <si>
    <t>Lighting (50-59)</t>
  </si>
  <si>
    <t>Retail Wheeling (449-459)</t>
  </si>
  <si>
    <t>TEMPERATURE ADJUSTED ANNUAL ENERGY ALLOCATIONS BY RATE SCHEDULE</t>
  </si>
  <si>
    <t>12 MONTHS ENDED DECEMBER 31, 2018</t>
  </si>
  <si>
    <t>DELIVERED KWH (Cal View)</t>
  </si>
  <si>
    <t>TEMP ADJ DELIVERED KWH</t>
  </si>
  <si>
    <t>11a</t>
  </si>
  <si>
    <t>7b-4b</t>
  </si>
  <si>
    <t>4b/(1-5b)</t>
  </si>
  <si>
    <t>(7b/sum(7b) *B8</t>
  </si>
  <si>
    <t>10a</t>
  </si>
  <si>
    <t>8b+9b</t>
  </si>
  <si>
    <t>Monthly CP by Class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</si>
  <si>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</si>
  <si>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</si>
  <si>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</si>
  <si>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</si>
  <si>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</si>
  <si>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</si>
  <si>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</si>
  <si>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</si>
  <si>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</si>
  <si>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</si>
  <si>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</si>
  <si>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</si>
  <si>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</si>
  <si>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</si>
  <si>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</si>
  <si>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_449-459</t>
  </si>
  <si>
    <t>18:00</t>
  </si>
  <si>
    <t>08:00</t>
  </si>
  <si>
    <t>4 CP</t>
  </si>
  <si>
    <t>Docket No.
UE-190529
Energy
Allocator
(Note 1)</t>
  </si>
  <si>
    <t>Docket No.
UE-190529
Demand
Allocator
(Note 3)</t>
  </si>
  <si>
    <t>75%
Energy
(Note 2)</t>
  </si>
  <si>
    <t>25%
Demand
(Note 2)</t>
  </si>
  <si>
    <t>Note 1 Source:  Docket No. UE-190529 Compliance Cost of Service Workpapers, "Energy 2" Allocator</t>
  </si>
  <si>
    <t>Note 2 Source:  Docket No. UE-190529 Compliance Cost of Service Workpapers, "Fixed Peak Credit %"</t>
  </si>
  <si>
    <t>Note 3 Source:  Docket No. UE-190529 Compliance Cost of Service Workpapers, "DEM-2B" Allocator</t>
  </si>
  <si>
    <t>b = 75% * a / sum(a)</t>
  </si>
  <si>
    <t>d = 25% * c / sum(c)</t>
  </si>
  <si>
    <t xml:space="preserve">Transportation </t>
  </si>
  <si>
    <t>449 / 459 / SC</t>
  </si>
  <si>
    <t>Voltage Level</t>
  </si>
  <si>
    <t>Schedule 95
Effective
10-15-2020</t>
  </si>
  <si>
    <t>(a)</t>
  </si>
  <si>
    <t>(b)</t>
  </si>
  <si>
    <t>(c)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</si>
  <si>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</si>
  <si>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</si>
  <si>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</si>
  <si>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</si>
  <si>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</si>
  <si>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</si>
  <si>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</si>
  <si>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</si>
  <si>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</si>
  <si>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</si>
  <si>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</si>
  <si>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</si>
  <si>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</si>
  <si>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</si>
  <si>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</si>
  <si>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High Voltage</t>
  </si>
  <si>
    <t>Interruptible</t>
  </si>
  <si>
    <t>Total High Voltage</t>
  </si>
  <si>
    <t>Lighting</t>
  </si>
  <si>
    <t>Total Jurisdictional Retail Sales</t>
  </si>
  <si>
    <t>2020 PCORC Revenue Requirement</t>
  </si>
  <si>
    <t>Wattage (W)</t>
  </si>
  <si>
    <t>UE-190529
Cost of Service
Demand-Related
Base Rate
Effective 
10-15-2020</t>
  </si>
  <si>
    <t>UE-190529
Cost of Service
Energy-Related
Base Rate
Effective 
10-15-2020</t>
  </si>
  <si>
    <t>UE-190529
Cost of Service
Demand &amp; Energy-Related
Base Rate
Effective 
10-15-2020</t>
  </si>
  <si>
    <t>Annual Lamp Inventory @
9-30-2020</t>
  </si>
  <si>
    <t>Schedule 95 Revenue Requirement Ratio to Base Demand &amp; Energy Light Charge Cost</t>
  </si>
  <si>
    <t>(d)</t>
  </si>
  <si>
    <t>(e)</t>
  </si>
  <si>
    <t>(f)</t>
  </si>
  <si>
    <t>(g)</t>
  </si>
  <si>
    <t>(h)</t>
  </si>
  <si>
    <t xml:space="preserve"> = (a) + (b)</t>
  </si>
  <si>
    <t>= (c) * (d)</t>
  </si>
  <si>
    <t>= (c) * (AA)</t>
  </si>
  <si>
    <t>= (d) * (f)</t>
  </si>
  <si>
    <t xml:space="preserve"> = (g) / (f)</t>
  </si>
  <si>
    <t>AA</t>
  </si>
  <si>
    <t>Total Lamp Revenue Requirement Based on Inventory</t>
  </si>
  <si>
    <t>Rate Spread</t>
  </si>
  <si>
    <t>Difference due to rounding &amp; rounding adjustment</t>
  </si>
  <si>
    <t>Rounding Adjustment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</si>
  <si>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</si>
  <si>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</si>
  <si>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</si>
  <si>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</si>
  <si>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</si>
  <si>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</si>
  <si>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</si>
  <si>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</si>
  <si>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</si>
  <si>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</si>
  <si>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</si>
  <si>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</si>
  <si>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</si>
  <si>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</si>
  <si>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</si>
  <si>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</si>
  <si>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</si>
  <si>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</si>
  <si>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</si>
  <si>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</si>
  <si>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</si>
  <si>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</si>
  <si>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</si>
  <si>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</si>
  <si>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</si>
  <si>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</si>
  <si>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</si>
  <si>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</si>
  <si>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 xml:space="preserve">53E 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</si>
  <si>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</si>
  <si>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</si>
  <si>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</si>
  <si>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</si>
  <si>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</si>
  <si>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</si>
  <si>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</si>
  <si>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</si>
  <si>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</si>
  <si>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</si>
  <si>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</si>
  <si>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</si>
  <si>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</si>
  <si>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</si>
  <si>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</si>
  <si>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</si>
  <si>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</si>
  <si>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Current Base Lamp Demand &amp; Energy Cost @ 10-15-2021</t>
  </si>
  <si>
    <t>Schedule 95 Power Cost Only Rate Case (PCORC) Lighting Workpapers</t>
  </si>
  <si>
    <t>Proposed 2020 PCORC Schedule 95 Lamp Revenue @ June 2021</t>
  </si>
  <si>
    <t>2020 PCORC Variable Revenue Requirement</t>
  </si>
  <si>
    <t>Impacts of Rate Change Effective December 1, 2020</t>
  </si>
  <si>
    <t>F2020 kWh
Dec 2020
to Nov 2021</t>
  </si>
  <si>
    <t>Projected
Base Revenue Excluding
Sch 95 (Note 1)</t>
  </si>
  <si>
    <t>Proposed Schedule 95
Effective
12-01-2020</t>
  </si>
  <si>
    <t>Schedule 95 Rate Change</t>
  </si>
  <si>
    <t>Base Revenue
Including
Schedule 95
Effective
10-15-2020</t>
  </si>
  <si>
    <t>Base Revenue
Including
Proposed
Schedule 95
Effective
12-01-2020</t>
  </si>
  <si>
    <t>Revenue
Difference
Effective
12-01-2020</t>
  </si>
  <si>
    <t>%
Difference
Effective
12-01-2020</t>
  </si>
  <si>
    <t>(g) = 
(e) + (f)</t>
  </si>
  <si>
    <t>(i) =
(d) +[(c) * (e)]</t>
  </si>
  <si>
    <t>(j) =
(d) +[(c) * (f)]</t>
  </si>
  <si>
    <t>(k) =
(j) - (i)</t>
  </si>
  <si>
    <t>(l) =
(k) / (i)</t>
  </si>
  <si>
    <t>Firm sales</t>
  </si>
  <si>
    <t>Note 1:  Projected Base Revenue includes Base Tariffs plus Rider / Tracker Schedules 129, 140, 141, 141X, 141Y &amp; 142 Effective on 10/15/2020</t>
  </si>
  <si>
    <t>Tariff Sheet No.</t>
  </si>
  <si>
    <t>Sheet No. 95</t>
  </si>
  <si>
    <t>Sheet No. 95-A</t>
  </si>
  <si>
    <t>Sheet No. 95-B</t>
  </si>
  <si>
    <t>Sheet No. 95-C</t>
  </si>
  <si>
    <t>Sheet No. 95-C.1</t>
  </si>
  <si>
    <t>Sheet No. 95-C.2</t>
  </si>
  <si>
    <t>Sheet No. 95-D</t>
  </si>
  <si>
    <t>Sheet No. 95-E</t>
  </si>
  <si>
    <t>Sheet No. 95-E.1</t>
  </si>
  <si>
    <t>Schedule 95 Lighting Revenue Requirement</t>
  </si>
  <si>
    <t>Proforma Normalized &amp; Delivered kWh
Test Year Ending 
June 2020</t>
  </si>
  <si>
    <t>Updated</t>
  </si>
  <si>
    <t>Docket Number UE-200980</t>
  </si>
  <si>
    <t>Exh. SEF-14</t>
  </si>
  <si>
    <t>REVENUE (SURPLUS) / DEFICIENCY</t>
  </si>
  <si>
    <t>2020 PCORC compared to 2019 GRC</t>
  </si>
  <si>
    <t>48.5% Equity / 6.80% Net of tax rate of return</t>
  </si>
  <si>
    <t>2020 PCORC</t>
  </si>
  <si>
    <t>2019 GRC</t>
  </si>
  <si>
    <t xml:space="preserve">Revenue </t>
  </si>
  <si>
    <t>TY</t>
  </si>
  <si>
    <t>Jul '19 ~ Jun '20</t>
  </si>
  <si>
    <t xml:space="preserve">Jan '18 -Dec '18 </t>
  </si>
  <si>
    <t>Deficiency</t>
  </si>
  <si>
    <t>Row</t>
  </si>
  <si>
    <t>RY</t>
  </si>
  <si>
    <t>Jun '21 ~ May '22</t>
  </si>
  <si>
    <t>Oct '20 - Sep '21</t>
  </si>
  <si>
    <t>(Surplus)</t>
  </si>
  <si>
    <t>VARIABLE DEFICIENCY (SURPLUS)</t>
  </si>
  <si>
    <t>Total Variable Costs</t>
  </si>
  <si>
    <t>Conversion Factor for Revenue Sensitive Items ("RSI")</t>
  </si>
  <si>
    <t>Total Variable Costs Grossed-up RSI's</t>
  </si>
  <si>
    <t>Test Year DELIVERED Load (MWh's)</t>
  </si>
  <si>
    <t>check</t>
  </si>
  <si>
    <t>2020 PCORC Test Year Delivered Load</t>
  </si>
  <si>
    <t>PROFORMA PCORC INCREASE - VARIABLE:</t>
  </si>
  <si>
    <t>FIXED PRODUCTION DEFICIENCY (SURPLUS)</t>
  </si>
  <si>
    <t>Total Fixed Costs</t>
  </si>
  <si>
    <t>RSI Conversion Factor</t>
  </si>
  <si>
    <t>PROFORMA PCORC DECREASE - FIXED:</t>
  </si>
  <si>
    <t>GREEN DIRECT ENERGY CREDIT DEFICIENCY</t>
  </si>
  <si>
    <t>Operating Revenues from Exh. BDJ-8</t>
  </si>
  <si>
    <t>PCORC DEFICIENCY IN SCHEDULE 95</t>
  </si>
  <si>
    <t>IMPACT OF CHANGE TO SCHEDULE 139 CREDIT</t>
  </si>
  <si>
    <t>TOTAL RATE IMPACT OF PCORC FILING</t>
  </si>
  <si>
    <t>Calculation of Schedule 95 Rate, Compliance Filing  Docket UE-200980, Rates Effective 7-1-2021</t>
  </si>
  <si>
    <t>2020 PCORC $ per kWh Effective July 1, 2021</t>
  </si>
  <si>
    <t>Proposed 2020 PCORC Schedule 95 Charges Effective 
July 1, 2021</t>
  </si>
  <si>
    <t>Electric Schedule 95 PCA Imbalance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</si>
</sst>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\ \¢"/>
    <numFmt numFmtId="167" formatCode="_(&quot;$&quot;* #,##0_);_(&quot;$&quot;* \(#,##0\);_(&quot;$&quot;* &quot;-&quot;??_);_(@_)"/>
    <numFmt numFmtId="168" formatCode="_(* #,##0.000000_);_(* \(#,##0.000000\);_(* &quot;-&quot;??_);_(@_)"/>
    <numFmt numFmtId="169" formatCode="_(&quot;$&quot;* #,##0.00000_);_(&quot;$&quot;* \(#,##0.00000\);_(&quot;$&quot;* &quot;-&quot;??_);_(@_)"/>
    <numFmt numFmtId="170" formatCode="_(&quot;$&quot;* #,##0.000000_);_(&quot;$&quot;* \(#,##0.000000\);_(&quot;$&quot;* &quot;-&quot;??_);_(@_)"/>
    <numFmt numFmtId="171" formatCode="_(* #,##0.0000000_);_(* \(#,##0.0000000\);_(* &quot;-&quot;??_);_(@_)"/>
    <numFmt numFmtId="172" formatCode="_(&quot;$&quot;* #,##0.000_);_(&quot;$&quot;* \(#,##0.000\);_(&quot;$&quot;* &quot;-&quot;??_);_(@_)"/>
    <numFmt numFmtId="173" formatCode="[$-409]mmm\-yy;@"/>
    <numFmt numFmtId="174" formatCode="_(* #,##0.0000_);_(* \(#,##0.0000\);_(* &quot;-&quot;??_);_(@_)"/>
    <numFmt numFmtId="175" formatCode="0.000"/>
    <numFmt numFmtId="176" formatCode="_(* #,##0.000_);_(* \(#,##0.000\);_(* &quot;-&quot;_);_(@_)"/>
    <numFmt numFmtId="177" formatCode="_(&quot;$&quot;* #,##0.0000000_);_(&quot;$&quot;* \(#,##0.0000000\);_(&quot;$&quot;* &quot;-&quot;??_);_(@_)"/>
    <numFmt numFmtId="178" formatCode="_(&quot;$&quot;* #,##0.00000000000_);_(&quot;$&quot;* \(#,##0.00000000000\);_(&quot;$&quot;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color theme="1"/>
      <name val="Times New Rom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u/>
      <sz val="10"/>
      <name val="Arial"/>
      <family val="2"/>
    </font>
    <font>
      <sz val="6"/>
      <color rgb="FFFF0000"/>
      <name val="Arial"/>
      <family val="2"/>
    </font>
    <font>
      <u/>
      <sz val="10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 applyBorder="1"/>
    <xf numFmtId="167" fontId="2" fillId="0" borderId="0" xfId="0" applyNumberFormat="1" applyFont="1" applyBorder="1"/>
    <xf numFmtId="166" fontId="2" fillId="0" borderId="0" xfId="0" applyNumberFormat="1" applyFont="1" applyBorder="1"/>
    <xf numFmtId="0" fontId="0" fillId="0" borderId="0" xfId="0" applyFill="1"/>
    <xf numFmtId="0" fontId="0" fillId="0" borderId="0" xfId="0" applyFill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8" fontId="2" fillId="0" borderId="0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7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0" xfId="0" applyFont="1" applyBorder="1"/>
    <xf numFmtId="0" fontId="2" fillId="0" borderId="11" xfId="0" applyFont="1" applyBorder="1"/>
    <xf numFmtId="167" fontId="2" fillId="0" borderId="0" xfId="0" applyNumberFormat="1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/>
    <xf numFmtId="0" fontId="2" fillId="0" borderId="9" xfId="0" applyFont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6" xfId="0" quotePrefix="1" applyFont="1" applyFill="1" applyBorder="1" applyAlignment="1">
      <alignment horizontal="center" wrapText="1"/>
    </xf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0" fontId="2" fillId="0" borderId="24" xfId="0" applyFont="1" applyBorder="1"/>
    <xf numFmtId="0" fontId="2" fillId="0" borderId="11" xfId="0" applyFont="1" applyFill="1" applyBorder="1"/>
    <xf numFmtId="0" fontId="2" fillId="0" borderId="24" xfId="0" applyFont="1" applyFill="1" applyBorder="1"/>
    <xf numFmtId="0" fontId="2" fillId="0" borderId="12" xfId="0" applyFont="1" applyFill="1" applyBorder="1"/>
    <xf numFmtId="0" fontId="1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Continuous"/>
    </xf>
    <xf numFmtId="0" fontId="7" fillId="0" borderId="0" xfId="2" applyFont="1" applyAlignment="1"/>
    <xf numFmtId="0" fontId="2" fillId="2" borderId="6" xfId="2" applyFont="1" applyFill="1" applyBorder="1" applyAlignment="1"/>
    <xf numFmtId="3" fontId="2" fillId="3" borderId="8" xfId="2" applyNumberFormat="1" applyFont="1" applyFill="1" applyBorder="1" applyAlignment="1"/>
    <xf numFmtId="0" fontId="2" fillId="2" borderId="6" xfId="2" applyFont="1" applyFill="1" applyBorder="1" applyAlignment="1">
      <alignment horizontal="left"/>
    </xf>
    <xf numFmtId="0" fontId="7" fillId="4" borderId="7" xfId="2" applyFont="1" applyFill="1" applyBorder="1" applyAlignment="1">
      <alignment horizontal="center"/>
    </xf>
    <xf numFmtId="3" fontId="2" fillId="0" borderId="8" xfId="2" applyNumberFormat="1" applyFont="1" applyBorder="1" applyAlignment="1">
      <alignment horizontal="right"/>
    </xf>
    <xf numFmtId="0" fontId="2" fillId="2" borderId="9" xfId="2" applyFont="1" applyFill="1" applyBorder="1" applyAlignment="1"/>
    <xf numFmtId="3" fontId="2" fillId="0" borderId="23" xfId="2" applyNumberFormat="1" applyFont="1" applyBorder="1" applyAlignment="1"/>
    <xf numFmtId="0" fontId="2" fillId="2" borderId="9" xfId="2" applyFont="1" applyFill="1" applyBorder="1" applyAlignment="1">
      <alignment horizontal="left"/>
    </xf>
    <xf numFmtId="0" fontId="7" fillId="4" borderId="0" xfId="2" applyFont="1" applyFill="1" applyBorder="1" applyAlignment="1">
      <alignment horizontal="center"/>
    </xf>
    <xf numFmtId="3" fontId="2" fillId="0" borderId="10" xfId="2" applyNumberFormat="1" applyFont="1" applyBorder="1" applyAlignment="1">
      <alignment horizontal="right"/>
    </xf>
    <xf numFmtId="0" fontId="2" fillId="2" borderId="11" xfId="2" applyFont="1" applyFill="1" applyBorder="1" applyAlignment="1"/>
    <xf numFmtId="3" fontId="2" fillId="3" borderId="12" xfId="2" applyNumberFormat="1" applyFont="1" applyFill="1" applyBorder="1" applyAlignment="1"/>
    <xf numFmtId="0" fontId="2" fillId="2" borderId="11" xfId="2" applyFont="1" applyFill="1" applyBorder="1" applyAlignment="1">
      <alignment horizontal="left"/>
    </xf>
    <xf numFmtId="0" fontId="7" fillId="4" borderId="24" xfId="2" applyFont="1" applyFill="1" applyBorder="1" applyAlignment="1">
      <alignment horizontal="center"/>
    </xf>
    <xf numFmtId="3" fontId="2" fillId="0" borderId="12" xfId="2" applyNumberFormat="1" applyFont="1" applyBorder="1" applyAlignment="1">
      <alignment horizontal="right"/>
    </xf>
    <xf numFmtId="0" fontId="2" fillId="0" borderId="0" xfId="2" applyFont="1"/>
    <xf numFmtId="0" fontId="2" fillId="0" borderId="0" xfId="2" applyFont="1" applyAlignment="1">
      <alignment horizontal="center" wrapText="1"/>
    </xf>
    <xf numFmtId="0" fontId="2" fillId="0" borderId="0" xfId="2" applyFont="1" applyFill="1" applyAlignment="1">
      <alignment horizontal="center"/>
    </xf>
    <xf numFmtId="0" fontId="2" fillId="2" borderId="6" xfId="2" quotePrefix="1" applyFont="1" applyFill="1" applyBorder="1" applyAlignment="1">
      <alignment horizontal="center"/>
    </xf>
    <xf numFmtId="0" fontId="2" fillId="2" borderId="7" xfId="2" quotePrefix="1" applyFont="1" applyFill="1" applyBorder="1" applyAlignment="1">
      <alignment horizontal="center"/>
    </xf>
    <xf numFmtId="0" fontId="2" fillId="0" borderId="8" xfId="2" quotePrefix="1" applyFont="1" applyFill="1" applyBorder="1" applyAlignment="1">
      <alignment horizontal="center"/>
    </xf>
    <xf numFmtId="0" fontId="1" fillId="2" borderId="9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center"/>
    </xf>
    <xf numFmtId="0" fontId="1" fillId="0" borderId="10" xfId="2" applyFont="1" applyFill="1" applyBorder="1" applyAlignment="1">
      <alignment horizontal="center"/>
    </xf>
    <xf numFmtId="0" fontId="2" fillId="2" borderId="9" xfId="2" applyFont="1" applyFill="1" applyBorder="1"/>
    <xf numFmtId="0" fontId="2" fillId="2" borderId="0" xfId="2" applyFont="1" applyFill="1" applyBorder="1"/>
    <xf numFmtId="0" fontId="2" fillId="2" borderId="0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/>
    </xf>
    <xf numFmtId="0" fontId="3" fillId="2" borderId="0" xfId="2" quotePrefix="1" applyFont="1" applyFill="1" applyBorder="1" applyAlignment="1">
      <alignment horizontal="center"/>
    </xf>
    <xf numFmtId="0" fontId="3" fillId="0" borderId="10" xfId="2" quotePrefix="1" applyFont="1" applyFill="1" applyBorder="1" applyAlignment="1">
      <alignment horizontal="center"/>
    </xf>
    <xf numFmtId="0" fontId="4" fillId="0" borderId="9" xfId="2" quotePrefix="1" applyFont="1" applyBorder="1" applyAlignment="1">
      <alignment horizontal="center"/>
    </xf>
    <xf numFmtId="0" fontId="4" fillId="0" borderId="0" xfId="2" quotePrefix="1" applyFont="1" applyBorder="1" applyAlignment="1">
      <alignment horizontal="right"/>
    </xf>
    <xf numFmtId="0" fontId="4" fillId="0" borderId="10" xfId="2" quotePrefix="1" applyFont="1" applyFill="1" applyBorder="1" applyAlignment="1">
      <alignment horizontal="right"/>
    </xf>
    <xf numFmtId="0" fontId="3" fillId="0" borderId="18" xfId="2" quotePrefix="1" applyFont="1" applyBorder="1" applyAlignment="1">
      <alignment horizontal="center"/>
    </xf>
    <xf numFmtId="41" fontId="3" fillId="0" borderId="2" xfId="2" applyNumberFormat="1" applyFont="1" applyFill="1" applyBorder="1" applyAlignment="1">
      <alignment horizontal="right"/>
    </xf>
    <xf numFmtId="10" fontId="3" fillId="0" borderId="2" xfId="2" applyNumberFormat="1" applyFont="1" applyBorder="1" applyAlignment="1">
      <alignment horizontal="right"/>
    </xf>
    <xf numFmtId="37" fontId="3" fillId="0" borderId="2" xfId="2" applyNumberFormat="1" applyFont="1" applyBorder="1" applyAlignment="1">
      <alignment horizontal="right"/>
    </xf>
    <xf numFmtId="37" fontId="3" fillId="0" borderId="13" xfId="2" applyNumberFormat="1" applyFont="1" applyFill="1" applyBorder="1" applyAlignment="1">
      <alignment horizontal="right"/>
    </xf>
    <xf numFmtId="0" fontId="3" fillId="0" borderId="18" xfId="2" applyFont="1" applyBorder="1" applyAlignment="1">
      <alignment horizontal="center"/>
    </xf>
    <xf numFmtId="0" fontId="4" fillId="0" borderId="0" xfId="2" quotePrefix="1" applyFont="1" applyFill="1" applyBorder="1" applyAlignment="1">
      <alignment horizontal="right"/>
    </xf>
    <xf numFmtId="0" fontId="3" fillId="0" borderId="9" xfId="2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0" xfId="2" quotePrefix="1" applyNumberFormat="1" applyFont="1" applyBorder="1" applyAlignment="1">
      <alignment horizontal="right"/>
    </xf>
    <xf numFmtId="3" fontId="3" fillId="0" borderId="10" xfId="2" applyNumberFormat="1" applyFont="1" applyFill="1" applyBorder="1" applyAlignment="1">
      <alignment horizontal="right"/>
    </xf>
    <xf numFmtId="0" fontId="3" fillId="0" borderId="11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24" xfId="2" applyFont="1" applyFill="1" applyBorder="1" applyAlignment="1">
      <alignment horizontal="center"/>
    </xf>
    <xf numFmtId="3" fontId="3" fillId="0" borderId="24" xfId="2" applyNumberFormat="1" applyFont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3" fillId="0" borderId="19" xfId="2" applyFont="1" applyBorder="1" applyAlignment="1">
      <alignment horizontal="center"/>
    </xf>
    <xf numFmtId="41" fontId="3" fillId="0" borderId="17" xfId="2" applyNumberFormat="1" applyFont="1" applyFill="1" applyBorder="1" applyAlignment="1">
      <alignment horizontal="right"/>
    </xf>
    <xf numFmtId="3" fontId="3" fillId="0" borderId="17" xfId="2" applyNumberFormat="1" applyFont="1" applyBorder="1" applyAlignment="1">
      <alignment horizontal="right"/>
    </xf>
    <xf numFmtId="10" fontId="3" fillId="0" borderId="17" xfId="2" applyNumberFormat="1" applyFont="1" applyBorder="1" applyAlignment="1">
      <alignment horizontal="right"/>
    </xf>
    <xf numFmtId="37" fontId="3" fillId="0" borderId="17" xfId="2" applyNumberFormat="1" applyFont="1" applyBorder="1" applyAlignment="1">
      <alignment horizontal="right"/>
    </xf>
    <xf numFmtId="37" fontId="3" fillId="0" borderId="20" xfId="2" applyNumberFormat="1" applyFont="1" applyFill="1" applyBorder="1" applyAlignment="1">
      <alignment horizontal="right"/>
    </xf>
    <xf numFmtId="3" fontId="3" fillId="0" borderId="2" xfId="2" applyNumberFormat="1" applyFont="1" applyBorder="1" applyAlignment="1">
      <alignment horizontal="right"/>
    </xf>
    <xf numFmtId="37" fontId="3" fillId="0" borderId="22" xfId="2" applyNumberFormat="1" applyFont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Border="1" applyAlignment="1">
      <alignment horizontal="right"/>
    </xf>
    <xf numFmtId="0" fontId="3" fillId="0" borderId="9" xfId="2" quotePrefix="1" applyFont="1" applyBorder="1" applyAlignment="1">
      <alignment horizontal="center"/>
    </xf>
    <xf numFmtId="0" fontId="3" fillId="0" borderId="0" xfId="2" quotePrefix="1" applyFont="1" applyBorder="1" applyAlignment="1">
      <alignment horizontal="center"/>
    </xf>
    <xf numFmtId="0" fontId="3" fillId="0" borderId="10" xfId="2" quotePrefix="1" applyFont="1" applyBorder="1" applyAlignment="1">
      <alignment horizontal="center"/>
    </xf>
    <xf numFmtId="37" fontId="3" fillId="0" borderId="0" xfId="2" applyNumberFormat="1" applyFont="1" applyBorder="1" applyAlignment="1">
      <alignment horizontal="right"/>
    </xf>
    <xf numFmtId="37" fontId="3" fillId="0" borderId="0" xfId="2" quotePrefix="1" applyNumberFormat="1" applyFont="1" applyBorder="1" applyAlignment="1">
      <alignment horizontal="right"/>
    </xf>
    <xf numFmtId="37" fontId="3" fillId="0" borderId="10" xfId="2" applyNumberFormat="1" applyFont="1" applyFill="1" applyBorder="1" applyAlignment="1">
      <alignment horizontal="right"/>
    </xf>
    <xf numFmtId="3" fontId="3" fillId="0" borderId="24" xfId="2" applyNumberFormat="1" applyFont="1" applyBorder="1" applyAlignment="1">
      <alignment horizontal="right"/>
    </xf>
    <xf numFmtId="3" fontId="3" fillId="0" borderId="24" xfId="2" quotePrefix="1" applyNumberFormat="1" applyFont="1" applyBorder="1" applyAlignment="1">
      <alignment horizontal="right"/>
    </xf>
    <xf numFmtId="3" fontId="3" fillId="0" borderId="12" xfId="2" applyNumberFormat="1" applyFont="1" applyFill="1" applyBorder="1" applyAlignment="1">
      <alignment horizontal="right"/>
    </xf>
    <xf numFmtId="173" fontId="0" fillId="0" borderId="0" xfId="0" applyNumberFormat="1" applyFill="1"/>
    <xf numFmtId="14" fontId="0" fillId="0" borderId="0" xfId="0" applyNumberFormat="1" applyFill="1"/>
    <xf numFmtId="164" fontId="0" fillId="0" borderId="0" xfId="3" applyNumberFormat="1" applyFont="1" applyFill="1"/>
    <xf numFmtId="164" fontId="0" fillId="0" borderId="0" xfId="0" applyNumberFormat="1" applyFill="1"/>
    <xf numFmtId="0" fontId="4" fillId="0" borderId="0" xfId="0" quotePrefix="1" applyFont="1" applyFill="1" applyAlignment="1">
      <alignment wrapText="1"/>
    </xf>
    <xf numFmtId="0" fontId="4" fillId="0" borderId="22" xfId="0" applyFont="1" applyFill="1" applyBorder="1" applyAlignment="1">
      <alignment horizontal="center" wrapText="1"/>
    </xf>
    <xf numFmtId="0" fontId="4" fillId="0" borderId="22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170" fontId="3" fillId="0" borderId="0" xfId="0" applyNumberFormat="1" applyFont="1" applyFill="1"/>
    <xf numFmtId="0" fontId="3" fillId="0" borderId="0" xfId="0" applyFont="1" applyFill="1" applyAlignment="1">
      <alignment horizontal="left" indent="1"/>
    </xf>
    <xf numFmtId="170" fontId="3" fillId="0" borderId="0" xfId="5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170" fontId="3" fillId="0" borderId="2" xfId="0" applyNumberFormat="1" applyFont="1" applyFill="1" applyBorder="1"/>
    <xf numFmtId="0" fontId="3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left"/>
    </xf>
    <xf numFmtId="170" fontId="3" fillId="0" borderId="2" xfId="5" applyNumberFormat="1" applyFont="1" applyFill="1" applyBorder="1"/>
    <xf numFmtId="170" fontId="3" fillId="0" borderId="5" xfId="0" applyNumberFormat="1" applyFont="1" applyFill="1" applyBorder="1"/>
    <xf numFmtId="0" fontId="3" fillId="0" borderId="22" xfId="0" applyFont="1" applyFill="1" applyBorder="1" applyAlignment="1">
      <alignment horizontal="center" wrapText="1"/>
    </xf>
    <xf numFmtId="0" fontId="3" fillId="0" borderId="22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wrapText="1"/>
    </xf>
    <xf numFmtId="0" fontId="3" fillId="0" borderId="14" xfId="0" quotePrefix="1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3" fillId="0" borderId="14" xfId="0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68" fontId="3" fillId="0" borderId="1" xfId="0" applyNumberFormat="1" applyFont="1" applyFill="1" applyBorder="1"/>
    <xf numFmtId="0" fontId="3" fillId="0" borderId="0" xfId="0" quotePrefix="1" applyFont="1" applyFill="1" applyBorder="1" applyAlignment="1">
      <alignment horizontal="left"/>
    </xf>
    <xf numFmtId="167" fontId="3" fillId="0" borderId="15" xfId="5" applyNumberFormat="1" applyFont="1" applyFill="1" applyBorder="1"/>
    <xf numFmtId="164" fontId="3" fillId="0" borderId="14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right" wrapText="1"/>
    </xf>
    <xf numFmtId="44" fontId="3" fillId="0" borderId="0" xfId="0" applyNumberFormat="1" applyFont="1" applyFill="1"/>
    <xf numFmtId="44" fontId="3" fillId="0" borderId="14" xfId="5" applyFont="1" applyFill="1" applyBorder="1"/>
    <xf numFmtId="0" fontId="3" fillId="0" borderId="0" xfId="0" quotePrefix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9" fontId="3" fillId="0" borderId="0" xfId="0" applyNumberFormat="1" applyFont="1" applyFill="1"/>
    <xf numFmtId="169" fontId="3" fillId="0" borderId="14" xfId="5" applyNumberFormat="1" applyFont="1" applyFill="1" applyBorder="1"/>
    <xf numFmtId="44" fontId="3" fillId="0" borderId="25" xfId="5" applyFont="1" applyFill="1" applyBorder="1"/>
    <xf numFmtId="0" fontId="1" fillId="0" borderId="0" xfId="0" quotePrefix="1" applyFont="1" applyFill="1" applyBorder="1" applyAlignment="1">
      <alignment horizontal="left"/>
    </xf>
    <xf numFmtId="0" fontId="2" fillId="0" borderId="6" xfId="0" applyFont="1" applyFill="1" applyBorder="1"/>
    <xf numFmtId="0" fontId="6" fillId="0" borderId="7" xfId="0" quotePrefix="1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6" fillId="0" borderId="9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centerContinuous"/>
    </xf>
    <xf numFmtId="0" fontId="6" fillId="0" borderId="0" xfId="0" quotePrefix="1" applyFont="1" applyFill="1" applyBorder="1" applyAlignment="1">
      <alignment horizontal="centerContinuous"/>
    </xf>
    <xf numFmtId="0" fontId="6" fillId="0" borderId="10" xfId="0" applyFont="1" applyFill="1" applyBorder="1" applyAlignment="1">
      <alignment horizontal="left"/>
    </xf>
    <xf numFmtId="0" fontId="2" fillId="0" borderId="9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9" xfId="0" applyFont="1" applyFill="1" applyBorder="1"/>
    <xf numFmtId="0" fontId="2" fillId="0" borderId="0" xfId="0" applyFont="1" applyFill="1" applyBorder="1" applyAlignment="1">
      <alignment horizontal="right"/>
    </xf>
    <xf numFmtId="16" fontId="2" fillId="0" borderId="0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0" fontId="2" fillId="0" borderId="22" xfId="0" applyFont="1" applyFill="1" applyBorder="1"/>
    <xf numFmtId="0" fontId="2" fillId="0" borderId="22" xfId="0" quotePrefix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12" fillId="0" borderId="0" xfId="0" applyFont="1" applyFill="1" applyBorder="1"/>
    <xf numFmtId="171" fontId="2" fillId="0" borderId="22" xfId="0" applyNumberFormat="1" applyFont="1" applyFill="1" applyBorder="1"/>
    <xf numFmtId="171" fontId="2" fillId="0" borderId="0" xfId="0" applyNumberFormat="1" applyFont="1" applyFill="1" applyBorder="1"/>
    <xf numFmtId="0" fontId="2" fillId="0" borderId="0" xfId="0" applyFont="1" applyFill="1" applyBorder="1" applyAlignment="1"/>
    <xf numFmtId="41" fontId="2" fillId="0" borderId="0" xfId="0" applyNumberFormat="1" applyFont="1" applyFill="1" applyBorder="1"/>
    <xf numFmtId="43" fontId="2" fillId="0" borderId="0" xfId="0" applyNumberFormat="1" applyFont="1" applyFill="1" applyBorder="1"/>
    <xf numFmtId="0" fontId="0" fillId="0" borderId="0" xfId="0" applyFill="1" applyBorder="1"/>
    <xf numFmtId="172" fontId="2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175" fontId="13" fillId="0" borderId="0" xfId="0" applyNumberFormat="1" applyFont="1"/>
    <xf numFmtId="0" fontId="2" fillId="0" borderId="0" xfId="0" quotePrefix="1" applyNumberFormat="1" applyFont="1" applyFill="1" applyBorder="1" applyAlignment="1">
      <alignment horizontal="left"/>
    </xf>
    <xf numFmtId="176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77" fontId="0" fillId="0" borderId="0" xfId="5" applyNumberFormat="1" applyFont="1"/>
    <xf numFmtId="164" fontId="3" fillId="0" borderId="0" xfId="4" quotePrefix="1" applyNumberFormat="1" applyFont="1" applyFill="1" applyAlignment="1">
      <alignment horizontal="left"/>
    </xf>
    <xf numFmtId="167" fontId="3" fillId="0" borderId="0" xfId="0" quotePrefix="1" applyNumberFormat="1" applyFont="1" applyFill="1" applyAlignment="1">
      <alignment horizontal="left"/>
    </xf>
    <xf numFmtId="170" fontId="0" fillId="0" borderId="0" xfId="5" applyNumberFormat="1" applyFont="1"/>
    <xf numFmtId="10" fontId="3" fillId="0" borderId="0" xfId="6" quotePrefix="1" applyNumberFormat="1" applyFont="1" applyFill="1" applyAlignment="1">
      <alignment horizontal="center"/>
    </xf>
    <xf numFmtId="164" fontId="3" fillId="0" borderId="2" xfId="4" applyNumberFormat="1" applyFont="1" applyFill="1" applyBorder="1"/>
    <xf numFmtId="167" fontId="3" fillId="0" borderId="2" xfId="0" applyNumberFormat="1" applyFont="1" applyFill="1" applyBorder="1"/>
    <xf numFmtId="10" fontId="3" fillId="0" borderId="2" xfId="6" applyNumberFormat="1" applyFont="1" applyFill="1" applyBorder="1" applyAlignment="1">
      <alignment horizontal="center"/>
    </xf>
    <xf numFmtId="164" fontId="3" fillId="0" borderId="0" xfId="4" applyNumberFormat="1" applyFont="1" applyFill="1" applyBorder="1"/>
    <xf numFmtId="167" fontId="3" fillId="0" borderId="0" xfId="0" applyNumberFormat="1" applyFont="1" applyFill="1" applyBorder="1"/>
    <xf numFmtId="170" fontId="3" fillId="0" borderId="0" xfId="0" applyNumberFormat="1" applyFont="1" applyFill="1" applyBorder="1"/>
    <xf numFmtId="10" fontId="3" fillId="0" borderId="0" xfId="6" applyNumberFormat="1" applyFont="1" applyFill="1" applyBorder="1" applyAlignment="1">
      <alignment horizontal="center"/>
    </xf>
    <xf numFmtId="164" fontId="3" fillId="0" borderId="0" xfId="4" applyNumberFormat="1" applyFont="1" applyFill="1"/>
    <xf numFmtId="10" fontId="3" fillId="0" borderId="0" xfId="6" applyNumberFormat="1" applyFont="1" applyFill="1" applyAlignment="1">
      <alignment horizontal="center"/>
    </xf>
    <xf numFmtId="164" fontId="3" fillId="0" borderId="5" xfId="4" applyNumberFormat="1" applyFont="1" applyFill="1" applyBorder="1"/>
    <xf numFmtId="167" fontId="3" fillId="0" borderId="5" xfId="0" applyNumberFormat="1" applyFont="1" applyFill="1" applyBorder="1"/>
    <xf numFmtId="10" fontId="3" fillId="0" borderId="5" xfId="6" applyNumberFormat="1" applyFont="1" applyFill="1" applyBorder="1" applyAlignment="1">
      <alignment horizontal="center"/>
    </xf>
    <xf numFmtId="178" fontId="0" fillId="0" borderId="0" xfId="5" applyNumberFormat="1" applyFont="1"/>
    <xf numFmtId="167" fontId="0" fillId="0" borderId="0" xfId="5" applyNumberFormat="1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170" fontId="2" fillId="0" borderId="10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quotePrefix="1" applyFont="1" applyFill="1" applyBorder="1" applyAlignment="1">
      <alignment horizontal="center"/>
    </xf>
    <xf numFmtId="44" fontId="3" fillId="0" borderId="0" xfId="5" applyFont="1" applyFill="1"/>
    <xf numFmtId="0" fontId="2" fillId="0" borderId="1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quotePrefix="1" applyFont="1" applyFill="1" applyBorder="1" applyAlignment="1">
      <alignment horizontal="center" wrapText="1"/>
    </xf>
    <xf numFmtId="164" fontId="2" fillId="0" borderId="4" xfId="0" quotePrefix="1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/>
    </xf>
    <xf numFmtId="168" fontId="3" fillId="0" borderId="14" xfId="0" applyNumberFormat="1" applyFont="1" applyFill="1" applyBorder="1" applyAlignment="1">
      <alignment horizontal="center"/>
    </xf>
    <xf numFmtId="41" fontId="3" fillId="0" borderId="15" xfId="0" applyNumberFormat="1" applyFont="1" applyFill="1" applyBorder="1"/>
    <xf numFmtId="0" fontId="3" fillId="0" borderId="16" xfId="0" applyFont="1" applyFill="1" applyBorder="1"/>
    <xf numFmtId="169" fontId="3" fillId="0" borderId="0" xfId="5" applyNumberFormat="1" applyFont="1" applyFill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66" fontId="2" fillId="0" borderId="0" xfId="0" quotePrefix="1" applyNumberFormat="1" applyFont="1" applyBorder="1" applyAlignment="1">
      <alignment horizontal="left"/>
    </xf>
    <xf numFmtId="0" fontId="3" fillId="0" borderId="0" xfId="0" quotePrefix="1" applyFont="1" applyFill="1" applyBorder="1" applyAlignment="1">
      <alignment horizontal="left" wrapText="1"/>
    </xf>
    <xf numFmtId="0" fontId="14" fillId="0" borderId="0" xfId="0" quotePrefix="1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7" xfId="0" quotePrefix="1" applyNumberFormat="1" applyFont="1" applyFill="1" applyBorder="1" applyAlignment="1">
      <alignment horizontal="center" vertical="top" wrapText="1"/>
    </xf>
    <xf numFmtId="0" fontId="2" fillId="0" borderId="7" xfId="0" quotePrefix="1" applyFont="1" applyFill="1" applyBorder="1" applyAlignment="1">
      <alignment horizontal="center" vertical="top" wrapText="1"/>
    </xf>
    <xf numFmtId="0" fontId="2" fillId="0" borderId="8" xfId="0" quotePrefix="1" applyFont="1" applyFill="1" applyBorder="1" applyAlignment="1">
      <alignment horizontal="center" vertical="top" wrapText="1"/>
    </xf>
    <xf numFmtId="9" fontId="2" fillId="0" borderId="0" xfId="8" applyFont="1" applyFill="1" applyBorder="1" applyAlignment="1">
      <alignment horizontal="center" wrapText="1"/>
    </xf>
    <xf numFmtId="0" fontId="15" fillId="0" borderId="0" xfId="0" applyFont="1" applyFill="1" applyAlignment="1">
      <alignment horizontal="right"/>
    </xf>
    <xf numFmtId="174" fontId="2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44" fontId="2" fillId="0" borderId="0" xfId="0" applyNumberFormat="1" applyFont="1"/>
    <xf numFmtId="167" fontId="2" fillId="5" borderId="3" xfId="0" applyNumberFormat="1" applyFont="1" applyFill="1" applyBorder="1"/>
    <xf numFmtId="167" fontId="2" fillId="6" borderId="28" xfId="0" applyNumberFormat="1" applyFont="1" applyFill="1" applyBorder="1"/>
    <xf numFmtId="165" fontId="2" fillId="0" borderId="0" xfId="0" applyNumberFormat="1" applyFont="1" applyFill="1"/>
    <xf numFmtId="168" fontId="2" fillId="0" borderId="0" xfId="0" applyNumberFormat="1" applyFont="1" applyFill="1"/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2" fillId="7" borderId="28" xfId="0" applyNumberFormat="1" applyFont="1" applyFill="1" applyBorder="1"/>
    <xf numFmtId="0" fontId="2" fillId="0" borderId="11" xfId="0" quotePrefix="1" applyFont="1" applyFill="1" applyBorder="1" applyAlignment="1">
      <alignment horizontal="left"/>
    </xf>
    <xf numFmtId="0" fontId="2" fillId="0" borderId="24" xfId="0" quotePrefix="1" applyFont="1" applyFill="1" applyBorder="1" applyAlignment="1">
      <alignment horizontal="left"/>
    </xf>
    <xf numFmtId="0" fontId="2" fillId="0" borderId="12" xfId="0" quotePrefix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0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quotePrefix="1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12" fillId="0" borderId="12" xfId="0" quotePrefix="1" applyFont="1" applyFill="1" applyBorder="1" applyAlignment="1">
      <alignment horizontal="center" wrapText="1"/>
    </xf>
    <xf numFmtId="0" fontId="17" fillId="0" borderId="26" xfId="0" quotePrefix="1" applyFont="1" applyFill="1" applyBorder="1" applyAlignment="1">
      <alignment horizontal="center" wrapText="1"/>
    </xf>
    <xf numFmtId="164" fontId="2" fillId="0" borderId="0" xfId="7" applyNumberFormat="1" applyFont="1" applyFill="1" applyBorder="1"/>
  </cellXfs>
  <cellStyles count="9">
    <cellStyle name="Comma" xfId="7" builtinId="3"/>
    <cellStyle name="Comma 10" xfId="4"/>
    <cellStyle name="Comma 2" xfId="3"/>
    <cellStyle name="Currency 2 12" xfId="5"/>
    <cellStyle name="Normal" xfId="0" builtinId="0"/>
    <cellStyle name="Normal 2" xfId="1"/>
    <cellStyle name="Normal_Energy and Demand Allocations_TYE 09-30-2003_WEATHER ADJUSTEDV5" xfId="2"/>
    <cellStyle name="Percent" xfId="8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84" Type="http://schemas.openxmlformats.org/officeDocument/2006/relationships/customXml" Target="../customXml/item4.xml"/><Relationship Id="rId16" Type="http://schemas.openxmlformats.org/officeDocument/2006/relationships/externalLink" Target="externalLinks/externalLink8.xml"/><Relationship Id="rId11" Type="http://schemas.openxmlformats.org/officeDocument/2006/relationships/externalLink" Target="externalLinks/externalLink3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66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customXml" Target="../customXml/item2.xml"/><Relationship Id="rId19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9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66" Type="http://schemas.openxmlformats.org/officeDocument/2006/relationships/externalLink" Target="externalLinks/externalLink5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9525</xdr:rowOff>
    </xdr:from>
    <xdr:to>
      <xdr:col>7</xdr:col>
      <xdr:colOff>495300</xdr:colOff>
      <xdr:row>39</xdr:row>
      <xdr:rowOff>151334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00675"/>
          <a:ext cx="6905625" cy="20849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Jun_30_01/Proforma%20Adj_not%20use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.00-PCORC-MODEL-SUPPLEMENTAL-20PCORC-2-2021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8.00-RATE-IMPACTS-20PCORC-12-20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4.00-PROD-ADJ-20PCORC-12-2020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-5.00-SCH139-20PCORC-12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24">
          <cell r="F24">
            <v>8.7599999999999997E-2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Deficiency"/>
      <sheetName val="SEF-15 Summary"/>
      <sheetName val="SEF-15 Adjustments"/>
      <sheetName val="SEF-16 2020 PCORC A-1"/>
      <sheetName val="SEF-17 A-1 Compare"/>
      <sheetName val="2019 GRC A-1 UE-200907"/>
      <sheetName val="ROR"/>
      <sheetName val="Name Ranges"/>
      <sheetName val="Recon"/>
      <sheetName val="Recon Depr"/>
      <sheetName val="ARC Dep-ARO Accr"/>
      <sheetName val="Col Depr Adj"/>
      <sheetName val="Col Acq Adj"/>
      <sheetName val="Prod Rel GP"/>
      <sheetName val="Reconcile PKW to A-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F36">
            <v>430163067.21888351</v>
          </cell>
          <cell r="G36">
            <v>767399398.37583029</v>
          </cell>
        </row>
        <row r="37">
          <cell r="C37">
            <v>0.95111500000000004</v>
          </cell>
        </row>
        <row r="46">
          <cell r="D46">
            <v>40.986635557710116</v>
          </cell>
        </row>
      </sheetData>
      <sheetData sheetId="5" refreshError="1"/>
      <sheetData sheetId="6">
        <row r="36">
          <cell r="F36">
            <v>455200098.46092093</v>
          </cell>
          <cell r="G36">
            <v>713651643.97173285</v>
          </cell>
        </row>
        <row r="37">
          <cell r="C37">
            <v>0.95111500000000004</v>
          </cell>
        </row>
        <row r="39">
          <cell r="C39">
            <v>20535748.503355935</v>
          </cell>
        </row>
        <row r="46">
          <cell r="D46">
            <v>36.539000000000001</v>
          </cell>
        </row>
      </sheetData>
      <sheetData sheetId="7" refreshError="1"/>
      <sheetData sheetId="8">
        <row r="3">
          <cell r="B3" t="str">
            <v>TEST YEAR 12 MONTHS ENDED JUNE 30, 2020</v>
          </cell>
        </row>
        <row r="4">
          <cell r="B4" t="str">
            <v>RATE YEAR 12 MONTHS ENDED MAY 31, 2022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8 p1-2 (Rate Impacts)"/>
      <sheetName val="Exh BDJ-8 p3 (Typ Res Bill)"/>
      <sheetName val="Controls"/>
      <sheetName val="Schedule_RateImpacts"/>
      <sheetName val="Forecast-&gt;"/>
      <sheetName val="TY June 2020 Proforma Rev"/>
      <sheetName val="F2020 Sch Level Delivered Load"/>
      <sheetName val="F2020 Customers"/>
      <sheetName val="Rider Revenue Impacts-&gt;"/>
      <sheetName val="Sch 95"/>
      <sheetName val="Sch 95a"/>
      <sheetName val="Sch 120"/>
      <sheetName val="Sch 129"/>
      <sheetName val="Sch 137"/>
      <sheetName val="Sch 139"/>
      <sheetName val="Sch 140"/>
      <sheetName val="Sch 141X"/>
      <sheetName val="Sch 141Y"/>
      <sheetName val="Sch 141Z"/>
      <sheetName val="Sch 142 Deferral"/>
      <sheetName val="Sch 194"/>
      <sheetName val="Compliance Eff 7-1-21=&gt;"/>
      <sheetName val="UE-200980 Sch 95 PCORC Complian"/>
      <sheetName val="Compliance Filings-&gt;"/>
      <sheetName val="UE-200893 Sch 95 Eff 12-01-2020"/>
      <sheetName val="UE-200897 Sch 95A"/>
      <sheetName val="UE-210140 Sch 120"/>
      <sheetName val="UE-200770 Sch 129"/>
      <sheetName val="UE-200967 Sch 137"/>
      <sheetName val="UE-210217 Sch 140"/>
      <sheetName val="UE-180899 141X"/>
      <sheetName val="UE-190529 Sch 141X &amp; 141Z"/>
      <sheetName val="UE-200661 Sch 141Y"/>
      <sheetName val="UE-190529-210214 Sch 142"/>
      <sheetName val="UE-190753 Sch 194"/>
    </sheetNames>
    <sheetDataSet>
      <sheetData sheetId="0">
        <row r="8">
          <cell r="C8">
            <v>10863043096.272161</v>
          </cell>
        </row>
        <row r="11">
          <cell r="C11">
            <v>2586338527.0017586</v>
          </cell>
        </row>
        <row r="12">
          <cell r="C12">
            <v>2884671453.8191686</v>
          </cell>
        </row>
        <row r="13">
          <cell r="C13">
            <v>1841173274.7668719</v>
          </cell>
        </row>
        <row r="14">
          <cell r="C14">
            <v>11424740.434375001</v>
          </cell>
        </row>
        <row r="17">
          <cell r="C17">
            <v>1335654341.1168144</v>
          </cell>
        </row>
        <row r="18">
          <cell r="C18">
            <v>5945040</v>
          </cell>
        </row>
        <row r="19">
          <cell r="C19">
            <v>116280759.88464826</v>
          </cell>
        </row>
        <row r="22">
          <cell r="C22">
            <v>81635228</v>
          </cell>
        </row>
        <row r="23">
          <cell r="C23">
            <v>563071445.51999998</v>
          </cell>
        </row>
        <row r="26">
          <cell r="C26">
            <v>68936797.67750001</v>
          </cell>
        </row>
        <row r="27">
          <cell r="C27">
            <v>1993508561.5469999</v>
          </cell>
        </row>
        <row r="28">
          <cell r="C28">
            <v>303234527.03700018</v>
          </cell>
        </row>
        <row r="32">
          <cell r="C32">
            <v>7369853.2214806583</v>
          </cell>
        </row>
        <row r="34">
          <cell r="R34">
            <v>2146017976.4585011</v>
          </cell>
        </row>
        <row r="40">
          <cell r="X40">
            <v>3580506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Factor===&gt;"/>
      <sheetName val="Exh BDJ-4 p1 (Prod Factor)"/>
      <sheetName val="GPI (F2020)"/>
      <sheetName val="Temperature Adjust Excl 139"/>
      <sheetName val="Schedule 139 Load"/>
      <sheetName val="UE-190529 LR - Energy"/>
    </sheetNames>
    <sheetDataSet>
      <sheetData sheetId="0"/>
      <sheetData sheetId="1">
        <row r="6">
          <cell r="G6">
            <v>22535857020.00946</v>
          </cell>
        </row>
        <row r="10">
          <cell r="I10">
            <v>20365544557.714779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BDJ-5 p1"/>
      <sheetName val="WP====&gt;"/>
      <sheetName val="Sch 139 Eff 7-1-2021"/>
      <sheetName val="Sch 139 Eff 1-1-2021"/>
      <sheetName val="Sch 139 Eff 10-15-2020"/>
      <sheetName val="Temp Adj Diff"/>
      <sheetName val="Sch 139 Credit Calculation"/>
    </sheetNames>
    <sheetDataSet>
      <sheetData sheetId="0" refreshError="1"/>
      <sheetData sheetId="1" refreshError="1"/>
      <sheetData sheetId="2">
        <row r="47">
          <cell r="K47">
            <v>-26942538.304544248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2"/>
  <sheetViews>
    <sheetView tabSelected="1" zoomScale="90" zoomScaleNormal="90"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 activeCell="R15" sqref="R15"/>
    </sheetView>
  </sheetViews>
  <sheetFormatPr defaultColWidth="9.140625" defaultRowHeight="12.75" x14ac:dyDescent="0.2"/>
  <cols>
    <col min="1" max="1" width="7.140625" style="17" customWidth="1"/>
    <col min="2" max="2" width="39.5703125" style="17" bestFit="1" customWidth="1"/>
    <col min="3" max="3" width="14.42578125" style="17" bestFit="1" customWidth="1"/>
    <col min="4" max="4" width="16.140625" style="14" bestFit="1" customWidth="1"/>
    <col min="5" max="5" width="10.5703125" style="17" bestFit="1" customWidth="1"/>
    <col min="6" max="6" width="11.28515625" style="14" bestFit="1" customWidth="1"/>
    <col min="7" max="7" width="11.42578125" style="17" bestFit="1" customWidth="1"/>
    <col min="8" max="8" width="11.5703125" style="17" customWidth="1"/>
    <col min="9" max="10" width="15.140625" style="17" bestFit="1" customWidth="1"/>
    <col min="11" max="11" width="18.5703125" style="17" bestFit="1" customWidth="1"/>
    <col min="12" max="12" width="11.5703125" style="17" bestFit="1" customWidth="1"/>
    <col min="13" max="13" width="4.28515625" style="17" customWidth="1"/>
    <col min="14" max="14" width="14.85546875" style="17" bestFit="1" customWidth="1"/>
    <col min="15" max="15" width="19.7109375" style="17" customWidth="1"/>
    <col min="16" max="16" width="13.85546875" style="17" bestFit="1" customWidth="1"/>
    <col min="17" max="17" width="8.42578125" style="17" bestFit="1" customWidth="1"/>
    <col min="18" max="16384" width="9.140625" style="17"/>
  </cols>
  <sheetData>
    <row r="1" spans="1:15" x14ac:dyDescent="0.2">
      <c r="A1" s="274" t="s">
        <v>15</v>
      </c>
      <c r="B1" s="275"/>
      <c r="C1" s="275"/>
      <c r="D1" s="276"/>
      <c r="E1" s="276"/>
      <c r="F1" s="276"/>
      <c r="G1" s="276"/>
      <c r="H1" s="276"/>
      <c r="I1" s="276"/>
      <c r="J1" s="276"/>
      <c r="K1" s="276"/>
      <c r="L1" s="277"/>
    </row>
    <row r="2" spans="1:15" x14ac:dyDescent="0.2">
      <c r="A2" s="294" t="s">
        <v>306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9"/>
    </row>
    <row r="3" spans="1:15" s="9" customFormat="1" ht="13.5" customHeight="1" x14ac:dyDescent="0.2">
      <c r="A3" s="174"/>
      <c r="B3" s="176"/>
      <c r="C3" s="181"/>
      <c r="D3" s="22"/>
      <c r="E3" s="176"/>
      <c r="F3" s="22"/>
      <c r="G3" s="176"/>
      <c r="H3" s="176"/>
      <c r="I3" s="176"/>
      <c r="J3" s="176"/>
      <c r="K3" s="176"/>
      <c r="L3" s="177"/>
    </row>
    <row r="4" spans="1:15" s="9" customFormat="1" ht="80.25" customHeight="1" thickBot="1" x14ac:dyDescent="0.25">
      <c r="A4" s="234" t="s">
        <v>24</v>
      </c>
      <c r="B4" s="235" t="s">
        <v>11</v>
      </c>
      <c r="C4" s="236" t="s">
        <v>87</v>
      </c>
      <c r="D4" s="237" t="s">
        <v>135</v>
      </c>
      <c r="E4" s="237" t="s">
        <v>137</v>
      </c>
      <c r="F4" s="237" t="s">
        <v>136</v>
      </c>
      <c r="G4" s="237" t="s">
        <v>138</v>
      </c>
      <c r="H4" s="235" t="s">
        <v>12</v>
      </c>
      <c r="I4" s="236" t="s">
        <v>242</v>
      </c>
      <c r="J4" s="236" t="s">
        <v>171</v>
      </c>
      <c r="K4" s="237" t="s">
        <v>270</v>
      </c>
      <c r="L4" s="295" t="s">
        <v>307</v>
      </c>
      <c r="N4" s="250" t="s">
        <v>259</v>
      </c>
    </row>
    <row r="5" spans="1:15" s="9" customFormat="1" ht="25.5" x14ac:dyDescent="0.2">
      <c r="A5" s="251"/>
      <c r="B5" s="252"/>
      <c r="C5" s="252"/>
      <c r="D5" s="253" t="s">
        <v>20</v>
      </c>
      <c r="E5" s="254" t="s">
        <v>142</v>
      </c>
      <c r="F5" s="253" t="s">
        <v>21</v>
      </c>
      <c r="G5" s="254" t="s">
        <v>143</v>
      </c>
      <c r="H5" s="252" t="s">
        <v>23</v>
      </c>
      <c r="I5" s="252" t="s">
        <v>88</v>
      </c>
      <c r="J5" s="255" t="s">
        <v>89</v>
      </c>
      <c r="K5" s="252" t="s">
        <v>22</v>
      </c>
      <c r="L5" s="256" t="s">
        <v>94</v>
      </c>
    </row>
    <row r="6" spans="1:15" s="9" customFormat="1" x14ac:dyDescent="0.2">
      <c r="A6" s="238"/>
      <c r="B6" s="7"/>
      <c r="C6" s="7"/>
      <c r="D6" s="257"/>
      <c r="E6" s="21"/>
      <c r="F6" s="6"/>
      <c r="G6" s="257"/>
      <c r="H6" s="7"/>
      <c r="I6" s="7"/>
      <c r="J6" s="7"/>
      <c r="K6" s="7"/>
      <c r="L6" s="228"/>
    </row>
    <row r="7" spans="1:15" x14ac:dyDescent="0.2">
      <c r="A7" s="244">
        <v>1</v>
      </c>
      <c r="B7" s="176" t="s">
        <v>0</v>
      </c>
      <c r="C7" s="245">
        <v>7</v>
      </c>
      <c r="D7" s="22">
        <f>+'UE-190529 Load Research '!D9</f>
        <v>11476152247.161776</v>
      </c>
      <c r="E7" s="8">
        <f t="shared" ref="E7:E14" si="0">+D7/D$23*ROUND(0.75,2)</f>
        <v>0.39072264776300736</v>
      </c>
      <c r="F7" s="22">
        <f>+'UE-190529 Load Research '!F9</f>
        <v>2236474.2253660602</v>
      </c>
      <c r="G7" s="8">
        <f t="shared" ref="G7:G14" si="1">+F7/F$23*ROUND(0.25,2)</f>
        <v>0.14418129406223315</v>
      </c>
      <c r="H7" s="8">
        <f t="shared" ref="H7:H12" si="2">+G7+E7</f>
        <v>0.53490394182524048</v>
      </c>
      <c r="I7" s="8"/>
      <c r="J7" s="19">
        <f t="shared" ref="J7:J14" si="3">+H7*($I$23)</f>
        <v>36002805.08345256</v>
      </c>
      <c r="K7" s="297">
        <f>+'[66]Exh BDJ-8 p1-2 (Rate Impacts)'!$C$8</f>
        <v>10863043096.272161</v>
      </c>
      <c r="L7" s="229">
        <f>+J7/K7</f>
        <v>3.3142467321893932E-3</v>
      </c>
      <c r="N7" s="3" t="s">
        <v>260</v>
      </c>
      <c r="O7" s="2"/>
    </row>
    <row r="8" spans="1:15" x14ac:dyDescent="0.2">
      <c r="A8" s="244">
        <f t="shared" ref="A8:A28" si="4">+A7+1</f>
        <v>2</v>
      </c>
      <c r="B8" s="247" t="s">
        <v>1</v>
      </c>
      <c r="C8" s="245" t="s">
        <v>90</v>
      </c>
      <c r="D8" s="22">
        <f>+'UE-190529 Load Research '!C10</f>
        <v>2915955626.4103169</v>
      </c>
      <c r="E8" s="8">
        <f t="shared" si="0"/>
        <v>9.927804011072186E-2</v>
      </c>
      <c r="F8" s="22">
        <f>+'UE-190529 Load Research '!F10</f>
        <v>515625.82524854271</v>
      </c>
      <c r="G8" s="8">
        <f t="shared" si="1"/>
        <v>3.3241428804784645E-2</v>
      </c>
      <c r="H8" s="8">
        <f t="shared" si="2"/>
        <v>0.13251946891550651</v>
      </c>
      <c r="I8" s="8"/>
      <c r="J8" s="19">
        <f t="shared" si="3"/>
        <v>8919494.2045994457</v>
      </c>
      <c r="K8" s="297">
        <f>+'[66]Exh BDJ-8 p1-2 (Rate Impacts)'!$C$11</f>
        <v>2586338527.0017586</v>
      </c>
      <c r="L8" s="229">
        <f t="shared" ref="L8:L23" si="5">+J8/K8</f>
        <v>3.4486955638168013E-3</v>
      </c>
      <c r="N8" s="3" t="str">
        <f>+$N$7</f>
        <v>Sheet No. 95</v>
      </c>
    </row>
    <row r="9" spans="1:15" x14ac:dyDescent="0.2">
      <c r="A9" s="244">
        <f t="shared" si="4"/>
        <v>3</v>
      </c>
      <c r="B9" s="176" t="s">
        <v>2</v>
      </c>
      <c r="C9" s="245" t="s">
        <v>91</v>
      </c>
      <c r="D9" s="22">
        <f>+'UE-190529 Load Research '!C11-D11</f>
        <v>3225522141.4879136</v>
      </c>
      <c r="E9" s="8">
        <f t="shared" si="0"/>
        <v>0.10981769188815443</v>
      </c>
      <c r="F9" s="22">
        <f>+'UE-190529 Load Research '!F11-F11</f>
        <v>551432.84077501134</v>
      </c>
      <c r="G9" s="8">
        <f t="shared" si="1"/>
        <v>3.5549839863833498E-2</v>
      </c>
      <c r="H9" s="8">
        <f t="shared" si="2"/>
        <v>0.14536753175198794</v>
      </c>
      <c r="I9" s="8"/>
      <c r="J9" s="19">
        <f t="shared" si="3"/>
        <v>9784259.3817327227</v>
      </c>
      <c r="K9" s="297">
        <f>+'[66]Exh BDJ-8 p1-2 (Rate Impacts)'!$C$12</f>
        <v>2884671453.8191686</v>
      </c>
      <c r="L9" s="229">
        <f t="shared" si="5"/>
        <v>3.391810657944712E-3</v>
      </c>
      <c r="N9" s="3" t="str">
        <f t="shared" ref="N9:N14" si="6">+$N$7</f>
        <v>Sheet No. 95</v>
      </c>
    </row>
    <row r="10" spans="1:15" x14ac:dyDescent="0.2">
      <c r="A10" s="244">
        <f t="shared" si="4"/>
        <v>4</v>
      </c>
      <c r="B10" s="176" t="s">
        <v>3</v>
      </c>
      <c r="C10" s="245" t="s">
        <v>92</v>
      </c>
      <c r="D10" s="22">
        <f>+'UE-190529 Load Research '!C12</f>
        <v>2092770306.5275679</v>
      </c>
      <c r="E10" s="8">
        <f t="shared" si="0"/>
        <v>7.1251473291362041E-2</v>
      </c>
      <c r="F10" s="22">
        <f>+'UE-190529 Load Research '!F12</f>
        <v>289974.91765494185</v>
      </c>
      <c r="G10" s="8">
        <f t="shared" si="1"/>
        <v>1.8694138478719036E-2</v>
      </c>
      <c r="H10" s="8">
        <f t="shared" si="2"/>
        <v>8.9945611770081077E-2</v>
      </c>
      <c r="I10" s="8"/>
      <c r="J10" s="19">
        <f t="shared" si="3"/>
        <v>6053973.5744331367</v>
      </c>
      <c r="K10" s="297">
        <f>+'[66]Exh BDJ-8 p1-2 (Rate Impacts)'!$C$13</f>
        <v>1841173274.7668719</v>
      </c>
      <c r="L10" s="229">
        <f t="shared" si="5"/>
        <v>3.2881063707595293E-3</v>
      </c>
      <c r="N10" s="3" t="str">
        <f t="shared" si="6"/>
        <v>Sheet No. 95</v>
      </c>
    </row>
    <row r="11" spans="1:15" x14ac:dyDescent="0.2">
      <c r="A11" s="244">
        <f t="shared" si="4"/>
        <v>5</v>
      </c>
      <c r="B11" s="176" t="s">
        <v>4</v>
      </c>
      <c r="C11" s="245">
        <v>29</v>
      </c>
      <c r="D11" s="22">
        <f>+'UE-190529 LR - Energy'!J26</f>
        <v>17243818.472518876</v>
      </c>
      <c r="E11" s="8">
        <f t="shared" si="0"/>
        <v>5.8709141060702894E-4</v>
      </c>
      <c r="F11" s="22">
        <f>+'UE-190529 LR - Dem 4CP'!H18</f>
        <v>461.07800540214549</v>
      </c>
      <c r="G11" s="8">
        <f t="shared" si="1"/>
        <v>2.9724833279325449E-5</v>
      </c>
      <c r="H11" s="8">
        <f t="shared" si="2"/>
        <v>6.1681624388635443E-4</v>
      </c>
      <c r="I11" s="8"/>
      <c r="J11" s="19">
        <f t="shared" si="3"/>
        <v>41516.080298774628</v>
      </c>
      <c r="K11" s="297">
        <f>+'[66]Exh BDJ-8 p1-2 (Rate Impacts)'!$C$14</f>
        <v>11424740.434375001</v>
      </c>
      <c r="L11" s="229">
        <f t="shared" si="5"/>
        <v>3.6338751446693849E-3</v>
      </c>
      <c r="N11" s="3" t="str">
        <f t="shared" si="6"/>
        <v>Sheet No. 95</v>
      </c>
    </row>
    <row r="12" spans="1:15" x14ac:dyDescent="0.2">
      <c r="A12" s="244">
        <f t="shared" si="4"/>
        <v>6</v>
      </c>
      <c r="B12" s="176" t="s">
        <v>5</v>
      </c>
      <c r="C12" s="245" t="s">
        <v>93</v>
      </c>
      <c r="D12" s="22">
        <f>+'UE-190529 Load Research '!D13</f>
        <v>1456029850.0547175</v>
      </c>
      <c r="E12" s="8">
        <f t="shared" si="0"/>
        <v>4.957269875676773E-2</v>
      </c>
      <c r="F12" s="22">
        <f>+'UE-190529 Load Research '!F13</f>
        <v>204844.84270926949</v>
      </c>
      <c r="G12" s="8">
        <f t="shared" si="1"/>
        <v>1.3205962388841259E-2</v>
      </c>
      <c r="H12" s="8">
        <f t="shared" si="2"/>
        <v>6.2778661145608983E-2</v>
      </c>
      <c r="I12" s="8"/>
      <c r="J12" s="19">
        <f t="shared" si="3"/>
        <v>4225446.3351177061</v>
      </c>
      <c r="K12" s="297">
        <f>+'[66]Exh BDJ-8 p1-2 (Rate Impacts)'!$C$17</f>
        <v>1335654341.1168144</v>
      </c>
      <c r="L12" s="229">
        <f t="shared" si="5"/>
        <v>3.1635777349284674E-3</v>
      </c>
      <c r="N12" s="3" t="str">
        <f t="shared" si="6"/>
        <v>Sheet No. 95</v>
      </c>
    </row>
    <row r="13" spans="1:15" x14ac:dyDescent="0.2">
      <c r="A13" s="244">
        <f t="shared" si="4"/>
        <v>7</v>
      </c>
      <c r="B13" s="176" t="s">
        <v>6</v>
      </c>
      <c r="C13" s="245">
        <v>35</v>
      </c>
      <c r="D13" s="22">
        <f>+'UE-190529 Load Research '!D14</f>
        <v>4597572.0317007378</v>
      </c>
      <c r="E13" s="8">
        <f t="shared" si="0"/>
        <v>1.5653116818413872E-4</v>
      </c>
      <c r="F13" s="22">
        <f>+'UE-190529 Load Research '!F14</f>
        <v>7.0004300675974864</v>
      </c>
      <c r="G13" s="8">
        <f t="shared" si="1"/>
        <v>4.5130458231557189E-7</v>
      </c>
      <c r="H13" s="8">
        <f>+G13+E13</f>
        <v>1.5698247276645428E-4</v>
      </c>
      <c r="I13" s="8"/>
      <c r="J13" s="19">
        <f t="shared" si="3"/>
        <v>10566.026769672913</v>
      </c>
      <c r="K13" s="297">
        <f>+'[66]Exh BDJ-8 p1-2 (Rate Impacts)'!$C$18</f>
        <v>5945040</v>
      </c>
      <c r="L13" s="229">
        <f t="shared" si="5"/>
        <v>1.7772843865933472E-3</v>
      </c>
      <c r="N13" s="3" t="str">
        <f t="shared" si="6"/>
        <v>Sheet No. 95</v>
      </c>
    </row>
    <row r="14" spans="1:15" x14ac:dyDescent="0.2">
      <c r="A14" s="244">
        <f t="shared" si="4"/>
        <v>8</v>
      </c>
      <c r="B14" s="176" t="s">
        <v>7</v>
      </c>
      <c r="C14" s="245">
        <v>43</v>
      </c>
      <c r="D14" s="22">
        <f>+'UE-190529 Load Research '!D15</f>
        <v>126890757.18193617</v>
      </c>
      <c r="E14" s="8">
        <f t="shared" si="0"/>
        <v>4.3201842878165531E-3</v>
      </c>
      <c r="F14" s="22">
        <f>+'UE-190529 Load Research '!F15</f>
        <v>0</v>
      </c>
      <c r="G14" s="8">
        <f t="shared" si="1"/>
        <v>0</v>
      </c>
      <c r="H14" s="8">
        <f>+G14+E14</f>
        <v>4.3201842878165531E-3</v>
      </c>
      <c r="I14" s="8"/>
      <c r="J14" s="19">
        <f t="shared" si="3"/>
        <v>290778.84957832308</v>
      </c>
      <c r="K14" s="297">
        <f>+'[66]Exh BDJ-8 p1-2 (Rate Impacts)'!$C$19</f>
        <v>116280759.88464826</v>
      </c>
      <c r="L14" s="229">
        <f t="shared" si="5"/>
        <v>2.5006617592349652E-3</v>
      </c>
      <c r="N14" s="3" t="str">
        <f t="shared" si="6"/>
        <v>Sheet No. 95</v>
      </c>
    </row>
    <row r="15" spans="1:15" x14ac:dyDescent="0.2">
      <c r="A15" s="244">
        <f t="shared" si="4"/>
        <v>9</v>
      </c>
      <c r="B15" s="176"/>
      <c r="C15" s="245"/>
      <c r="D15" s="22"/>
      <c r="E15" s="8"/>
      <c r="F15" s="22"/>
      <c r="G15" s="8"/>
      <c r="H15" s="8"/>
      <c r="I15" s="8"/>
      <c r="J15" s="19"/>
      <c r="K15" s="297"/>
      <c r="L15" s="230"/>
    </row>
    <row r="16" spans="1:15" x14ac:dyDescent="0.2">
      <c r="A16" s="244">
        <f t="shared" si="4"/>
        <v>10</v>
      </c>
      <c r="B16" s="231" t="s">
        <v>84</v>
      </c>
      <c r="C16" s="245">
        <v>46</v>
      </c>
      <c r="D16" s="22">
        <f>+'UE-190529 Load Research '!D17-'Exh BDJ-6 p1 (Rate Spread)'!D17</f>
        <v>79573505.04899931</v>
      </c>
      <c r="E16" s="8">
        <f t="shared" ref="E16:E17" si="7">+D16/D$23*ROUND(0.75,2)</f>
        <v>2.7091981628439405E-3</v>
      </c>
      <c r="F16" s="22">
        <v>0</v>
      </c>
      <c r="G16" s="8">
        <f t="shared" ref="G16:G17" si="8">+F16/F$23*ROUND(0.25,2)</f>
        <v>0</v>
      </c>
      <c r="H16" s="8">
        <f t="shared" ref="H16:H17" si="9">+G16+E16</f>
        <v>2.7091981628439405E-3</v>
      </c>
      <c r="I16" s="8"/>
      <c r="J16" s="19">
        <f t="shared" ref="J16:J17" si="10">+H16*($I$23)</f>
        <v>182348.12975295898</v>
      </c>
      <c r="K16" s="297">
        <f>+'[66]Exh BDJ-8 p1-2 (Rate Impacts)'!$C$22</f>
        <v>81635228</v>
      </c>
      <c r="L16" s="229">
        <f t="shared" si="5"/>
        <v>2.2336941320597399E-3</v>
      </c>
      <c r="N16" s="248" t="s">
        <v>261</v>
      </c>
    </row>
    <row r="17" spans="1:15" x14ac:dyDescent="0.2">
      <c r="A17" s="244">
        <f t="shared" si="4"/>
        <v>11</v>
      </c>
      <c r="B17" s="231" t="s">
        <v>85</v>
      </c>
      <c r="C17" s="245">
        <v>49</v>
      </c>
      <c r="D17" s="22">
        <f>+'UE-190529 LR - Energy'!J32</f>
        <v>550655414.21762562</v>
      </c>
      <c r="E17" s="8">
        <f t="shared" si="7"/>
        <v>1.8747881416557269E-2</v>
      </c>
      <c r="F17" s="22">
        <f>+'UE-190529 Load Research '!F17</f>
        <v>69577.130407689765</v>
      </c>
      <c r="G17" s="8">
        <f t="shared" si="8"/>
        <v>4.4855069580225088E-3</v>
      </c>
      <c r="H17" s="8">
        <f t="shared" si="9"/>
        <v>2.3233388374579778E-2</v>
      </c>
      <c r="I17" s="8"/>
      <c r="J17" s="19">
        <f t="shared" si="10"/>
        <v>1563770.7776538171</v>
      </c>
      <c r="K17" s="297">
        <f>+'[66]Exh BDJ-8 p1-2 (Rate Impacts)'!$C$23</f>
        <v>563071445.51999998</v>
      </c>
      <c r="L17" s="229">
        <f t="shared" si="5"/>
        <v>2.7772155560288891E-3</v>
      </c>
      <c r="N17" s="3" t="str">
        <f>+$N$16</f>
        <v>Sheet No. 95-A</v>
      </c>
    </row>
    <row r="18" spans="1:15" x14ac:dyDescent="0.2">
      <c r="A18" s="244">
        <f t="shared" si="4"/>
        <v>12</v>
      </c>
      <c r="B18" s="247"/>
      <c r="C18" s="232"/>
      <c r="D18" s="22"/>
      <c r="E18" s="8"/>
      <c r="F18" s="22"/>
      <c r="G18" s="8"/>
      <c r="H18" s="8"/>
      <c r="I18" s="8"/>
      <c r="J18" s="19"/>
      <c r="K18" s="297"/>
      <c r="L18" s="230"/>
    </row>
    <row r="19" spans="1:15" x14ac:dyDescent="0.2">
      <c r="A19" s="244">
        <f t="shared" si="4"/>
        <v>13</v>
      </c>
      <c r="B19" s="176" t="s">
        <v>8</v>
      </c>
      <c r="C19" s="245" t="s">
        <v>86</v>
      </c>
      <c r="D19" s="22">
        <f>+'UE-190529 Load Research '!D18</f>
        <v>75887375.026475519</v>
      </c>
      <c r="E19" s="8">
        <f t="shared" ref="E19" si="11">+D19/D$23*ROUND(0.75,2)</f>
        <v>2.5836983915459946E-3</v>
      </c>
      <c r="F19" s="22">
        <f>+'UE-190529 Load Research '!F18</f>
        <v>8059.2720272472116</v>
      </c>
      <c r="G19" s="8">
        <f t="shared" ref="G19" si="12">+F19/F$23*ROUND(0.25,2)</f>
        <v>5.1956613535211553E-4</v>
      </c>
      <c r="H19" s="8">
        <f>+G19+E19</f>
        <v>3.1032645268981099E-3</v>
      </c>
      <c r="I19" s="8"/>
      <c r="J19" s="19">
        <f>+H19*($I$23)</f>
        <v>208871.57328297943</v>
      </c>
      <c r="K19" s="297">
        <f>+'[66]Exh BDJ-8 p1-2 (Rate Impacts)'!$C$26</f>
        <v>68936797.67750001</v>
      </c>
      <c r="L19" s="229">
        <f t="shared" si="5"/>
        <v>3.0298995648176466E-3</v>
      </c>
      <c r="N19" s="3"/>
    </row>
    <row r="20" spans="1:15" x14ac:dyDescent="0.2">
      <c r="A20" s="244">
        <f t="shared" si="4"/>
        <v>14</v>
      </c>
      <c r="B20" s="176"/>
      <c r="C20" s="245"/>
      <c r="D20" s="22"/>
      <c r="E20" s="8"/>
      <c r="F20" s="22"/>
      <c r="G20" s="176"/>
      <c r="H20" s="176"/>
      <c r="I20" s="176"/>
      <c r="J20" s="19"/>
      <c r="K20" s="297"/>
      <c r="L20" s="230"/>
    </row>
    <row r="21" spans="1:15" x14ac:dyDescent="0.2">
      <c r="A21" s="244">
        <f t="shared" si="4"/>
        <v>15</v>
      </c>
      <c r="B21" s="176" t="s">
        <v>13</v>
      </c>
      <c r="C21" s="245"/>
      <c r="D21" s="22">
        <f>+'UE-190529 Load Research '!D20</f>
        <v>7427003.1359829875</v>
      </c>
      <c r="E21" s="8">
        <f t="shared" ref="E21" si="13">+D21/D$23*ROUND(0.75,2)</f>
        <v>2.5286335243183223E-4</v>
      </c>
      <c r="F21" s="22">
        <f>+'UE-190529 Load Research '!F20</f>
        <v>1428.4140277629981</v>
      </c>
      <c r="G21" s="8">
        <f t="shared" ref="G21" si="14">+F21/F$23*ROUND(0.25,2)</f>
        <v>9.2087170352167269E-5</v>
      </c>
      <c r="H21" s="8">
        <f>+G21+E21</f>
        <v>3.4495052278399948E-4</v>
      </c>
      <c r="I21" s="8"/>
      <c r="J21" s="19">
        <f>+H21*($I$23)</f>
        <v>23217.601262854205</v>
      </c>
      <c r="K21" s="297">
        <f>+'[66]Exh BDJ-8 p1-2 (Rate Impacts)'!$C$32</f>
        <v>7369853.2214806583</v>
      </c>
      <c r="L21" s="229">
        <f t="shared" si="5"/>
        <v>3.1503478515939312E-3</v>
      </c>
      <c r="N21" s="3"/>
    </row>
    <row r="22" spans="1:15" x14ac:dyDescent="0.2">
      <c r="A22" s="244">
        <f t="shared" si="4"/>
        <v>16</v>
      </c>
      <c r="B22" s="176"/>
      <c r="C22" s="245"/>
      <c r="D22" s="22"/>
      <c r="E22" s="8"/>
      <c r="F22" s="22"/>
      <c r="G22" s="176"/>
      <c r="H22" s="176"/>
      <c r="I22" s="176"/>
      <c r="J22" s="19"/>
      <c r="K22" s="297"/>
      <c r="L22" s="230"/>
    </row>
    <row r="23" spans="1:15" x14ac:dyDescent="0.2">
      <c r="A23" s="244">
        <f t="shared" si="4"/>
        <v>17</v>
      </c>
      <c r="B23" s="176" t="s">
        <v>9</v>
      </c>
      <c r="C23" s="245"/>
      <c r="D23" s="22">
        <f>SUM(D7:D21)</f>
        <v>22028705616.757526</v>
      </c>
      <c r="E23" s="8">
        <f>SUM(E7:E21)</f>
        <v>0.75000000000000022</v>
      </c>
      <c r="F23" s="22">
        <f>SUM(F7:F21)</f>
        <v>3877885.5466519948</v>
      </c>
      <c r="G23" s="8">
        <f>SUM(G7:G21)</f>
        <v>0.25</v>
      </c>
      <c r="H23" s="8">
        <f>SUM(H7:H21)</f>
        <v>1</v>
      </c>
      <c r="I23" s="19">
        <f>'2020 PCORC Deficiency'!G44</f>
        <v>67307047.617934942</v>
      </c>
      <c r="J23" s="19">
        <f>SUM(J7:J21)</f>
        <v>67307047.617934957</v>
      </c>
      <c r="K23" s="297">
        <f>SUM(K7:K21)</f>
        <v>20365544557.714779</v>
      </c>
      <c r="L23" s="229">
        <f t="shared" si="5"/>
        <v>3.3049471094274284E-3</v>
      </c>
    </row>
    <row r="24" spans="1:15" x14ac:dyDescent="0.2">
      <c r="A24" s="244">
        <f t="shared" si="4"/>
        <v>18</v>
      </c>
      <c r="B24" s="176"/>
      <c r="C24" s="245"/>
      <c r="D24" s="22"/>
      <c r="E24" s="176"/>
      <c r="F24" s="22"/>
      <c r="G24" s="176"/>
      <c r="H24" s="176"/>
      <c r="I24" s="176"/>
      <c r="J24" s="19"/>
      <c r="K24" s="297"/>
      <c r="L24" s="246"/>
      <c r="N24" s="2"/>
    </row>
    <row r="25" spans="1:15" x14ac:dyDescent="0.2">
      <c r="A25" s="244">
        <f t="shared" si="4"/>
        <v>19</v>
      </c>
      <c r="B25" s="247" t="s">
        <v>144</v>
      </c>
      <c r="C25" s="232" t="s">
        <v>145</v>
      </c>
      <c r="D25" s="22"/>
      <c r="E25" s="8"/>
      <c r="F25" s="22"/>
      <c r="G25" s="8"/>
      <c r="H25" s="8"/>
      <c r="I25" s="8"/>
      <c r="J25" s="19"/>
      <c r="K25" s="297">
        <f>SUM('[66]Exh BDJ-8 p1-2 (Rate Impacts)'!$C$27:$C$28)</f>
        <v>2296743088.5840001</v>
      </c>
      <c r="L25" s="230"/>
    </row>
    <row r="26" spans="1:15" x14ac:dyDescent="0.2">
      <c r="A26" s="244">
        <f t="shared" si="4"/>
        <v>20</v>
      </c>
      <c r="B26" s="247"/>
      <c r="C26" s="232"/>
      <c r="D26" s="22"/>
      <c r="E26" s="8"/>
      <c r="F26" s="22"/>
      <c r="G26" s="8"/>
      <c r="H26" s="8"/>
      <c r="I26" s="8"/>
      <c r="J26" s="19"/>
      <c r="K26" s="297"/>
      <c r="L26" s="230"/>
    </row>
    <row r="27" spans="1:15" x14ac:dyDescent="0.2">
      <c r="A27" s="244">
        <f t="shared" si="4"/>
        <v>21</v>
      </c>
      <c r="B27" s="176" t="s">
        <v>10</v>
      </c>
      <c r="C27" s="245"/>
      <c r="D27" s="22">
        <f>SUM(D23:D26)</f>
        <v>22028705616.757526</v>
      </c>
      <c r="E27" s="8"/>
      <c r="F27" s="22">
        <f>SUM(F23:F26)</f>
        <v>3877885.5466519948</v>
      </c>
      <c r="G27" s="8"/>
      <c r="H27" s="8"/>
      <c r="I27" s="19"/>
      <c r="J27" s="19"/>
      <c r="K27" s="297">
        <f>+K25+K23</f>
        <v>22662287646.298779</v>
      </c>
      <c r="L27" s="230"/>
      <c r="N27" s="23"/>
      <c r="O27" s="23"/>
    </row>
    <row r="28" spans="1:15" x14ac:dyDescent="0.2">
      <c r="A28" s="244">
        <f t="shared" si="4"/>
        <v>22</v>
      </c>
      <c r="B28" s="176"/>
      <c r="C28" s="245"/>
      <c r="D28" s="22"/>
      <c r="E28" s="176"/>
      <c r="F28" s="22"/>
      <c r="G28" s="176"/>
      <c r="H28" s="176"/>
      <c r="I28" s="176"/>
      <c r="J28" s="176"/>
      <c r="K28" s="176"/>
      <c r="L28" s="177"/>
      <c r="N28" s="23"/>
      <c r="O28" s="23"/>
    </row>
    <row r="29" spans="1:15" x14ac:dyDescent="0.2">
      <c r="A29" s="280" t="s">
        <v>139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2"/>
    </row>
    <row r="30" spans="1:15" x14ac:dyDescent="0.2">
      <c r="A30" s="280" t="s">
        <v>140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2"/>
    </row>
    <row r="31" spans="1:15" ht="13.5" thickBot="1" x14ac:dyDescent="0.25">
      <c r="A31" s="271" t="s">
        <v>141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3"/>
    </row>
    <row r="32" spans="1:15" x14ac:dyDescent="0.2">
      <c r="A32" s="176"/>
      <c r="B32" s="176"/>
      <c r="C32" s="176"/>
      <c r="D32" s="22"/>
      <c r="E32" s="176"/>
      <c r="F32" s="22"/>
      <c r="G32" s="176"/>
      <c r="H32" s="176"/>
      <c r="I32" s="176"/>
      <c r="J32" s="176"/>
      <c r="K32" s="176"/>
      <c r="L32" s="176"/>
    </row>
  </sheetData>
  <mergeCells count="5">
    <mergeCell ref="A31:L31"/>
    <mergeCell ref="A1:L1"/>
    <mergeCell ref="A2:L2"/>
    <mergeCell ref="A29:L29"/>
    <mergeCell ref="A30:L30"/>
  </mergeCells>
  <printOptions horizontalCentered="1"/>
  <pageMargins left="0.7" right="0.7" top="0.75" bottom="0.75" header="0.3" footer="0.3"/>
  <pageSetup scale="63" orientation="landscape" horizontalDpi="1200" verticalDpi="1200" r:id="rId1"/>
  <headerFooter alignWithMargins="0">
    <oddFooter xml:space="preserve">&amp;L&amp;A&amp;R&amp;A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81"/>
  <sheetViews>
    <sheetView zoomScaleNormal="100" workbookViewId="0">
      <pane xSplit="1" ySplit="7" topLeftCell="B8" activePane="bottomRight" state="frozen"/>
      <selection pane="topRight" activeCell="F1" sqref="F1"/>
      <selection pane="bottomLeft" activeCell="A8" sqref="A8"/>
      <selection pane="bottomRight" activeCell="P6" sqref="P6"/>
    </sheetView>
  </sheetViews>
  <sheetFormatPr defaultColWidth="9.140625" defaultRowHeight="12.75" x14ac:dyDescent="0.2"/>
  <cols>
    <col min="1" max="1" width="6.5703125" style="4" bestFit="1" customWidth="1"/>
    <col min="2" max="2" width="20.140625" style="4" customWidth="1"/>
    <col min="3" max="3" width="15.7109375" style="4" bestFit="1" customWidth="1"/>
    <col min="4" max="4" width="10.85546875" style="4" bestFit="1" customWidth="1"/>
    <col min="5" max="6" width="9.42578125" style="4" bestFit="1" customWidth="1"/>
    <col min="7" max="7" width="9" style="4" bestFit="1" customWidth="1"/>
    <col min="8" max="9" width="9.85546875" style="4" bestFit="1" customWidth="1"/>
    <col min="10" max="11" width="9.140625" style="4"/>
    <col min="12" max="12" width="11" style="4" customWidth="1"/>
    <col min="13" max="13" width="15.7109375" style="4" bestFit="1" customWidth="1"/>
    <col min="14" max="14" width="13.85546875" style="4" bestFit="1" customWidth="1"/>
    <col min="15" max="16384" width="9.140625" style="4"/>
  </cols>
  <sheetData>
    <row r="1" spans="1:20" x14ac:dyDescent="0.2">
      <c r="A1" s="283" t="s">
        <v>15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126"/>
      <c r="N1" s="126"/>
      <c r="O1" s="126"/>
      <c r="P1" s="126"/>
      <c r="Q1" s="126"/>
      <c r="R1" s="126"/>
      <c r="S1" s="126"/>
      <c r="T1" s="126"/>
    </row>
    <row r="2" spans="1:20" x14ac:dyDescent="0.2">
      <c r="A2" s="284" t="s">
        <v>240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126"/>
      <c r="N2" s="126"/>
      <c r="O2" s="126"/>
      <c r="P2" s="126"/>
      <c r="Q2" s="126"/>
      <c r="R2" s="126"/>
      <c r="S2" s="126"/>
      <c r="T2" s="126"/>
    </row>
    <row r="3" spans="1:20" x14ac:dyDescent="0.2">
      <c r="A3" s="284" t="str">
        <f>+'Exh BDJ-6 p1 (Rate Spread)'!A2</f>
        <v>Calculation of Schedule 95 Rate, Compliance Filing  Docket UE-200980, Rates Effective 7-1-2021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126"/>
      <c r="N3" s="126"/>
      <c r="O3" s="126"/>
      <c r="P3" s="126"/>
      <c r="Q3" s="126"/>
      <c r="R3" s="126"/>
      <c r="S3" s="126"/>
      <c r="T3" s="126"/>
    </row>
    <row r="4" spans="1:20" ht="13.5" thickBot="1" x14ac:dyDescent="0.25">
      <c r="A4" s="226"/>
      <c r="B4" s="283"/>
      <c r="C4" s="283"/>
      <c r="D4" s="283"/>
      <c r="E4" s="283"/>
      <c r="F4" s="283"/>
      <c r="G4" s="283"/>
      <c r="H4" s="283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ht="101.25" x14ac:dyDescent="0.2">
      <c r="A5" s="132" t="s">
        <v>24</v>
      </c>
      <c r="B5" s="132" t="s">
        <v>16</v>
      </c>
      <c r="C5" s="132" t="s">
        <v>17</v>
      </c>
      <c r="D5" s="132" t="s">
        <v>172</v>
      </c>
      <c r="E5" s="133" t="s">
        <v>173</v>
      </c>
      <c r="F5" s="133" t="s">
        <v>174</v>
      </c>
      <c r="G5" s="133" t="s">
        <v>175</v>
      </c>
      <c r="H5" s="133" t="s">
        <v>176</v>
      </c>
      <c r="I5" s="133" t="s">
        <v>239</v>
      </c>
      <c r="J5" s="296" t="s">
        <v>308</v>
      </c>
      <c r="K5" s="133" t="s">
        <v>241</v>
      </c>
      <c r="L5" s="133" t="s">
        <v>177</v>
      </c>
      <c r="M5" s="126"/>
      <c r="N5" s="133" t="s">
        <v>259</v>
      </c>
      <c r="O5" s="126"/>
      <c r="P5" s="126"/>
      <c r="Q5" s="126"/>
      <c r="R5" s="126"/>
      <c r="S5" s="126"/>
      <c r="T5" s="126"/>
    </row>
    <row r="6" spans="1:20" s="20" customFormat="1" x14ac:dyDescent="0.2">
      <c r="A6" s="226"/>
      <c r="B6" s="134"/>
      <c r="C6" s="134"/>
      <c r="D6" s="135"/>
      <c r="E6" s="134" t="s">
        <v>148</v>
      </c>
      <c r="F6" s="134" t="s">
        <v>149</v>
      </c>
      <c r="G6" s="135" t="s">
        <v>150</v>
      </c>
      <c r="H6" s="227" t="s">
        <v>178</v>
      </c>
      <c r="I6" s="227" t="s">
        <v>179</v>
      </c>
      <c r="J6" s="136" t="s">
        <v>180</v>
      </c>
      <c r="K6" s="227" t="s">
        <v>181</v>
      </c>
      <c r="L6" s="227" t="s">
        <v>182</v>
      </c>
      <c r="M6" s="126"/>
      <c r="N6" s="126"/>
      <c r="O6" s="126"/>
      <c r="P6" s="126"/>
      <c r="Q6" s="126"/>
      <c r="R6" s="126"/>
      <c r="S6" s="126"/>
      <c r="T6" s="126"/>
    </row>
    <row r="7" spans="1:20" s="20" customFormat="1" x14ac:dyDescent="0.2">
      <c r="A7" s="226"/>
      <c r="B7" s="134"/>
      <c r="C7" s="134"/>
      <c r="D7" s="135"/>
      <c r="E7" s="126"/>
      <c r="F7" s="126"/>
      <c r="G7" s="135" t="s">
        <v>183</v>
      </c>
      <c r="H7" s="126"/>
      <c r="I7" s="137" t="s">
        <v>184</v>
      </c>
      <c r="J7" s="138" t="s">
        <v>185</v>
      </c>
      <c r="K7" s="137" t="s">
        <v>186</v>
      </c>
      <c r="L7" s="227" t="s">
        <v>187</v>
      </c>
      <c r="M7" s="126"/>
      <c r="N7" s="126"/>
      <c r="O7" s="126"/>
      <c r="P7" s="126"/>
      <c r="Q7" s="126"/>
      <c r="R7" s="126"/>
      <c r="S7" s="126"/>
      <c r="T7" s="126"/>
    </row>
    <row r="8" spans="1:20" s="5" customFormat="1" ht="13.5" thickBot="1" x14ac:dyDescent="0.25">
      <c r="A8" s="226"/>
      <c r="B8" s="139"/>
      <c r="C8" s="139"/>
      <c r="D8" s="139"/>
      <c r="E8" s="126"/>
      <c r="F8" s="126"/>
      <c r="G8" s="139"/>
      <c r="H8" s="140"/>
      <c r="I8" s="140"/>
      <c r="J8" s="141"/>
      <c r="K8" s="140"/>
      <c r="L8" s="126"/>
      <c r="M8" s="126"/>
      <c r="N8" s="126"/>
      <c r="O8" s="126"/>
      <c r="P8" s="126"/>
      <c r="Q8" s="126"/>
      <c r="R8" s="126"/>
      <c r="S8" s="126"/>
      <c r="T8" s="126"/>
    </row>
    <row r="9" spans="1:20" x14ac:dyDescent="0.2">
      <c r="A9" s="226"/>
      <c r="B9" s="139"/>
      <c r="C9" s="139"/>
      <c r="D9" s="139"/>
      <c r="E9" s="126"/>
      <c r="F9" s="126"/>
      <c r="G9" s="139"/>
      <c r="H9" s="126"/>
      <c r="I9" s="126"/>
      <c r="J9" s="141"/>
      <c r="K9" s="126"/>
      <c r="L9" s="239" t="s">
        <v>188</v>
      </c>
      <c r="M9" s="126"/>
      <c r="N9" s="126"/>
      <c r="O9" s="126"/>
      <c r="P9" s="126"/>
      <c r="Q9" s="126"/>
      <c r="R9" s="126"/>
      <c r="S9" s="126"/>
      <c r="T9" s="126"/>
    </row>
    <row r="10" spans="1:20" ht="13.5" thickBot="1" x14ac:dyDescent="0.25">
      <c r="A10" s="226">
        <v>1</v>
      </c>
      <c r="B10" s="129" t="s">
        <v>189</v>
      </c>
      <c r="C10" s="139"/>
      <c r="D10" s="139"/>
      <c r="E10" s="126"/>
      <c r="F10" s="126"/>
      <c r="G10" s="139"/>
      <c r="H10" s="142"/>
      <c r="I10" s="143">
        <f>SUM(I25:I171)</f>
        <v>4543367</v>
      </c>
      <c r="J10" s="141"/>
      <c r="K10" s="143">
        <f>SUM(K25:K171)</f>
        <v>208803</v>
      </c>
      <c r="L10" s="240">
        <f>+L12+L11</f>
        <v>4.6249859617763525E-2</v>
      </c>
      <c r="M10" s="126"/>
      <c r="N10" s="126"/>
      <c r="O10" s="126"/>
      <c r="P10" s="126"/>
      <c r="Q10" s="126"/>
      <c r="R10" s="126"/>
      <c r="S10" s="126"/>
      <c r="T10" s="126"/>
    </row>
    <row r="11" spans="1:20" ht="13.5" thickBot="1" x14ac:dyDescent="0.25">
      <c r="A11" s="226">
        <f>+A10+1</f>
        <v>2</v>
      </c>
      <c r="B11" s="129" t="s">
        <v>269</v>
      </c>
      <c r="C11" s="139"/>
      <c r="D11" s="139"/>
      <c r="E11" s="126"/>
      <c r="F11" s="126"/>
      <c r="G11" s="139"/>
      <c r="H11" s="142"/>
      <c r="I11" s="126"/>
      <c r="J11" s="141"/>
      <c r="K11" s="241">
        <f>+'Exh BDJ-6 p1 (Rate Spread)'!J19</f>
        <v>208871.57328297943</v>
      </c>
      <c r="L11" s="144">
        <f>+K11/I10</f>
        <v>4.5972859617763526E-2</v>
      </c>
      <c r="M11" s="242" t="s">
        <v>190</v>
      </c>
      <c r="N11" s="126"/>
      <c r="O11" s="126"/>
      <c r="P11" s="126"/>
      <c r="Q11" s="126"/>
      <c r="R11" s="126"/>
      <c r="S11" s="126"/>
      <c r="T11" s="126"/>
    </row>
    <row r="12" spans="1:20" ht="13.5" thickBot="1" x14ac:dyDescent="0.25">
      <c r="A12" s="226">
        <f t="shared" ref="A12:A75" si="0">+A11+1</f>
        <v>3</v>
      </c>
      <c r="B12" s="145" t="s">
        <v>191</v>
      </c>
      <c r="C12" s="139"/>
      <c r="D12" s="139"/>
      <c r="E12" s="126"/>
      <c r="F12" s="126"/>
      <c r="G12" s="139"/>
      <c r="H12" s="142"/>
      <c r="I12" s="143"/>
      <c r="J12" s="141"/>
      <c r="K12" s="146">
        <f>+K11-K10</f>
        <v>68.573282979428768</v>
      </c>
      <c r="L12" s="144">
        <v>2.7700000000000001E-4</v>
      </c>
      <c r="M12" s="242" t="s">
        <v>192</v>
      </c>
      <c r="N12" s="126"/>
      <c r="O12" s="126"/>
      <c r="P12" s="126"/>
      <c r="Q12" s="126"/>
      <c r="R12" s="126"/>
      <c r="S12" s="126"/>
      <c r="T12" s="126"/>
    </row>
    <row r="13" spans="1:20" x14ac:dyDescent="0.2">
      <c r="A13" s="226">
        <f t="shared" si="0"/>
        <v>4</v>
      </c>
      <c r="B13" s="139"/>
      <c r="C13" s="139"/>
      <c r="D13" s="139"/>
      <c r="E13" s="126"/>
      <c r="F13" s="126"/>
      <c r="G13" s="139"/>
      <c r="H13" s="126"/>
      <c r="I13" s="126"/>
      <c r="J13" s="141"/>
      <c r="K13" s="126"/>
      <c r="L13" s="126"/>
      <c r="M13" s="126"/>
      <c r="N13" s="126"/>
      <c r="O13" s="126"/>
      <c r="P13" s="126"/>
      <c r="Q13" s="126"/>
      <c r="R13" s="126"/>
      <c r="S13" s="126"/>
      <c r="T13" s="126"/>
    </row>
    <row r="14" spans="1:20" x14ac:dyDescent="0.2">
      <c r="A14" s="226">
        <f t="shared" si="0"/>
        <v>5</v>
      </c>
      <c r="B14" s="139" t="s">
        <v>193</v>
      </c>
      <c r="C14" s="139"/>
      <c r="D14" s="139"/>
      <c r="E14" s="126"/>
      <c r="F14" s="126"/>
      <c r="G14" s="139"/>
      <c r="H14" s="140">
        <f>SUM(H25:H30)</f>
        <v>1230</v>
      </c>
      <c r="I14" s="143">
        <f>SUM(I25:I30)</f>
        <v>3864</v>
      </c>
      <c r="J14" s="147"/>
      <c r="K14" s="143">
        <f>SUM(K25:K30)</f>
        <v>177</v>
      </c>
      <c r="L14" s="143"/>
      <c r="M14" s="126"/>
      <c r="N14" s="126"/>
      <c r="O14" s="126"/>
      <c r="P14" s="126"/>
      <c r="Q14" s="126"/>
      <c r="R14" s="126"/>
      <c r="S14" s="126"/>
      <c r="T14" s="126"/>
    </row>
    <row r="15" spans="1:20" x14ac:dyDescent="0.2">
      <c r="A15" s="226">
        <f t="shared" si="0"/>
        <v>6</v>
      </c>
      <c r="B15" s="139" t="s">
        <v>194</v>
      </c>
      <c r="C15" s="139"/>
      <c r="D15" s="139"/>
      <c r="E15" s="126"/>
      <c r="F15" s="126"/>
      <c r="G15" s="139"/>
      <c r="H15" s="140">
        <f>SUM(H33:H41)</f>
        <v>90416</v>
      </c>
      <c r="I15" s="143">
        <f>SUM(I33:I41)</f>
        <v>163219</v>
      </c>
      <c r="J15" s="147"/>
      <c r="K15" s="143">
        <f>SUM(K33:K41)</f>
        <v>7446</v>
      </c>
      <c r="L15" s="143"/>
      <c r="M15" s="126"/>
      <c r="N15" s="126"/>
      <c r="O15" s="126"/>
      <c r="P15" s="126"/>
      <c r="Q15" s="126"/>
      <c r="R15" s="126"/>
      <c r="S15" s="126"/>
      <c r="T15" s="126"/>
    </row>
    <row r="16" spans="1:20" x14ac:dyDescent="0.2">
      <c r="A16" s="226">
        <f t="shared" si="0"/>
        <v>7</v>
      </c>
      <c r="B16" s="139" t="s">
        <v>195</v>
      </c>
      <c r="C16" s="139"/>
      <c r="D16" s="139"/>
      <c r="E16" s="126"/>
      <c r="F16" s="126"/>
      <c r="G16" s="139"/>
      <c r="H16" s="140">
        <f>SUM(H44:H59)</f>
        <v>224568</v>
      </c>
      <c r="I16" s="143">
        <f>SUM(I44:I59)</f>
        <v>773224</v>
      </c>
      <c r="J16" s="147"/>
      <c r="K16" s="143">
        <f>SUM(K44:K59)</f>
        <v>35615</v>
      </c>
      <c r="L16" s="143"/>
      <c r="M16" s="126"/>
      <c r="N16" s="126"/>
      <c r="O16" s="126"/>
      <c r="P16" s="126"/>
      <c r="Q16" s="126"/>
      <c r="R16" s="126"/>
      <c r="S16" s="126"/>
      <c r="T16" s="126"/>
    </row>
    <row r="17" spans="1:20" x14ac:dyDescent="0.2">
      <c r="A17" s="226">
        <f t="shared" si="0"/>
        <v>8</v>
      </c>
      <c r="B17" s="139" t="s">
        <v>196</v>
      </c>
      <c r="C17" s="126"/>
      <c r="D17" s="126"/>
      <c r="E17" s="126"/>
      <c r="F17" s="126"/>
      <c r="G17" s="126"/>
      <c r="H17" s="140">
        <f>SUM(H62:H87)</f>
        <v>921025</v>
      </c>
      <c r="I17" s="143">
        <f>SUM(I62:I87)</f>
        <v>2330705</v>
      </c>
      <c r="J17" s="147"/>
      <c r="K17" s="143">
        <f>SUM(K62:K87)</f>
        <v>106806</v>
      </c>
      <c r="L17" s="143"/>
      <c r="M17" s="126"/>
      <c r="N17" s="126"/>
      <c r="O17" s="126"/>
      <c r="P17" s="126"/>
      <c r="Q17" s="126"/>
      <c r="R17" s="126"/>
      <c r="S17" s="126"/>
      <c r="T17" s="126"/>
    </row>
    <row r="18" spans="1:20" x14ac:dyDescent="0.2">
      <c r="A18" s="226">
        <f t="shared" si="0"/>
        <v>9</v>
      </c>
      <c r="B18" s="145" t="s">
        <v>197</v>
      </c>
      <c r="C18" s="126"/>
      <c r="D18" s="126"/>
      <c r="E18" s="126"/>
      <c r="F18" s="126"/>
      <c r="G18" s="126"/>
      <c r="H18" s="140">
        <f>SUM(H90:H109)</f>
        <v>119210</v>
      </c>
      <c r="I18" s="143">
        <f>SUM(I90:I109)</f>
        <v>428536</v>
      </c>
      <c r="J18" s="147"/>
      <c r="K18" s="143">
        <f>SUM(K90:K109)</f>
        <v>19776</v>
      </c>
      <c r="L18" s="143"/>
      <c r="M18" s="126"/>
      <c r="N18" s="126"/>
      <c r="O18" s="126"/>
      <c r="P18" s="126"/>
      <c r="Q18" s="126"/>
      <c r="R18" s="126"/>
      <c r="S18" s="126"/>
      <c r="T18" s="126"/>
    </row>
    <row r="19" spans="1:20" x14ac:dyDescent="0.2">
      <c r="A19" s="226">
        <f t="shared" si="0"/>
        <v>10</v>
      </c>
      <c r="B19" s="145" t="s">
        <v>198</v>
      </c>
      <c r="C19" s="126"/>
      <c r="D19" s="126"/>
      <c r="E19" s="126"/>
      <c r="F19" s="126"/>
      <c r="G19" s="126"/>
      <c r="H19" s="140">
        <f>SUM(H112:H129)</f>
        <v>73982</v>
      </c>
      <c r="I19" s="143">
        <f>SUM(I112:I129)</f>
        <v>219476</v>
      </c>
      <c r="J19" s="147"/>
      <c r="K19" s="143">
        <f>SUM(K112:K129)</f>
        <v>10064</v>
      </c>
      <c r="L19" s="143"/>
      <c r="M19" s="126"/>
      <c r="N19" s="126"/>
      <c r="O19" s="126"/>
      <c r="P19" s="126"/>
      <c r="Q19" s="126"/>
      <c r="R19" s="126"/>
      <c r="S19" s="126"/>
      <c r="T19" s="126"/>
    </row>
    <row r="20" spans="1:20" x14ac:dyDescent="0.2">
      <c r="A20" s="226">
        <f t="shared" si="0"/>
        <v>11</v>
      </c>
      <c r="B20" s="139" t="s">
        <v>199</v>
      </c>
      <c r="C20" s="126"/>
      <c r="D20" s="126"/>
      <c r="E20" s="126"/>
      <c r="F20" s="126"/>
      <c r="G20" s="126"/>
      <c r="H20" s="140">
        <f>SUM(H132)</f>
        <v>11746541</v>
      </c>
      <c r="I20" s="143">
        <f>SUM(I132)</f>
        <v>484174</v>
      </c>
      <c r="J20" s="147"/>
      <c r="K20" s="143">
        <f>SUM(K132)</f>
        <v>22436</v>
      </c>
      <c r="L20" s="143"/>
      <c r="M20" s="126"/>
      <c r="N20" s="126"/>
      <c r="O20" s="126"/>
      <c r="P20" s="126"/>
      <c r="Q20" s="126"/>
      <c r="R20" s="126"/>
      <c r="S20" s="126"/>
      <c r="T20" s="126"/>
    </row>
    <row r="21" spans="1:20" x14ac:dyDescent="0.2">
      <c r="A21" s="226">
        <f t="shared" si="0"/>
        <v>12</v>
      </c>
      <c r="B21" s="145" t="s">
        <v>200</v>
      </c>
      <c r="C21" s="126"/>
      <c r="D21" s="126"/>
      <c r="E21" s="126"/>
      <c r="F21" s="126"/>
      <c r="G21" s="126"/>
      <c r="H21" s="140">
        <f>SUM(H135:H171)</f>
        <v>17556</v>
      </c>
      <c r="I21" s="143">
        <f>SUM(I135:I171)</f>
        <v>140169</v>
      </c>
      <c r="J21" s="147"/>
      <c r="K21" s="143">
        <f>SUM(K135:K171)</f>
        <v>6483</v>
      </c>
      <c r="L21" s="143"/>
      <c r="M21" s="126"/>
      <c r="N21" s="126"/>
      <c r="O21" s="126"/>
      <c r="P21" s="126"/>
      <c r="Q21" s="126"/>
      <c r="R21" s="126"/>
      <c r="S21" s="126"/>
      <c r="T21" s="126"/>
    </row>
    <row r="22" spans="1:20" x14ac:dyDescent="0.2">
      <c r="A22" s="226">
        <f t="shared" si="0"/>
        <v>13</v>
      </c>
      <c r="B22" s="139" t="s">
        <v>201</v>
      </c>
      <c r="C22" s="126"/>
      <c r="D22" s="126"/>
      <c r="E22" s="126"/>
      <c r="F22" s="126"/>
      <c r="G22" s="126"/>
      <c r="H22" s="140">
        <f>SUM(H14:H21)</f>
        <v>13194528</v>
      </c>
      <c r="I22" s="143">
        <f>SUM(I14:I21)</f>
        <v>4543367</v>
      </c>
      <c r="J22" s="147"/>
      <c r="K22" s="143">
        <f>SUM(K14:K21)</f>
        <v>208803</v>
      </c>
      <c r="L22" s="143"/>
      <c r="M22" s="126"/>
      <c r="N22" s="126"/>
      <c r="O22" s="126"/>
      <c r="P22" s="126"/>
      <c r="Q22" s="126"/>
      <c r="R22" s="126"/>
      <c r="S22" s="126"/>
      <c r="T22" s="126"/>
    </row>
    <row r="23" spans="1:20" x14ac:dyDescent="0.2">
      <c r="A23" s="226">
        <f t="shared" si="0"/>
        <v>14</v>
      </c>
      <c r="B23" s="139"/>
      <c r="C23" s="139"/>
      <c r="D23" s="139"/>
      <c r="E23" s="126"/>
      <c r="F23" s="126"/>
      <c r="G23" s="139"/>
      <c r="H23" s="142"/>
      <c r="I23" s="143"/>
      <c r="J23" s="141"/>
      <c r="K23" s="143"/>
      <c r="L23" s="126"/>
      <c r="M23" s="126"/>
      <c r="N23" s="126"/>
      <c r="O23" s="126"/>
      <c r="P23" s="126"/>
      <c r="Q23" s="126"/>
      <c r="R23" s="126"/>
      <c r="S23" s="126"/>
      <c r="T23" s="126"/>
    </row>
    <row r="24" spans="1:20" x14ac:dyDescent="0.2">
      <c r="A24" s="226">
        <f t="shared" si="0"/>
        <v>15</v>
      </c>
      <c r="B24" s="139" t="s">
        <v>202</v>
      </c>
      <c r="C24" s="139"/>
      <c r="D24" s="139"/>
      <c r="E24" s="126"/>
      <c r="F24" s="126"/>
      <c r="G24" s="139"/>
      <c r="H24" s="126"/>
      <c r="I24" s="126"/>
      <c r="J24" s="141"/>
      <c r="K24" s="126"/>
      <c r="L24" s="126"/>
      <c r="M24" s="126"/>
      <c r="N24" s="126"/>
      <c r="O24" s="126"/>
      <c r="P24" s="126"/>
      <c r="Q24" s="126"/>
      <c r="R24" s="126"/>
      <c r="S24" s="126"/>
      <c r="T24" s="126"/>
    </row>
    <row r="25" spans="1:20" x14ac:dyDescent="0.2">
      <c r="A25" s="226">
        <f t="shared" si="0"/>
        <v>16</v>
      </c>
      <c r="B25" s="148" t="s">
        <v>203</v>
      </c>
      <c r="C25" s="145" t="s">
        <v>204</v>
      </c>
      <c r="D25" s="149">
        <v>22</v>
      </c>
      <c r="E25" s="150">
        <v>0.18</v>
      </c>
      <c r="F25" s="150">
        <v>0.35</v>
      </c>
      <c r="G25" s="150">
        <f>SUM(E25:F25)</f>
        <v>0.53</v>
      </c>
      <c r="H25" s="140">
        <v>708</v>
      </c>
      <c r="I25" s="143">
        <f>ROUND($H25*G25,0)</f>
        <v>375</v>
      </c>
      <c r="J25" s="151">
        <f>ROUND(+G25*$L$10,2)</f>
        <v>0.02</v>
      </c>
      <c r="K25" s="143">
        <f>ROUND($H25*J25,0)</f>
        <v>14</v>
      </c>
      <c r="L25" s="126"/>
      <c r="M25" s="150"/>
      <c r="N25" s="249" t="s">
        <v>261</v>
      </c>
      <c r="O25" s="233"/>
      <c r="P25" s="233"/>
      <c r="Q25" s="126"/>
      <c r="R25" s="126"/>
      <c r="S25" s="126"/>
      <c r="T25" s="126"/>
    </row>
    <row r="26" spans="1:20" x14ac:dyDescent="0.2">
      <c r="A26" s="226">
        <f t="shared" si="0"/>
        <v>17</v>
      </c>
      <c r="B26" s="117"/>
      <c r="C26" s="135"/>
      <c r="D26" s="152"/>
      <c r="E26" s="126"/>
      <c r="F26" s="126"/>
      <c r="G26" s="150"/>
      <c r="H26" s="140"/>
      <c r="I26" s="140"/>
      <c r="J26" s="151"/>
      <c r="K26" s="140"/>
      <c r="L26" s="126"/>
      <c r="M26" s="150"/>
      <c r="N26" s="150"/>
      <c r="O26" s="233"/>
      <c r="P26" s="233"/>
      <c r="Q26" s="126"/>
      <c r="R26" s="126"/>
      <c r="S26" s="126"/>
      <c r="T26" s="126"/>
    </row>
    <row r="27" spans="1:20" x14ac:dyDescent="0.2">
      <c r="A27" s="226">
        <f t="shared" si="0"/>
        <v>18</v>
      </c>
      <c r="B27" s="148">
        <v>50</v>
      </c>
      <c r="C27" s="153" t="s">
        <v>18</v>
      </c>
      <c r="D27" s="154">
        <v>100</v>
      </c>
      <c r="E27" s="150">
        <v>0.82</v>
      </c>
      <c r="F27" s="150">
        <v>1.6</v>
      </c>
      <c r="G27" s="150">
        <f>SUM(E27:F27)</f>
        <v>2.42</v>
      </c>
      <c r="H27" s="140">
        <v>36</v>
      </c>
      <c r="I27" s="143">
        <f>ROUND($H27*G27,0)</f>
        <v>87</v>
      </c>
      <c r="J27" s="151">
        <f>ROUND(+G27*$L$10,2)</f>
        <v>0.11</v>
      </c>
      <c r="K27" s="143">
        <f>ROUND($H27*J27,0)</f>
        <v>4</v>
      </c>
      <c r="L27" s="126"/>
      <c r="M27" s="150"/>
      <c r="N27" s="249" t="str">
        <f>+$N$25</f>
        <v>Sheet No. 95-A</v>
      </c>
      <c r="O27" s="233"/>
      <c r="P27" s="233"/>
      <c r="Q27" s="126"/>
      <c r="R27" s="126"/>
      <c r="S27" s="126"/>
      <c r="T27" s="126"/>
    </row>
    <row r="28" spans="1:20" x14ac:dyDescent="0.2">
      <c r="A28" s="226">
        <f t="shared" si="0"/>
        <v>19</v>
      </c>
      <c r="B28" s="148">
        <f>+B27</f>
        <v>50</v>
      </c>
      <c r="C28" s="153" t="s">
        <v>18</v>
      </c>
      <c r="D28" s="154">
        <v>175</v>
      </c>
      <c r="E28" s="150">
        <v>1.44</v>
      </c>
      <c r="F28" s="150">
        <v>2.8</v>
      </c>
      <c r="G28" s="150">
        <f>SUM(E28:F28)</f>
        <v>4.24</v>
      </c>
      <c r="H28" s="140">
        <v>240</v>
      </c>
      <c r="I28" s="143">
        <f>ROUND($H28*G28,0)</f>
        <v>1018</v>
      </c>
      <c r="J28" s="151">
        <f>ROUND(+G28*$L$10,2)</f>
        <v>0.2</v>
      </c>
      <c r="K28" s="143">
        <f>ROUND($H28*J28,0)</f>
        <v>48</v>
      </c>
      <c r="L28" s="126"/>
      <c r="M28" s="150"/>
      <c r="N28" s="249" t="str">
        <f t="shared" ref="N28:N30" si="1">+$N$25</f>
        <v>Sheet No. 95-A</v>
      </c>
      <c r="O28" s="233"/>
      <c r="P28" s="233"/>
      <c r="Q28" s="126"/>
      <c r="R28" s="126"/>
      <c r="S28" s="126"/>
      <c r="T28" s="126"/>
    </row>
    <row r="29" spans="1:20" x14ac:dyDescent="0.2">
      <c r="A29" s="226">
        <f t="shared" si="0"/>
        <v>20</v>
      </c>
      <c r="B29" s="148">
        <f>+B28</f>
        <v>50</v>
      </c>
      <c r="C29" s="153" t="s">
        <v>18</v>
      </c>
      <c r="D29" s="154">
        <v>400</v>
      </c>
      <c r="E29" s="150">
        <v>3.3</v>
      </c>
      <c r="F29" s="150">
        <v>6.39</v>
      </c>
      <c r="G29" s="150">
        <f>SUM(E29:F29)</f>
        <v>9.69</v>
      </c>
      <c r="H29" s="140">
        <v>246</v>
      </c>
      <c r="I29" s="143">
        <f>ROUND($H29*G29,0)</f>
        <v>2384</v>
      </c>
      <c r="J29" s="151">
        <f>ROUND(+G29*$L$10,2)</f>
        <v>0.45</v>
      </c>
      <c r="K29" s="143">
        <f>ROUND($H29*J29,0)</f>
        <v>111</v>
      </c>
      <c r="L29" s="126"/>
      <c r="M29" s="150"/>
      <c r="N29" s="249" t="str">
        <f t="shared" si="1"/>
        <v>Sheet No. 95-A</v>
      </c>
      <c r="O29" s="233"/>
      <c r="P29" s="233"/>
      <c r="Q29" s="126"/>
      <c r="R29" s="126"/>
      <c r="S29" s="126"/>
      <c r="T29" s="126"/>
    </row>
    <row r="30" spans="1:20" x14ac:dyDescent="0.2">
      <c r="A30" s="226">
        <f t="shared" si="0"/>
        <v>21</v>
      </c>
      <c r="B30" s="148">
        <f>+B29</f>
        <v>50</v>
      </c>
      <c r="C30" s="153" t="s">
        <v>18</v>
      </c>
      <c r="D30" s="154">
        <v>700</v>
      </c>
      <c r="E30" s="150">
        <v>5.77</v>
      </c>
      <c r="F30" s="150">
        <v>11.19</v>
      </c>
      <c r="G30" s="150">
        <f>SUM(E30:F30)</f>
        <v>16.96</v>
      </c>
      <c r="H30" s="140">
        <v>0</v>
      </c>
      <c r="I30" s="143">
        <f>ROUND($H30*G30,0)</f>
        <v>0</v>
      </c>
      <c r="J30" s="151">
        <f>ROUND(+G30*$L$10,2)</f>
        <v>0.78</v>
      </c>
      <c r="K30" s="143">
        <f>ROUND($H30*J30,0)</f>
        <v>0</v>
      </c>
      <c r="L30" s="126"/>
      <c r="M30" s="150"/>
      <c r="N30" s="249" t="str">
        <f t="shared" si="1"/>
        <v>Sheet No. 95-A</v>
      </c>
      <c r="O30" s="233"/>
      <c r="P30" s="233"/>
      <c r="Q30" s="126"/>
      <c r="R30" s="126"/>
      <c r="S30" s="126"/>
      <c r="T30" s="126"/>
    </row>
    <row r="31" spans="1:20" x14ac:dyDescent="0.2">
      <c r="A31" s="226">
        <f t="shared" si="0"/>
        <v>22</v>
      </c>
      <c r="B31" s="155"/>
      <c r="C31" s="156"/>
      <c r="D31" s="139"/>
      <c r="E31" s="150"/>
      <c r="F31" s="150"/>
      <c r="G31" s="150"/>
      <c r="H31" s="140"/>
      <c r="I31" s="140"/>
      <c r="J31" s="151"/>
      <c r="K31" s="140"/>
      <c r="L31" s="126"/>
      <c r="M31" s="150"/>
      <c r="N31" s="150"/>
      <c r="O31" s="233"/>
      <c r="P31" s="233"/>
      <c r="Q31" s="126"/>
      <c r="R31" s="126"/>
      <c r="S31" s="126"/>
      <c r="T31" s="126"/>
    </row>
    <row r="32" spans="1:20" x14ac:dyDescent="0.2">
      <c r="A32" s="226">
        <f t="shared" si="0"/>
        <v>23</v>
      </c>
      <c r="B32" s="155" t="s">
        <v>205</v>
      </c>
      <c r="C32" s="156"/>
      <c r="D32" s="139"/>
      <c r="E32" s="150"/>
      <c r="F32" s="150"/>
      <c r="G32" s="150"/>
      <c r="H32" s="140"/>
      <c r="I32" s="140"/>
      <c r="J32" s="151"/>
      <c r="K32" s="140"/>
      <c r="L32" s="126"/>
      <c r="M32" s="150"/>
      <c r="N32" s="150"/>
      <c r="O32" s="233"/>
      <c r="P32" s="233"/>
      <c r="Q32" s="126"/>
      <c r="R32" s="126"/>
      <c r="S32" s="126"/>
      <c r="T32" s="126"/>
    </row>
    <row r="33" spans="1:20" x14ac:dyDescent="0.2">
      <c r="A33" s="226">
        <f t="shared" si="0"/>
        <v>24</v>
      </c>
      <c r="B33" s="148" t="s">
        <v>206</v>
      </c>
      <c r="C33" s="153" t="s">
        <v>207</v>
      </c>
      <c r="D33" s="154" t="s">
        <v>208</v>
      </c>
      <c r="E33" s="150">
        <v>0.37</v>
      </c>
      <c r="F33" s="150">
        <v>0.72</v>
      </c>
      <c r="G33" s="150">
        <f t="shared" ref="G33:G41" si="2">SUM(E33:F33)</f>
        <v>1.0899999999999999</v>
      </c>
      <c r="H33" s="140">
        <v>45401</v>
      </c>
      <c r="I33" s="143">
        <f t="shared" ref="I33:I41" si="3">ROUND($H33*G33,0)</f>
        <v>49487</v>
      </c>
      <c r="J33" s="151">
        <f t="shared" ref="J33:J41" si="4">ROUND(+G33*$L$10,2)</f>
        <v>0.05</v>
      </c>
      <c r="K33" s="143">
        <f t="shared" ref="K33:K41" si="5">ROUND($H33*J33,0)</f>
        <v>2270</v>
      </c>
      <c r="L33" s="126"/>
      <c r="M33" s="150"/>
      <c r="N33" s="249" t="s">
        <v>264</v>
      </c>
      <c r="O33" s="233"/>
      <c r="P33" s="233"/>
      <c r="Q33" s="126"/>
      <c r="R33" s="126"/>
      <c r="S33" s="126"/>
      <c r="T33" s="126"/>
    </row>
    <row r="34" spans="1:20" x14ac:dyDescent="0.2">
      <c r="A34" s="226">
        <f t="shared" si="0"/>
        <v>25</v>
      </c>
      <c r="B34" s="148" t="s">
        <v>206</v>
      </c>
      <c r="C34" s="153" t="s">
        <v>207</v>
      </c>
      <c r="D34" s="154" t="s">
        <v>209</v>
      </c>
      <c r="E34" s="150">
        <v>0.62</v>
      </c>
      <c r="F34" s="150">
        <v>1.2</v>
      </c>
      <c r="G34" s="150">
        <f t="shared" si="2"/>
        <v>1.8199999999999998</v>
      </c>
      <c r="H34" s="140">
        <v>24041</v>
      </c>
      <c r="I34" s="143">
        <f t="shared" si="3"/>
        <v>43755</v>
      </c>
      <c r="J34" s="151">
        <f t="shared" si="4"/>
        <v>0.08</v>
      </c>
      <c r="K34" s="143">
        <f t="shared" si="5"/>
        <v>1923</v>
      </c>
      <c r="L34" s="126"/>
      <c r="M34" s="150"/>
      <c r="N34" s="249" t="str">
        <f>+$N$33</f>
        <v>Sheet No. 95-C.1</v>
      </c>
      <c r="O34" s="233"/>
      <c r="P34" s="233"/>
      <c r="Q34" s="126"/>
      <c r="R34" s="126"/>
      <c r="S34" s="126"/>
      <c r="T34" s="126"/>
    </row>
    <row r="35" spans="1:20" x14ac:dyDescent="0.2">
      <c r="A35" s="226">
        <f t="shared" si="0"/>
        <v>26</v>
      </c>
      <c r="B35" s="148" t="s">
        <v>206</v>
      </c>
      <c r="C35" s="153" t="s">
        <v>207</v>
      </c>
      <c r="D35" s="154" t="s">
        <v>210</v>
      </c>
      <c r="E35" s="150">
        <v>0.87</v>
      </c>
      <c r="F35" s="150">
        <v>1.68</v>
      </c>
      <c r="G35" s="150">
        <f t="shared" si="2"/>
        <v>2.5499999999999998</v>
      </c>
      <c r="H35" s="140">
        <v>11000</v>
      </c>
      <c r="I35" s="143">
        <f t="shared" si="3"/>
        <v>28050</v>
      </c>
      <c r="J35" s="151">
        <f t="shared" si="4"/>
        <v>0.12</v>
      </c>
      <c r="K35" s="143">
        <f t="shared" si="5"/>
        <v>1320</v>
      </c>
      <c r="L35" s="126"/>
      <c r="M35" s="150"/>
      <c r="N35" s="249" t="str">
        <f t="shared" ref="N35:N37" si="6">+$N$33</f>
        <v>Sheet No. 95-C.1</v>
      </c>
      <c r="O35" s="233"/>
      <c r="P35" s="233"/>
      <c r="Q35" s="126"/>
      <c r="R35" s="126"/>
      <c r="S35" s="126"/>
      <c r="T35" s="126"/>
    </row>
    <row r="36" spans="1:20" x14ac:dyDescent="0.2">
      <c r="A36" s="226">
        <f t="shared" si="0"/>
        <v>27</v>
      </c>
      <c r="B36" s="148" t="s">
        <v>206</v>
      </c>
      <c r="C36" s="153" t="s">
        <v>207</v>
      </c>
      <c r="D36" s="154" t="s">
        <v>211</v>
      </c>
      <c r="E36" s="150">
        <v>1.1100000000000001</v>
      </c>
      <c r="F36" s="150">
        <v>2.16</v>
      </c>
      <c r="G36" s="150">
        <f t="shared" si="2"/>
        <v>3.2700000000000005</v>
      </c>
      <c r="H36" s="140">
        <v>5104</v>
      </c>
      <c r="I36" s="143">
        <f t="shared" si="3"/>
        <v>16690</v>
      </c>
      <c r="J36" s="151">
        <f t="shared" si="4"/>
        <v>0.15</v>
      </c>
      <c r="K36" s="143">
        <f t="shared" si="5"/>
        <v>766</v>
      </c>
      <c r="L36" s="126"/>
      <c r="M36" s="150"/>
      <c r="N36" s="249" t="str">
        <f t="shared" si="6"/>
        <v>Sheet No. 95-C.1</v>
      </c>
      <c r="O36" s="233"/>
      <c r="P36" s="233"/>
      <c r="Q36" s="126"/>
      <c r="R36" s="126"/>
      <c r="S36" s="126"/>
      <c r="T36" s="126"/>
    </row>
    <row r="37" spans="1:20" x14ac:dyDescent="0.2">
      <c r="A37" s="226">
        <f t="shared" si="0"/>
        <v>28</v>
      </c>
      <c r="B37" s="148" t="s">
        <v>206</v>
      </c>
      <c r="C37" s="153" t="s">
        <v>207</v>
      </c>
      <c r="D37" s="154" t="s">
        <v>212</v>
      </c>
      <c r="E37" s="150">
        <v>1.36</v>
      </c>
      <c r="F37" s="150">
        <v>2.64</v>
      </c>
      <c r="G37" s="150">
        <f t="shared" si="2"/>
        <v>4</v>
      </c>
      <c r="H37" s="140">
        <v>705</v>
      </c>
      <c r="I37" s="143">
        <f t="shared" si="3"/>
        <v>2820</v>
      </c>
      <c r="J37" s="151">
        <f t="shared" si="4"/>
        <v>0.18</v>
      </c>
      <c r="K37" s="143">
        <f t="shared" si="5"/>
        <v>127</v>
      </c>
      <c r="L37" s="126"/>
      <c r="M37" s="150"/>
      <c r="N37" s="249" t="str">
        <f t="shared" si="6"/>
        <v>Sheet No. 95-C.1</v>
      </c>
      <c r="O37" s="233"/>
      <c r="P37" s="233"/>
      <c r="Q37" s="126"/>
      <c r="R37" s="126"/>
      <c r="S37" s="126"/>
      <c r="T37" s="126"/>
    </row>
    <row r="38" spans="1:20" x14ac:dyDescent="0.2">
      <c r="A38" s="226">
        <f t="shared" si="0"/>
        <v>29</v>
      </c>
      <c r="B38" s="148" t="s">
        <v>206</v>
      </c>
      <c r="C38" s="153" t="s">
        <v>207</v>
      </c>
      <c r="D38" s="154" t="s">
        <v>213</v>
      </c>
      <c r="E38" s="150">
        <v>1.61</v>
      </c>
      <c r="F38" s="150">
        <v>3.12</v>
      </c>
      <c r="G38" s="150">
        <f t="shared" si="2"/>
        <v>4.7300000000000004</v>
      </c>
      <c r="H38" s="140">
        <v>2412</v>
      </c>
      <c r="I38" s="143">
        <f t="shared" si="3"/>
        <v>11409</v>
      </c>
      <c r="J38" s="151">
        <f t="shared" si="4"/>
        <v>0.22</v>
      </c>
      <c r="K38" s="143">
        <f t="shared" si="5"/>
        <v>531</v>
      </c>
      <c r="L38" s="126"/>
      <c r="M38" s="150"/>
      <c r="N38" s="249" t="s">
        <v>265</v>
      </c>
      <c r="O38" s="233"/>
      <c r="P38" s="233"/>
      <c r="Q38" s="126"/>
      <c r="R38" s="126"/>
      <c r="S38" s="126"/>
      <c r="T38" s="126"/>
    </row>
    <row r="39" spans="1:20" x14ac:dyDescent="0.2">
      <c r="A39" s="226">
        <f t="shared" si="0"/>
        <v>30</v>
      </c>
      <c r="B39" s="148" t="s">
        <v>206</v>
      </c>
      <c r="C39" s="153" t="s">
        <v>207</v>
      </c>
      <c r="D39" s="154" t="s">
        <v>214</v>
      </c>
      <c r="E39" s="150">
        <v>1.85</v>
      </c>
      <c r="F39" s="150">
        <v>3.6</v>
      </c>
      <c r="G39" s="150">
        <f t="shared" si="2"/>
        <v>5.45</v>
      </c>
      <c r="H39" s="140">
        <v>696</v>
      </c>
      <c r="I39" s="143">
        <f t="shared" si="3"/>
        <v>3793</v>
      </c>
      <c r="J39" s="151">
        <f t="shared" si="4"/>
        <v>0.25</v>
      </c>
      <c r="K39" s="143">
        <f t="shared" si="5"/>
        <v>174</v>
      </c>
      <c r="L39" s="126"/>
      <c r="M39" s="150"/>
      <c r="N39" s="249" t="str">
        <f>+$N$38</f>
        <v>Sheet No. 95-C.2</v>
      </c>
      <c r="O39" s="233"/>
      <c r="P39" s="233"/>
      <c r="Q39" s="126"/>
      <c r="R39" s="126"/>
      <c r="S39" s="126"/>
      <c r="T39" s="126"/>
    </row>
    <row r="40" spans="1:20" x14ac:dyDescent="0.2">
      <c r="A40" s="226">
        <f t="shared" si="0"/>
        <v>31</v>
      </c>
      <c r="B40" s="148" t="s">
        <v>206</v>
      </c>
      <c r="C40" s="153" t="s">
        <v>207</v>
      </c>
      <c r="D40" s="154" t="s">
        <v>215</v>
      </c>
      <c r="E40" s="150">
        <v>2.1</v>
      </c>
      <c r="F40" s="150">
        <v>4.08</v>
      </c>
      <c r="G40" s="150">
        <f t="shared" si="2"/>
        <v>6.18</v>
      </c>
      <c r="H40" s="140">
        <v>108</v>
      </c>
      <c r="I40" s="143">
        <f t="shared" si="3"/>
        <v>667</v>
      </c>
      <c r="J40" s="151">
        <f t="shared" si="4"/>
        <v>0.28999999999999998</v>
      </c>
      <c r="K40" s="143">
        <f t="shared" si="5"/>
        <v>31</v>
      </c>
      <c r="L40" s="126"/>
      <c r="M40" s="150"/>
      <c r="N40" s="249" t="str">
        <f>+$N$38</f>
        <v>Sheet No. 95-C.2</v>
      </c>
      <c r="O40" s="233"/>
      <c r="P40" s="233"/>
      <c r="Q40" s="126"/>
      <c r="R40" s="126"/>
      <c r="S40" s="126"/>
      <c r="T40" s="126"/>
    </row>
    <row r="41" spans="1:20" x14ac:dyDescent="0.2">
      <c r="A41" s="226">
        <f t="shared" si="0"/>
        <v>32</v>
      </c>
      <c r="B41" s="148" t="s">
        <v>206</v>
      </c>
      <c r="C41" s="153" t="s">
        <v>207</v>
      </c>
      <c r="D41" s="154" t="s">
        <v>216</v>
      </c>
      <c r="E41" s="150">
        <v>2.35</v>
      </c>
      <c r="F41" s="150">
        <v>4.55</v>
      </c>
      <c r="G41" s="150">
        <f t="shared" si="2"/>
        <v>6.9</v>
      </c>
      <c r="H41" s="140">
        <v>949</v>
      </c>
      <c r="I41" s="143">
        <f t="shared" si="3"/>
        <v>6548</v>
      </c>
      <c r="J41" s="151">
        <f t="shared" si="4"/>
        <v>0.32</v>
      </c>
      <c r="K41" s="143">
        <f t="shared" si="5"/>
        <v>304</v>
      </c>
      <c r="L41" s="126"/>
      <c r="M41" s="150"/>
      <c r="N41" s="249" t="str">
        <f>+$N$38</f>
        <v>Sheet No. 95-C.2</v>
      </c>
      <c r="O41" s="233"/>
      <c r="P41" s="233"/>
      <c r="Q41" s="126"/>
      <c r="R41" s="126"/>
      <c r="S41" s="126"/>
      <c r="T41" s="126"/>
    </row>
    <row r="42" spans="1:20" x14ac:dyDescent="0.2">
      <c r="A42" s="226">
        <f t="shared" si="0"/>
        <v>33</v>
      </c>
      <c r="B42" s="155"/>
      <c r="C42" s="139"/>
      <c r="D42" s="139"/>
      <c r="E42" s="150"/>
      <c r="F42" s="150"/>
      <c r="G42" s="150"/>
      <c r="H42" s="140"/>
      <c r="I42" s="140"/>
      <c r="J42" s="151"/>
      <c r="K42" s="140"/>
      <c r="L42" s="126"/>
      <c r="M42" s="150"/>
      <c r="N42" s="150"/>
      <c r="O42" s="233"/>
      <c r="P42" s="233"/>
      <c r="Q42" s="126"/>
      <c r="R42" s="126"/>
      <c r="S42" s="126"/>
      <c r="T42" s="126"/>
    </row>
    <row r="43" spans="1:20" x14ac:dyDescent="0.2">
      <c r="A43" s="226">
        <f t="shared" si="0"/>
        <v>34</v>
      </c>
      <c r="B43" s="155" t="s">
        <v>217</v>
      </c>
      <c r="C43" s="139"/>
      <c r="D43" s="139"/>
      <c r="E43" s="150"/>
      <c r="F43" s="150"/>
      <c r="G43" s="150"/>
      <c r="H43" s="140"/>
      <c r="I43" s="140"/>
      <c r="J43" s="151"/>
      <c r="K43" s="140"/>
      <c r="L43" s="126"/>
      <c r="M43" s="150"/>
      <c r="N43" s="150"/>
      <c r="O43" s="233"/>
      <c r="P43" s="233"/>
      <c r="Q43" s="126"/>
      <c r="R43" s="126"/>
      <c r="S43" s="126"/>
      <c r="T43" s="126"/>
    </row>
    <row r="44" spans="1:20" x14ac:dyDescent="0.2">
      <c r="A44" s="226">
        <f t="shared" si="0"/>
        <v>35</v>
      </c>
      <c r="B44" s="148" t="s">
        <v>218</v>
      </c>
      <c r="C44" s="157" t="s">
        <v>19</v>
      </c>
      <c r="D44" s="157">
        <v>50</v>
      </c>
      <c r="E44" s="150">
        <v>0.41</v>
      </c>
      <c r="F44" s="150">
        <v>0.8</v>
      </c>
      <c r="G44" s="150">
        <f t="shared" ref="G44:G51" si="7">SUM(E44:F44)</f>
        <v>1.21</v>
      </c>
      <c r="H44" s="140">
        <v>0</v>
      </c>
      <c r="I44" s="143">
        <f t="shared" ref="I44:I51" si="8">ROUND($H44*G44,0)</f>
        <v>0</v>
      </c>
      <c r="J44" s="151">
        <f t="shared" ref="J44:J51" si="9">ROUND(+G44*$L$10,2)</f>
        <v>0.06</v>
      </c>
      <c r="K44" s="143">
        <f t="shared" ref="K44:K51" si="10">ROUND($H44*J44,0)</f>
        <v>0</v>
      </c>
      <c r="L44" s="126"/>
      <c r="M44" s="150"/>
      <c r="N44" s="249" t="s">
        <v>262</v>
      </c>
      <c r="O44" s="233"/>
      <c r="P44" s="233"/>
      <c r="Q44" s="126"/>
      <c r="R44" s="126"/>
      <c r="S44" s="126"/>
      <c r="T44" s="126"/>
    </row>
    <row r="45" spans="1:20" x14ac:dyDescent="0.2">
      <c r="A45" s="226">
        <f t="shared" si="0"/>
        <v>36</v>
      </c>
      <c r="B45" s="148" t="str">
        <f t="shared" ref="B45:B51" si="11">+B44</f>
        <v xml:space="preserve">52E </v>
      </c>
      <c r="C45" s="157" t="s">
        <v>19</v>
      </c>
      <c r="D45" s="157">
        <v>70</v>
      </c>
      <c r="E45" s="150">
        <v>0.57999999999999996</v>
      </c>
      <c r="F45" s="150">
        <v>1.1200000000000001</v>
      </c>
      <c r="G45" s="150">
        <f t="shared" si="7"/>
        <v>1.7000000000000002</v>
      </c>
      <c r="H45" s="140">
        <v>8251</v>
      </c>
      <c r="I45" s="143">
        <f t="shared" si="8"/>
        <v>14027</v>
      </c>
      <c r="J45" s="151">
        <f t="shared" si="9"/>
        <v>0.08</v>
      </c>
      <c r="K45" s="143">
        <f t="shared" si="10"/>
        <v>660</v>
      </c>
      <c r="L45" s="126"/>
      <c r="M45" s="150"/>
      <c r="N45" s="249" t="str">
        <f>+$N$44</f>
        <v>Sheet No. 95-B</v>
      </c>
      <c r="O45" s="233"/>
      <c r="P45" s="233"/>
      <c r="Q45" s="126"/>
      <c r="R45" s="126"/>
      <c r="S45" s="126"/>
      <c r="T45" s="126"/>
    </row>
    <row r="46" spans="1:20" x14ac:dyDescent="0.2">
      <c r="A46" s="226">
        <f t="shared" si="0"/>
        <v>37</v>
      </c>
      <c r="B46" s="148" t="str">
        <f t="shared" si="11"/>
        <v xml:space="preserve">52E </v>
      </c>
      <c r="C46" s="157" t="s">
        <v>19</v>
      </c>
      <c r="D46" s="157">
        <v>100</v>
      </c>
      <c r="E46" s="150">
        <v>0.82</v>
      </c>
      <c r="F46" s="150">
        <v>1.6</v>
      </c>
      <c r="G46" s="150">
        <f t="shared" si="7"/>
        <v>2.42</v>
      </c>
      <c r="H46" s="140">
        <v>117041</v>
      </c>
      <c r="I46" s="143">
        <f t="shared" si="8"/>
        <v>283239</v>
      </c>
      <c r="J46" s="151">
        <f t="shared" si="9"/>
        <v>0.11</v>
      </c>
      <c r="K46" s="143">
        <f t="shared" si="10"/>
        <v>12875</v>
      </c>
      <c r="L46" s="126"/>
      <c r="M46" s="150"/>
      <c r="N46" s="249" t="str">
        <f t="shared" ref="N46:N51" si="12">+$N$44</f>
        <v>Sheet No. 95-B</v>
      </c>
      <c r="O46" s="233"/>
      <c r="P46" s="233"/>
      <c r="Q46" s="126"/>
      <c r="R46" s="126"/>
      <c r="S46" s="126"/>
      <c r="T46" s="126"/>
    </row>
    <row r="47" spans="1:20" x14ac:dyDescent="0.2">
      <c r="A47" s="226">
        <f t="shared" si="0"/>
        <v>38</v>
      </c>
      <c r="B47" s="148" t="str">
        <f t="shared" si="11"/>
        <v xml:space="preserve">52E </v>
      </c>
      <c r="C47" s="157" t="s">
        <v>19</v>
      </c>
      <c r="D47" s="157">
        <v>150</v>
      </c>
      <c r="E47" s="150">
        <v>1.24</v>
      </c>
      <c r="F47" s="150">
        <v>2.4</v>
      </c>
      <c r="G47" s="150">
        <f t="shared" si="7"/>
        <v>3.6399999999999997</v>
      </c>
      <c r="H47" s="140">
        <v>54379</v>
      </c>
      <c r="I47" s="143">
        <f t="shared" si="8"/>
        <v>197940</v>
      </c>
      <c r="J47" s="151">
        <f t="shared" si="9"/>
        <v>0.17</v>
      </c>
      <c r="K47" s="143">
        <f t="shared" si="10"/>
        <v>9244</v>
      </c>
      <c r="L47" s="126"/>
      <c r="M47" s="150"/>
      <c r="N47" s="249" t="str">
        <f t="shared" si="12"/>
        <v>Sheet No. 95-B</v>
      </c>
      <c r="O47" s="233"/>
      <c r="P47" s="233"/>
      <c r="Q47" s="126"/>
      <c r="R47" s="126"/>
      <c r="S47" s="126"/>
      <c r="T47" s="126"/>
    </row>
    <row r="48" spans="1:20" x14ac:dyDescent="0.2">
      <c r="A48" s="226">
        <f t="shared" si="0"/>
        <v>39</v>
      </c>
      <c r="B48" s="148" t="str">
        <f t="shared" si="11"/>
        <v xml:space="preserve">52E </v>
      </c>
      <c r="C48" s="157" t="s">
        <v>19</v>
      </c>
      <c r="D48" s="157">
        <v>200</v>
      </c>
      <c r="E48" s="150">
        <v>1.65</v>
      </c>
      <c r="F48" s="150">
        <v>3.2</v>
      </c>
      <c r="G48" s="150">
        <f t="shared" si="7"/>
        <v>4.8499999999999996</v>
      </c>
      <c r="H48" s="140">
        <v>11734</v>
      </c>
      <c r="I48" s="143">
        <f t="shared" si="8"/>
        <v>56910</v>
      </c>
      <c r="J48" s="151">
        <f t="shared" si="9"/>
        <v>0.22</v>
      </c>
      <c r="K48" s="143">
        <f t="shared" si="10"/>
        <v>2581</v>
      </c>
      <c r="L48" s="126"/>
      <c r="M48" s="150"/>
      <c r="N48" s="249" t="str">
        <f t="shared" si="12"/>
        <v>Sheet No. 95-B</v>
      </c>
      <c r="O48" s="233"/>
      <c r="P48" s="233"/>
      <c r="Q48" s="126"/>
      <c r="R48" s="126"/>
      <c r="S48" s="126"/>
      <c r="T48" s="126"/>
    </row>
    <row r="49" spans="1:20" x14ac:dyDescent="0.2">
      <c r="A49" s="226">
        <f t="shared" si="0"/>
        <v>40</v>
      </c>
      <c r="B49" s="148" t="str">
        <f t="shared" si="11"/>
        <v xml:space="preserve">52E </v>
      </c>
      <c r="C49" s="157" t="s">
        <v>19</v>
      </c>
      <c r="D49" s="157">
        <v>250</v>
      </c>
      <c r="E49" s="150">
        <v>2.06</v>
      </c>
      <c r="F49" s="150">
        <v>4</v>
      </c>
      <c r="G49" s="150">
        <f t="shared" si="7"/>
        <v>6.0600000000000005</v>
      </c>
      <c r="H49" s="140">
        <v>16943</v>
      </c>
      <c r="I49" s="143">
        <f t="shared" si="8"/>
        <v>102675</v>
      </c>
      <c r="J49" s="151">
        <f t="shared" si="9"/>
        <v>0.28000000000000003</v>
      </c>
      <c r="K49" s="143">
        <f t="shared" si="10"/>
        <v>4744</v>
      </c>
      <c r="L49" s="126"/>
      <c r="M49" s="150"/>
      <c r="N49" s="249" t="str">
        <f t="shared" si="12"/>
        <v>Sheet No. 95-B</v>
      </c>
      <c r="O49" s="233"/>
      <c r="P49" s="233"/>
      <c r="Q49" s="126"/>
      <c r="R49" s="126"/>
      <c r="S49" s="126"/>
      <c r="T49" s="126"/>
    </row>
    <row r="50" spans="1:20" x14ac:dyDescent="0.2">
      <c r="A50" s="226">
        <f t="shared" si="0"/>
        <v>41</v>
      </c>
      <c r="B50" s="148" t="str">
        <f t="shared" si="11"/>
        <v xml:space="preserve">52E </v>
      </c>
      <c r="C50" s="157" t="s">
        <v>19</v>
      </c>
      <c r="D50" s="157">
        <v>310</v>
      </c>
      <c r="E50" s="150">
        <v>2.5499999999999998</v>
      </c>
      <c r="F50" s="150">
        <v>4.95</v>
      </c>
      <c r="G50" s="150">
        <f t="shared" si="7"/>
        <v>7.5</v>
      </c>
      <c r="H50" s="140">
        <v>1701</v>
      </c>
      <c r="I50" s="143">
        <f t="shared" si="8"/>
        <v>12758</v>
      </c>
      <c r="J50" s="151">
        <f t="shared" si="9"/>
        <v>0.35</v>
      </c>
      <c r="K50" s="143">
        <f t="shared" si="10"/>
        <v>595</v>
      </c>
      <c r="L50" s="126"/>
      <c r="M50" s="150"/>
      <c r="N50" s="249" t="str">
        <f t="shared" si="12"/>
        <v>Sheet No. 95-B</v>
      </c>
      <c r="O50" s="233"/>
      <c r="P50" s="233"/>
      <c r="Q50" s="126"/>
      <c r="R50" s="126"/>
      <c r="S50" s="126"/>
      <c r="T50" s="126"/>
    </row>
    <row r="51" spans="1:20" x14ac:dyDescent="0.2">
      <c r="A51" s="226">
        <f t="shared" si="0"/>
        <v>42</v>
      </c>
      <c r="B51" s="148" t="str">
        <f t="shared" si="11"/>
        <v xml:space="preserve">52E </v>
      </c>
      <c r="C51" s="157" t="s">
        <v>19</v>
      </c>
      <c r="D51" s="157">
        <v>400</v>
      </c>
      <c r="E51" s="150">
        <v>3.3</v>
      </c>
      <c r="F51" s="150">
        <v>6.39</v>
      </c>
      <c r="G51" s="150">
        <f t="shared" si="7"/>
        <v>9.69</v>
      </c>
      <c r="H51" s="140">
        <v>7125</v>
      </c>
      <c r="I51" s="143">
        <f t="shared" si="8"/>
        <v>69041</v>
      </c>
      <c r="J51" s="151">
        <f t="shared" si="9"/>
        <v>0.45</v>
      </c>
      <c r="K51" s="143">
        <f t="shared" si="10"/>
        <v>3206</v>
      </c>
      <c r="L51" s="126"/>
      <c r="M51" s="150"/>
      <c r="N51" s="249" t="str">
        <f t="shared" si="12"/>
        <v>Sheet No. 95-B</v>
      </c>
      <c r="O51" s="233"/>
      <c r="P51" s="233"/>
      <c r="Q51" s="126"/>
      <c r="R51" s="126"/>
      <c r="S51" s="126"/>
      <c r="T51" s="126"/>
    </row>
    <row r="52" spans="1:20" x14ac:dyDescent="0.2">
      <c r="A52" s="226">
        <f t="shared" si="0"/>
        <v>43</v>
      </c>
      <c r="B52" s="158"/>
      <c r="C52" s="157"/>
      <c r="D52" s="157"/>
      <c r="E52" s="150"/>
      <c r="F52" s="150"/>
      <c r="G52" s="150"/>
      <c r="H52" s="140"/>
      <c r="I52" s="140"/>
      <c r="J52" s="151"/>
      <c r="K52" s="140"/>
      <c r="L52" s="126"/>
      <c r="M52" s="150"/>
      <c r="N52" s="150"/>
      <c r="O52" s="233"/>
      <c r="P52" s="233"/>
      <c r="Q52" s="126"/>
      <c r="R52" s="126"/>
      <c r="S52" s="126"/>
      <c r="T52" s="126"/>
    </row>
    <row r="53" spans="1:20" x14ac:dyDescent="0.2">
      <c r="A53" s="226">
        <f t="shared" si="0"/>
        <v>44</v>
      </c>
      <c r="B53" s="148" t="str">
        <f>+B48</f>
        <v xml:space="preserve">52E </v>
      </c>
      <c r="C53" s="157" t="s">
        <v>219</v>
      </c>
      <c r="D53" s="157">
        <v>70</v>
      </c>
      <c r="E53" s="150">
        <v>0.57999999999999996</v>
      </c>
      <c r="F53" s="150">
        <v>1.1200000000000001</v>
      </c>
      <c r="G53" s="150">
        <f t="shared" ref="G53:G59" si="13">SUM(E53:F53)</f>
        <v>1.7000000000000002</v>
      </c>
      <c r="H53" s="140">
        <v>840</v>
      </c>
      <c r="I53" s="143">
        <f t="shared" ref="I53:I59" si="14">ROUND($H53*G53,0)</f>
        <v>1428</v>
      </c>
      <c r="J53" s="151">
        <f t="shared" ref="J53:J59" si="15">ROUND(+G53*$L$10,2)</f>
        <v>0.08</v>
      </c>
      <c r="K53" s="143">
        <f t="shared" ref="K53:K59" si="16">ROUND($H53*J53,0)</f>
        <v>67</v>
      </c>
      <c r="L53" s="126"/>
      <c r="M53" s="150"/>
      <c r="N53" s="249" t="str">
        <f t="shared" ref="N53:N59" si="17">+$N$44</f>
        <v>Sheet No. 95-B</v>
      </c>
      <c r="O53" s="233"/>
      <c r="P53" s="233"/>
      <c r="Q53" s="126"/>
      <c r="R53" s="126"/>
      <c r="S53" s="126"/>
      <c r="T53" s="126"/>
    </row>
    <row r="54" spans="1:20" x14ac:dyDescent="0.2">
      <c r="A54" s="226">
        <f t="shared" si="0"/>
        <v>45</v>
      </c>
      <c r="B54" s="148" t="str">
        <f>+B49</f>
        <v xml:space="preserve">52E </v>
      </c>
      <c r="C54" s="157" t="s">
        <v>219</v>
      </c>
      <c r="D54" s="157">
        <v>100</v>
      </c>
      <c r="E54" s="150">
        <v>0.82</v>
      </c>
      <c r="F54" s="150">
        <v>1.6</v>
      </c>
      <c r="G54" s="150">
        <f t="shared" si="13"/>
        <v>2.42</v>
      </c>
      <c r="H54" s="140">
        <v>48</v>
      </c>
      <c r="I54" s="143">
        <f t="shared" si="14"/>
        <v>116</v>
      </c>
      <c r="J54" s="151">
        <f t="shared" si="15"/>
        <v>0.11</v>
      </c>
      <c r="K54" s="143">
        <f t="shared" si="16"/>
        <v>5</v>
      </c>
      <c r="L54" s="126"/>
      <c r="M54" s="150"/>
      <c r="N54" s="249" t="str">
        <f t="shared" si="17"/>
        <v>Sheet No. 95-B</v>
      </c>
      <c r="O54" s="233"/>
      <c r="P54" s="233"/>
      <c r="Q54" s="126"/>
      <c r="R54" s="126"/>
      <c r="S54" s="126"/>
      <c r="T54" s="126"/>
    </row>
    <row r="55" spans="1:20" x14ac:dyDescent="0.2">
      <c r="A55" s="226">
        <f t="shared" si="0"/>
        <v>46</v>
      </c>
      <c r="B55" s="148" t="str">
        <f>+B50</f>
        <v xml:space="preserve">52E </v>
      </c>
      <c r="C55" s="157" t="s">
        <v>219</v>
      </c>
      <c r="D55" s="157">
        <v>150</v>
      </c>
      <c r="E55" s="150">
        <v>1.24</v>
      </c>
      <c r="F55" s="150">
        <v>2.4</v>
      </c>
      <c r="G55" s="150">
        <f t="shared" si="13"/>
        <v>3.6399999999999997</v>
      </c>
      <c r="H55" s="140">
        <v>2452</v>
      </c>
      <c r="I55" s="143">
        <f t="shared" si="14"/>
        <v>8925</v>
      </c>
      <c r="J55" s="151">
        <f t="shared" si="15"/>
        <v>0.17</v>
      </c>
      <c r="K55" s="143">
        <f t="shared" si="16"/>
        <v>417</v>
      </c>
      <c r="L55" s="126"/>
      <c r="M55" s="150"/>
      <c r="N55" s="249" t="str">
        <f t="shared" si="17"/>
        <v>Sheet No. 95-B</v>
      </c>
      <c r="O55" s="233"/>
      <c r="P55" s="233"/>
      <c r="Q55" s="126"/>
      <c r="R55" s="126"/>
      <c r="S55" s="126"/>
      <c r="T55" s="126"/>
    </row>
    <row r="56" spans="1:20" x14ac:dyDescent="0.2">
      <c r="A56" s="226">
        <f t="shared" si="0"/>
        <v>47</v>
      </c>
      <c r="B56" s="148" t="str">
        <f>+B51</f>
        <v xml:space="preserve">52E </v>
      </c>
      <c r="C56" s="157" t="s">
        <v>219</v>
      </c>
      <c r="D56" s="157">
        <v>175</v>
      </c>
      <c r="E56" s="150">
        <v>1.44</v>
      </c>
      <c r="F56" s="150">
        <v>2.8</v>
      </c>
      <c r="G56" s="150">
        <f t="shared" si="13"/>
        <v>4.24</v>
      </c>
      <c r="H56" s="140">
        <v>2642</v>
      </c>
      <c r="I56" s="143">
        <f t="shared" si="14"/>
        <v>11202</v>
      </c>
      <c r="J56" s="151">
        <f t="shared" si="15"/>
        <v>0.2</v>
      </c>
      <c r="K56" s="143">
        <f t="shared" si="16"/>
        <v>528</v>
      </c>
      <c r="L56" s="126"/>
      <c r="M56" s="150"/>
      <c r="N56" s="249" t="str">
        <f t="shared" si="17"/>
        <v>Sheet No. 95-B</v>
      </c>
      <c r="O56" s="233"/>
      <c r="P56" s="233"/>
      <c r="Q56" s="126"/>
      <c r="R56" s="126"/>
      <c r="S56" s="126"/>
      <c r="T56" s="126"/>
    </row>
    <row r="57" spans="1:20" x14ac:dyDescent="0.2">
      <c r="A57" s="226">
        <f t="shared" si="0"/>
        <v>48</v>
      </c>
      <c r="B57" s="148" t="str">
        <f t="shared" ref="B57:C59" si="18">+B56</f>
        <v xml:space="preserve">52E </v>
      </c>
      <c r="C57" s="157" t="str">
        <f t="shared" si="18"/>
        <v>Metal Halide</v>
      </c>
      <c r="D57" s="157">
        <v>250</v>
      </c>
      <c r="E57" s="150">
        <v>2.06</v>
      </c>
      <c r="F57" s="150">
        <v>4</v>
      </c>
      <c r="G57" s="150">
        <f t="shared" si="13"/>
        <v>6.0600000000000005</v>
      </c>
      <c r="H57" s="140">
        <v>512</v>
      </c>
      <c r="I57" s="143">
        <f t="shared" si="14"/>
        <v>3103</v>
      </c>
      <c r="J57" s="151">
        <f t="shared" si="15"/>
        <v>0.28000000000000003</v>
      </c>
      <c r="K57" s="143">
        <f t="shared" si="16"/>
        <v>143</v>
      </c>
      <c r="L57" s="126"/>
      <c r="M57" s="150"/>
      <c r="N57" s="249" t="str">
        <f t="shared" si="17"/>
        <v>Sheet No. 95-B</v>
      </c>
      <c r="O57" s="233"/>
      <c r="P57" s="233"/>
      <c r="Q57" s="126"/>
      <c r="R57" s="126"/>
      <c r="S57" s="126"/>
      <c r="T57" s="126"/>
    </row>
    <row r="58" spans="1:20" x14ac:dyDescent="0.2">
      <c r="A58" s="226">
        <f t="shared" si="0"/>
        <v>49</v>
      </c>
      <c r="B58" s="148" t="str">
        <f t="shared" si="18"/>
        <v xml:space="preserve">52E </v>
      </c>
      <c r="C58" s="157" t="str">
        <f t="shared" si="18"/>
        <v>Metal Halide</v>
      </c>
      <c r="D58" s="157">
        <v>400</v>
      </c>
      <c r="E58" s="150">
        <v>3.3</v>
      </c>
      <c r="F58" s="150">
        <v>6.39</v>
      </c>
      <c r="G58" s="150">
        <f t="shared" si="13"/>
        <v>9.69</v>
      </c>
      <c r="H58" s="140">
        <v>684</v>
      </c>
      <c r="I58" s="143">
        <f t="shared" si="14"/>
        <v>6628</v>
      </c>
      <c r="J58" s="151">
        <f t="shared" si="15"/>
        <v>0.45</v>
      </c>
      <c r="K58" s="143">
        <f t="shared" si="16"/>
        <v>308</v>
      </c>
      <c r="L58" s="126"/>
      <c r="M58" s="150"/>
      <c r="N58" s="249" t="str">
        <f t="shared" si="17"/>
        <v>Sheet No. 95-B</v>
      </c>
      <c r="O58" s="233"/>
      <c r="P58" s="233"/>
      <c r="Q58" s="126"/>
      <c r="R58" s="126"/>
      <c r="S58" s="126"/>
      <c r="T58" s="126"/>
    </row>
    <row r="59" spans="1:20" x14ac:dyDescent="0.2">
      <c r="A59" s="226">
        <f t="shared" si="0"/>
        <v>50</v>
      </c>
      <c r="B59" s="148" t="str">
        <f t="shared" si="18"/>
        <v xml:space="preserve">52E </v>
      </c>
      <c r="C59" s="157" t="str">
        <f t="shared" si="18"/>
        <v>Metal Halide</v>
      </c>
      <c r="D59" s="157">
        <v>1000</v>
      </c>
      <c r="E59" s="150">
        <v>8.24</v>
      </c>
      <c r="F59" s="150">
        <v>15.98</v>
      </c>
      <c r="G59" s="150">
        <f t="shared" si="13"/>
        <v>24.22</v>
      </c>
      <c r="H59" s="140">
        <v>216</v>
      </c>
      <c r="I59" s="143">
        <f t="shared" si="14"/>
        <v>5232</v>
      </c>
      <c r="J59" s="151">
        <f t="shared" si="15"/>
        <v>1.1200000000000001</v>
      </c>
      <c r="K59" s="143">
        <f t="shared" si="16"/>
        <v>242</v>
      </c>
      <c r="L59" s="126"/>
      <c r="M59" s="150"/>
      <c r="N59" s="249" t="str">
        <f t="shared" si="17"/>
        <v>Sheet No. 95-B</v>
      </c>
      <c r="O59" s="233"/>
      <c r="P59" s="233"/>
      <c r="Q59" s="126"/>
      <c r="R59" s="126"/>
      <c r="S59" s="126"/>
      <c r="T59" s="126"/>
    </row>
    <row r="60" spans="1:20" x14ac:dyDescent="0.2">
      <c r="A60" s="226">
        <f t="shared" si="0"/>
        <v>51</v>
      </c>
      <c r="B60" s="155"/>
      <c r="C60" s="139"/>
      <c r="D60" s="139"/>
      <c r="E60" s="150"/>
      <c r="F60" s="150"/>
      <c r="G60" s="150"/>
      <c r="H60" s="140"/>
      <c r="I60" s="140"/>
      <c r="J60" s="151"/>
      <c r="K60" s="140"/>
      <c r="L60" s="126"/>
      <c r="M60" s="150"/>
      <c r="N60" s="150"/>
      <c r="O60" s="233"/>
      <c r="P60" s="233"/>
      <c r="Q60" s="126"/>
      <c r="R60" s="126"/>
      <c r="S60" s="126"/>
      <c r="T60" s="126"/>
    </row>
    <row r="61" spans="1:20" x14ac:dyDescent="0.2">
      <c r="A61" s="226">
        <f t="shared" si="0"/>
        <v>52</v>
      </c>
      <c r="B61" s="155" t="s">
        <v>220</v>
      </c>
      <c r="C61" s="139"/>
      <c r="D61" s="139"/>
      <c r="E61" s="150"/>
      <c r="F61" s="150"/>
      <c r="G61" s="150"/>
      <c r="H61" s="140"/>
      <c r="I61" s="140"/>
      <c r="J61" s="151"/>
      <c r="K61" s="140"/>
      <c r="L61" s="126"/>
      <c r="M61" s="150"/>
      <c r="N61" s="150"/>
      <c r="O61" s="233"/>
      <c r="P61" s="233"/>
      <c r="Q61" s="126"/>
      <c r="R61" s="126"/>
      <c r="S61" s="126"/>
      <c r="T61" s="126"/>
    </row>
    <row r="62" spans="1:20" x14ac:dyDescent="0.2">
      <c r="A62" s="226">
        <f t="shared" si="0"/>
        <v>53</v>
      </c>
      <c r="B62" s="148" t="s">
        <v>221</v>
      </c>
      <c r="C62" s="157" t="s">
        <v>19</v>
      </c>
      <c r="D62" s="157">
        <v>50</v>
      </c>
      <c r="E62" s="150">
        <v>0.41</v>
      </c>
      <c r="F62" s="150">
        <v>0.8</v>
      </c>
      <c r="G62" s="150">
        <f t="shared" ref="G62:G70" si="19">SUM(E62:F62)</f>
        <v>1.21</v>
      </c>
      <c r="H62" s="140">
        <v>0</v>
      </c>
      <c r="I62" s="143">
        <f t="shared" ref="I62:I70" si="20">ROUND($H62*G62,0)</f>
        <v>0</v>
      </c>
      <c r="J62" s="151">
        <f t="shared" ref="J62:J70" si="21">ROUND(+G62*$L$10,2)</f>
        <v>0.06</v>
      </c>
      <c r="K62" s="143">
        <f t="shared" ref="K62:K70" si="22">ROUND($H62*J62,0)</f>
        <v>0</v>
      </c>
      <c r="L62" s="126"/>
      <c r="M62" s="150"/>
      <c r="N62" s="249" t="str">
        <f t="shared" ref="N62:N70" si="23">+$N$44</f>
        <v>Sheet No. 95-B</v>
      </c>
      <c r="O62" s="233"/>
      <c r="P62" s="233"/>
      <c r="Q62" s="126"/>
      <c r="R62" s="126"/>
      <c r="S62" s="126"/>
      <c r="T62" s="126"/>
    </row>
    <row r="63" spans="1:20" x14ac:dyDescent="0.2">
      <c r="A63" s="226">
        <f t="shared" si="0"/>
        <v>54</v>
      </c>
      <c r="B63" s="148" t="str">
        <f t="shared" ref="B63:B70" si="24">+B62</f>
        <v xml:space="preserve">53E </v>
      </c>
      <c r="C63" s="157" t="s">
        <v>19</v>
      </c>
      <c r="D63" s="157">
        <v>70</v>
      </c>
      <c r="E63" s="150">
        <v>0.57999999999999996</v>
      </c>
      <c r="F63" s="150">
        <v>1.1200000000000001</v>
      </c>
      <c r="G63" s="150">
        <f t="shared" si="19"/>
        <v>1.7000000000000002</v>
      </c>
      <c r="H63" s="140">
        <v>49673</v>
      </c>
      <c r="I63" s="143">
        <f t="shared" si="20"/>
        <v>84444</v>
      </c>
      <c r="J63" s="151">
        <f t="shared" si="21"/>
        <v>0.08</v>
      </c>
      <c r="K63" s="143">
        <f t="shared" si="22"/>
        <v>3974</v>
      </c>
      <c r="L63" s="126"/>
      <c r="M63" s="150"/>
      <c r="N63" s="249" t="str">
        <f t="shared" si="23"/>
        <v>Sheet No. 95-B</v>
      </c>
      <c r="O63" s="233"/>
      <c r="P63" s="233"/>
      <c r="Q63" s="126"/>
      <c r="R63" s="126"/>
      <c r="S63" s="126"/>
      <c r="T63" s="126"/>
    </row>
    <row r="64" spans="1:20" x14ac:dyDescent="0.2">
      <c r="A64" s="226">
        <f t="shared" si="0"/>
        <v>55</v>
      </c>
      <c r="B64" s="148" t="str">
        <f t="shared" si="24"/>
        <v xml:space="preserve">53E </v>
      </c>
      <c r="C64" s="157" t="s">
        <v>19</v>
      </c>
      <c r="D64" s="157">
        <v>100</v>
      </c>
      <c r="E64" s="150">
        <v>0.82</v>
      </c>
      <c r="F64" s="150">
        <v>1.6</v>
      </c>
      <c r="G64" s="150">
        <f t="shared" si="19"/>
        <v>2.42</v>
      </c>
      <c r="H64" s="140">
        <v>367471</v>
      </c>
      <c r="I64" s="143">
        <f t="shared" si="20"/>
        <v>889280</v>
      </c>
      <c r="J64" s="151">
        <f t="shared" si="21"/>
        <v>0.11</v>
      </c>
      <c r="K64" s="143">
        <f t="shared" si="22"/>
        <v>40422</v>
      </c>
      <c r="L64" s="126"/>
      <c r="M64" s="150"/>
      <c r="N64" s="249" t="str">
        <f t="shared" si="23"/>
        <v>Sheet No. 95-B</v>
      </c>
      <c r="O64" s="233"/>
      <c r="P64" s="233"/>
      <c r="Q64" s="126"/>
      <c r="R64" s="126"/>
      <c r="S64" s="126"/>
      <c r="T64" s="126"/>
    </row>
    <row r="65" spans="1:20" x14ac:dyDescent="0.2">
      <c r="A65" s="226">
        <f t="shared" si="0"/>
        <v>56</v>
      </c>
      <c r="B65" s="148" t="str">
        <f t="shared" si="24"/>
        <v xml:space="preserve">53E </v>
      </c>
      <c r="C65" s="157" t="s">
        <v>19</v>
      </c>
      <c r="D65" s="157">
        <v>150</v>
      </c>
      <c r="E65" s="150">
        <v>1.24</v>
      </c>
      <c r="F65" s="150">
        <v>2.4</v>
      </c>
      <c r="G65" s="150">
        <f t="shared" si="19"/>
        <v>3.6399999999999997</v>
      </c>
      <c r="H65" s="140">
        <v>44772</v>
      </c>
      <c r="I65" s="143">
        <f t="shared" si="20"/>
        <v>162970</v>
      </c>
      <c r="J65" s="151">
        <f t="shared" si="21"/>
        <v>0.17</v>
      </c>
      <c r="K65" s="143">
        <f t="shared" si="22"/>
        <v>7611</v>
      </c>
      <c r="L65" s="126"/>
      <c r="M65" s="150"/>
      <c r="N65" s="249" t="str">
        <f t="shared" si="23"/>
        <v>Sheet No. 95-B</v>
      </c>
      <c r="O65" s="233"/>
      <c r="P65" s="233"/>
      <c r="Q65" s="126"/>
      <c r="R65" s="126"/>
      <c r="S65" s="126"/>
      <c r="T65" s="126"/>
    </row>
    <row r="66" spans="1:20" x14ac:dyDescent="0.2">
      <c r="A66" s="226">
        <f t="shared" si="0"/>
        <v>57</v>
      </c>
      <c r="B66" s="148" t="str">
        <f t="shared" si="24"/>
        <v xml:space="preserve">53E </v>
      </c>
      <c r="C66" s="157" t="s">
        <v>19</v>
      </c>
      <c r="D66" s="157">
        <v>200</v>
      </c>
      <c r="E66" s="150">
        <v>1.65</v>
      </c>
      <c r="F66" s="150">
        <v>3.2</v>
      </c>
      <c r="G66" s="150">
        <f t="shared" si="19"/>
        <v>4.8499999999999996</v>
      </c>
      <c r="H66" s="140">
        <v>62616</v>
      </c>
      <c r="I66" s="143">
        <f t="shared" si="20"/>
        <v>303688</v>
      </c>
      <c r="J66" s="151">
        <f t="shared" si="21"/>
        <v>0.22</v>
      </c>
      <c r="K66" s="143">
        <f t="shared" si="22"/>
        <v>13776</v>
      </c>
      <c r="L66" s="126"/>
      <c r="M66" s="150"/>
      <c r="N66" s="249" t="str">
        <f t="shared" si="23"/>
        <v>Sheet No. 95-B</v>
      </c>
      <c r="O66" s="233"/>
      <c r="P66" s="233"/>
      <c r="Q66" s="126"/>
      <c r="R66" s="126"/>
      <c r="S66" s="126"/>
      <c r="T66" s="126"/>
    </row>
    <row r="67" spans="1:20" x14ac:dyDescent="0.2">
      <c r="A67" s="226">
        <f t="shared" si="0"/>
        <v>58</v>
      </c>
      <c r="B67" s="148" t="str">
        <f t="shared" si="24"/>
        <v xml:space="preserve">53E </v>
      </c>
      <c r="C67" s="157" t="s">
        <v>19</v>
      </c>
      <c r="D67" s="157">
        <v>250</v>
      </c>
      <c r="E67" s="150">
        <v>2.06</v>
      </c>
      <c r="F67" s="150">
        <v>4</v>
      </c>
      <c r="G67" s="150">
        <f t="shared" si="19"/>
        <v>6.0600000000000005</v>
      </c>
      <c r="H67" s="140">
        <v>23311</v>
      </c>
      <c r="I67" s="143">
        <f t="shared" si="20"/>
        <v>141265</v>
      </c>
      <c r="J67" s="151">
        <f t="shared" si="21"/>
        <v>0.28000000000000003</v>
      </c>
      <c r="K67" s="143">
        <f t="shared" si="22"/>
        <v>6527</v>
      </c>
      <c r="L67" s="126"/>
      <c r="M67" s="150"/>
      <c r="N67" s="249" t="str">
        <f t="shared" si="23"/>
        <v>Sheet No. 95-B</v>
      </c>
      <c r="O67" s="233"/>
      <c r="P67" s="233"/>
      <c r="Q67" s="126"/>
      <c r="R67" s="126"/>
      <c r="S67" s="126"/>
      <c r="T67" s="126"/>
    </row>
    <row r="68" spans="1:20" x14ac:dyDescent="0.2">
      <c r="A68" s="226">
        <f t="shared" si="0"/>
        <v>59</v>
      </c>
      <c r="B68" s="148" t="str">
        <f t="shared" si="24"/>
        <v xml:space="preserve">53E </v>
      </c>
      <c r="C68" s="157" t="s">
        <v>19</v>
      </c>
      <c r="D68" s="157">
        <v>310</v>
      </c>
      <c r="E68" s="150">
        <v>2.5499999999999998</v>
      </c>
      <c r="F68" s="150">
        <v>4.95</v>
      </c>
      <c r="G68" s="150">
        <f t="shared" si="19"/>
        <v>7.5</v>
      </c>
      <c r="H68" s="140">
        <v>267</v>
      </c>
      <c r="I68" s="143">
        <f t="shared" si="20"/>
        <v>2003</v>
      </c>
      <c r="J68" s="151">
        <f t="shared" si="21"/>
        <v>0.35</v>
      </c>
      <c r="K68" s="143">
        <f t="shared" si="22"/>
        <v>93</v>
      </c>
      <c r="L68" s="126"/>
      <c r="M68" s="150"/>
      <c r="N68" s="249" t="str">
        <f t="shared" si="23"/>
        <v>Sheet No. 95-B</v>
      </c>
      <c r="O68" s="233"/>
      <c r="P68" s="233"/>
      <c r="Q68" s="126"/>
      <c r="R68" s="126"/>
      <c r="S68" s="126"/>
      <c r="T68" s="126"/>
    </row>
    <row r="69" spans="1:20" x14ac:dyDescent="0.2">
      <c r="A69" s="226">
        <f t="shared" si="0"/>
        <v>60</v>
      </c>
      <c r="B69" s="148" t="str">
        <f t="shared" si="24"/>
        <v xml:space="preserve">53E </v>
      </c>
      <c r="C69" s="157" t="s">
        <v>19</v>
      </c>
      <c r="D69" s="157">
        <v>400</v>
      </c>
      <c r="E69" s="150">
        <v>3.3</v>
      </c>
      <c r="F69" s="150">
        <v>6.39</v>
      </c>
      <c r="G69" s="150">
        <f t="shared" si="19"/>
        <v>9.69</v>
      </c>
      <c r="H69" s="140">
        <v>16480</v>
      </c>
      <c r="I69" s="143">
        <f t="shared" si="20"/>
        <v>159691</v>
      </c>
      <c r="J69" s="151">
        <f t="shared" si="21"/>
        <v>0.45</v>
      </c>
      <c r="K69" s="143">
        <f t="shared" si="22"/>
        <v>7416</v>
      </c>
      <c r="L69" s="126"/>
      <c r="M69" s="150"/>
      <c r="N69" s="249" t="str">
        <f t="shared" si="23"/>
        <v>Sheet No. 95-B</v>
      </c>
      <c r="O69" s="233"/>
      <c r="P69" s="233"/>
      <c r="Q69" s="126"/>
      <c r="R69" s="126"/>
      <c r="S69" s="126"/>
      <c r="T69" s="126"/>
    </row>
    <row r="70" spans="1:20" x14ac:dyDescent="0.2">
      <c r="A70" s="226">
        <f t="shared" si="0"/>
        <v>61</v>
      </c>
      <c r="B70" s="148" t="str">
        <f t="shared" si="24"/>
        <v xml:space="preserve">53E </v>
      </c>
      <c r="C70" s="157" t="s">
        <v>19</v>
      </c>
      <c r="D70" s="157">
        <v>1000</v>
      </c>
      <c r="E70" s="150">
        <v>8.24</v>
      </c>
      <c r="F70" s="150">
        <v>15.98</v>
      </c>
      <c r="G70" s="150">
        <f t="shared" si="19"/>
        <v>24.22</v>
      </c>
      <c r="H70" s="140">
        <v>0</v>
      </c>
      <c r="I70" s="143">
        <f t="shared" si="20"/>
        <v>0</v>
      </c>
      <c r="J70" s="151">
        <f t="shared" si="21"/>
        <v>1.1200000000000001</v>
      </c>
      <c r="K70" s="143">
        <f t="shared" si="22"/>
        <v>0</v>
      </c>
      <c r="L70" s="126"/>
      <c r="M70" s="150"/>
      <c r="N70" s="249" t="str">
        <f t="shared" si="23"/>
        <v>Sheet No. 95-B</v>
      </c>
      <c r="O70" s="233"/>
      <c r="P70" s="233"/>
      <c r="Q70" s="126"/>
      <c r="R70" s="126"/>
      <c r="S70" s="126"/>
      <c r="T70" s="126"/>
    </row>
    <row r="71" spans="1:20" x14ac:dyDescent="0.2">
      <c r="A71" s="226">
        <f t="shared" si="0"/>
        <v>62</v>
      </c>
      <c r="B71" s="148"/>
      <c r="C71" s="157"/>
      <c r="D71" s="157"/>
      <c r="E71" s="150"/>
      <c r="F71" s="150"/>
      <c r="G71" s="150"/>
      <c r="H71" s="140"/>
      <c r="I71" s="140"/>
      <c r="J71" s="151"/>
      <c r="K71" s="140"/>
      <c r="L71" s="126"/>
      <c r="M71" s="150"/>
      <c r="N71" s="150"/>
      <c r="O71" s="233"/>
      <c r="P71" s="233"/>
      <c r="Q71" s="126"/>
      <c r="R71" s="126"/>
      <c r="S71" s="126"/>
      <c r="T71" s="126"/>
    </row>
    <row r="72" spans="1:20" x14ac:dyDescent="0.2">
      <c r="A72" s="226">
        <f t="shared" si="0"/>
        <v>63</v>
      </c>
      <c r="B72" s="148" t="str">
        <f>+B70</f>
        <v xml:space="preserve">53E </v>
      </c>
      <c r="C72" s="157" t="s">
        <v>219</v>
      </c>
      <c r="D72" s="157">
        <v>70</v>
      </c>
      <c r="E72" s="150">
        <v>0.57999999999999996</v>
      </c>
      <c r="F72" s="150">
        <v>1.1200000000000001</v>
      </c>
      <c r="G72" s="150">
        <f t="shared" ref="G72:G77" si="25">SUM(E72:F72)</f>
        <v>1.7000000000000002</v>
      </c>
      <c r="H72" s="140">
        <v>0</v>
      </c>
      <c r="I72" s="143">
        <f t="shared" ref="I72:I77" si="26">ROUND($H72*G72,0)</f>
        <v>0</v>
      </c>
      <c r="J72" s="151">
        <f t="shared" ref="J72:J77" si="27">ROUND(+G72*$L$10,2)</f>
        <v>0.08</v>
      </c>
      <c r="K72" s="143">
        <f t="shared" ref="K72:K77" si="28">ROUND($H72*J72,0)</f>
        <v>0</v>
      </c>
      <c r="L72" s="126"/>
      <c r="M72" s="150"/>
      <c r="N72" s="249" t="s">
        <v>263</v>
      </c>
      <c r="O72" s="233"/>
      <c r="P72" s="233"/>
      <c r="Q72" s="126"/>
      <c r="R72" s="126"/>
      <c r="S72" s="126"/>
      <c r="T72" s="126"/>
    </row>
    <row r="73" spans="1:20" x14ac:dyDescent="0.2">
      <c r="A73" s="226">
        <f t="shared" si="0"/>
        <v>64</v>
      </c>
      <c r="B73" s="148" t="str">
        <f>+B72</f>
        <v xml:space="preserve">53E </v>
      </c>
      <c r="C73" s="157" t="s">
        <v>219</v>
      </c>
      <c r="D73" s="157">
        <v>100</v>
      </c>
      <c r="E73" s="150">
        <v>0.82</v>
      </c>
      <c r="F73" s="150">
        <v>1.6</v>
      </c>
      <c r="G73" s="150">
        <f t="shared" si="25"/>
        <v>2.42</v>
      </c>
      <c r="H73" s="140">
        <v>0</v>
      </c>
      <c r="I73" s="143">
        <f t="shared" si="26"/>
        <v>0</v>
      </c>
      <c r="J73" s="151">
        <f t="shared" si="27"/>
        <v>0.11</v>
      </c>
      <c r="K73" s="143">
        <f t="shared" si="28"/>
        <v>0</v>
      </c>
      <c r="L73" s="126"/>
      <c r="M73" s="150"/>
      <c r="N73" s="249" t="str">
        <f>+$N$72</f>
        <v>Sheet No. 95-C</v>
      </c>
      <c r="O73" s="233"/>
      <c r="P73" s="233"/>
      <c r="Q73" s="126"/>
      <c r="R73" s="126"/>
      <c r="S73" s="126"/>
      <c r="T73" s="126"/>
    </row>
    <row r="74" spans="1:20" x14ac:dyDescent="0.2">
      <c r="A74" s="226">
        <f t="shared" si="0"/>
        <v>65</v>
      </c>
      <c r="B74" s="148" t="str">
        <f>+B73</f>
        <v xml:space="preserve">53E </v>
      </c>
      <c r="C74" s="157" t="s">
        <v>219</v>
      </c>
      <c r="D74" s="157">
        <v>150</v>
      </c>
      <c r="E74" s="150">
        <v>1.24</v>
      </c>
      <c r="F74" s="150">
        <v>2.4</v>
      </c>
      <c r="G74" s="150">
        <f t="shared" si="25"/>
        <v>3.6399999999999997</v>
      </c>
      <c r="H74" s="140">
        <v>0</v>
      </c>
      <c r="I74" s="143">
        <f t="shared" si="26"/>
        <v>0</v>
      </c>
      <c r="J74" s="151">
        <f t="shared" si="27"/>
        <v>0.17</v>
      </c>
      <c r="K74" s="143">
        <f t="shared" si="28"/>
        <v>0</v>
      </c>
      <c r="L74" s="126"/>
      <c r="M74" s="150"/>
      <c r="N74" s="249" t="str">
        <f t="shared" ref="N74:N77" si="29">+$N$72</f>
        <v>Sheet No. 95-C</v>
      </c>
      <c r="O74" s="233"/>
      <c r="P74" s="233"/>
      <c r="Q74" s="126"/>
      <c r="R74" s="126"/>
      <c r="S74" s="126"/>
      <c r="T74" s="126"/>
    </row>
    <row r="75" spans="1:20" x14ac:dyDescent="0.2">
      <c r="A75" s="226">
        <f t="shared" si="0"/>
        <v>66</v>
      </c>
      <c r="B75" s="148" t="str">
        <f>+B74</f>
        <v xml:space="preserve">53E </v>
      </c>
      <c r="C75" s="157" t="s">
        <v>219</v>
      </c>
      <c r="D75" s="157">
        <v>175</v>
      </c>
      <c r="E75" s="150">
        <v>1.44</v>
      </c>
      <c r="F75" s="150">
        <v>2.8</v>
      </c>
      <c r="G75" s="150">
        <f t="shared" si="25"/>
        <v>4.24</v>
      </c>
      <c r="H75" s="140">
        <v>48</v>
      </c>
      <c r="I75" s="143">
        <f t="shared" si="26"/>
        <v>204</v>
      </c>
      <c r="J75" s="151">
        <f t="shared" si="27"/>
        <v>0.2</v>
      </c>
      <c r="K75" s="143">
        <f t="shared" si="28"/>
        <v>10</v>
      </c>
      <c r="L75" s="126"/>
      <c r="M75" s="150"/>
      <c r="N75" s="249" t="str">
        <f t="shared" si="29"/>
        <v>Sheet No. 95-C</v>
      </c>
      <c r="O75" s="233"/>
      <c r="P75" s="233"/>
      <c r="Q75" s="126"/>
      <c r="R75" s="126"/>
      <c r="S75" s="126"/>
      <c r="T75" s="126"/>
    </row>
    <row r="76" spans="1:20" x14ac:dyDescent="0.2">
      <c r="A76" s="226">
        <f t="shared" ref="A76:A139" si="30">+A75+1</f>
        <v>67</v>
      </c>
      <c r="B76" s="148" t="str">
        <f>+B75</f>
        <v xml:space="preserve">53E </v>
      </c>
      <c r="C76" s="157" t="s">
        <v>219</v>
      </c>
      <c r="D76" s="157">
        <v>250</v>
      </c>
      <c r="E76" s="150">
        <v>2.06</v>
      </c>
      <c r="F76" s="150">
        <v>4</v>
      </c>
      <c r="G76" s="150">
        <f t="shared" si="25"/>
        <v>6.0600000000000005</v>
      </c>
      <c r="H76" s="140">
        <v>0</v>
      </c>
      <c r="I76" s="143">
        <f t="shared" si="26"/>
        <v>0</v>
      </c>
      <c r="J76" s="151">
        <f t="shared" si="27"/>
        <v>0.28000000000000003</v>
      </c>
      <c r="K76" s="143">
        <f t="shared" si="28"/>
        <v>0</v>
      </c>
      <c r="L76" s="126"/>
      <c r="M76" s="150"/>
      <c r="N76" s="249" t="str">
        <f t="shared" si="29"/>
        <v>Sheet No. 95-C</v>
      </c>
      <c r="O76" s="233"/>
      <c r="P76" s="233"/>
      <c r="Q76" s="126"/>
      <c r="R76" s="126"/>
      <c r="S76" s="126"/>
      <c r="T76" s="126"/>
    </row>
    <row r="77" spans="1:20" x14ac:dyDescent="0.2">
      <c r="A77" s="226">
        <f t="shared" si="30"/>
        <v>68</v>
      </c>
      <c r="B77" s="148" t="str">
        <f>+B76</f>
        <v xml:space="preserve">53E </v>
      </c>
      <c r="C77" s="157" t="s">
        <v>219</v>
      </c>
      <c r="D77" s="157">
        <v>400</v>
      </c>
      <c r="E77" s="150">
        <v>3.3</v>
      </c>
      <c r="F77" s="150">
        <v>6.39</v>
      </c>
      <c r="G77" s="150">
        <f t="shared" si="25"/>
        <v>9.69</v>
      </c>
      <c r="H77" s="140">
        <v>0</v>
      </c>
      <c r="I77" s="143">
        <f t="shared" si="26"/>
        <v>0</v>
      </c>
      <c r="J77" s="151">
        <f t="shared" si="27"/>
        <v>0.45</v>
      </c>
      <c r="K77" s="143">
        <f t="shared" si="28"/>
        <v>0</v>
      </c>
      <c r="L77" s="126"/>
      <c r="M77" s="150"/>
      <c r="N77" s="249" t="str">
        <f t="shared" si="29"/>
        <v>Sheet No. 95-C</v>
      </c>
      <c r="O77" s="233"/>
      <c r="P77" s="233"/>
      <c r="Q77" s="126"/>
      <c r="R77" s="126"/>
      <c r="S77" s="126"/>
      <c r="T77" s="126"/>
    </row>
    <row r="78" spans="1:20" x14ac:dyDescent="0.2">
      <c r="A78" s="226">
        <f t="shared" si="30"/>
        <v>69</v>
      </c>
      <c r="B78" s="148"/>
      <c r="C78" s="157"/>
      <c r="D78" s="157"/>
      <c r="E78" s="150"/>
      <c r="F78" s="150"/>
      <c r="G78" s="150"/>
      <c r="H78" s="140"/>
      <c r="I78" s="140"/>
      <c r="J78" s="151"/>
      <c r="K78" s="140"/>
      <c r="L78" s="126"/>
      <c r="M78" s="150"/>
      <c r="N78" s="150"/>
      <c r="O78" s="233"/>
      <c r="P78" s="233"/>
      <c r="Q78" s="126"/>
      <c r="R78" s="126"/>
      <c r="S78" s="126"/>
      <c r="T78" s="126"/>
    </row>
    <row r="79" spans="1:20" x14ac:dyDescent="0.2">
      <c r="A79" s="226">
        <f t="shared" si="30"/>
        <v>70</v>
      </c>
      <c r="B79" s="148" t="str">
        <f>+B77</f>
        <v xml:space="preserve">53E </v>
      </c>
      <c r="C79" s="157" t="s">
        <v>207</v>
      </c>
      <c r="D79" s="154" t="s">
        <v>208</v>
      </c>
      <c r="E79" s="150">
        <v>0.37</v>
      </c>
      <c r="F79" s="150">
        <v>0.72</v>
      </c>
      <c r="G79" s="150">
        <f t="shared" ref="G79:G87" si="31">SUM(E79:F79)</f>
        <v>1.0899999999999999</v>
      </c>
      <c r="H79" s="140">
        <v>258888</v>
      </c>
      <c r="I79" s="143">
        <f t="shared" ref="I79:I87" si="32">ROUND($H79*G79,0)</f>
        <v>282188</v>
      </c>
      <c r="J79" s="151">
        <f t="shared" ref="J79:J87" si="33">ROUND(+G79*$L$10,2)</f>
        <v>0.05</v>
      </c>
      <c r="K79" s="143">
        <f t="shared" ref="K79:K87" si="34">ROUND($H79*J79,0)</f>
        <v>12944</v>
      </c>
      <c r="L79" s="126"/>
      <c r="M79" s="150"/>
      <c r="N79" s="249" t="str">
        <f>+$N$33</f>
        <v>Sheet No. 95-C.1</v>
      </c>
      <c r="O79" s="233"/>
      <c r="P79" s="233"/>
      <c r="Q79" s="126"/>
      <c r="R79" s="126"/>
      <c r="S79" s="126"/>
      <c r="T79" s="126"/>
    </row>
    <row r="80" spans="1:20" x14ac:dyDescent="0.2">
      <c r="A80" s="226">
        <f t="shared" si="30"/>
        <v>71</v>
      </c>
      <c r="B80" s="148" t="str">
        <f t="shared" ref="B80:B87" si="35">B79</f>
        <v xml:space="preserve">53E </v>
      </c>
      <c r="C80" s="157" t="s">
        <v>207</v>
      </c>
      <c r="D80" s="154" t="s">
        <v>209</v>
      </c>
      <c r="E80" s="150">
        <v>0.62</v>
      </c>
      <c r="F80" s="150">
        <v>1.2</v>
      </c>
      <c r="G80" s="150">
        <f t="shared" si="31"/>
        <v>1.8199999999999998</v>
      </c>
      <c r="H80" s="140">
        <v>11398</v>
      </c>
      <c r="I80" s="143">
        <f t="shared" si="32"/>
        <v>20744</v>
      </c>
      <c r="J80" s="151">
        <f t="shared" si="33"/>
        <v>0.08</v>
      </c>
      <c r="K80" s="143">
        <f t="shared" si="34"/>
        <v>912</v>
      </c>
      <c r="L80" s="126"/>
      <c r="M80" s="150"/>
      <c r="N80" s="249" t="str">
        <f>+$N$33</f>
        <v>Sheet No. 95-C.1</v>
      </c>
      <c r="O80" s="233"/>
      <c r="P80" s="233"/>
      <c r="Q80" s="126"/>
      <c r="R80" s="126"/>
      <c r="S80" s="126"/>
      <c r="T80" s="126"/>
    </row>
    <row r="81" spans="1:20" x14ac:dyDescent="0.2">
      <c r="A81" s="226">
        <f t="shared" si="30"/>
        <v>72</v>
      </c>
      <c r="B81" s="148" t="str">
        <f t="shared" si="35"/>
        <v xml:space="preserve">53E </v>
      </c>
      <c r="C81" s="157" t="s">
        <v>207</v>
      </c>
      <c r="D81" s="154" t="s">
        <v>210</v>
      </c>
      <c r="E81" s="150">
        <v>0.87</v>
      </c>
      <c r="F81" s="150">
        <v>1.68</v>
      </c>
      <c r="G81" s="150">
        <f t="shared" si="31"/>
        <v>2.5499999999999998</v>
      </c>
      <c r="H81" s="140">
        <v>37463</v>
      </c>
      <c r="I81" s="143">
        <f t="shared" si="32"/>
        <v>95531</v>
      </c>
      <c r="J81" s="151">
        <f t="shared" si="33"/>
        <v>0.12</v>
      </c>
      <c r="K81" s="143">
        <f t="shared" si="34"/>
        <v>4496</v>
      </c>
      <c r="L81" s="126"/>
      <c r="M81" s="150"/>
      <c r="N81" s="249" t="str">
        <f t="shared" ref="N81:N83" si="36">+$N$33</f>
        <v>Sheet No. 95-C.1</v>
      </c>
      <c r="O81" s="233"/>
      <c r="P81" s="233"/>
      <c r="Q81" s="126"/>
      <c r="R81" s="126"/>
      <c r="S81" s="126"/>
      <c r="T81" s="126"/>
    </row>
    <row r="82" spans="1:20" x14ac:dyDescent="0.2">
      <c r="A82" s="226">
        <f t="shared" si="30"/>
        <v>73</v>
      </c>
      <c r="B82" s="148" t="str">
        <f t="shared" si="35"/>
        <v xml:space="preserve">53E </v>
      </c>
      <c r="C82" s="157" t="s">
        <v>207</v>
      </c>
      <c r="D82" s="154" t="s">
        <v>211</v>
      </c>
      <c r="E82" s="150">
        <v>1.1100000000000001</v>
      </c>
      <c r="F82" s="150">
        <v>2.16</v>
      </c>
      <c r="G82" s="150">
        <f t="shared" si="31"/>
        <v>3.2700000000000005</v>
      </c>
      <c r="H82" s="140">
        <v>22841</v>
      </c>
      <c r="I82" s="143">
        <f t="shared" si="32"/>
        <v>74690</v>
      </c>
      <c r="J82" s="151">
        <f t="shared" si="33"/>
        <v>0.15</v>
      </c>
      <c r="K82" s="143">
        <f t="shared" si="34"/>
        <v>3426</v>
      </c>
      <c r="L82" s="126"/>
      <c r="M82" s="150"/>
      <c r="N82" s="249" t="str">
        <f t="shared" si="36"/>
        <v>Sheet No. 95-C.1</v>
      </c>
      <c r="O82" s="233"/>
      <c r="P82" s="233"/>
      <c r="Q82" s="126"/>
      <c r="R82" s="126"/>
      <c r="S82" s="126"/>
      <c r="T82" s="126"/>
    </row>
    <row r="83" spans="1:20" x14ac:dyDescent="0.2">
      <c r="A83" s="226">
        <f t="shared" si="30"/>
        <v>74</v>
      </c>
      <c r="B83" s="148" t="str">
        <f t="shared" si="35"/>
        <v xml:space="preserve">53E </v>
      </c>
      <c r="C83" s="157" t="s">
        <v>207</v>
      </c>
      <c r="D83" s="154" t="s">
        <v>212</v>
      </c>
      <c r="E83" s="150">
        <v>1.36</v>
      </c>
      <c r="F83" s="150">
        <v>2.64</v>
      </c>
      <c r="G83" s="150">
        <f t="shared" si="31"/>
        <v>4</v>
      </c>
      <c r="H83" s="140">
        <v>17081</v>
      </c>
      <c r="I83" s="143">
        <f t="shared" si="32"/>
        <v>68324</v>
      </c>
      <c r="J83" s="151">
        <f t="shared" si="33"/>
        <v>0.18</v>
      </c>
      <c r="K83" s="143">
        <f t="shared" si="34"/>
        <v>3075</v>
      </c>
      <c r="L83" s="126"/>
      <c r="M83" s="150"/>
      <c r="N83" s="249" t="str">
        <f t="shared" si="36"/>
        <v>Sheet No. 95-C.1</v>
      </c>
      <c r="O83" s="233"/>
      <c r="P83" s="233"/>
      <c r="Q83" s="126"/>
      <c r="R83" s="126"/>
      <c r="S83" s="126"/>
      <c r="T83" s="126"/>
    </row>
    <row r="84" spans="1:20" x14ac:dyDescent="0.2">
      <c r="A84" s="226">
        <f t="shared" si="30"/>
        <v>75</v>
      </c>
      <c r="B84" s="148" t="str">
        <f t="shared" si="35"/>
        <v xml:space="preserve">53E </v>
      </c>
      <c r="C84" s="157" t="s">
        <v>207</v>
      </c>
      <c r="D84" s="154" t="s">
        <v>213</v>
      </c>
      <c r="E84" s="150">
        <v>1.61</v>
      </c>
      <c r="F84" s="150">
        <v>3.12</v>
      </c>
      <c r="G84" s="150">
        <f t="shared" si="31"/>
        <v>4.7300000000000004</v>
      </c>
      <c r="H84" s="140">
        <v>6385</v>
      </c>
      <c r="I84" s="143">
        <f t="shared" si="32"/>
        <v>30201</v>
      </c>
      <c r="J84" s="151">
        <f t="shared" si="33"/>
        <v>0.22</v>
      </c>
      <c r="K84" s="143">
        <f t="shared" si="34"/>
        <v>1405</v>
      </c>
      <c r="L84" s="126"/>
      <c r="M84" s="150"/>
      <c r="N84" s="249" t="str">
        <f>+$N$38</f>
        <v>Sheet No. 95-C.2</v>
      </c>
      <c r="O84" s="233"/>
      <c r="P84" s="233"/>
      <c r="Q84" s="126"/>
      <c r="R84" s="126"/>
      <c r="S84" s="126"/>
      <c r="T84" s="126"/>
    </row>
    <row r="85" spans="1:20" x14ac:dyDescent="0.2">
      <c r="A85" s="226">
        <f t="shared" si="30"/>
        <v>76</v>
      </c>
      <c r="B85" s="148" t="str">
        <f t="shared" si="35"/>
        <v xml:space="preserve">53E </v>
      </c>
      <c r="C85" s="157" t="s">
        <v>207</v>
      </c>
      <c r="D85" s="154" t="s">
        <v>214</v>
      </c>
      <c r="E85" s="150">
        <v>1.85</v>
      </c>
      <c r="F85" s="150">
        <v>3.6</v>
      </c>
      <c r="G85" s="150">
        <f t="shared" si="31"/>
        <v>5.45</v>
      </c>
      <c r="H85" s="140">
        <v>262</v>
      </c>
      <c r="I85" s="143">
        <f t="shared" si="32"/>
        <v>1428</v>
      </c>
      <c r="J85" s="151">
        <f t="shared" si="33"/>
        <v>0.25</v>
      </c>
      <c r="K85" s="143">
        <f t="shared" si="34"/>
        <v>66</v>
      </c>
      <c r="L85" s="126"/>
      <c r="M85" s="150"/>
      <c r="N85" s="249" t="str">
        <f>+$N$38</f>
        <v>Sheet No. 95-C.2</v>
      </c>
      <c r="O85" s="233"/>
      <c r="P85" s="233"/>
      <c r="Q85" s="126"/>
      <c r="R85" s="126"/>
      <c r="S85" s="126"/>
      <c r="T85" s="126"/>
    </row>
    <row r="86" spans="1:20" x14ac:dyDescent="0.2">
      <c r="A86" s="226">
        <f t="shared" si="30"/>
        <v>77</v>
      </c>
      <c r="B86" s="148" t="str">
        <f t="shared" si="35"/>
        <v xml:space="preserve">53E </v>
      </c>
      <c r="C86" s="157" t="s">
        <v>207</v>
      </c>
      <c r="D86" s="154" t="s">
        <v>215</v>
      </c>
      <c r="E86" s="150">
        <v>2.1</v>
      </c>
      <c r="F86" s="150">
        <v>4.08</v>
      </c>
      <c r="G86" s="150">
        <f t="shared" si="31"/>
        <v>6.18</v>
      </c>
      <c r="H86" s="140">
        <v>308</v>
      </c>
      <c r="I86" s="143">
        <f t="shared" si="32"/>
        <v>1903</v>
      </c>
      <c r="J86" s="151">
        <f t="shared" si="33"/>
        <v>0.28999999999999998</v>
      </c>
      <c r="K86" s="143">
        <f t="shared" si="34"/>
        <v>89</v>
      </c>
      <c r="L86" s="126"/>
      <c r="M86" s="150"/>
      <c r="N86" s="249" t="str">
        <f>+$N$38</f>
        <v>Sheet No. 95-C.2</v>
      </c>
      <c r="O86" s="233"/>
      <c r="P86" s="233"/>
      <c r="Q86" s="126"/>
      <c r="R86" s="126"/>
      <c r="S86" s="126"/>
      <c r="T86" s="126"/>
    </row>
    <row r="87" spans="1:20" x14ac:dyDescent="0.2">
      <c r="A87" s="226">
        <f t="shared" si="30"/>
        <v>78</v>
      </c>
      <c r="B87" s="148" t="str">
        <f t="shared" si="35"/>
        <v xml:space="preserve">53E </v>
      </c>
      <c r="C87" s="157" t="s">
        <v>207</v>
      </c>
      <c r="D87" s="154" t="s">
        <v>216</v>
      </c>
      <c r="E87" s="150">
        <v>2.35</v>
      </c>
      <c r="F87" s="150">
        <v>4.55</v>
      </c>
      <c r="G87" s="150">
        <f t="shared" si="31"/>
        <v>6.9</v>
      </c>
      <c r="H87" s="140">
        <v>1761</v>
      </c>
      <c r="I87" s="143">
        <f t="shared" si="32"/>
        <v>12151</v>
      </c>
      <c r="J87" s="151">
        <f t="shared" si="33"/>
        <v>0.32</v>
      </c>
      <c r="K87" s="143">
        <f t="shared" si="34"/>
        <v>564</v>
      </c>
      <c r="L87" s="126"/>
      <c r="M87" s="150"/>
      <c r="N87" s="249" t="str">
        <f>+$N$38</f>
        <v>Sheet No. 95-C.2</v>
      </c>
      <c r="O87" s="233"/>
      <c r="P87" s="233"/>
      <c r="Q87" s="126"/>
      <c r="R87" s="126"/>
      <c r="S87" s="126"/>
      <c r="T87" s="126"/>
    </row>
    <row r="88" spans="1:20" x14ac:dyDescent="0.2">
      <c r="A88" s="226">
        <f t="shared" si="30"/>
        <v>79</v>
      </c>
      <c r="B88" s="159"/>
      <c r="C88" s="157"/>
      <c r="D88" s="157"/>
      <c r="E88" s="150"/>
      <c r="F88" s="150"/>
      <c r="G88" s="150"/>
      <c r="H88" s="140"/>
      <c r="I88" s="140"/>
      <c r="J88" s="151"/>
      <c r="K88" s="140"/>
      <c r="L88" s="126"/>
      <c r="M88" s="150"/>
      <c r="N88" s="150"/>
      <c r="O88" s="233"/>
      <c r="P88" s="233"/>
      <c r="Q88" s="126"/>
      <c r="R88" s="126"/>
      <c r="S88" s="126"/>
      <c r="T88" s="126"/>
    </row>
    <row r="89" spans="1:20" x14ac:dyDescent="0.2">
      <c r="A89" s="226">
        <f t="shared" si="30"/>
        <v>80</v>
      </c>
      <c r="B89" s="139" t="s">
        <v>222</v>
      </c>
      <c r="C89" s="139"/>
      <c r="D89" s="139"/>
      <c r="E89" s="150"/>
      <c r="F89" s="150"/>
      <c r="G89" s="150"/>
      <c r="H89" s="140"/>
      <c r="I89" s="140"/>
      <c r="J89" s="151"/>
      <c r="K89" s="140"/>
      <c r="L89" s="126"/>
      <c r="M89" s="150"/>
      <c r="N89" s="150"/>
      <c r="O89" s="233"/>
      <c r="P89" s="233"/>
      <c r="Q89" s="126"/>
      <c r="R89" s="126"/>
      <c r="S89" s="126"/>
      <c r="T89" s="126"/>
    </row>
    <row r="90" spans="1:20" x14ac:dyDescent="0.2">
      <c r="A90" s="226">
        <f t="shared" si="30"/>
        <v>81</v>
      </c>
      <c r="B90" s="148" t="s">
        <v>223</v>
      </c>
      <c r="C90" s="157" t="s">
        <v>19</v>
      </c>
      <c r="D90" s="157">
        <v>50</v>
      </c>
      <c r="E90" s="150">
        <v>0.41</v>
      </c>
      <c r="F90" s="150">
        <v>0.8</v>
      </c>
      <c r="G90" s="150">
        <f t="shared" ref="G90:G98" si="37">SUM(E90:F90)</f>
        <v>1.21</v>
      </c>
      <c r="H90" s="140">
        <v>456</v>
      </c>
      <c r="I90" s="143">
        <f t="shared" ref="I90:I98" si="38">ROUND($H90*G90,0)</f>
        <v>552</v>
      </c>
      <c r="J90" s="151">
        <f t="shared" ref="J90:J98" si="39">ROUND(+G90*$L$10,2)</f>
        <v>0.06</v>
      </c>
      <c r="K90" s="143">
        <f t="shared" ref="K90:K98" si="40">ROUND($H90*J90,0)</f>
        <v>27</v>
      </c>
      <c r="L90" s="126"/>
      <c r="M90" s="150"/>
      <c r="N90" s="249" t="str">
        <f t="shared" ref="N90:N98" si="41">+$N$72</f>
        <v>Sheet No. 95-C</v>
      </c>
      <c r="O90" s="233"/>
      <c r="P90" s="233"/>
      <c r="Q90" s="126"/>
      <c r="R90" s="126"/>
      <c r="S90" s="126"/>
      <c r="T90" s="126"/>
    </row>
    <row r="91" spans="1:20" x14ac:dyDescent="0.2">
      <c r="A91" s="226">
        <f t="shared" si="30"/>
        <v>82</v>
      </c>
      <c r="B91" s="148" t="str">
        <f t="shared" ref="B91:B98" si="42">+B90</f>
        <v>54E</v>
      </c>
      <c r="C91" s="157" t="s">
        <v>19</v>
      </c>
      <c r="D91" s="157">
        <v>70</v>
      </c>
      <c r="E91" s="150">
        <v>0.57999999999999996</v>
      </c>
      <c r="F91" s="150">
        <v>1.1200000000000001</v>
      </c>
      <c r="G91" s="150">
        <f t="shared" si="37"/>
        <v>1.7000000000000002</v>
      </c>
      <c r="H91" s="140">
        <v>8688</v>
      </c>
      <c r="I91" s="143">
        <f t="shared" si="38"/>
        <v>14770</v>
      </c>
      <c r="J91" s="151">
        <f t="shared" si="39"/>
        <v>0.08</v>
      </c>
      <c r="K91" s="143">
        <f t="shared" si="40"/>
        <v>695</v>
      </c>
      <c r="L91" s="126"/>
      <c r="M91" s="150"/>
      <c r="N91" s="249" t="str">
        <f t="shared" si="41"/>
        <v>Sheet No. 95-C</v>
      </c>
      <c r="O91" s="233"/>
      <c r="P91" s="233"/>
      <c r="Q91" s="126"/>
      <c r="R91" s="126"/>
      <c r="S91" s="126"/>
      <c r="T91" s="126"/>
    </row>
    <row r="92" spans="1:20" x14ac:dyDescent="0.2">
      <c r="A92" s="226">
        <f t="shared" si="30"/>
        <v>83</v>
      </c>
      <c r="B92" s="148" t="str">
        <f t="shared" si="42"/>
        <v>54E</v>
      </c>
      <c r="C92" s="157" t="s">
        <v>19</v>
      </c>
      <c r="D92" s="157">
        <v>100</v>
      </c>
      <c r="E92" s="150">
        <v>0.82</v>
      </c>
      <c r="F92" s="150">
        <v>1.6</v>
      </c>
      <c r="G92" s="150">
        <f t="shared" si="37"/>
        <v>2.42</v>
      </c>
      <c r="H92" s="140">
        <v>19213</v>
      </c>
      <c r="I92" s="143">
        <f t="shared" si="38"/>
        <v>46495</v>
      </c>
      <c r="J92" s="151">
        <f t="shared" si="39"/>
        <v>0.11</v>
      </c>
      <c r="K92" s="143">
        <f t="shared" si="40"/>
        <v>2113</v>
      </c>
      <c r="L92" s="126"/>
      <c r="M92" s="150"/>
      <c r="N92" s="249" t="str">
        <f t="shared" si="41"/>
        <v>Sheet No. 95-C</v>
      </c>
      <c r="O92" s="233"/>
      <c r="P92" s="233"/>
      <c r="Q92" s="126"/>
      <c r="R92" s="126"/>
      <c r="S92" s="126"/>
      <c r="T92" s="126"/>
    </row>
    <row r="93" spans="1:20" x14ac:dyDescent="0.2">
      <c r="A93" s="226">
        <f t="shared" si="30"/>
        <v>84</v>
      </c>
      <c r="B93" s="148" t="str">
        <f t="shared" si="42"/>
        <v>54E</v>
      </c>
      <c r="C93" s="157" t="s">
        <v>19</v>
      </c>
      <c r="D93" s="157">
        <v>150</v>
      </c>
      <c r="E93" s="150">
        <v>1.24</v>
      </c>
      <c r="F93" s="150">
        <v>2.4</v>
      </c>
      <c r="G93" s="150">
        <f t="shared" si="37"/>
        <v>3.6399999999999997</v>
      </c>
      <c r="H93" s="140">
        <v>5737</v>
      </c>
      <c r="I93" s="143">
        <f t="shared" si="38"/>
        <v>20883</v>
      </c>
      <c r="J93" s="151">
        <f t="shared" si="39"/>
        <v>0.17</v>
      </c>
      <c r="K93" s="143">
        <f t="shared" si="40"/>
        <v>975</v>
      </c>
      <c r="L93" s="126"/>
      <c r="M93" s="150"/>
      <c r="N93" s="249" t="str">
        <f t="shared" si="41"/>
        <v>Sheet No. 95-C</v>
      </c>
      <c r="O93" s="233"/>
      <c r="P93" s="233"/>
      <c r="Q93" s="126"/>
      <c r="R93" s="126"/>
      <c r="S93" s="126"/>
      <c r="T93" s="126"/>
    </row>
    <row r="94" spans="1:20" x14ac:dyDescent="0.2">
      <c r="A94" s="226">
        <f t="shared" si="30"/>
        <v>85</v>
      </c>
      <c r="B94" s="148" t="str">
        <f t="shared" si="42"/>
        <v>54E</v>
      </c>
      <c r="C94" s="157" t="s">
        <v>19</v>
      </c>
      <c r="D94" s="157">
        <v>200</v>
      </c>
      <c r="E94" s="150">
        <v>1.65</v>
      </c>
      <c r="F94" s="150">
        <v>3.2</v>
      </c>
      <c r="G94" s="150">
        <f t="shared" si="37"/>
        <v>4.8499999999999996</v>
      </c>
      <c r="H94" s="140">
        <v>6979</v>
      </c>
      <c r="I94" s="143">
        <f t="shared" si="38"/>
        <v>33848</v>
      </c>
      <c r="J94" s="151">
        <f t="shared" si="39"/>
        <v>0.22</v>
      </c>
      <c r="K94" s="143">
        <f t="shared" si="40"/>
        <v>1535</v>
      </c>
      <c r="L94" s="126"/>
      <c r="M94" s="150"/>
      <c r="N94" s="249" t="str">
        <f t="shared" si="41"/>
        <v>Sheet No. 95-C</v>
      </c>
      <c r="O94" s="233"/>
      <c r="P94" s="233"/>
      <c r="Q94" s="126"/>
      <c r="R94" s="126"/>
      <c r="S94" s="126"/>
      <c r="T94" s="126"/>
    </row>
    <row r="95" spans="1:20" x14ac:dyDescent="0.2">
      <c r="A95" s="226">
        <f t="shared" si="30"/>
        <v>86</v>
      </c>
      <c r="B95" s="148" t="str">
        <f t="shared" si="42"/>
        <v>54E</v>
      </c>
      <c r="C95" s="157" t="s">
        <v>19</v>
      </c>
      <c r="D95" s="157">
        <v>250</v>
      </c>
      <c r="E95" s="150">
        <v>2.06</v>
      </c>
      <c r="F95" s="150">
        <v>4</v>
      </c>
      <c r="G95" s="150">
        <f t="shared" si="37"/>
        <v>6.0600000000000005</v>
      </c>
      <c r="H95" s="140">
        <v>17793</v>
      </c>
      <c r="I95" s="143">
        <f t="shared" si="38"/>
        <v>107826</v>
      </c>
      <c r="J95" s="151">
        <f t="shared" si="39"/>
        <v>0.28000000000000003</v>
      </c>
      <c r="K95" s="143">
        <f t="shared" si="40"/>
        <v>4982</v>
      </c>
      <c r="L95" s="126"/>
      <c r="M95" s="150"/>
      <c r="N95" s="249" t="str">
        <f t="shared" si="41"/>
        <v>Sheet No. 95-C</v>
      </c>
      <c r="O95" s="233"/>
      <c r="P95" s="233"/>
      <c r="Q95" s="126"/>
      <c r="R95" s="126"/>
      <c r="S95" s="126"/>
      <c r="T95" s="126"/>
    </row>
    <row r="96" spans="1:20" x14ac:dyDescent="0.2">
      <c r="A96" s="226">
        <f t="shared" si="30"/>
        <v>87</v>
      </c>
      <c r="B96" s="148" t="str">
        <f t="shared" si="42"/>
        <v>54E</v>
      </c>
      <c r="C96" s="157" t="s">
        <v>19</v>
      </c>
      <c r="D96" s="157">
        <v>310</v>
      </c>
      <c r="E96" s="150">
        <v>2.5499999999999998</v>
      </c>
      <c r="F96" s="150">
        <v>4.95</v>
      </c>
      <c r="G96" s="150">
        <f t="shared" si="37"/>
        <v>7.5</v>
      </c>
      <c r="H96" s="140">
        <v>703</v>
      </c>
      <c r="I96" s="143">
        <f t="shared" si="38"/>
        <v>5273</v>
      </c>
      <c r="J96" s="151">
        <f t="shared" si="39"/>
        <v>0.35</v>
      </c>
      <c r="K96" s="143">
        <f t="shared" si="40"/>
        <v>246</v>
      </c>
      <c r="L96" s="126"/>
      <c r="M96" s="150"/>
      <c r="N96" s="249" t="str">
        <f t="shared" si="41"/>
        <v>Sheet No. 95-C</v>
      </c>
      <c r="O96" s="233"/>
      <c r="P96" s="233"/>
      <c r="Q96" s="126"/>
      <c r="R96" s="126"/>
      <c r="S96" s="126"/>
      <c r="T96" s="126"/>
    </row>
    <row r="97" spans="1:20" x14ac:dyDescent="0.2">
      <c r="A97" s="226">
        <f t="shared" si="30"/>
        <v>88</v>
      </c>
      <c r="B97" s="148" t="str">
        <f t="shared" si="42"/>
        <v>54E</v>
      </c>
      <c r="C97" s="157" t="s">
        <v>19</v>
      </c>
      <c r="D97" s="157">
        <v>400</v>
      </c>
      <c r="E97" s="150">
        <v>3.3</v>
      </c>
      <c r="F97" s="150">
        <v>6.39</v>
      </c>
      <c r="G97" s="150">
        <f t="shared" si="37"/>
        <v>9.69</v>
      </c>
      <c r="H97" s="140">
        <v>7529</v>
      </c>
      <c r="I97" s="143">
        <f t="shared" si="38"/>
        <v>72956</v>
      </c>
      <c r="J97" s="151">
        <f t="shared" si="39"/>
        <v>0.45</v>
      </c>
      <c r="K97" s="143">
        <f t="shared" si="40"/>
        <v>3388</v>
      </c>
      <c r="L97" s="126"/>
      <c r="M97" s="150"/>
      <c r="N97" s="249" t="str">
        <f t="shared" si="41"/>
        <v>Sheet No. 95-C</v>
      </c>
      <c r="O97" s="233"/>
      <c r="P97" s="233"/>
      <c r="Q97" s="126"/>
      <c r="R97" s="126"/>
      <c r="S97" s="126"/>
      <c r="T97" s="126"/>
    </row>
    <row r="98" spans="1:20" x14ac:dyDescent="0.2">
      <c r="A98" s="226">
        <f t="shared" si="30"/>
        <v>89</v>
      </c>
      <c r="B98" s="148" t="str">
        <f t="shared" si="42"/>
        <v>54E</v>
      </c>
      <c r="C98" s="157" t="s">
        <v>19</v>
      </c>
      <c r="D98" s="157">
        <v>1000</v>
      </c>
      <c r="E98" s="150">
        <v>8.24</v>
      </c>
      <c r="F98" s="150">
        <v>15.98</v>
      </c>
      <c r="G98" s="150">
        <f t="shared" si="37"/>
        <v>24.22</v>
      </c>
      <c r="H98" s="140">
        <v>132</v>
      </c>
      <c r="I98" s="143">
        <f t="shared" si="38"/>
        <v>3197</v>
      </c>
      <c r="J98" s="151">
        <f t="shared" si="39"/>
        <v>1.1200000000000001</v>
      </c>
      <c r="K98" s="143">
        <f t="shared" si="40"/>
        <v>148</v>
      </c>
      <c r="L98" s="126"/>
      <c r="M98" s="150"/>
      <c r="N98" s="249" t="str">
        <f t="shared" si="41"/>
        <v>Sheet No. 95-C</v>
      </c>
      <c r="O98" s="233"/>
      <c r="P98" s="233"/>
      <c r="Q98" s="126"/>
      <c r="R98" s="126"/>
      <c r="S98" s="126"/>
      <c r="T98" s="126"/>
    </row>
    <row r="99" spans="1:20" x14ac:dyDescent="0.2">
      <c r="A99" s="226">
        <f t="shared" si="30"/>
        <v>90</v>
      </c>
      <c r="B99" s="159"/>
      <c r="C99" s="157"/>
      <c r="D99" s="157"/>
      <c r="E99" s="150"/>
      <c r="F99" s="150"/>
      <c r="G99" s="150"/>
      <c r="H99" s="140"/>
      <c r="I99" s="140"/>
      <c r="J99" s="151"/>
      <c r="K99" s="140"/>
      <c r="L99" s="126"/>
      <c r="M99" s="150"/>
      <c r="N99" s="150"/>
      <c r="O99" s="233"/>
      <c r="P99" s="233"/>
      <c r="Q99" s="126"/>
      <c r="R99" s="126"/>
      <c r="S99" s="126"/>
      <c r="T99" s="126"/>
    </row>
    <row r="100" spans="1:20" x14ac:dyDescent="0.2">
      <c r="A100" s="226">
        <f t="shared" si="30"/>
        <v>91</v>
      </c>
      <c r="B100" s="159"/>
      <c r="C100" s="157"/>
      <c r="D100" s="157"/>
      <c r="E100" s="150"/>
      <c r="F100" s="150"/>
      <c r="G100" s="150"/>
      <c r="H100" s="140"/>
      <c r="I100" s="140"/>
      <c r="J100" s="151"/>
      <c r="K100" s="140"/>
      <c r="L100" s="126"/>
      <c r="M100" s="150"/>
      <c r="N100" s="150"/>
      <c r="O100" s="126"/>
      <c r="P100" s="126"/>
      <c r="Q100" s="126"/>
      <c r="R100" s="126"/>
      <c r="S100" s="126"/>
      <c r="T100" s="126"/>
    </row>
    <row r="101" spans="1:20" x14ac:dyDescent="0.2">
      <c r="A101" s="226">
        <f t="shared" si="30"/>
        <v>92</v>
      </c>
      <c r="B101" s="148" t="str">
        <f>+B98</f>
        <v>54E</v>
      </c>
      <c r="C101" s="157" t="s">
        <v>207</v>
      </c>
      <c r="D101" s="154" t="s">
        <v>208</v>
      </c>
      <c r="E101" s="150">
        <v>0.37</v>
      </c>
      <c r="F101" s="150">
        <v>0.72</v>
      </c>
      <c r="G101" s="150">
        <f t="shared" ref="G101:G109" si="43">SUM(E101:F101)</f>
        <v>1.0899999999999999</v>
      </c>
      <c r="H101" s="140">
        <v>17027</v>
      </c>
      <c r="I101" s="143">
        <f t="shared" ref="I101:I109" si="44">ROUND($H101*G101,0)</f>
        <v>18559</v>
      </c>
      <c r="J101" s="151">
        <f t="shared" ref="J101:J109" si="45">ROUND(+G101*$L$10,2)</f>
        <v>0.05</v>
      </c>
      <c r="K101" s="143">
        <f t="shared" ref="K101:K109" si="46">ROUND($H101*J101,0)</f>
        <v>851</v>
      </c>
      <c r="L101" s="126"/>
      <c r="M101" s="150"/>
      <c r="N101" s="249" t="str">
        <f>+$N$33</f>
        <v>Sheet No. 95-C.1</v>
      </c>
      <c r="O101" s="233"/>
      <c r="P101" s="233"/>
      <c r="Q101" s="126"/>
      <c r="R101" s="126"/>
      <c r="S101" s="126"/>
      <c r="T101" s="126"/>
    </row>
    <row r="102" spans="1:20" x14ac:dyDescent="0.2">
      <c r="A102" s="226">
        <f t="shared" si="30"/>
        <v>93</v>
      </c>
      <c r="B102" s="148" t="str">
        <f t="shared" ref="B102:B109" si="47">+B101</f>
        <v>54E</v>
      </c>
      <c r="C102" s="157" t="s">
        <v>207</v>
      </c>
      <c r="D102" s="154" t="s">
        <v>209</v>
      </c>
      <c r="E102" s="150">
        <v>0.62</v>
      </c>
      <c r="F102" s="150">
        <v>1.2</v>
      </c>
      <c r="G102" s="150">
        <f t="shared" si="43"/>
        <v>1.8199999999999998</v>
      </c>
      <c r="H102" s="140">
        <v>768</v>
      </c>
      <c r="I102" s="143">
        <f t="shared" si="44"/>
        <v>1398</v>
      </c>
      <c r="J102" s="151">
        <f t="shared" si="45"/>
        <v>0.08</v>
      </c>
      <c r="K102" s="143">
        <f t="shared" si="46"/>
        <v>61</v>
      </c>
      <c r="L102" s="126"/>
      <c r="M102" s="150"/>
      <c r="N102" s="249" t="str">
        <f>+$N$33</f>
        <v>Sheet No. 95-C.1</v>
      </c>
      <c r="O102" s="233"/>
      <c r="P102" s="233"/>
      <c r="Q102" s="126"/>
      <c r="R102" s="126"/>
      <c r="S102" s="126"/>
      <c r="T102" s="126"/>
    </row>
    <row r="103" spans="1:20" x14ac:dyDescent="0.2">
      <c r="A103" s="226">
        <f t="shared" si="30"/>
        <v>94</v>
      </c>
      <c r="B103" s="148" t="str">
        <f t="shared" si="47"/>
        <v>54E</v>
      </c>
      <c r="C103" s="157" t="s">
        <v>207</v>
      </c>
      <c r="D103" s="154" t="s">
        <v>210</v>
      </c>
      <c r="E103" s="150">
        <v>0.87</v>
      </c>
      <c r="F103" s="150">
        <v>1.68</v>
      </c>
      <c r="G103" s="150">
        <f t="shared" si="43"/>
        <v>2.5499999999999998</v>
      </c>
      <c r="H103" s="140">
        <v>19519</v>
      </c>
      <c r="I103" s="143">
        <f t="shared" si="44"/>
        <v>49773</v>
      </c>
      <c r="J103" s="151">
        <f t="shared" si="45"/>
        <v>0.12</v>
      </c>
      <c r="K103" s="143">
        <f t="shared" si="46"/>
        <v>2342</v>
      </c>
      <c r="L103" s="126"/>
      <c r="M103" s="150"/>
      <c r="N103" s="249" t="str">
        <f t="shared" ref="N103:N105" si="48">+$N$33</f>
        <v>Sheet No. 95-C.1</v>
      </c>
      <c r="O103" s="233"/>
      <c r="P103" s="233"/>
      <c r="Q103" s="126"/>
      <c r="R103" s="126"/>
      <c r="S103" s="126"/>
      <c r="T103" s="126"/>
    </row>
    <row r="104" spans="1:20" x14ac:dyDescent="0.2">
      <c r="A104" s="226">
        <f t="shared" si="30"/>
        <v>95</v>
      </c>
      <c r="B104" s="148" t="str">
        <f t="shared" si="47"/>
        <v>54E</v>
      </c>
      <c r="C104" s="157" t="s">
        <v>207</v>
      </c>
      <c r="D104" s="154" t="s">
        <v>211</v>
      </c>
      <c r="E104" s="150">
        <v>1.1100000000000001</v>
      </c>
      <c r="F104" s="150">
        <v>2.16</v>
      </c>
      <c r="G104" s="150">
        <f t="shared" si="43"/>
        <v>3.2700000000000005</v>
      </c>
      <c r="H104" s="140">
        <v>8774</v>
      </c>
      <c r="I104" s="143">
        <f t="shared" si="44"/>
        <v>28691</v>
      </c>
      <c r="J104" s="151">
        <f t="shared" si="45"/>
        <v>0.15</v>
      </c>
      <c r="K104" s="143">
        <f t="shared" si="46"/>
        <v>1316</v>
      </c>
      <c r="L104" s="126"/>
      <c r="M104" s="150"/>
      <c r="N104" s="249" t="str">
        <f t="shared" si="48"/>
        <v>Sheet No. 95-C.1</v>
      </c>
      <c r="O104" s="233"/>
      <c r="P104" s="233"/>
      <c r="Q104" s="126"/>
      <c r="R104" s="126"/>
      <c r="S104" s="126"/>
      <c r="T104" s="126"/>
    </row>
    <row r="105" spans="1:20" x14ac:dyDescent="0.2">
      <c r="A105" s="226">
        <f t="shared" si="30"/>
        <v>96</v>
      </c>
      <c r="B105" s="148" t="str">
        <f t="shared" si="47"/>
        <v>54E</v>
      </c>
      <c r="C105" s="157" t="s">
        <v>207</v>
      </c>
      <c r="D105" s="154" t="s">
        <v>212</v>
      </c>
      <c r="E105" s="150">
        <v>1.36</v>
      </c>
      <c r="F105" s="150">
        <v>2.64</v>
      </c>
      <c r="G105" s="150">
        <f t="shared" si="43"/>
        <v>4</v>
      </c>
      <c r="H105" s="140">
        <v>5329</v>
      </c>
      <c r="I105" s="143">
        <f t="shared" si="44"/>
        <v>21316</v>
      </c>
      <c r="J105" s="151">
        <f t="shared" si="45"/>
        <v>0.18</v>
      </c>
      <c r="K105" s="143">
        <f t="shared" si="46"/>
        <v>959</v>
      </c>
      <c r="L105" s="126"/>
      <c r="M105" s="150"/>
      <c r="N105" s="249" t="str">
        <f t="shared" si="48"/>
        <v>Sheet No. 95-C.1</v>
      </c>
      <c r="O105" s="233"/>
      <c r="P105" s="233"/>
      <c r="Q105" s="126"/>
      <c r="R105" s="126"/>
      <c r="S105" s="126"/>
      <c r="T105" s="126"/>
    </row>
    <row r="106" spans="1:20" x14ac:dyDescent="0.2">
      <c r="A106" s="226">
        <f t="shared" si="30"/>
        <v>97</v>
      </c>
      <c r="B106" s="148" t="str">
        <f t="shared" si="47"/>
        <v>54E</v>
      </c>
      <c r="C106" s="157" t="s">
        <v>207</v>
      </c>
      <c r="D106" s="154" t="s">
        <v>213</v>
      </c>
      <c r="E106" s="150">
        <v>1.61</v>
      </c>
      <c r="F106" s="150">
        <v>3.12</v>
      </c>
      <c r="G106" s="150">
        <f t="shared" si="43"/>
        <v>4.7300000000000004</v>
      </c>
      <c r="H106" s="140">
        <v>132</v>
      </c>
      <c r="I106" s="143">
        <f t="shared" si="44"/>
        <v>624</v>
      </c>
      <c r="J106" s="151">
        <f t="shared" si="45"/>
        <v>0.22</v>
      </c>
      <c r="K106" s="143">
        <f t="shared" si="46"/>
        <v>29</v>
      </c>
      <c r="L106" s="126"/>
      <c r="M106" s="150"/>
      <c r="N106" s="249" t="str">
        <f>+$N$38</f>
        <v>Sheet No. 95-C.2</v>
      </c>
      <c r="O106" s="233"/>
      <c r="P106" s="233"/>
      <c r="Q106" s="126"/>
      <c r="R106" s="126"/>
      <c r="S106" s="126"/>
      <c r="T106" s="126"/>
    </row>
    <row r="107" spans="1:20" x14ac:dyDescent="0.2">
      <c r="A107" s="226">
        <f t="shared" si="30"/>
        <v>98</v>
      </c>
      <c r="B107" s="148" t="str">
        <f t="shared" si="47"/>
        <v>54E</v>
      </c>
      <c r="C107" s="157" t="s">
        <v>207</v>
      </c>
      <c r="D107" s="154" t="s">
        <v>214</v>
      </c>
      <c r="E107" s="150">
        <v>1.85</v>
      </c>
      <c r="F107" s="150">
        <v>3.6</v>
      </c>
      <c r="G107" s="150">
        <f t="shared" si="43"/>
        <v>5.45</v>
      </c>
      <c r="H107" s="140">
        <v>395</v>
      </c>
      <c r="I107" s="143">
        <f t="shared" si="44"/>
        <v>2153</v>
      </c>
      <c r="J107" s="151">
        <f t="shared" si="45"/>
        <v>0.25</v>
      </c>
      <c r="K107" s="143">
        <f t="shared" si="46"/>
        <v>99</v>
      </c>
      <c r="L107" s="126"/>
      <c r="M107" s="150"/>
      <c r="N107" s="249" t="str">
        <f>+$N$38</f>
        <v>Sheet No. 95-C.2</v>
      </c>
      <c r="O107" s="233"/>
      <c r="P107" s="233"/>
      <c r="Q107" s="126"/>
      <c r="R107" s="126"/>
      <c r="S107" s="126"/>
      <c r="T107" s="126"/>
    </row>
    <row r="108" spans="1:20" x14ac:dyDescent="0.2">
      <c r="A108" s="226">
        <f t="shared" si="30"/>
        <v>99</v>
      </c>
      <c r="B108" s="148" t="str">
        <f t="shared" si="47"/>
        <v>54E</v>
      </c>
      <c r="C108" s="157" t="s">
        <v>207</v>
      </c>
      <c r="D108" s="154" t="s">
        <v>215</v>
      </c>
      <c r="E108" s="150">
        <v>2.1</v>
      </c>
      <c r="F108" s="150">
        <v>4.08</v>
      </c>
      <c r="G108" s="150">
        <f t="shared" si="43"/>
        <v>6.18</v>
      </c>
      <c r="H108" s="140">
        <v>36</v>
      </c>
      <c r="I108" s="143">
        <f t="shared" si="44"/>
        <v>222</v>
      </c>
      <c r="J108" s="151">
        <f t="shared" si="45"/>
        <v>0.28999999999999998</v>
      </c>
      <c r="K108" s="143">
        <f t="shared" si="46"/>
        <v>10</v>
      </c>
      <c r="L108" s="126"/>
      <c r="M108" s="150"/>
      <c r="N108" s="249" t="str">
        <f>+$N$38</f>
        <v>Sheet No. 95-C.2</v>
      </c>
      <c r="O108" s="233"/>
      <c r="P108" s="233"/>
      <c r="Q108" s="126"/>
      <c r="R108" s="126"/>
      <c r="S108" s="126"/>
      <c r="T108" s="126"/>
    </row>
    <row r="109" spans="1:20" x14ac:dyDescent="0.2">
      <c r="A109" s="226">
        <f t="shared" si="30"/>
        <v>100</v>
      </c>
      <c r="B109" s="148" t="str">
        <f t="shared" si="47"/>
        <v>54E</v>
      </c>
      <c r="C109" s="157" t="s">
        <v>207</v>
      </c>
      <c r="D109" s="154" t="s">
        <v>216</v>
      </c>
      <c r="E109" s="150">
        <v>2.35</v>
      </c>
      <c r="F109" s="150">
        <v>4.55</v>
      </c>
      <c r="G109" s="150">
        <f t="shared" si="43"/>
        <v>6.9</v>
      </c>
      <c r="H109" s="140">
        <v>0</v>
      </c>
      <c r="I109" s="143">
        <f t="shared" si="44"/>
        <v>0</v>
      </c>
      <c r="J109" s="151">
        <f t="shared" si="45"/>
        <v>0.32</v>
      </c>
      <c r="K109" s="143">
        <f t="shared" si="46"/>
        <v>0</v>
      </c>
      <c r="L109" s="126"/>
      <c r="M109" s="150"/>
      <c r="N109" s="249" t="str">
        <f>+$N$38</f>
        <v>Sheet No. 95-C.2</v>
      </c>
      <c r="O109" s="233"/>
      <c r="P109" s="233"/>
      <c r="Q109" s="126"/>
      <c r="R109" s="126"/>
      <c r="S109" s="126"/>
      <c r="T109" s="126"/>
    </row>
    <row r="110" spans="1:20" x14ac:dyDescent="0.2">
      <c r="A110" s="226">
        <f t="shared" si="30"/>
        <v>101</v>
      </c>
      <c r="B110" s="159"/>
      <c r="C110" s="157"/>
      <c r="D110" s="157"/>
      <c r="E110" s="150"/>
      <c r="F110" s="150"/>
      <c r="G110" s="150"/>
      <c r="H110" s="140"/>
      <c r="I110" s="140"/>
      <c r="J110" s="151"/>
      <c r="K110" s="140"/>
      <c r="L110" s="126"/>
      <c r="M110" s="150"/>
      <c r="N110" s="150"/>
      <c r="O110" s="233"/>
      <c r="P110" s="233"/>
      <c r="Q110" s="126"/>
      <c r="R110" s="126"/>
      <c r="S110" s="126"/>
      <c r="T110" s="126"/>
    </row>
    <row r="111" spans="1:20" x14ac:dyDescent="0.2">
      <c r="A111" s="226">
        <f t="shared" si="30"/>
        <v>102</v>
      </c>
      <c r="B111" s="139" t="s">
        <v>224</v>
      </c>
      <c r="C111" s="157"/>
      <c r="D111" s="157"/>
      <c r="E111" s="150"/>
      <c r="F111" s="150"/>
      <c r="G111" s="150"/>
      <c r="H111" s="140"/>
      <c r="I111" s="140"/>
      <c r="J111" s="151"/>
      <c r="K111" s="140"/>
      <c r="L111" s="126"/>
      <c r="M111" s="150"/>
      <c r="N111" s="150"/>
      <c r="O111" s="233"/>
      <c r="P111" s="233"/>
      <c r="Q111" s="126"/>
      <c r="R111" s="126"/>
      <c r="S111" s="126"/>
      <c r="T111" s="126"/>
    </row>
    <row r="112" spans="1:20" x14ac:dyDescent="0.2">
      <c r="A112" s="226">
        <f t="shared" si="30"/>
        <v>103</v>
      </c>
      <c r="B112" s="148" t="s">
        <v>225</v>
      </c>
      <c r="C112" s="157" t="s">
        <v>19</v>
      </c>
      <c r="D112" s="157">
        <v>70</v>
      </c>
      <c r="E112" s="150">
        <v>0.59</v>
      </c>
      <c r="F112" s="150">
        <v>1.1200000000000001</v>
      </c>
      <c r="G112" s="150">
        <f t="shared" ref="G112:G117" si="49">SUM(E112:F112)</f>
        <v>1.71</v>
      </c>
      <c r="H112" s="140">
        <v>192</v>
      </c>
      <c r="I112" s="143">
        <f t="shared" ref="I112:I117" si="50">ROUND($H112*G112,0)</f>
        <v>328</v>
      </c>
      <c r="J112" s="151">
        <f t="shared" ref="J112:J117" si="51">ROUND(+G112*$L$10,2)</f>
        <v>0.08</v>
      </c>
      <c r="K112" s="143">
        <f t="shared" ref="K112:K117" si="52">ROUND($H112*J112,0)</f>
        <v>15</v>
      </c>
      <c r="L112" s="126"/>
      <c r="M112" s="150"/>
      <c r="N112" s="249" t="s">
        <v>266</v>
      </c>
      <c r="O112" s="233"/>
      <c r="P112" s="233"/>
      <c r="Q112" s="126"/>
      <c r="R112" s="126"/>
      <c r="S112" s="126"/>
      <c r="T112" s="126"/>
    </row>
    <row r="113" spans="1:20" x14ac:dyDescent="0.2">
      <c r="A113" s="226">
        <f t="shared" si="30"/>
        <v>104</v>
      </c>
      <c r="B113" s="159" t="str">
        <f>+B112</f>
        <v>55E &amp; 56E</v>
      </c>
      <c r="C113" s="157" t="s">
        <v>19</v>
      </c>
      <c r="D113" s="157">
        <v>100</v>
      </c>
      <c r="E113" s="150">
        <v>0.84</v>
      </c>
      <c r="F113" s="150">
        <v>1.6</v>
      </c>
      <c r="G113" s="150">
        <f t="shared" si="49"/>
        <v>2.44</v>
      </c>
      <c r="H113" s="140">
        <v>44577</v>
      </c>
      <c r="I113" s="143">
        <f t="shared" si="50"/>
        <v>108768</v>
      </c>
      <c r="J113" s="151">
        <f t="shared" si="51"/>
        <v>0.11</v>
      </c>
      <c r="K113" s="143">
        <f t="shared" si="52"/>
        <v>4903</v>
      </c>
      <c r="L113" s="126"/>
      <c r="M113" s="150"/>
      <c r="N113" s="249" t="str">
        <f>+$N$112</f>
        <v>Sheet No. 95-D</v>
      </c>
      <c r="O113" s="233"/>
      <c r="P113" s="233"/>
      <c r="Q113" s="126"/>
      <c r="R113" s="126"/>
      <c r="S113" s="126"/>
      <c r="T113" s="126"/>
    </row>
    <row r="114" spans="1:20" x14ac:dyDescent="0.2">
      <c r="A114" s="226">
        <f t="shared" si="30"/>
        <v>105</v>
      </c>
      <c r="B114" s="159" t="str">
        <f>+B113</f>
        <v>55E &amp; 56E</v>
      </c>
      <c r="C114" s="157" t="s">
        <v>19</v>
      </c>
      <c r="D114" s="157">
        <v>150</v>
      </c>
      <c r="E114" s="150">
        <v>1.27</v>
      </c>
      <c r="F114" s="150">
        <v>2.4</v>
      </c>
      <c r="G114" s="150">
        <f t="shared" si="49"/>
        <v>3.67</v>
      </c>
      <c r="H114" s="140">
        <v>6019</v>
      </c>
      <c r="I114" s="143">
        <f t="shared" si="50"/>
        <v>22090</v>
      </c>
      <c r="J114" s="151">
        <f t="shared" si="51"/>
        <v>0.17</v>
      </c>
      <c r="K114" s="143">
        <f t="shared" si="52"/>
        <v>1023</v>
      </c>
      <c r="L114" s="126"/>
      <c r="M114" s="150"/>
      <c r="N114" s="249" t="str">
        <f t="shared" ref="N114:N129" si="53">+$N$112</f>
        <v>Sheet No. 95-D</v>
      </c>
      <c r="O114" s="233"/>
      <c r="P114" s="233"/>
      <c r="Q114" s="126"/>
      <c r="R114" s="126"/>
      <c r="S114" s="126"/>
      <c r="T114" s="126"/>
    </row>
    <row r="115" spans="1:20" x14ac:dyDescent="0.2">
      <c r="A115" s="226">
        <f t="shared" si="30"/>
        <v>106</v>
      </c>
      <c r="B115" s="159" t="str">
        <f>+B114</f>
        <v>55E &amp; 56E</v>
      </c>
      <c r="C115" s="157" t="s">
        <v>19</v>
      </c>
      <c r="D115" s="157">
        <v>200</v>
      </c>
      <c r="E115" s="150">
        <v>1.69</v>
      </c>
      <c r="F115" s="150">
        <v>3.2</v>
      </c>
      <c r="G115" s="150">
        <f t="shared" si="49"/>
        <v>4.8900000000000006</v>
      </c>
      <c r="H115" s="140">
        <v>12748</v>
      </c>
      <c r="I115" s="143">
        <f t="shared" si="50"/>
        <v>62338</v>
      </c>
      <c r="J115" s="151">
        <f t="shared" si="51"/>
        <v>0.23</v>
      </c>
      <c r="K115" s="143">
        <f t="shared" si="52"/>
        <v>2932</v>
      </c>
      <c r="L115" s="126"/>
      <c r="M115" s="150"/>
      <c r="N115" s="249" t="str">
        <f t="shared" si="53"/>
        <v>Sheet No. 95-D</v>
      </c>
      <c r="O115" s="233"/>
      <c r="P115" s="233"/>
      <c r="Q115" s="126"/>
      <c r="R115" s="126"/>
      <c r="S115" s="126"/>
      <c r="T115" s="126"/>
    </row>
    <row r="116" spans="1:20" x14ac:dyDescent="0.2">
      <c r="A116" s="226">
        <f t="shared" si="30"/>
        <v>107</v>
      </c>
      <c r="B116" s="159" t="str">
        <f>+B115</f>
        <v>55E &amp; 56E</v>
      </c>
      <c r="C116" s="157" t="s">
        <v>19</v>
      </c>
      <c r="D116" s="157">
        <v>250</v>
      </c>
      <c r="E116" s="150">
        <v>2.11</v>
      </c>
      <c r="F116" s="150">
        <v>4</v>
      </c>
      <c r="G116" s="150">
        <f t="shared" si="49"/>
        <v>6.1099999999999994</v>
      </c>
      <c r="H116" s="140">
        <v>1361</v>
      </c>
      <c r="I116" s="143">
        <f t="shared" si="50"/>
        <v>8316</v>
      </c>
      <c r="J116" s="151">
        <f t="shared" si="51"/>
        <v>0.28000000000000003</v>
      </c>
      <c r="K116" s="143">
        <f t="shared" si="52"/>
        <v>381</v>
      </c>
      <c r="L116" s="126"/>
      <c r="M116" s="150"/>
      <c r="N116" s="249" t="str">
        <f t="shared" si="53"/>
        <v>Sheet No. 95-D</v>
      </c>
      <c r="O116" s="233"/>
      <c r="P116" s="233"/>
      <c r="Q116" s="126"/>
      <c r="R116" s="126"/>
      <c r="S116" s="126"/>
      <c r="T116" s="126"/>
    </row>
    <row r="117" spans="1:20" x14ac:dyDescent="0.2">
      <c r="A117" s="226">
        <f t="shared" si="30"/>
        <v>108</v>
      </c>
      <c r="B117" s="159" t="str">
        <f>+B116</f>
        <v>55E &amp; 56E</v>
      </c>
      <c r="C117" s="157" t="s">
        <v>19</v>
      </c>
      <c r="D117" s="157">
        <v>400</v>
      </c>
      <c r="E117" s="150">
        <v>3.37</v>
      </c>
      <c r="F117" s="150">
        <v>6.39</v>
      </c>
      <c r="G117" s="150">
        <f t="shared" si="49"/>
        <v>9.76</v>
      </c>
      <c r="H117" s="140">
        <v>556</v>
      </c>
      <c r="I117" s="143">
        <f t="shared" si="50"/>
        <v>5427</v>
      </c>
      <c r="J117" s="151">
        <f t="shared" si="51"/>
        <v>0.45</v>
      </c>
      <c r="K117" s="143">
        <f t="shared" si="52"/>
        <v>250</v>
      </c>
      <c r="L117" s="126"/>
      <c r="M117" s="150"/>
      <c r="N117" s="249" t="str">
        <f t="shared" si="53"/>
        <v>Sheet No. 95-D</v>
      </c>
      <c r="O117" s="233"/>
      <c r="P117" s="233"/>
      <c r="Q117" s="126"/>
      <c r="R117" s="126"/>
      <c r="S117" s="126"/>
      <c r="T117" s="126"/>
    </row>
    <row r="118" spans="1:20" x14ac:dyDescent="0.2">
      <c r="A118" s="226">
        <f t="shared" si="30"/>
        <v>109</v>
      </c>
      <c r="B118" s="159"/>
      <c r="C118" s="157"/>
      <c r="D118" s="157"/>
      <c r="E118" s="150"/>
      <c r="F118" s="150"/>
      <c r="G118" s="150"/>
      <c r="H118" s="140"/>
      <c r="I118" s="140"/>
      <c r="J118" s="151"/>
      <c r="K118" s="140"/>
      <c r="L118" s="126"/>
      <c r="M118" s="150"/>
      <c r="N118" s="150"/>
      <c r="O118" s="233"/>
      <c r="P118" s="233"/>
      <c r="Q118" s="126"/>
      <c r="R118" s="126"/>
      <c r="S118" s="126"/>
      <c r="T118" s="126"/>
    </row>
    <row r="119" spans="1:20" x14ac:dyDescent="0.2">
      <c r="A119" s="226">
        <f t="shared" si="30"/>
        <v>110</v>
      </c>
      <c r="B119" s="159" t="str">
        <f>+B117</f>
        <v>55E &amp; 56E</v>
      </c>
      <c r="C119" s="157" t="s">
        <v>219</v>
      </c>
      <c r="D119" s="157">
        <v>250</v>
      </c>
      <c r="E119" s="150">
        <v>2.11</v>
      </c>
      <c r="F119" s="150">
        <v>4</v>
      </c>
      <c r="G119" s="150">
        <f>SUM(E119:F119)</f>
        <v>6.1099999999999994</v>
      </c>
      <c r="H119" s="140">
        <v>72</v>
      </c>
      <c r="I119" s="143">
        <f>ROUND($H119*G119,0)</f>
        <v>440</v>
      </c>
      <c r="J119" s="151">
        <f>ROUND(+G119*$L$10,2)</f>
        <v>0.28000000000000003</v>
      </c>
      <c r="K119" s="143">
        <f>ROUND($H119*J119,0)</f>
        <v>20</v>
      </c>
      <c r="L119" s="126"/>
      <c r="M119" s="150"/>
      <c r="N119" s="249" t="str">
        <f t="shared" si="53"/>
        <v>Sheet No. 95-D</v>
      </c>
      <c r="O119" s="233"/>
      <c r="P119" s="233"/>
      <c r="Q119" s="126"/>
      <c r="R119" s="126"/>
      <c r="S119" s="126"/>
      <c r="T119" s="126"/>
    </row>
    <row r="120" spans="1:20" x14ac:dyDescent="0.2">
      <c r="A120" s="226">
        <f t="shared" si="30"/>
        <v>111</v>
      </c>
      <c r="B120" s="159"/>
      <c r="C120" s="157"/>
      <c r="D120" s="157"/>
      <c r="E120" s="150"/>
      <c r="F120" s="150"/>
      <c r="G120" s="150"/>
      <c r="H120" s="140"/>
      <c r="I120" s="140"/>
      <c r="J120" s="151"/>
      <c r="K120" s="140"/>
      <c r="L120" s="126"/>
      <c r="M120" s="150"/>
      <c r="N120" s="150"/>
      <c r="O120" s="233"/>
      <c r="P120" s="233"/>
      <c r="Q120" s="126"/>
      <c r="R120" s="126"/>
      <c r="S120" s="126"/>
      <c r="T120" s="126"/>
    </row>
    <row r="121" spans="1:20" x14ac:dyDescent="0.2">
      <c r="A121" s="226">
        <f t="shared" si="30"/>
        <v>112</v>
      </c>
      <c r="B121" s="159" t="s">
        <v>225</v>
      </c>
      <c r="C121" s="157" t="s">
        <v>207</v>
      </c>
      <c r="D121" s="154" t="s">
        <v>208</v>
      </c>
      <c r="E121" s="150">
        <v>0.38</v>
      </c>
      <c r="F121" s="150">
        <v>0.72</v>
      </c>
      <c r="G121" s="150">
        <f t="shared" ref="G121:G129" si="54">SUM(E121:F121)</f>
        <v>1.1000000000000001</v>
      </c>
      <c r="H121" s="140">
        <v>6751</v>
      </c>
      <c r="I121" s="143">
        <f t="shared" ref="I121:I129" si="55">ROUND($H121*G121,0)</f>
        <v>7426</v>
      </c>
      <c r="J121" s="151">
        <f t="shared" ref="J121:J129" si="56">ROUND(+G121*$L$10,2)</f>
        <v>0.05</v>
      </c>
      <c r="K121" s="143">
        <f t="shared" ref="K121:K129" si="57">ROUND($H121*J121,0)</f>
        <v>338</v>
      </c>
      <c r="L121" s="126"/>
      <c r="M121" s="150"/>
      <c r="N121" s="249" t="str">
        <f t="shared" si="53"/>
        <v>Sheet No. 95-D</v>
      </c>
      <c r="O121" s="233"/>
      <c r="P121" s="233"/>
      <c r="Q121" s="126"/>
      <c r="R121" s="126"/>
      <c r="S121" s="126"/>
      <c r="T121" s="126"/>
    </row>
    <row r="122" spans="1:20" x14ac:dyDescent="0.2">
      <c r="A122" s="226">
        <f t="shared" si="30"/>
        <v>113</v>
      </c>
      <c r="B122" s="159" t="s">
        <v>225</v>
      </c>
      <c r="C122" s="157" t="s">
        <v>207</v>
      </c>
      <c r="D122" s="154" t="s">
        <v>209</v>
      </c>
      <c r="E122" s="150">
        <v>0.63</v>
      </c>
      <c r="F122" s="150">
        <v>1.2</v>
      </c>
      <c r="G122" s="150">
        <f t="shared" si="54"/>
        <v>1.83</v>
      </c>
      <c r="H122" s="140">
        <v>56</v>
      </c>
      <c r="I122" s="143">
        <f t="shared" si="55"/>
        <v>102</v>
      </c>
      <c r="J122" s="151">
        <f t="shared" si="56"/>
        <v>0.08</v>
      </c>
      <c r="K122" s="143">
        <f t="shared" si="57"/>
        <v>4</v>
      </c>
      <c r="L122" s="126"/>
      <c r="M122" s="150"/>
      <c r="N122" s="249" t="str">
        <f t="shared" si="53"/>
        <v>Sheet No. 95-D</v>
      </c>
      <c r="O122" s="233"/>
      <c r="P122" s="233"/>
      <c r="Q122" s="126"/>
      <c r="R122" s="126"/>
      <c r="S122" s="126"/>
      <c r="T122" s="126"/>
    </row>
    <row r="123" spans="1:20" x14ac:dyDescent="0.2">
      <c r="A123" s="226">
        <f t="shared" si="30"/>
        <v>114</v>
      </c>
      <c r="B123" s="159" t="s">
        <v>225</v>
      </c>
      <c r="C123" s="157" t="s">
        <v>207</v>
      </c>
      <c r="D123" s="154" t="s">
        <v>210</v>
      </c>
      <c r="E123" s="150">
        <v>0.89</v>
      </c>
      <c r="F123" s="150">
        <v>1.68</v>
      </c>
      <c r="G123" s="150">
        <f t="shared" si="54"/>
        <v>2.57</v>
      </c>
      <c r="H123" s="140">
        <v>1650</v>
      </c>
      <c r="I123" s="143">
        <f t="shared" si="55"/>
        <v>4241</v>
      </c>
      <c r="J123" s="151">
        <f t="shared" si="56"/>
        <v>0.12</v>
      </c>
      <c r="K123" s="143">
        <f t="shared" si="57"/>
        <v>198</v>
      </c>
      <c r="L123" s="126"/>
      <c r="M123" s="150"/>
      <c r="N123" s="249" t="str">
        <f t="shared" si="53"/>
        <v>Sheet No. 95-D</v>
      </c>
      <c r="O123" s="233"/>
      <c r="P123" s="233"/>
      <c r="Q123" s="126"/>
      <c r="R123" s="126"/>
      <c r="S123" s="126"/>
      <c r="T123" s="126"/>
    </row>
    <row r="124" spans="1:20" x14ac:dyDescent="0.2">
      <c r="A124" s="226">
        <f t="shared" si="30"/>
        <v>115</v>
      </c>
      <c r="B124" s="159" t="s">
        <v>225</v>
      </c>
      <c r="C124" s="157" t="s">
        <v>207</v>
      </c>
      <c r="D124" s="154" t="s">
        <v>211</v>
      </c>
      <c r="E124" s="150">
        <v>1.1399999999999999</v>
      </c>
      <c r="F124" s="150">
        <v>2.16</v>
      </c>
      <c r="G124" s="150">
        <f t="shared" si="54"/>
        <v>3.3</v>
      </c>
      <c r="H124" s="140">
        <v>0</v>
      </c>
      <c r="I124" s="143">
        <f t="shared" si="55"/>
        <v>0</v>
      </c>
      <c r="J124" s="151">
        <f t="shared" si="56"/>
        <v>0.15</v>
      </c>
      <c r="K124" s="143">
        <f t="shared" si="57"/>
        <v>0</v>
      </c>
      <c r="L124" s="126"/>
      <c r="M124" s="150"/>
      <c r="N124" s="249" t="str">
        <f t="shared" si="53"/>
        <v>Sheet No. 95-D</v>
      </c>
      <c r="O124" s="233"/>
      <c r="P124" s="233"/>
      <c r="Q124" s="126"/>
      <c r="R124" s="126"/>
      <c r="S124" s="126"/>
      <c r="T124" s="126"/>
    </row>
    <row r="125" spans="1:20" x14ac:dyDescent="0.2">
      <c r="A125" s="226">
        <f t="shared" si="30"/>
        <v>116</v>
      </c>
      <c r="B125" s="159" t="s">
        <v>225</v>
      </c>
      <c r="C125" s="157" t="s">
        <v>207</v>
      </c>
      <c r="D125" s="154" t="s">
        <v>212</v>
      </c>
      <c r="E125" s="150">
        <v>1.39</v>
      </c>
      <c r="F125" s="150">
        <v>2.64</v>
      </c>
      <c r="G125" s="150">
        <f t="shared" si="54"/>
        <v>4.03</v>
      </c>
      <c r="H125" s="140">
        <v>0</v>
      </c>
      <c r="I125" s="143">
        <f t="shared" si="55"/>
        <v>0</v>
      </c>
      <c r="J125" s="151">
        <f t="shared" si="56"/>
        <v>0.19</v>
      </c>
      <c r="K125" s="143">
        <f t="shared" si="57"/>
        <v>0</v>
      </c>
      <c r="L125" s="126"/>
      <c r="M125" s="150"/>
      <c r="N125" s="249" t="str">
        <f t="shared" si="53"/>
        <v>Sheet No. 95-D</v>
      </c>
      <c r="O125" s="233"/>
      <c r="P125" s="233"/>
      <c r="Q125" s="126"/>
      <c r="R125" s="126"/>
      <c r="S125" s="126"/>
      <c r="T125" s="126"/>
    </row>
    <row r="126" spans="1:20" x14ac:dyDescent="0.2">
      <c r="A126" s="226">
        <f t="shared" si="30"/>
        <v>117</v>
      </c>
      <c r="B126" s="159" t="s">
        <v>225</v>
      </c>
      <c r="C126" s="157" t="s">
        <v>207</v>
      </c>
      <c r="D126" s="154" t="s">
        <v>213</v>
      </c>
      <c r="E126" s="150">
        <v>1.64</v>
      </c>
      <c r="F126" s="150">
        <v>3.12</v>
      </c>
      <c r="G126" s="150">
        <f t="shared" si="54"/>
        <v>4.76</v>
      </c>
      <c r="H126" s="140">
        <v>0</v>
      </c>
      <c r="I126" s="143">
        <f t="shared" si="55"/>
        <v>0</v>
      </c>
      <c r="J126" s="151">
        <f t="shared" si="56"/>
        <v>0.22</v>
      </c>
      <c r="K126" s="143">
        <f t="shared" si="57"/>
        <v>0</v>
      </c>
      <c r="L126" s="126"/>
      <c r="M126" s="150"/>
      <c r="N126" s="249" t="str">
        <f t="shared" si="53"/>
        <v>Sheet No. 95-D</v>
      </c>
      <c r="O126" s="233"/>
      <c r="P126" s="233"/>
      <c r="Q126" s="126"/>
      <c r="R126" s="126"/>
      <c r="S126" s="126"/>
      <c r="T126" s="126"/>
    </row>
    <row r="127" spans="1:20" x14ac:dyDescent="0.2">
      <c r="A127" s="226">
        <f t="shared" si="30"/>
        <v>118</v>
      </c>
      <c r="B127" s="159" t="s">
        <v>225</v>
      </c>
      <c r="C127" s="157" t="s">
        <v>207</v>
      </c>
      <c r="D127" s="154" t="s">
        <v>214</v>
      </c>
      <c r="E127" s="150">
        <v>1.9</v>
      </c>
      <c r="F127" s="150">
        <v>3.6</v>
      </c>
      <c r="G127" s="150">
        <f t="shared" si="54"/>
        <v>5.5</v>
      </c>
      <c r="H127" s="140">
        <v>0</v>
      </c>
      <c r="I127" s="143">
        <f t="shared" si="55"/>
        <v>0</v>
      </c>
      <c r="J127" s="151">
        <f t="shared" si="56"/>
        <v>0.25</v>
      </c>
      <c r="K127" s="143">
        <f t="shared" si="57"/>
        <v>0</v>
      </c>
      <c r="L127" s="126"/>
      <c r="M127" s="150"/>
      <c r="N127" s="249" t="str">
        <f t="shared" si="53"/>
        <v>Sheet No. 95-D</v>
      </c>
      <c r="O127" s="233"/>
      <c r="P127" s="233"/>
      <c r="Q127" s="126"/>
      <c r="R127" s="126"/>
      <c r="S127" s="126"/>
      <c r="T127" s="126"/>
    </row>
    <row r="128" spans="1:20" x14ac:dyDescent="0.2">
      <c r="A128" s="226">
        <f t="shared" si="30"/>
        <v>119</v>
      </c>
      <c r="B128" s="159" t="s">
        <v>225</v>
      </c>
      <c r="C128" s="157" t="s">
        <v>207</v>
      </c>
      <c r="D128" s="154" t="s">
        <v>215</v>
      </c>
      <c r="E128" s="150">
        <v>2.15</v>
      </c>
      <c r="F128" s="150">
        <v>4.08</v>
      </c>
      <c r="G128" s="150">
        <f t="shared" si="54"/>
        <v>6.23</v>
      </c>
      <c r="H128" s="140">
        <v>0</v>
      </c>
      <c r="I128" s="143">
        <f t="shared" si="55"/>
        <v>0</v>
      </c>
      <c r="J128" s="151">
        <f t="shared" si="56"/>
        <v>0.28999999999999998</v>
      </c>
      <c r="K128" s="143">
        <f t="shared" si="57"/>
        <v>0</v>
      </c>
      <c r="L128" s="126"/>
      <c r="M128" s="150"/>
      <c r="N128" s="249" t="str">
        <f t="shared" si="53"/>
        <v>Sheet No. 95-D</v>
      </c>
      <c r="O128" s="233"/>
      <c r="P128" s="233"/>
      <c r="Q128" s="126"/>
      <c r="R128" s="126"/>
      <c r="S128" s="126"/>
      <c r="T128" s="126"/>
    </row>
    <row r="129" spans="1:20" x14ac:dyDescent="0.2">
      <c r="A129" s="226">
        <f t="shared" si="30"/>
        <v>120</v>
      </c>
      <c r="B129" s="159" t="s">
        <v>225</v>
      </c>
      <c r="C129" s="157" t="s">
        <v>207</v>
      </c>
      <c r="D129" s="154" t="s">
        <v>216</v>
      </c>
      <c r="E129" s="150">
        <v>2.4</v>
      </c>
      <c r="F129" s="150">
        <v>4.55</v>
      </c>
      <c r="G129" s="150">
        <f t="shared" si="54"/>
        <v>6.9499999999999993</v>
      </c>
      <c r="H129" s="140">
        <v>0</v>
      </c>
      <c r="I129" s="143">
        <f t="shared" si="55"/>
        <v>0</v>
      </c>
      <c r="J129" s="151">
        <f t="shared" si="56"/>
        <v>0.32</v>
      </c>
      <c r="K129" s="143">
        <f t="shared" si="57"/>
        <v>0</v>
      </c>
      <c r="L129" s="126"/>
      <c r="M129" s="150"/>
      <c r="N129" s="249" t="str">
        <f t="shared" si="53"/>
        <v>Sheet No. 95-D</v>
      </c>
      <c r="O129" s="233"/>
      <c r="P129" s="233"/>
      <c r="Q129" s="126"/>
      <c r="R129" s="126"/>
      <c r="S129" s="126"/>
      <c r="T129" s="126"/>
    </row>
    <row r="130" spans="1:20" x14ac:dyDescent="0.2">
      <c r="A130" s="226">
        <f t="shared" si="30"/>
        <v>121</v>
      </c>
      <c r="B130" s="159"/>
      <c r="C130" s="157"/>
      <c r="D130" s="157"/>
      <c r="E130" s="150"/>
      <c r="F130" s="150"/>
      <c r="G130" s="150"/>
      <c r="H130" s="140"/>
      <c r="I130" s="140"/>
      <c r="J130" s="151"/>
      <c r="K130" s="140"/>
      <c r="L130" s="126"/>
      <c r="M130" s="150"/>
      <c r="N130" s="150"/>
      <c r="O130" s="233"/>
      <c r="P130" s="233"/>
      <c r="Q130" s="126"/>
      <c r="R130" s="126"/>
      <c r="S130" s="126"/>
      <c r="T130" s="126"/>
    </row>
    <row r="131" spans="1:20" x14ac:dyDescent="0.2">
      <c r="A131" s="226">
        <f t="shared" si="30"/>
        <v>122</v>
      </c>
      <c r="B131" s="139" t="s">
        <v>226</v>
      </c>
      <c r="C131" s="157"/>
      <c r="D131" s="157"/>
      <c r="E131" s="150"/>
      <c r="F131" s="150"/>
      <c r="G131" s="150"/>
      <c r="H131" s="140"/>
      <c r="I131" s="140"/>
      <c r="J131" s="151"/>
      <c r="K131" s="140"/>
      <c r="L131" s="126"/>
      <c r="M131" s="150"/>
      <c r="N131" s="150"/>
      <c r="O131" s="233"/>
      <c r="P131" s="233"/>
      <c r="Q131" s="126"/>
      <c r="R131" s="126"/>
      <c r="S131" s="126"/>
      <c r="T131" s="126"/>
    </row>
    <row r="132" spans="1:20" x14ac:dyDescent="0.2">
      <c r="A132" s="226">
        <f t="shared" si="30"/>
        <v>123</v>
      </c>
      <c r="B132" s="159" t="s">
        <v>227</v>
      </c>
      <c r="C132" s="157" t="s">
        <v>228</v>
      </c>
      <c r="D132" s="157">
        <v>0</v>
      </c>
      <c r="E132" s="122">
        <v>7.8847386068025219E-3</v>
      </c>
      <c r="F132" s="122">
        <v>3.3333671564963627E-2</v>
      </c>
      <c r="G132" s="160">
        <f>SUM(E132:F132)</f>
        <v>4.1218410171766147E-2</v>
      </c>
      <c r="H132" s="140">
        <v>11746541</v>
      </c>
      <c r="I132" s="143">
        <f>ROUND($H132*G132,0)</f>
        <v>484174</v>
      </c>
      <c r="J132" s="161">
        <f>ROUND(+G132*$L$10,5)</f>
        <v>1.91E-3</v>
      </c>
      <c r="K132" s="143">
        <f>ROUND($H132*J132,0)</f>
        <v>22436</v>
      </c>
      <c r="L132" s="126"/>
      <c r="M132" s="150"/>
      <c r="N132" s="249" t="str">
        <f t="shared" ref="N132" si="58">+$N$112</f>
        <v>Sheet No. 95-D</v>
      </c>
      <c r="O132" s="243"/>
      <c r="P132" s="243"/>
      <c r="Q132" s="126"/>
      <c r="R132" s="126"/>
      <c r="S132" s="233"/>
      <c r="T132" s="233"/>
    </row>
    <row r="133" spans="1:20" x14ac:dyDescent="0.2">
      <c r="A133" s="226">
        <f t="shared" si="30"/>
        <v>124</v>
      </c>
      <c r="B133" s="159"/>
      <c r="C133" s="157"/>
      <c r="D133" s="157"/>
      <c r="E133" s="150"/>
      <c r="F133" s="150"/>
      <c r="G133" s="150"/>
      <c r="H133" s="140"/>
      <c r="I133" s="140"/>
      <c r="J133" s="151"/>
      <c r="K133" s="140"/>
      <c r="L133" s="126"/>
      <c r="M133" s="150"/>
      <c r="N133" s="150"/>
      <c r="O133" s="126"/>
      <c r="P133" s="126"/>
      <c r="Q133" s="126"/>
      <c r="R133" s="126"/>
      <c r="S133" s="126"/>
      <c r="T133" s="126"/>
    </row>
    <row r="134" spans="1:20" x14ac:dyDescent="0.2">
      <c r="A134" s="226">
        <f t="shared" si="30"/>
        <v>125</v>
      </c>
      <c r="B134" s="139" t="s">
        <v>229</v>
      </c>
      <c r="C134" s="157"/>
      <c r="D134" s="157"/>
      <c r="E134" s="150"/>
      <c r="F134" s="150"/>
      <c r="G134" s="150"/>
      <c r="H134" s="140"/>
      <c r="I134" s="140"/>
      <c r="J134" s="151"/>
      <c r="K134" s="140"/>
      <c r="L134" s="126"/>
      <c r="M134" s="150"/>
      <c r="N134" s="150"/>
      <c r="O134" s="126"/>
      <c r="P134" s="126"/>
      <c r="Q134" s="126"/>
      <c r="R134" s="126"/>
      <c r="S134" s="126"/>
      <c r="T134" s="126"/>
    </row>
    <row r="135" spans="1:20" x14ac:dyDescent="0.2">
      <c r="A135" s="226">
        <f t="shared" si="30"/>
        <v>126</v>
      </c>
      <c r="B135" s="148" t="s">
        <v>230</v>
      </c>
      <c r="C135" s="157" t="s">
        <v>19</v>
      </c>
      <c r="D135" s="157">
        <v>70</v>
      </c>
      <c r="E135" s="150">
        <v>0.59</v>
      </c>
      <c r="F135" s="150">
        <v>1.1200000000000001</v>
      </c>
      <c r="G135" s="150">
        <f t="shared" ref="G135:G140" si="59">SUM(E135:F135)</f>
        <v>1.71</v>
      </c>
      <c r="H135" s="140">
        <v>655</v>
      </c>
      <c r="I135" s="143">
        <f t="shared" ref="I135:I140" si="60">ROUND($H135*G135,0)</f>
        <v>1120</v>
      </c>
      <c r="J135" s="151">
        <f t="shared" ref="J135:J140" si="61">ROUND(+G135*$L$10,2)</f>
        <v>0.08</v>
      </c>
      <c r="K135" s="143">
        <f t="shared" ref="K135:K140" si="62">ROUND($H135*J135,0)</f>
        <v>52</v>
      </c>
      <c r="L135" s="126"/>
      <c r="M135" s="150"/>
      <c r="N135" s="249" t="s">
        <v>267</v>
      </c>
      <c r="O135" s="233"/>
      <c r="P135" s="233"/>
      <c r="Q135" s="126"/>
      <c r="R135" s="126"/>
      <c r="S135" s="126"/>
      <c r="T135" s="126"/>
    </row>
    <row r="136" spans="1:20" x14ac:dyDescent="0.2">
      <c r="A136" s="226">
        <f t="shared" si="30"/>
        <v>127</v>
      </c>
      <c r="B136" s="159" t="str">
        <f>+B135</f>
        <v>58E &amp; 59E - Directional</v>
      </c>
      <c r="C136" s="157" t="s">
        <v>19</v>
      </c>
      <c r="D136" s="157">
        <v>100</v>
      </c>
      <c r="E136" s="150">
        <v>0.84</v>
      </c>
      <c r="F136" s="150">
        <v>1.6</v>
      </c>
      <c r="G136" s="150">
        <f t="shared" si="59"/>
        <v>2.44</v>
      </c>
      <c r="H136" s="140">
        <v>132</v>
      </c>
      <c r="I136" s="143">
        <f t="shared" si="60"/>
        <v>322</v>
      </c>
      <c r="J136" s="151">
        <f t="shared" si="61"/>
        <v>0.11</v>
      </c>
      <c r="K136" s="143">
        <f t="shared" si="62"/>
        <v>15</v>
      </c>
      <c r="L136" s="126"/>
      <c r="M136" s="150"/>
      <c r="N136" s="249" t="str">
        <f>+$N$135</f>
        <v>Sheet No. 95-E</v>
      </c>
      <c r="O136" s="233"/>
      <c r="P136" s="233"/>
      <c r="Q136" s="126"/>
      <c r="R136" s="126"/>
      <c r="S136" s="126"/>
      <c r="T136" s="126"/>
    </row>
    <row r="137" spans="1:20" x14ac:dyDescent="0.2">
      <c r="A137" s="226">
        <f t="shared" si="30"/>
        <v>128</v>
      </c>
      <c r="B137" s="159" t="str">
        <f>+B136</f>
        <v>58E &amp; 59E - Directional</v>
      </c>
      <c r="C137" s="157" t="s">
        <v>19</v>
      </c>
      <c r="D137" s="157">
        <v>150</v>
      </c>
      <c r="E137" s="150">
        <v>1.27</v>
      </c>
      <c r="F137" s="150">
        <v>2.4</v>
      </c>
      <c r="G137" s="150">
        <f t="shared" si="59"/>
        <v>3.67</v>
      </c>
      <c r="H137" s="140">
        <v>1805</v>
      </c>
      <c r="I137" s="143">
        <f t="shared" si="60"/>
        <v>6624</v>
      </c>
      <c r="J137" s="151">
        <f t="shared" si="61"/>
        <v>0.17</v>
      </c>
      <c r="K137" s="143">
        <f t="shared" si="62"/>
        <v>307</v>
      </c>
      <c r="L137" s="126"/>
      <c r="M137" s="150"/>
      <c r="N137" s="249" t="str">
        <f t="shared" ref="N137:N140" si="63">+$N$135</f>
        <v>Sheet No. 95-E</v>
      </c>
      <c r="O137" s="233"/>
      <c r="P137" s="233"/>
      <c r="Q137" s="126"/>
      <c r="R137" s="126"/>
      <c r="S137" s="126"/>
      <c r="T137" s="126"/>
    </row>
    <row r="138" spans="1:20" x14ac:dyDescent="0.2">
      <c r="A138" s="226">
        <f t="shared" si="30"/>
        <v>129</v>
      </c>
      <c r="B138" s="159" t="str">
        <f>+B137</f>
        <v>58E &amp; 59E - Directional</v>
      </c>
      <c r="C138" s="157" t="s">
        <v>19</v>
      </c>
      <c r="D138" s="157">
        <v>200</v>
      </c>
      <c r="E138" s="150">
        <v>1.69</v>
      </c>
      <c r="F138" s="150">
        <v>3.2</v>
      </c>
      <c r="G138" s="150">
        <f t="shared" si="59"/>
        <v>4.8900000000000006</v>
      </c>
      <c r="H138" s="140">
        <v>3308</v>
      </c>
      <c r="I138" s="143">
        <f t="shared" si="60"/>
        <v>16176</v>
      </c>
      <c r="J138" s="151">
        <f t="shared" si="61"/>
        <v>0.23</v>
      </c>
      <c r="K138" s="143">
        <f t="shared" si="62"/>
        <v>761</v>
      </c>
      <c r="L138" s="126"/>
      <c r="M138" s="150"/>
      <c r="N138" s="249" t="str">
        <f t="shared" si="63"/>
        <v>Sheet No. 95-E</v>
      </c>
      <c r="O138" s="233"/>
      <c r="P138" s="233"/>
      <c r="Q138" s="126"/>
      <c r="R138" s="126"/>
      <c r="S138" s="126"/>
      <c r="T138" s="126"/>
    </row>
    <row r="139" spans="1:20" x14ac:dyDescent="0.2">
      <c r="A139" s="226">
        <f t="shared" si="30"/>
        <v>130</v>
      </c>
      <c r="B139" s="159" t="str">
        <f>+B138</f>
        <v>58E &amp; 59E - Directional</v>
      </c>
      <c r="C139" s="157" t="s">
        <v>19</v>
      </c>
      <c r="D139" s="157">
        <v>250</v>
      </c>
      <c r="E139" s="150">
        <v>2.11</v>
      </c>
      <c r="F139" s="150">
        <v>4</v>
      </c>
      <c r="G139" s="150">
        <f t="shared" si="59"/>
        <v>6.1099999999999994</v>
      </c>
      <c r="H139" s="140">
        <v>468</v>
      </c>
      <c r="I139" s="143">
        <f t="shared" si="60"/>
        <v>2859</v>
      </c>
      <c r="J139" s="151">
        <f t="shared" si="61"/>
        <v>0.28000000000000003</v>
      </c>
      <c r="K139" s="143">
        <f t="shared" si="62"/>
        <v>131</v>
      </c>
      <c r="L139" s="126"/>
      <c r="M139" s="150"/>
      <c r="N139" s="249" t="str">
        <f t="shared" si="63"/>
        <v>Sheet No. 95-E</v>
      </c>
      <c r="O139" s="233"/>
      <c r="P139" s="233"/>
      <c r="Q139" s="126"/>
      <c r="R139" s="126"/>
      <c r="S139" s="126"/>
      <c r="T139" s="126"/>
    </row>
    <row r="140" spans="1:20" x14ac:dyDescent="0.2">
      <c r="A140" s="226">
        <f t="shared" ref="A140:A171" si="64">+A139+1</f>
        <v>131</v>
      </c>
      <c r="B140" s="159" t="str">
        <f>+B139</f>
        <v>58E &amp; 59E - Directional</v>
      </c>
      <c r="C140" s="157" t="s">
        <v>19</v>
      </c>
      <c r="D140" s="157">
        <v>400</v>
      </c>
      <c r="E140" s="150">
        <v>3.37</v>
      </c>
      <c r="F140" s="150">
        <v>6.39</v>
      </c>
      <c r="G140" s="150">
        <f t="shared" si="59"/>
        <v>9.76</v>
      </c>
      <c r="H140" s="140">
        <v>4298</v>
      </c>
      <c r="I140" s="143">
        <f t="shared" si="60"/>
        <v>41948</v>
      </c>
      <c r="J140" s="151">
        <f t="shared" si="61"/>
        <v>0.45</v>
      </c>
      <c r="K140" s="143">
        <f t="shared" si="62"/>
        <v>1934</v>
      </c>
      <c r="L140" s="126"/>
      <c r="M140" s="150"/>
      <c r="N140" s="249" t="str">
        <f t="shared" si="63"/>
        <v>Sheet No. 95-E</v>
      </c>
      <c r="O140" s="233"/>
      <c r="P140" s="233"/>
      <c r="Q140" s="126"/>
      <c r="R140" s="126"/>
      <c r="S140" s="126"/>
      <c r="T140" s="126"/>
    </row>
    <row r="141" spans="1:20" x14ac:dyDescent="0.2">
      <c r="A141" s="226">
        <f t="shared" si="64"/>
        <v>132</v>
      </c>
      <c r="B141" s="159"/>
      <c r="C141" s="157"/>
      <c r="D141" s="157"/>
      <c r="E141" s="150"/>
      <c r="F141" s="150"/>
      <c r="G141" s="150"/>
      <c r="H141" s="140"/>
      <c r="I141" s="140"/>
      <c r="J141" s="151"/>
      <c r="K141" s="140"/>
      <c r="L141" s="126"/>
      <c r="M141" s="150"/>
      <c r="N141" s="150"/>
      <c r="O141" s="233"/>
      <c r="P141" s="233"/>
      <c r="Q141" s="126"/>
      <c r="R141" s="126"/>
      <c r="S141" s="126"/>
      <c r="T141" s="126"/>
    </row>
    <row r="142" spans="1:20" x14ac:dyDescent="0.2">
      <c r="A142" s="226">
        <f t="shared" si="64"/>
        <v>133</v>
      </c>
      <c r="B142" s="148" t="s">
        <v>231</v>
      </c>
      <c r="C142" s="157" t="s">
        <v>19</v>
      </c>
      <c r="D142" s="157">
        <v>100</v>
      </c>
      <c r="E142" s="150">
        <v>0.84</v>
      </c>
      <c r="F142" s="150">
        <v>1.6</v>
      </c>
      <c r="G142" s="150">
        <f>SUM(E142:F142)</f>
        <v>2.44</v>
      </c>
      <c r="H142" s="140">
        <v>12</v>
      </c>
      <c r="I142" s="143">
        <f>ROUND($H142*G142,0)</f>
        <v>29</v>
      </c>
      <c r="J142" s="151">
        <f>ROUND(+G142*$L$10,2)</f>
        <v>0.11</v>
      </c>
      <c r="K142" s="143">
        <f>ROUND($H142*J142,0)</f>
        <v>1</v>
      </c>
      <c r="L142" s="126"/>
      <c r="M142" s="150"/>
      <c r="N142" s="249" t="str">
        <f t="shared" ref="N142:N146" si="65">+$N$135</f>
        <v>Sheet No. 95-E</v>
      </c>
      <c r="O142" s="233"/>
      <c r="P142" s="233"/>
      <c r="Q142" s="126"/>
      <c r="R142" s="126"/>
      <c r="S142" s="126"/>
      <c r="T142" s="126"/>
    </row>
    <row r="143" spans="1:20" x14ac:dyDescent="0.2">
      <c r="A143" s="226">
        <f t="shared" si="64"/>
        <v>134</v>
      </c>
      <c r="B143" s="159" t="str">
        <f>B142</f>
        <v>58E &amp; 59E - Horizontal</v>
      </c>
      <c r="C143" s="157" t="s">
        <v>19</v>
      </c>
      <c r="D143" s="157">
        <v>150</v>
      </c>
      <c r="E143" s="150">
        <v>1.27</v>
      </c>
      <c r="F143" s="150">
        <v>2.4</v>
      </c>
      <c r="G143" s="150">
        <f>SUM(E143:F143)</f>
        <v>3.67</v>
      </c>
      <c r="H143" s="140">
        <v>203</v>
      </c>
      <c r="I143" s="143">
        <f>ROUND($H143*G143,0)</f>
        <v>745</v>
      </c>
      <c r="J143" s="151">
        <f>ROUND(+G143*$L$10,2)</f>
        <v>0.17</v>
      </c>
      <c r="K143" s="143">
        <f>ROUND($H143*J143,0)</f>
        <v>35</v>
      </c>
      <c r="L143" s="126"/>
      <c r="M143" s="150"/>
      <c r="N143" s="249" t="str">
        <f t="shared" si="65"/>
        <v>Sheet No. 95-E</v>
      </c>
      <c r="O143" s="233"/>
      <c r="P143" s="233"/>
      <c r="Q143" s="126"/>
      <c r="R143" s="126"/>
      <c r="S143" s="126"/>
      <c r="T143" s="126"/>
    </row>
    <row r="144" spans="1:20" x14ac:dyDescent="0.2">
      <c r="A144" s="226">
        <f t="shared" si="64"/>
        <v>135</v>
      </c>
      <c r="B144" s="159" t="str">
        <f>B143</f>
        <v>58E &amp; 59E - Horizontal</v>
      </c>
      <c r="C144" s="157" t="s">
        <v>19</v>
      </c>
      <c r="D144" s="157">
        <v>200</v>
      </c>
      <c r="E144" s="150">
        <v>1.69</v>
      </c>
      <c r="F144" s="150">
        <v>3.2</v>
      </c>
      <c r="G144" s="150">
        <f>SUM(E144:F144)</f>
        <v>4.8900000000000006</v>
      </c>
      <c r="H144" s="140">
        <v>107</v>
      </c>
      <c r="I144" s="143">
        <f>ROUND($H144*G144,0)</f>
        <v>523</v>
      </c>
      <c r="J144" s="151">
        <f>ROUND(+G144*$L$10,2)</f>
        <v>0.23</v>
      </c>
      <c r="K144" s="143">
        <f>ROUND($H144*J144,0)</f>
        <v>25</v>
      </c>
      <c r="L144" s="126"/>
      <c r="M144" s="150"/>
      <c r="N144" s="249" t="str">
        <f t="shared" si="65"/>
        <v>Sheet No. 95-E</v>
      </c>
      <c r="O144" s="233"/>
      <c r="P144" s="233"/>
      <c r="Q144" s="126"/>
      <c r="R144" s="126"/>
      <c r="S144" s="126"/>
      <c r="T144" s="126"/>
    </row>
    <row r="145" spans="1:20" x14ac:dyDescent="0.2">
      <c r="A145" s="226">
        <f t="shared" si="64"/>
        <v>136</v>
      </c>
      <c r="B145" s="159" t="str">
        <f>B144</f>
        <v>58E &amp; 59E - Horizontal</v>
      </c>
      <c r="C145" s="157" t="s">
        <v>19</v>
      </c>
      <c r="D145" s="157">
        <v>250</v>
      </c>
      <c r="E145" s="150">
        <v>2.11</v>
      </c>
      <c r="F145" s="150">
        <v>4</v>
      </c>
      <c r="G145" s="150">
        <f>SUM(E145:F145)</f>
        <v>6.1099999999999994</v>
      </c>
      <c r="H145" s="140">
        <v>417</v>
      </c>
      <c r="I145" s="143">
        <f>ROUND($H145*G145,0)</f>
        <v>2548</v>
      </c>
      <c r="J145" s="151">
        <f>ROUND(+G145*$L$10,2)</f>
        <v>0.28000000000000003</v>
      </c>
      <c r="K145" s="143">
        <f>ROUND($H145*J145,0)</f>
        <v>117</v>
      </c>
      <c r="L145" s="126"/>
      <c r="M145" s="150"/>
      <c r="N145" s="249" t="str">
        <f t="shared" si="65"/>
        <v>Sheet No. 95-E</v>
      </c>
      <c r="O145" s="233"/>
      <c r="P145" s="233"/>
      <c r="Q145" s="126"/>
      <c r="R145" s="126"/>
      <c r="S145" s="126"/>
      <c r="T145" s="126"/>
    </row>
    <row r="146" spans="1:20" x14ac:dyDescent="0.2">
      <c r="A146" s="226">
        <f t="shared" si="64"/>
        <v>137</v>
      </c>
      <c r="B146" s="159" t="str">
        <f>B145</f>
        <v>58E &amp; 59E - Horizontal</v>
      </c>
      <c r="C146" s="157" t="s">
        <v>19</v>
      </c>
      <c r="D146" s="157">
        <v>400</v>
      </c>
      <c r="E146" s="150">
        <v>3.37</v>
      </c>
      <c r="F146" s="150">
        <v>6.39</v>
      </c>
      <c r="G146" s="150">
        <f>SUM(E146:F146)</f>
        <v>9.76</v>
      </c>
      <c r="H146" s="140">
        <v>568</v>
      </c>
      <c r="I146" s="143">
        <f>ROUND($H146*G146,0)</f>
        <v>5544</v>
      </c>
      <c r="J146" s="151">
        <f>ROUND(+G146*$L$10,2)</f>
        <v>0.45</v>
      </c>
      <c r="K146" s="143">
        <f>ROUND($H146*J146,0)</f>
        <v>256</v>
      </c>
      <c r="L146" s="126"/>
      <c r="M146" s="150"/>
      <c r="N146" s="249" t="str">
        <f t="shared" si="65"/>
        <v>Sheet No. 95-E</v>
      </c>
      <c r="O146" s="233"/>
      <c r="P146" s="233"/>
      <c r="Q146" s="126"/>
      <c r="R146" s="126"/>
      <c r="S146" s="126"/>
      <c r="T146" s="126"/>
    </row>
    <row r="147" spans="1:20" x14ac:dyDescent="0.2">
      <c r="A147" s="226">
        <f t="shared" si="64"/>
        <v>138</v>
      </c>
      <c r="B147" s="159"/>
      <c r="C147" s="157"/>
      <c r="D147" s="157"/>
      <c r="E147" s="150"/>
      <c r="F147" s="150"/>
      <c r="G147" s="126"/>
      <c r="H147" s="140"/>
      <c r="I147" s="140"/>
      <c r="J147" s="151"/>
      <c r="K147" s="140"/>
      <c r="L147" s="126"/>
      <c r="M147" s="150"/>
      <c r="N147" s="150"/>
      <c r="O147" s="233"/>
      <c r="P147" s="233"/>
      <c r="Q147" s="126"/>
      <c r="R147" s="126"/>
      <c r="S147" s="126"/>
      <c r="T147" s="126"/>
    </row>
    <row r="148" spans="1:20" x14ac:dyDescent="0.2">
      <c r="A148" s="226">
        <f t="shared" si="64"/>
        <v>139</v>
      </c>
      <c r="B148" s="159" t="str">
        <f>B136</f>
        <v>58E &amp; 59E - Directional</v>
      </c>
      <c r="C148" s="157" t="s">
        <v>219</v>
      </c>
      <c r="D148" s="157">
        <v>175</v>
      </c>
      <c r="E148" s="150">
        <v>1.48</v>
      </c>
      <c r="F148" s="150">
        <v>2.8</v>
      </c>
      <c r="G148" s="150">
        <f>SUM(E148:F148)</f>
        <v>4.2799999999999994</v>
      </c>
      <c r="H148" s="140">
        <v>36</v>
      </c>
      <c r="I148" s="143">
        <f>ROUND($H148*G148,0)</f>
        <v>154</v>
      </c>
      <c r="J148" s="151">
        <f>ROUND(+G148*$L$10,2)</f>
        <v>0.2</v>
      </c>
      <c r="K148" s="143">
        <f>ROUND($H148*J148,0)</f>
        <v>7</v>
      </c>
      <c r="L148" s="126"/>
      <c r="M148" s="150"/>
      <c r="N148" s="249" t="str">
        <f t="shared" ref="N148:N151" si="66">+$N$135</f>
        <v>Sheet No. 95-E</v>
      </c>
      <c r="O148" s="233"/>
      <c r="P148" s="233"/>
      <c r="Q148" s="126"/>
      <c r="R148" s="126"/>
      <c r="S148" s="126"/>
      <c r="T148" s="126"/>
    </row>
    <row r="149" spans="1:20" x14ac:dyDescent="0.2">
      <c r="A149" s="226">
        <f t="shared" si="64"/>
        <v>140</v>
      </c>
      <c r="B149" s="159" t="str">
        <f>B148</f>
        <v>58E &amp; 59E - Directional</v>
      </c>
      <c r="C149" s="157" t="s">
        <v>219</v>
      </c>
      <c r="D149" s="157">
        <v>250</v>
      </c>
      <c r="E149" s="150">
        <v>2.11</v>
      </c>
      <c r="F149" s="150">
        <v>4</v>
      </c>
      <c r="G149" s="150">
        <f>SUM(E149:F149)</f>
        <v>6.1099999999999994</v>
      </c>
      <c r="H149" s="140">
        <v>255</v>
      </c>
      <c r="I149" s="143">
        <f>ROUND($H149*G149,0)</f>
        <v>1558</v>
      </c>
      <c r="J149" s="151">
        <f>ROUND(+G149*$L$10,2)</f>
        <v>0.28000000000000003</v>
      </c>
      <c r="K149" s="143">
        <f>ROUND($H149*J149,0)</f>
        <v>71</v>
      </c>
      <c r="L149" s="126"/>
      <c r="M149" s="150"/>
      <c r="N149" s="249" t="str">
        <f t="shared" si="66"/>
        <v>Sheet No. 95-E</v>
      </c>
      <c r="O149" s="233"/>
      <c r="P149" s="233"/>
      <c r="Q149" s="126"/>
      <c r="R149" s="126"/>
      <c r="S149" s="126"/>
      <c r="T149" s="126"/>
    </row>
    <row r="150" spans="1:20" x14ac:dyDescent="0.2">
      <c r="A150" s="226">
        <f t="shared" si="64"/>
        <v>141</v>
      </c>
      <c r="B150" s="159" t="str">
        <f>B149</f>
        <v>58E &amp; 59E - Directional</v>
      </c>
      <c r="C150" s="157" t="s">
        <v>219</v>
      </c>
      <c r="D150" s="157">
        <v>400</v>
      </c>
      <c r="E150" s="150">
        <v>3.37</v>
      </c>
      <c r="F150" s="150">
        <v>6.39</v>
      </c>
      <c r="G150" s="150">
        <f>SUM(E150:F150)</f>
        <v>9.76</v>
      </c>
      <c r="H150" s="140">
        <v>1070</v>
      </c>
      <c r="I150" s="143">
        <f>ROUND($H150*G150,0)</f>
        <v>10443</v>
      </c>
      <c r="J150" s="151">
        <f>ROUND(+G150*$L$10,2)</f>
        <v>0.45</v>
      </c>
      <c r="K150" s="143">
        <f>ROUND($H150*J150,0)</f>
        <v>482</v>
      </c>
      <c r="L150" s="126"/>
      <c r="M150" s="150"/>
      <c r="N150" s="249" t="str">
        <f t="shared" si="66"/>
        <v>Sheet No. 95-E</v>
      </c>
      <c r="O150" s="233"/>
      <c r="P150" s="233"/>
      <c r="Q150" s="126"/>
      <c r="R150" s="126"/>
      <c r="S150" s="126"/>
      <c r="T150" s="126"/>
    </row>
    <row r="151" spans="1:20" x14ac:dyDescent="0.2">
      <c r="A151" s="226">
        <f t="shared" si="64"/>
        <v>142</v>
      </c>
      <c r="B151" s="159" t="str">
        <f>B150</f>
        <v>58E &amp; 59E - Directional</v>
      </c>
      <c r="C151" s="157" t="s">
        <v>219</v>
      </c>
      <c r="D151" s="157">
        <v>1000</v>
      </c>
      <c r="E151" s="150">
        <v>8.43</v>
      </c>
      <c r="F151" s="150">
        <v>15.98</v>
      </c>
      <c r="G151" s="150">
        <f>SUM(E151:F151)</f>
        <v>24.41</v>
      </c>
      <c r="H151" s="140">
        <v>1527</v>
      </c>
      <c r="I151" s="143">
        <f>ROUND($H151*G151,0)</f>
        <v>37274</v>
      </c>
      <c r="J151" s="151">
        <f>ROUND(+G151*$L$10,2)</f>
        <v>1.1299999999999999</v>
      </c>
      <c r="K151" s="143">
        <f>ROUND($H151*J151,0)</f>
        <v>1726</v>
      </c>
      <c r="L151" s="126"/>
      <c r="M151" s="150"/>
      <c r="N151" s="249" t="str">
        <f t="shared" si="66"/>
        <v>Sheet No. 95-E</v>
      </c>
      <c r="O151" s="233"/>
      <c r="P151" s="233"/>
      <c r="Q151" s="126"/>
      <c r="R151" s="126"/>
      <c r="S151" s="126"/>
      <c r="T151" s="126"/>
    </row>
    <row r="152" spans="1:20" x14ac:dyDescent="0.2">
      <c r="A152" s="226">
        <f t="shared" si="64"/>
        <v>143</v>
      </c>
      <c r="B152" s="159"/>
      <c r="C152" s="157"/>
      <c r="D152" s="157"/>
      <c r="E152" s="150"/>
      <c r="F152" s="150"/>
      <c r="G152" s="126"/>
      <c r="H152" s="140"/>
      <c r="I152" s="140"/>
      <c r="J152" s="151"/>
      <c r="K152" s="140"/>
      <c r="L152" s="126"/>
      <c r="M152" s="150"/>
      <c r="N152" s="150"/>
      <c r="O152" s="233"/>
      <c r="P152" s="233"/>
      <c r="Q152" s="126"/>
      <c r="R152" s="126"/>
      <c r="S152" s="126"/>
      <c r="T152" s="126"/>
    </row>
    <row r="153" spans="1:20" x14ac:dyDescent="0.2">
      <c r="A153" s="226">
        <f t="shared" si="64"/>
        <v>144</v>
      </c>
      <c r="B153" s="159" t="str">
        <f>B142</f>
        <v>58E &amp; 59E - Horizontal</v>
      </c>
      <c r="C153" s="157" t="s">
        <v>219</v>
      </c>
      <c r="D153" s="157">
        <v>250</v>
      </c>
      <c r="E153" s="150">
        <v>2.11</v>
      </c>
      <c r="F153" s="150">
        <v>4</v>
      </c>
      <c r="G153" s="150">
        <f>SUM(E153:F153)</f>
        <v>6.1099999999999994</v>
      </c>
      <c r="H153" s="140">
        <v>124</v>
      </c>
      <c r="I153" s="143">
        <f>ROUND($H153*G153,0)</f>
        <v>758</v>
      </c>
      <c r="J153" s="151">
        <f>ROUND(+G153*$L$10,2)</f>
        <v>0.28000000000000003</v>
      </c>
      <c r="K153" s="143">
        <f>ROUND($H153*J153,0)</f>
        <v>35</v>
      </c>
      <c r="L153" s="126"/>
      <c r="M153" s="150"/>
      <c r="N153" s="249" t="str">
        <f t="shared" ref="N153:N154" si="67">+$N$135</f>
        <v>Sheet No. 95-E</v>
      </c>
      <c r="O153" s="233"/>
      <c r="P153" s="233"/>
      <c r="Q153" s="126"/>
      <c r="R153" s="126"/>
      <c r="S153" s="126"/>
      <c r="T153" s="126"/>
    </row>
    <row r="154" spans="1:20" x14ac:dyDescent="0.2">
      <c r="A154" s="226">
        <f t="shared" si="64"/>
        <v>145</v>
      </c>
      <c r="B154" s="159" t="str">
        <f>B153</f>
        <v>58E &amp; 59E - Horizontal</v>
      </c>
      <c r="C154" s="157" t="s">
        <v>219</v>
      </c>
      <c r="D154" s="157">
        <v>400</v>
      </c>
      <c r="E154" s="150">
        <v>3.37</v>
      </c>
      <c r="F154" s="150">
        <v>6.39</v>
      </c>
      <c r="G154" s="150">
        <f>SUM(E154:F154)</f>
        <v>9.76</v>
      </c>
      <c r="H154" s="140">
        <v>486</v>
      </c>
      <c r="I154" s="143">
        <f>ROUND($H154*G154,0)</f>
        <v>4743</v>
      </c>
      <c r="J154" s="151">
        <f>ROUND(+G154*$L$10,2)</f>
        <v>0.45</v>
      </c>
      <c r="K154" s="143">
        <f>ROUND($H154*J154,0)</f>
        <v>219</v>
      </c>
      <c r="L154" s="126"/>
      <c r="M154" s="150"/>
      <c r="N154" s="249" t="str">
        <f t="shared" si="67"/>
        <v>Sheet No. 95-E</v>
      </c>
      <c r="O154" s="233"/>
      <c r="P154" s="233"/>
      <c r="Q154" s="126"/>
      <c r="R154" s="126"/>
      <c r="S154" s="126"/>
      <c r="T154" s="126"/>
    </row>
    <row r="155" spans="1:20" x14ac:dyDescent="0.2">
      <c r="A155" s="226">
        <f t="shared" si="64"/>
        <v>146</v>
      </c>
      <c r="B155" s="159"/>
      <c r="C155" s="157"/>
      <c r="D155" s="157"/>
      <c r="E155" s="150"/>
      <c r="F155" s="150"/>
      <c r="G155" s="126"/>
      <c r="H155" s="140"/>
      <c r="I155" s="140"/>
      <c r="J155" s="151"/>
      <c r="K155" s="140"/>
      <c r="L155" s="126"/>
      <c r="M155" s="150"/>
      <c r="N155" s="150"/>
      <c r="O155" s="233"/>
      <c r="P155" s="233"/>
      <c r="Q155" s="126"/>
      <c r="R155" s="126"/>
      <c r="S155" s="126"/>
      <c r="T155" s="126"/>
    </row>
    <row r="156" spans="1:20" x14ac:dyDescent="0.2">
      <c r="A156" s="226">
        <f t="shared" si="64"/>
        <v>147</v>
      </c>
      <c r="B156" s="159"/>
      <c r="C156" s="157"/>
      <c r="D156" s="157"/>
      <c r="E156" s="150"/>
      <c r="F156" s="150"/>
      <c r="G156" s="126"/>
      <c r="H156" s="140"/>
      <c r="I156" s="140"/>
      <c r="J156" s="151"/>
      <c r="K156" s="140"/>
      <c r="L156" s="126"/>
      <c r="M156" s="150"/>
      <c r="N156" s="150"/>
      <c r="O156" s="126"/>
      <c r="P156" s="126"/>
      <c r="Q156" s="126"/>
      <c r="R156" s="126"/>
      <c r="S156" s="126"/>
      <c r="T156" s="126"/>
    </row>
    <row r="157" spans="1:20" x14ac:dyDescent="0.2">
      <c r="A157" s="226">
        <f t="shared" si="64"/>
        <v>148</v>
      </c>
      <c r="B157" s="159" t="s">
        <v>232</v>
      </c>
      <c r="C157" s="157" t="s">
        <v>207</v>
      </c>
      <c r="D157" s="154" t="s">
        <v>208</v>
      </c>
      <c r="E157" s="150">
        <v>0.38</v>
      </c>
      <c r="F157" s="150">
        <v>0.72</v>
      </c>
      <c r="G157" s="150">
        <f t="shared" ref="G157:G171" si="68">SUM(E157:F157)</f>
        <v>1.1000000000000001</v>
      </c>
      <c r="H157" s="140">
        <v>24</v>
      </c>
      <c r="I157" s="143">
        <f t="shared" ref="I157:I171" si="69">ROUND($H157*G157,0)</f>
        <v>26</v>
      </c>
      <c r="J157" s="151">
        <f t="shared" ref="J157:J171" si="70">ROUND(+G157*$L$10,2)</f>
        <v>0.05</v>
      </c>
      <c r="K157" s="143">
        <f t="shared" ref="K157:K171" si="71">ROUND($H157*J157,0)</f>
        <v>1</v>
      </c>
      <c r="L157" s="126"/>
      <c r="M157" s="150"/>
      <c r="N157" s="249" t="s">
        <v>268</v>
      </c>
      <c r="O157" s="233"/>
      <c r="P157" s="233"/>
      <c r="Q157" s="126"/>
      <c r="R157" s="126"/>
      <c r="S157" s="126"/>
      <c r="T157" s="126"/>
    </row>
    <row r="158" spans="1:20" x14ac:dyDescent="0.2">
      <c r="A158" s="226">
        <f t="shared" si="64"/>
        <v>149</v>
      </c>
      <c r="B158" s="159" t="str">
        <f t="shared" ref="B158:B171" si="72">B157</f>
        <v>58E &amp; 59E</v>
      </c>
      <c r="C158" s="157" t="s">
        <v>207</v>
      </c>
      <c r="D158" s="154" t="s">
        <v>209</v>
      </c>
      <c r="E158" s="150">
        <v>0.63</v>
      </c>
      <c r="F158" s="150">
        <v>1.2</v>
      </c>
      <c r="G158" s="150">
        <f t="shared" si="68"/>
        <v>1.83</v>
      </c>
      <c r="H158" s="140">
        <v>450</v>
      </c>
      <c r="I158" s="143">
        <f t="shared" si="69"/>
        <v>824</v>
      </c>
      <c r="J158" s="151">
        <f t="shared" si="70"/>
        <v>0.08</v>
      </c>
      <c r="K158" s="143">
        <f t="shared" si="71"/>
        <v>36</v>
      </c>
      <c r="L158" s="126"/>
      <c r="M158" s="150"/>
      <c r="N158" s="249" t="str">
        <f>+$N$157</f>
        <v>Sheet No. 95-E.1</v>
      </c>
      <c r="O158" s="233"/>
      <c r="P158" s="233"/>
      <c r="Q158" s="126"/>
      <c r="R158" s="126"/>
      <c r="S158" s="126"/>
      <c r="T158" s="126"/>
    </row>
    <row r="159" spans="1:20" x14ac:dyDescent="0.2">
      <c r="A159" s="226">
        <f t="shared" si="64"/>
        <v>150</v>
      </c>
      <c r="B159" s="159" t="str">
        <f t="shared" si="72"/>
        <v>58E &amp; 59E</v>
      </c>
      <c r="C159" s="157" t="s">
        <v>207</v>
      </c>
      <c r="D159" s="154" t="s">
        <v>210</v>
      </c>
      <c r="E159" s="150">
        <v>0.89</v>
      </c>
      <c r="F159" s="150">
        <v>1.68</v>
      </c>
      <c r="G159" s="150">
        <f t="shared" si="68"/>
        <v>2.57</v>
      </c>
      <c r="H159" s="140">
        <v>178</v>
      </c>
      <c r="I159" s="143">
        <f t="shared" si="69"/>
        <v>457</v>
      </c>
      <c r="J159" s="151">
        <f t="shared" si="70"/>
        <v>0.12</v>
      </c>
      <c r="K159" s="143">
        <f t="shared" si="71"/>
        <v>21</v>
      </c>
      <c r="L159" s="126"/>
      <c r="M159" s="150"/>
      <c r="N159" s="249" t="str">
        <f t="shared" ref="N159:N171" si="73">+$N$157</f>
        <v>Sheet No. 95-E.1</v>
      </c>
      <c r="O159" s="233"/>
      <c r="P159" s="233"/>
      <c r="Q159" s="126"/>
      <c r="R159" s="126"/>
      <c r="S159" s="126"/>
      <c r="T159" s="126"/>
    </row>
    <row r="160" spans="1:20" x14ac:dyDescent="0.2">
      <c r="A160" s="226">
        <f t="shared" si="64"/>
        <v>151</v>
      </c>
      <c r="B160" s="159" t="str">
        <f t="shared" si="72"/>
        <v>58E &amp; 59E</v>
      </c>
      <c r="C160" s="157" t="s">
        <v>207</v>
      </c>
      <c r="D160" s="154" t="s">
        <v>211</v>
      </c>
      <c r="E160" s="150">
        <v>1.1399999999999999</v>
      </c>
      <c r="F160" s="150">
        <v>2.16</v>
      </c>
      <c r="G160" s="150">
        <f t="shared" si="68"/>
        <v>3.3</v>
      </c>
      <c r="H160" s="140">
        <v>1069</v>
      </c>
      <c r="I160" s="143">
        <f t="shared" si="69"/>
        <v>3528</v>
      </c>
      <c r="J160" s="151">
        <f t="shared" si="70"/>
        <v>0.15</v>
      </c>
      <c r="K160" s="143">
        <f t="shared" si="71"/>
        <v>160</v>
      </c>
      <c r="L160" s="126"/>
      <c r="M160" s="150"/>
      <c r="N160" s="249" t="str">
        <f t="shared" si="73"/>
        <v>Sheet No. 95-E.1</v>
      </c>
      <c r="O160" s="233"/>
      <c r="P160" s="233"/>
      <c r="Q160" s="126"/>
      <c r="R160" s="126"/>
      <c r="S160" s="126"/>
      <c r="T160" s="126"/>
    </row>
    <row r="161" spans="1:20" x14ac:dyDescent="0.2">
      <c r="A161" s="226">
        <f t="shared" si="64"/>
        <v>152</v>
      </c>
      <c r="B161" s="159" t="str">
        <f t="shared" si="72"/>
        <v>58E &amp; 59E</v>
      </c>
      <c r="C161" s="157" t="s">
        <v>207</v>
      </c>
      <c r="D161" s="154" t="s">
        <v>212</v>
      </c>
      <c r="E161" s="150">
        <v>1.39</v>
      </c>
      <c r="F161" s="150">
        <v>2.64</v>
      </c>
      <c r="G161" s="150">
        <f t="shared" si="68"/>
        <v>4.03</v>
      </c>
      <c r="H161" s="140">
        <v>113</v>
      </c>
      <c r="I161" s="143">
        <f t="shared" si="69"/>
        <v>455</v>
      </c>
      <c r="J161" s="151">
        <f t="shared" si="70"/>
        <v>0.19</v>
      </c>
      <c r="K161" s="143">
        <f t="shared" si="71"/>
        <v>21</v>
      </c>
      <c r="L161" s="126"/>
      <c r="M161" s="150"/>
      <c r="N161" s="249" t="str">
        <f t="shared" si="73"/>
        <v>Sheet No. 95-E.1</v>
      </c>
      <c r="O161" s="233"/>
      <c r="P161" s="233"/>
      <c r="Q161" s="126"/>
      <c r="R161" s="126"/>
      <c r="S161" s="126"/>
      <c r="T161" s="126"/>
    </row>
    <row r="162" spans="1:20" x14ac:dyDescent="0.2">
      <c r="A162" s="226">
        <f t="shared" si="64"/>
        <v>153</v>
      </c>
      <c r="B162" s="159" t="str">
        <f t="shared" si="72"/>
        <v>58E &amp; 59E</v>
      </c>
      <c r="C162" s="157" t="s">
        <v>207</v>
      </c>
      <c r="D162" s="154" t="s">
        <v>213</v>
      </c>
      <c r="E162" s="150">
        <v>1.64</v>
      </c>
      <c r="F162" s="150">
        <v>3.12</v>
      </c>
      <c r="G162" s="150">
        <f t="shared" si="68"/>
        <v>4.76</v>
      </c>
      <c r="H162" s="140">
        <v>0</v>
      </c>
      <c r="I162" s="143">
        <f t="shared" si="69"/>
        <v>0</v>
      </c>
      <c r="J162" s="151">
        <f t="shared" si="70"/>
        <v>0.22</v>
      </c>
      <c r="K162" s="143">
        <f t="shared" si="71"/>
        <v>0</v>
      </c>
      <c r="L162" s="126"/>
      <c r="M162" s="150"/>
      <c r="N162" s="249" t="str">
        <f t="shared" si="73"/>
        <v>Sheet No. 95-E.1</v>
      </c>
      <c r="O162" s="233"/>
      <c r="P162" s="233"/>
      <c r="Q162" s="126"/>
      <c r="R162" s="126"/>
      <c r="S162" s="126"/>
      <c r="T162" s="126"/>
    </row>
    <row r="163" spans="1:20" x14ac:dyDescent="0.2">
      <c r="A163" s="226">
        <f t="shared" si="64"/>
        <v>154</v>
      </c>
      <c r="B163" s="159" t="str">
        <f t="shared" si="72"/>
        <v>58E &amp; 59E</v>
      </c>
      <c r="C163" s="157" t="s">
        <v>207</v>
      </c>
      <c r="D163" s="154" t="s">
        <v>214</v>
      </c>
      <c r="E163" s="150">
        <v>1.9</v>
      </c>
      <c r="F163" s="150">
        <v>3.6</v>
      </c>
      <c r="G163" s="150">
        <f t="shared" si="68"/>
        <v>5.5</v>
      </c>
      <c r="H163" s="140">
        <v>73</v>
      </c>
      <c r="I163" s="143">
        <f t="shared" si="69"/>
        <v>402</v>
      </c>
      <c r="J163" s="151">
        <f t="shared" si="70"/>
        <v>0.25</v>
      </c>
      <c r="K163" s="143">
        <f t="shared" si="71"/>
        <v>18</v>
      </c>
      <c r="L163" s="126"/>
      <c r="M163" s="150"/>
      <c r="N163" s="249" t="str">
        <f t="shared" si="73"/>
        <v>Sheet No. 95-E.1</v>
      </c>
      <c r="O163" s="233"/>
      <c r="P163" s="233"/>
      <c r="Q163" s="126"/>
      <c r="R163" s="126"/>
      <c r="S163" s="126"/>
      <c r="T163" s="126"/>
    </row>
    <row r="164" spans="1:20" x14ac:dyDescent="0.2">
      <c r="A164" s="226">
        <f t="shared" si="64"/>
        <v>155</v>
      </c>
      <c r="B164" s="159" t="str">
        <f t="shared" si="72"/>
        <v>58E &amp; 59E</v>
      </c>
      <c r="C164" s="157" t="s">
        <v>207</v>
      </c>
      <c r="D164" s="154" t="s">
        <v>215</v>
      </c>
      <c r="E164" s="150">
        <v>2.15</v>
      </c>
      <c r="F164" s="150">
        <v>4.08</v>
      </c>
      <c r="G164" s="150">
        <f t="shared" si="68"/>
        <v>6.23</v>
      </c>
      <c r="H164" s="140">
        <v>178</v>
      </c>
      <c r="I164" s="143">
        <f t="shared" si="69"/>
        <v>1109</v>
      </c>
      <c r="J164" s="151">
        <f t="shared" si="70"/>
        <v>0.28999999999999998</v>
      </c>
      <c r="K164" s="143">
        <f t="shared" si="71"/>
        <v>52</v>
      </c>
      <c r="L164" s="126"/>
      <c r="M164" s="150"/>
      <c r="N164" s="249" t="str">
        <f t="shared" si="73"/>
        <v>Sheet No. 95-E.1</v>
      </c>
      <c r="O164" s="233"/>
      <c r="P164" s="233"/>
      <c r="Q164" s="126"/>
      <c r="R164" s="126"/>
      <c r="S164" s="126"/>
      <c r="T164" s="126"/>
    </row>
    <row r="165" spans="1:20" x14ac:dyDescent="0.2">
      <c r="A165" s="226">
        <f t="shared" si="64"/>
        <v>156</v>
      </c>
      <c r="B165" s="159" t="str">
        <f t="shared" si="72"/>
        <v>58E &amp; 59E</v>
      </c>
      <c r="C165" s="157" t="s">
        <v>207</v>
      </c>
      <c r="D165" s="154" t="s">
        <v>216</v>
      </c>
      <c r="E165" s="150">
        <v>2.4</v>
      </c>
      <c r="F165" s="150">
        <v>4.55</v>
      </c>
      <c r="G165" s="150">
        <f t="shared" si="68"/>
        <v>6.9499999999999993</v>
      </c>
      <c r="H165" s="140">
        <v>0</v>
      </c>
      <c r="I165" s="143">
        <f t="shared" si="69"/>
        <v>0</v>
      </c>
      <c r="J165" s="151">
        <f t="shared" si="70"/>
        <v>0.32</v>
      </c>
      <c r="K165" s="143">
        <f t="shared" si="71"/>
        <v>0</v>
      </c>
      <c r="L165" s="126"/>
      <c r="M165" s="150"/>
      <c r="N165" s="249" t="str">
        <f t="shared" si="73"/>
        <v>Sheet No. 95-E.1</v>
      </c>
      <c r="O165" s="233"/>
      <c r="P165" s="233"/>
      <c r="Q165" s="126"/>
      <c r="R165" s="126"/>
      <c r="S165" s="126"/>
      <c r="T165" s="126"/>
    </row>
    <row r="166" spans="1:20" x14ac:dyDescent="0.2">
      <c r="A166" s="226">
        <f t="shared" si="64"/>
        <v>157</v>
      </c>
      <c r="B166" s="159" t="str">
        <f t="shared" si="72"/>
        <v>58E &amp; 59E</v>
      </c>
      <c r="C166" s="157" t="s">
        <v>207</v>
      </c>
      <c r="D166" s="154" t="s">
        <v>233</v>
      </c>
      <c r="E166" s="150">
        <v>2.95</v>
      </c>
      <c r="F166" s="150">
        <v>5.59</v>
      </c>
      <c r="G166" s="150">
        <f t="shared" si="68"/>
        <v>8.5399999999999991</v>
      </c>
      <c r="H166" s="140">
        <v>0</v>
      </c>
      <c r="I166" s="143">
        <f t="shared" si="69"/>
        <v>0</v>
      </c>
      <c r="J166" s="151">
        <f t="shared" si="70"/>
        <v>0.39</v>
      </c>
      <c r="K166" s="143">
        <f t="shared" si="71"/>
        <v>0</v>
      </c>
      <c r="L166" s="126"/>
      <c r="M166" s="150"/>
      <c r="N166" s="249" t="str">
        <f t="shared" si="73"/>
        <v>Sheet No. 95-E.1</v>
      </c>
      <c r="O166" s="233"/>
      <c r="P166" s="233"/>
      <c r="Q166" s="126"/>
      <c r="R166" s="126"/>
      <c r="S166" s="126"/>
      <c r="T166" s="126"/>
    </row>
    <row r="167" spans="1:20" x14ac:dyDescent="0.2">
      <c r="A167" s="226">
        <f t="shared" si="64"/>
        <v>158</v>
      </c>
      <c r="B167" s="159" t="str">
        <f t="shared" si="72"/>
        <v>58E &amp; 59E</v>
      </c>
      <c r="C167" s="157" t="s">
        <v>207</v>
      </c>
      <c r="D167" s="154" t="s">
        <v>234</v>
      </c>
      <c r="E167" s="150">
        <v>3.8</v>
      </c>
      <c r="F167" s="150">
        <v>7.19</v>
      </c>
      <c r="G167" s="150">
        <f t="shared" si="68"/>
        <v>10.99</v>
      </c>
      <c r="H167" s="140">
        <v>0</v>
      </c>
      <c r="I167" s="143">
        <f t="shared" si="69"/>
        <v>0</v>
      </c>
      <c r="J167" s="151">
        <f t="shared" si="70"/>
        <v>0.51</v>
      </c>
      <c r="K167" s="143">
        <f t="shared" si="71"/>
        <v>0</v>
      </c>
      <c r="L167" s="126"/>
      <c r="M167" s="150"/>
      <c r="N167" s="249" t="str">
        <f t="shared" si="73"/>
        <v>Sheet No. 95-E.1</v>
      </c>
      <c r="O167" s="233"/>
      <c r="P167" s="233"/>
      <c r="Q167" s="126"/>
      <c r="R167" s="126"/>
      <c r="S167" s="126"/>
      <c r="T167" s="126"/>
    </row>
    <row r="168" spans="1:20" x14ac:dyDescent="0.2">
      <c r="A168" s="226">
        <f t="shared" si="64"/>
        <v>159</v>
      </c>
      <c r="B168" s="159" t="str">
        <f t="shared" si="72"/>
        <v>58E &amp; 59E</v>
      </c>
      <c r="C168" s="157" t="s">
        <v>207</v>
      </c>
      <c r="D168" s="154" t="s">
        <v>235</v>
      </c>
      <c r="E168" s="150">
        <v>4.6399999999999997</v>
      </c>
      <c r="F168" s="150">
        <v>8.7899999999999991</v>
      </c>
      <c r="G168" s="150">
        <f t="shared" si="68"/>
        <v>13.43</v>
      </c>
      <c r="H168" s="140">
        <v>0</v>
      </c>
      <c r="I168" s="143">
        <f t="shared" si="69"/>
        <v>0</v>
      </c>
      <c r="J168" s="151">
        <f t="shared" si="70"/>
        <v>0.62</v>
      </c>
      <c r="K168" s="143">
        <f t="shared" si="71"/>
        <v>0</v>
      </c>
      <c r="L168" s="126"/>
      <c r="M168" s="150"/>
      <c r="N168" s="249" t="str">
        <f t="shared" si="73"/>
        <v>Sheet No. 95-E.1</v>
      </c>
      <c r="O168" s="233"/>
      <c r="P168" s="233"/>
      <c r="Q168" s="126"/>
      <c r="R168" s="126"/>
      <c r="S168" s="126"/>
      <c r="T168" s="126"/>
    </row>
    <row r="169" spans="1:20" x14ac:dyDescent="0.2">
      <c r="A169" s="226">
        <f t="shared" si="64"/>
        <v>160</v>
      </c>
      <c r="B169" s="159" t="str">
        <f t="shared" si="72"/>
        <v>58E &amp; 59E</v>
      </c>
      <c r="C169" s="157" t="s">
        <v>207</v>
      </c>
      <c r="D169" s="154" t="s">
        <v>236</v>
      </c>
      <c r="E169" s="150">
        <v>5.48</v>
      </c>
      <c r="F169" s="150">
        <v>10.39</v>
      </c>
      <c r="G169" s="150">
        <f t="shared" si="68"/>
        <v>15.870000000000001</v>
      </c>
      <c r="H169" s="140">
        <v>0</v>
      </c>
      <c r="I169" s="143">
        <f t="shared" si="69"/>
        <v>0</v>
      </c>
      <c r="J169" s="151">
        <f t="shared" si="70"/>
        <v>0.73</v>
      </c>
      <c r="K169" s="143">
        <f t="shared" si="71"/>
        <v>0</v>
      </c>
      <c r="L169" s="126"/>
      <c r="M169" s="150"/>
      <c r="N169" s="249" t="str">
        <f t="shared" si="73"/>
        <v>Sheet No. 95-E.1</v>
      </c>
      <c r="O169" s="233"/>
      <c r="P169" s="233"/>
      <c r="Q169" s="126"/>
      <c r="R169" s="126"/>
      <c r="S169" s="126"/>
      <c r="T169" s="126"/>
    </row>
    <row r="170" spans="1:20" x14ac:dyDescent="0.2">
      <c r="A170" s="226">
        <f t="shared" si="64"/>
        <v>161</v>
      </c>
      <c r="B170" s="159" t="str">
        <f t="shared" si="72"/>
        <v>58E &amp; 59E</v>
      </c>
      <c r="C170" s="157" t="s">
        <v>207</v>
      </c>
      <c r="D170" s="154" t="s">
        <v>237</v>
      </c>
      <c r="E170" s="150">
        <v>6.33</v>
      </c>
      <c r="F170" s="150">
        <v>11.99</v>
      </c>
      <c r="G170" s="150">
        <f t="shared" si="68"/>
        <v>18.32</v>
      </c>
      <c r="H170" s="140">
        <v>0</v>
      </c>
      <c r="I170" s="143">
        <f t="shared" si="69"/>
        <v>0</v>
      </c>
      <c r="J170" s="151">
        <f t="shared" si="70"/>
        <v>0.85</v>
      </c>
      <c r="K170" s="143">
        <f t="shared" si="71"/>
        <v>0</v>
      </c>
      <c r="L170" s="126"/>
      <c r="M170" s="150"/>
      <c r="N170" s="249" t="str">
        <f t="shared" si="73"/>
        <v>Sheet No. 95-E.1</v>
      </c>
      <c r="O170" s="233"/>
      <c r="P170" s="233"/>
      <c r="Q170" s="126"/>
      <c r="R170" s="126"/>
      <c r="S170" s="126"/>
      <c r="T170" s="126"/>
    </row>
    <row r="171" spans="1:20" ht="13.5" thickBot="1" x14ac:dyDescent="0.25">
      <c r="A171" s="226">
        <f t="shared" si="64"/>
        <v>162</v>
      </c>
      <c r="B171" s="159" t="str">
        <f t="shared" si="72"/>
        <v>58E &amp; 59E</v>
      </c>
      <c r="C171" s="157" t="s">
        <v>207</v>
      </c>
      <c r="D171" s="154" t="s">
        <v>238</v>
      </c>
      <c r="E171" s="150">
        <v>7.17</v>
      </c>
      <c r="F171" s="150">
        <v>13.58</v>
      </c>
      <c r="G171" s="150">
        <f t="shared" si="68"/>
        <v>20.75</v>
      </c>
      <c r="H171" s="140">
        <v>0</v>
      </c>
      <c r="I171" s="143">
        <f t="shared" si="69"/>
        <v>0</v>
      </c>
      <c r="J171" s="162">
        <f t="shared" si="70"/>
        <v>0.96</v>
      </c>
      <c r="K171" s="143">
        <f t="shared" si="71"/>
        <v>0</v>
      </c>
      <c r="L171" s="126"/>
      <c r="M171" s="150"/>
      <c r="N171" s="249" t="str">
        <f t="shared" si="73"/>
        <v>Sheet No. 95-E.1</v>
      </c>
      <c r="O171" s="233"/>
      <c r="P171" s="233"/>
      <c r="Q171" s="126"/>
      <c r="R171" s="126"/>
      <c r="S171" s="126"/>
      <c r="T171" s="126"/>
    </row>
    <row r="172" spans="1:20" x14ac:dyDescent="0.2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233"/>
      <c r="P172" s="233"/>
      <c r="Q172" s="126"/>
      <c r="R172" s="126"/>
      <c r="S172" s="126"/>
      <c r="T172" s="126"/>
    </row>
    <row r="173" spans="1:20" x14ac:dyDescent="0.2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233"/>
      <c r="P173" s="233"/>
      <c r="Q173" s="126"/>
      <c r="R173" s="126"/>
      <c r="S173" s="126"/>
      <c r="T173" s="126"/>
    </row>
    <row r="174" spans="1:20" x14ac:dyDescent="0.2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</row>
    <row r="175" spans="1:20" x14ac:dyDescent="0.2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233"/>
      <c r="P175" s="233"/>
      <c r="Q175" s="126"/>
      <c r="R175" s="126"/>
      <c r="S175" s="126"/>
      <c r="T175" s="126"/>
    </row>
    <row r="176" spans="1:20" x14ac:dyDescent="0.2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233"/>
      <c r="P176" s="233"/>
      <c r="Q176" s="126"/>
      <c r="R176" s="126"/>
      <c r="S176" s="126"/>
      <c r="T176" s="126"/>
    </row>
    <row r="177" spans="1:20" x14ac:dyDescent="0.2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233"/>
      <c r="P177" s="233"/>
      <c r="Q177" s="126"/>
      <c r="R177" s="126"/>
      <c r="S177" s="126"/>
      <c r="T177" s="126"/>
    </row>
    <row r="178" spans="1:20" x14ac:dyDescent="0.2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233"/>
      <c r="P178" s="233"/>
      <c r="Q178" s="126"/>
      <c r="R178" s="126"/>
      <c r="S178" s="126"/>
      <c r="T178" s="126"/>
    </row>
    <row r="179" spans="1:20" x14ac:dyDescent="0.2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233"/>
      <c r="P179" s="233"/>
      <c r="Q179" s="126"/>
      <c r="R179" s="126"/>
      <c r="S179" s="126"/>
      <c r="T179" s="126"/>
    </row>
    <row r="180" spans="1:20" x14ac:dyDescent="0.2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233"/>
      <c r="P180" s="233"/>
      <c r="Q180" s="126"/>
      <c r="R180" s="126"/>
      <c r="S180" s="126"/>
      <c r="T180" s="126"/>
    </row>
    <row r="181" spans="1:20" x14ac:dyDescent="0.2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233"/>
      <c r="P181" s="233"/>
      <c r="Q181" s="126"/>
      <c r="R181" s="126"/>
      <c r="S181" s="126"/>
      <c r="T181" s="126"/>
    </row>
  </sheetData>
  <mergeCells count="4">
    <mergeCell ref="B4:H4"/>
    <mergeCell ref="A1:L1"/>
    <mergeCell ref="A2:L2"/>
    <mergeCell ref="A3:L3"/>
  </mergeCells>
  <phoneticPr fontId="3" type="noConversion"/>
  <printOptions horizontalCentered="1"/>
  <pageMargins left="0.7" right="0.7" top="0.75" bottom="0.75" header="0.3" footer="0.3"/>
  <pageSetup scale="75" fitToHeight="2" orientation="landscape" cellComments="asDisplayed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autoPageBreaks="0"/>
  </sheetPr>
  <dimension ref="A1:Y82"/>
  <sheetViews>
    <sheetView topLeftCell="A19" zoomScaleNormal="100" workbookViewId="0">
      <selection activeCell="G46" sqref="G46"/>
    </sheetView>
  </sheetViews>
  <sheetFormatPr defaultColWidth="9.28515625" defaultRowHeight="12.75" x14ac:dyDescent="0.2"/>
  <cols>
    <col min="1" max="1" width="5.7109375" style="23" customWidth="1"/>
    <col min="2" max="2" width="47.28515625" style="23" bestFit="1" customWidth="1"/>
    <col min="3" max="3" width="1.7109375" style="23" customWidth="1"/>
    <col min="4" max="4" width="15.5703125" style="23" bestFit="1" customWidth="1"/>
    <col min="5" max="5" width="1.7109375" style="23" customWidth="1"/>
    <col min="6" max="6" width="16.28515625" style="23" bestFit="1" customWidth="1"/>
    <col min="7" max="7" width="17.42578125" style="23" bestFit="1" customWidth="1"/>
    <col min="8" max="8" width="1.28515625" style="23" customWidth="1"/>
    <col min="9" max="9" width="1" style="23" customWidth="1"/>
    <col min="10" max="10" width="9.28515625" style="23"/>
    <col min="11" max="11" width="15.5703125" bestFit="1" customWidth="1"/>
    <col min="12" max="12" width="1.7109375" customWidth="1"/>
    <col min="13" max="13" width="16.28515625" bestFit="1" customWidth="1"/>
    <col min="14" max="14" width="17.42578125" bestFit="1" customWidth="1"/>
    <col min="16" max="16" width="15.5703125" bestFit="1" customWidth="1"/>
    <col min="17" max="17" width="1.7109375" customWidth="1"/>
    <col min="18" max="18" width="16.28515625" bestFit="1" customWidth="1"/>
    <col min="19" max="19" width="17.42578125" bestFit="1" customWidth="1"/>
    <col min="20" max="20" width="12.28515625" style="23" bestFit="1" customWidth="1"/>
    <col min="21" max="21" width="13.7109375" style="23" bestFit="1" customWidth="1"/>
    <col min="22" max="22" width="9.28515625" style="23"/>
    <col min="23" max="23" width="13.7109375" style="23" bestFit="1" customWidth="1"/>
    <col min="24" max="24" width="15.28515625" style="23" bestFit="1" customWidth="1"/>
    <col min="25" max="16384" width="9.28515625" style="23"/>
  </cols>
  <sheetData>
    <row r="1" spans="1:25" x14ac:dyDescent="0.2">
      <c r="A1" s="164"/>
      <c r="B1" s="165"/>
      <c r="C1" s="166"/>
      <c r="D1" s="166"/>
      <c r="E1" s="166"/>
      <c r="F1" s="166"/>
      <c r="G1" s="166"/>
      <c r="H1" s="167"/>
      <c r="I1" s="168"/>
      <c r="J1" s="168"/>
    </row>
    <row r="2" spans="1:25" x14ac:dyDescent="0.2">
      <c r="A2" s="169"/>
      <c r="B2" s="260" t="s">
        <v>271</v>
      </c>
      <c r="C2" s="170"/>
      <c r="D2" s="170"/>
      <c r="E2" s="170"/>
      <c r="F2" s="170"/>
      <c r="G2" s="258" t="s">
        <v>272</v>
      </c>
      <c r="H2" s="171"/>
      <c r="I2" s="168"/>
      <c r="J2" s="168"/>
    </row>
    <row r="3" spans="1:25" x14ac:dyDescent="0.2">
      <c r="A3" s="169"/>
      <c r="B3" s="172"/>
      <c r="C3" s="170"/>
      <c r="D3" s="170"/>
      <c r="E3" s="170"/>
      <c r="F3" s="170"/>
      <c r="G3" s="258" t="s">
        <v>273</v>
      </c>
      <c r="H3" s="171"/>
      <c r="I3" s="168"/>
      <c r="J3" s="168"/>
    </row>
    <row r="4" spans="1:25" x14ac:dyDescent="0.2">
      <c r="A4" s="169"/>
      <c r="B4" s="172"/>
      <c r="C4" s="170"/>
      <c r="D4" s="170"/>
      <c r="E4" s="170"/>
      <c r="F4" s="170"/>
      <c r="G4" s="170"/>
      <c r="H4" s="173"/>
      <c r="I4" s="261"/>
      <c r="J4" s="168"/>
    </row>
    <row r="5" spans="1:25" x14ac:dyDescent="0.2">
      <c r="A5" s="174"/>
      <c r="B5" s="175" t="s">
        <v>15</v>
      </c>
      <c r="C5" s="176"/>
      <c r="D5" s="176"/>
      <c r="E5" s="176"/>
      <c r="F5" s="176"/>
      <c r="G5" s="176"/>
      <c r="H5" s="177"/>
      <c r="I5" s="168"/>
      <c r="J5" s="168"/>
    </row>
    <row r="6" spans="1:25" x14ac:dyDescent="0.2">
      <c r="A6" s="174"/>
      <c r="B6" s="175" t="s">
        <v>274</v>
      </c>
      <c r="C6" s="176"/>
      <c r="D6" s="176"/>
      <c r="E6" s="176"/>
      <c r="F6" s="176"/>
      <c r="G6" s="176"/>
      <c r="H6" s="177"/>
      <c r="I6" s="168"/>
      <c r="J6" s="168"/>
    </row>
    <row r="7" spans="1:25" x14ac:dyDescent="0.2">
      <c r="A7" s="174"/>
      <c r="B7" s="163" t="s">
        <v>275</v>
      </c>
      <c r="C7" s="176"/>
      <c r="D7" s="176"/>
      <c r="E7" s="176"/>
      <c r="F7" s="176"/>
      <c r="G7" s="176"/>
      <c r="H7" s="177"/>
      <c r="I7" s="168"/>
      <c r="J7" s="168"/>
    </row>
    <row r="8" spans="1:25" x14ac:dyDescent="0.2">
      <c r="A8" s="174"/>
      <c r="B8" s="178" t="s">
        <v>276</v>
      </c>
      <c r="C8" s="176"/>
      <c r="D8" s="176"/>
      <c r="E8" s="176"/>
      <c r="F8" s="176"/>
      <c r="G8" s="176"/>
      <c r="H8" s="177"/>
      <c r="I8" s="168"/>
      <c r="J8" s="168"/>
    </row>
    <row r="9" spans="1:25" x14ac:dyDescent="0.2">
      <c r="A9" s="174"/>
      <c r="B9" s="179"/>
      <c r="C9" s="176"/>
      <c r="D9" s="176"/>
      <c r="E9" s="176"/>
      <c r="F9" s="176"/>
      <c r="G9" s="176"/>
      <c r="H9" s="177"/>
      <c r="I9" s="168"/>
      <c r="J9" s="168"/>
    </row>
    <row r="10" spans="1:25" x14ac:dyDescent="0.2">
      <c r="A10" s="174"/>
      <c r="B10" s="179"/>
      <c r="C10" s="176"/>
      <c r="D10" s="180" t="s">
        <v>277</v>
      </c>
      <c r="E10" s="176"/>
      <c r="F10" s="180" t="s">
        <v>278</v>
      </c>
      <c r="G10" s="269" t="s">
        <v>279</v>
      </c>
      <c r="H10" s="177"/>
      <c r="I10" s="168"/>
      <c r="J10" s="168"/>
    </row>
    <row r="11" spans="1:25" x14ac:dyDescent="0.2">
      <c r="A11" s="182"/>
      <c r="B11" s="183" t="s">
        <v>280</v>
      </c>
      <c r="C11" s="176"/>
      <c r="D11" s="184" t="s">
        <v>281</v>
      </c>
      <c r="E11" s="176"/>
      <c r="F11" s="184" t="s">
        <v>282</v>
      </c>
      <c r="G11" s="269" t="s">
        <v>283</v>
      </c>
      <c r="H11" s="177"/>
      <c r="I11" s="168"/>
      <c r="J11" s="262"/>
    </row>
    <row r="12" spans="1:25" x14ac:dyDescent="0.2">
      <c r="A12" s="185" t="s">
        <v>284</v>
      </c>
      <c r="B12" s="186" t="s">
        <v>285</v>
      </c>
      <c r="C12" s="187"/>
      <c r="D12" s="188" t="s">
        <v>286</v>
      </c>
      <c r="E12" s="189"/>
      <c r="F12" s="188" t="s">
        <v>287</v>
      </c>
      <c r="G12" s="189" t="s">
        <v>288</v>
      </c>
      <c r="H12" s="190"/>
      <c r="I12" s="168"/>
      <c r="J12" s="262"/>
    </row>
    <row r="13" spans="1:25" x14ac:dyDescent="0.2">
      <c r="A13" s="174"/>
      <c r="B13" s="176"/>
      <c r="C13" s="176"/>
      <c r="D13" s="176"/>
      <c r="E13" s="176"/>
      <c r="F13" s="176"/>
      <c r="G13" s="176"/>
      <c r="H13" s="177"/>
      <c r="I13" s="168"/>
      <c r="J13" s="262"/>
    </row>
    <row r="14" spans="1:25" x14ac:dyDescent="0.2">
      <c r="A14" s="268">
        <f>ROW()</f>
        <v>14</v>
      </c>
      <c r="B14" s="191" t="s">
        <v>289</v>
      </c>
      <c r="C14" s="176"/>
      <c r="D14" s="176"/>
      <c r="E14" s="176"/>
      <c r="F14" s="176"/>
      <c r="G14" s="176"/>
      <c r="H14" s="177"/>
      <c r="I14" s="168"/>
      <c r="J14" s="262"/>
    </row>
    <row r="15" spans="1:25" x14ac:dyDescent="0.2">
      <c r="A15" s="268">
        <f>ROW()</f>
        <v>15</v>
      </c>
      <c r="B15" s="176"/>
      <c r="C15" s="176"/>
      <c r="D15" s="259"/>
      <c r="E15" s="176"/>
      <c r="F15" s="176"/>
      <c r="G15" s="176"/>
      <c r="H15" s="177"/>
      <c r="I15" s="168"/>
      <c r="J15" s="262"/>
      <c r="U15"/>
      <c r="V15"/>
      <c r="W15"/>
      <c r="X15"/>
      <c r="Y15"/>
    </row>
    <row r="16" spans="1:25" x14ac:dyDescent="0.2">
      <c r="A16" s="268">
        <f>ROW()</f>
        <v>16</v>
      </c>
      <c r="B16" s="176" t="s">
        <v>290</v>
      </c>
      <c r="C16" s="176"/>
      <c r="D16" s="19">
        <f>'[58]SEF-16 2020 PCORC A-1'!G36</f>
        <v>767399398.37583029</v>
      </c>
      <c r="E16" s="176"/>
      <c r="F16" s="19">
        <f>'[58]2019 GRC A-1 UE-200907'!G36</f>
        <v>713651643.97173285</v>
      </c>
      <c r="G16" s="19" t="s">
        <v>26</v>
      </c>
      <c r="H16" s="177"/>
      <c r="I16" s="168"/>
      <c r="J16" s="262"/>
      <c r="U16"/>
      <c r="V16"/>
      <c r="W16"/>
      <c r="X16"/>
      <c r="Y16"/>
    </row>
    <row r="17" spans="1:25" x14ac:dyDescent="0.2">
      <c r="A17" s="268">
        <f>ROW()</f>
        <v>17</v>
      </c>
      <c r="B17" s="176" t="s">
        <v>291</v>
      </c>
      <c r="C17" s="176"/>
      <c r="D17" s="192">
        <f>'[58]SEF-16 2020 PCORC A-1'!C37</f>
        <v>0.95111500000000004</v>
      </c>
      <c r="E17" s="176"/>
      <c r="F17" s="192">
        <f>'[58]2019 GRC A-1 UE-200907'!C37</f>
        <v>0.95111500000000004</v>
      </c>
      <c r="G17" s="193"/>
      <c r="H17" s="177"/>
      <c r="I17" s="168"/>
      <c r="J17" s="262"/>
      <c r="U17"/>
      <c r="V17"/>
      <c r="W17"/>
      <c r="X17"/>
      <c r="Y17"/>
    </row>
    <row r="18" spans="1:25" x14ac:dyDescent="0.2">
      <c r="A18" s="268">
        <f>ROW()</f>
        <v>18</v>
      </c>
      <c r="C18" s="176"/>
      <c r="D18" s="168"/>
      <c r="E18" s="168"/>
      <c r="F18" s="168"/>
      <c r="G18" s="19"/>
      <c r="H18" s="177"/>
      <c r="I18" s="168"/>
      <c r="J18" s="262"/>
      <c r="U18"/>
      <c r="V18"/>
      <c r="W18"/>
      <c r="X18"/>
      <c r="Y18"/>
    </row>
    <row r="19" spans="1:25" x14ac:dyDescent="0.2">
      <c r="A19" s="268">
        <f>ROW()</f>
        <v>19</v>
      </c>
      <c r="B19" s="194" t="s">
        <v>292</v>
      </c>
      <c r="C19" s="176"/>
      <c r="D19" s="22">
        <f>+ROUND(D16/D17,0)</f>
        <v>806841863</v>
      </c>
      <c r="E19" s="176"/>
      <c r="F19" s="22">
        <f>+ROUND(F16/F17,0)</f>
        <v>750331604</v>
      </c>
      <c r="G19" s="19"/>
      <c r="H19" s="177"/>
      <c r="I19" s="168"/>
      <c r="J19" s="262"/>
      <c r="T19" s="263"/>
      <c r="U19"/>
      <c r="V19"/>
      <c r="W19"/>
      <c r="X19"/>
      <c r="Y19"/>
    </row>
    <row r="20" spans="1:25" x14ac:dyDescent="0.2">
      <c r="A20" s="268">
        <f>ROW()</f>
        <v>20</v>
      </c>
      <c r="B20" s="176" t="s">
        <v>293</v>
      </c>
      <c r="C20" s="176"/>
      <c r="D20" s="195">
        <f>+'[67]Exh BDJ-4 p1 (Prod Factor)'!$I$10/1000</f>
        <v>20365544.557714779</v>
      </c>
      <c r="E20" s="195"/>
      <c r="F20" s="195">
        <f>'[58]2019 GRC A-1 UE-200907'!C39</f>
        <v>20535748.503355935</v>
      </c>
      <c r="G20" s="196" t="s">
        <v>26</v>
      </c>
      <c r="H20" s="177"/>
      <c r="I20" s="168"/>
      <c r="J20" s="262"/>
      <c r="U20"/>
      <c r="V20"/>
      <c r="W20"/>
      <c r="X20"/>
      <c r="Y20"/>
    </row>
    <row r="21" spans="1:25" x14ac:dyDescent="0.2">
      <c r="A21" s="268">
        <f>ROW()</f>
        <v>21</v>
      </c>
      <c r="B21" s="176"/>
      <c r="C21" s="176"/>
      <c r="D21" s="195"/>
      <c r="E21" s="195"/>
      <c r="F21" s="195"/>
      <c r="G21" s="196"/>
      <c r="H21" s="177"/>
      <c r="I21" s="168"/>
      <c r="J21" s="262"/>
      <c r="U21"/>
      <c r="V21"/>
      <c r="W21"/>
      <c r="X21"/>
      <c r="Y21"/>
    </row>
    <row r="22" spans="1:25" x14ac:dyDescent="0.2">
      <c r="A22" s="268">
        <f>ROW()</f>
        <v>22</v>
      </c>
      <c r="B22" s="197" t="str">
        <f>"Total Variable Costs per MWh (Line "&amp;A19&amp;" / Line "&amp;A20&amp;")"</f>
        <v>Total Variable Costs per MWh (Line 19 / Line 20)</v>
      </c>
      <c r="C22" s="176"/>
      <c r="D22" s="198">
        <f>ROUND(+D19/D20,3)</f>
        <v>39.618000000000002</v>
      </c>
      <c r="E22" s="195"/>
      <c r="F22" s="198">
        <f>ROUND(+F19/F20,3)</f>
        <v>36.537999999999997</v>
      </c>
      <c r="G22" s="198">
        <f>ROUND(D22-F22,3)</f>
        <v>3.08</v>
      </c>
      <c r="H22" s="177"/>
      <c r="I22" s="168"/>
      <c r="J22" s="262"/>
      <c r="U22"/>
      <c r="V22"/>
      <c r="W22"/>
      <c r="X22"/>
      <c r="Y22"/>
    </row>
    <row r="23" spans="1:25" x14ac:dyDescent="0.2">
      <c r="A23" s="268">
        <f>ROW()</f>
        <v>23</v>
      </c>
      <c r="B23" s="176"/>
      <c r="C23" s="199" t="s">
        <v>294</v>
      </c>
      <c r="D23" s="200">
        <f>ROUND('[58]SEF-16 2020 PCORC A-1'!D46-D22,3)</f>
        <v>1.369</v>
      </c>
      <c r="E23" s="195"/>
      <c r="F23" s="200">
        <f>ROUND('[58]2019 GRC A-1 UE-200907'!D46-F22,3)</f>
        <v>1E-3</v>
      </c>
      <c r="G23" s="198"/>
      <c r="H23" s="177"/>
      <c r="I23" s="168"/>
      <c r="J23" s="262"/>
      <c r="U23"/>
      <c r="V23"/>
      <c r="W23"/>
      <c r="X23"/>
      <c r="Y23"/>
    </row>
    <row r="24" spans="1:25" x14ac:dyDescent="0.2">
      <c r="A24" s="268">
        <f>ROW()</f>
        <v>24</v>
      </c>
      <c r="B24" s="201" t="s">
        <v>295</v>
      </c>
      <c r="C24" s="176"/>
      <c r="E24" s="168"/>
      <c r="F24" s="202"/>
      <c r="G24" s="22">
        <f>+D20</f>
        <v>20365544.557714779</v>
      </c>
      <c r="H24" s="177"/>
      <c r="I24" s="168"/>
      <c r="J24" s="262"/>
      <c r="U24"/>
      <c r="V24"/>
      <c r="W24"/>
      <c r="X24"/>
      <c r="Y24"/>
    </row>
    <row r="25" spans="1:25" x14ac:dyDescent="0.2">
      <c r="A25" s="268">
        <f>ROW()</f>
        <v>25</v>
      </c>
      <c r="B25" s="201"/>
      <c r="C25" s="176"/>
      <c r="E25" s="168"/>
      <c r="F25" s="195"/>
      <c r="G25" s="22"/>
      <c r="H25" s="177"/>
      <c r="I25" s="168"/>
      <c r="J25" s="262"/>
      <c r="U25"/>
      <c r="V25"/>
      <c r="W25"/>
      <c r="X25"/>
      <c r="Y25"/>
    </row>
    <row r="26" spans="1:25" x14ac:dyDescent="0.2">
      <c r="A26" s="268">
        <f>ROW()</f>
        <v>26</v>
      </c>
      <c r="B26" s="201" t="s">
        <v>296</v>
      </c>
      <c r="C26" s="176"/>
      <c r="E26" s="168"/>
      <c r="F26" s="195"/>
      <c r="G26" s="264">
        <f>+G22*G24</f>
        <v>62725877.23776152</v>
      </c>
      <c r="H26" s="177"/>
      <c r="I26" s="168"/>
      <c r="J26" s="262"/>
      <c r="U26"/>
      <c r="V26"/>
      <c r="W26"/>
      <c r="X26"/>
      <c r="Y26"/>
    </row>
    <row r="27" spans="1:25" x14ac:dyDescent="0.2">
      <c r="A27" s="268">
        <f>ROW()</f>
        <v>27</v>
      </c>
      <c r="B27" s="176"/>
      <c r="C27" s="176"/>
      <c r="E27" s="168"/>
      <c r="F27" s="195"/>
      <c r="G27" s="19"/>
      <c r="H27" s="177"/>
      <c r="I27" s="168"/>
      <c r="J27" s="262"/>
      <c r="U27"/>
      <c r="V27"/>
      <c r="W27"/>
      <c r="X27"/>
      <c r="Y27"/>
    </row>
    <row r="28" spans="1:25" x14ac:dyDescent="0.2">
      <c r="A28" s="268">
        <f>ROW()</f>
        <v>28</v>
      </c>
      <c r="B28" s="191" t="s">
        <v>297</v>
      </c>
      <c r="C28" s="176"/>
      <c r="E28" s="168"/>
      <c r="F28" s="195"/>
      <c r="G28" s="19"/>
      <c r="H28" s="177"/>
      <c r="I28" s="168"/>
      <c r="J28" s="262"/>
      <c r="U28"/>
      <c r="V28"/>
      <c r="W28"/>
      <c r="X28"/>
      <c r="Y28"/>
    </row>
    <row r="29" spans="1:25" x14ac:dyDescent="0.2">
      <c r="A29" s="268">
        <f>ROW()</f>
        <v>29</v>
      </c>
      <c r="B29" s="176"/>
      <c r="C29" s="176"/>
      <c r="E29" s="168"/>
      <c r="F29" s="195"/>
      <c r="G29" s="19"/>
      <c r="H29" s="177"/>
      <c r="I29" s="168"/>
      <c r="J29" s="262"/>
      <c r="U29"/>
      <c r="V29"/>
      <c r="W29"/>
      <c r="X29"/>
      <c r="Y29"/>
    </row>
    <row r="30" spans="1:25" x14ac:dyDescent="0.2">
      <c r="A30" s="268">
        <f>ROW()</f>
        <v>30</v>
      </c>
      <c r="B30" s="176" t="s">
        <v>298</v>
      </c>
      <c r="C30" s="176"/>
      <c r="D30" s="19">
        <f>'[58]SEF-16 2020 PCORC A-1'!F36</f>
        <v>430163067.21888351</v>
      </c>
      <c r="E30" s="176"/>
      <c r="F30" s="19">
        <f>'[58]2019 GRC A-1 UE-200907'!F36</f>
        <v>455200098.46092093</v>
      </c>
      <c r="G30" s="19"/>
      <c r="H30" s="177"/>
      <c r="I30" s="168"/>
      <c r="J30" s="262"/>
      <c r="U30"/>
      <c r="V30"/>
      <c r="W30"/>
      <c r="X30"/>
      <c r="Y30"/>
    </row>
    <row r="31" spans="1:25" x14ac:dyDescent="0.2">
      <c r="A31" s="268">
        <f>ROW()</f>
        <v>31</v>
      </c>
      <c r="B31" s="176" t="s">
        <v>299</v>
      </c>
      <c r="C31" s="176"/>
      <c r="D31" s="192">
        <f>D17</f>
        <v>0.95111500000000004</v>
      </c>
      <c r="E31" s="176"/>
      <c r="F31" s="192">
        <f>F17</f>
        <v>0.95111500000000004</v>
      </c>
      <c r="G31" s="19"/>
      <c r="H31" s="177"/>
      <c r="I31" s="168"/>
      <c r="J31" s="262"/>
      <c r="U31"/>
      <c r="V31"/>
      <c r="W31"/>
      <c r="X31"/>
      <c r="Y31"/>
    </row>
    <row r="32" spans="1:25" x14ac:dyDescent="0.2">
      <c r="A32" s="268">
        <f>ROW()</f>
        <v>32</v>
      </c>
      <c r="B32" s="176"/>
      <c r="C32" s="176"/>
      <c r="D32" s="168"/>
      <c r="E32" s="168"/>
      <c r="F32" s="168"/>
      <c r="G32" s="19"/>
      <c r="H32" s="177"/>
      <c r="I32" s="168"/>
      <c r="J32" s="262"/>
      <c r="U32"/>
      <c r="V32"/>
      <c r="W32"/>
      <c r="X32"/>
      <c r="Y32"/>
    </row>
    <row r="33" spans="1:25" x14ac:dyDescent="0.2">
      <c r="A33" s="268">
        <f>ROW()</f>
        <v>33</v>
      </c>
      <c r="B33" s="176" t="s">
        <v>298</v>
      </c>
      <c r="C33" s="176"/>
      <c r="D33" s="22">
        <f>D30/D31</f>
        <v>452272403.67240924</v>
      </c>
      <c r="E33" s="176"/>
      <c r="F33" s="22">
        <f>F30/F31</f>
        <v>478596277.48581499</v>
      </c>
      <c r="H33" s="177"/>
      <c r="I33" s="168"/>
      <c r="J33" s="262"/>
      <c r="U33"/>
      <c r="V33"/>
      <c r="W33"/>
      <c r="X33"/>
      <c r="Y33"/>
    </row>
    <row r="34" spans="1:25" x14ac:dyDescent="0.2">
      <c r="A34" s="268">
        <f>ROW()</f>
        <v>34</v>
      </c>
      <c r="B34" s="176" t="s">
        <v>293</v>
      </c>
      <c r="C34" s="176"/>
      <c r="D34" s="195">
        <f>+D20</f>
        <v>20365544.557714779</v>
      </c>
      <c r="E34" s="195"/>
      <c r="F34" s="195">
        <f>'[58]2019 GRC A-1 UE-200907'!C39</f>
        <v>20535748.503355935</v>
      </c>
      <c r="G34" s="19"/>
      <c r="H34" s="177"/>
      <c r="I34" s="168"/>
      <c r="J34" s="262"/>
      <c r="U34"/>
      <c r="V34"/>
      <c r="W34"/>
      <c r="X34"/>
      <c r="Y34"/>
    </row>
    <row r="35" spans="1:25" x14ac:dyDescent="0.2">
      <c r="A35" s="268">
        <f>ROW()</f>
        <v>35</v>
      </c>
      <c r="B35" s="176"/>
      <c r="C35" s="176"/>
      <c r="E35" s="168"/>
      <c r="F35" s="195"/>
      <c r="G35" s="19"/>
      <c r="H35" s="177"/>
      <c r="I35" s="168"/>
      <c r="J35" s="262"/>
      <c r="U35"/>
      <c r="V35"/>
      <c r="W35"/>
      <c r="X35"/>
      <c r="Y35"/>
    </row>
    <row r="36" spans="1:25" x14ac:dyDescent="0.2">
      <c r="A36" s="268">
        <f>ROW()</f>
        <v>36</v>
      </c>
      <c r="B36" s="197" t="str">
        <f>"Total Fixed Costs per MWh (Line "&amp;A33&amp;" / Line "&amp;A34&amp;")"</f>
        <v>Total Fixed Costs per MWh (Line 33 / Line 34)</v>
      </c>
      <c r="C36" s="176"/>
      <c r="D36" s="198">
        <f>ROUND(+D33/D34,3)</f>
        <v>22.207999999999998</v>
      </c>
      <c r="E36" s="195"/>
      <c r="F36" s="198">
        <f>ROUND(+F33/F34,3)</f>
        <v>23.306000000000001</v>
      </c>
      <c r="G36" s="198">
        <f>ROUND(D36-F36,3)</f>
        <v>-1.0980000000000001</v>
      </c>
      <c r="H36" s="177"/>
      <c r="I36" s="168"/>
      <c r="J36" s="262"/>
      <c r="U36"/>
      <c r="V36"/>
      <c r="W36"/>
      <c r="X36"/>
      <c r="Y36"/>
    </row>
    <row r="37" spans="1:25" x14ac:dyDescent="0.2">
      <c r="A37" s="268">
        <f>ROW()</f>
        <v>37</v>
      </c>
      <c r="B37" s="176"/>
      <c r="C37" s="176"/>
      <c r="E37" s="168"/>
      <c r="F37" s="195"/>
      <c r="G37" s="19"/>
      <c r="H37" s="177"/>
      <c r="I37" s="168"/>
      <c r="J37" s="262"/>
      <c r="U37"/>
      <c r="V37"/>
      <c r="W37"/>
      <c r="X37"/>
      <c r="Y37"/>
    </row>
    <row r="38" spans="1:25" x14ac:dyDescent="0.2">
      <c r="A38" s="268">
        <f>ROW()</f>
        <v>38</v>
      </c>
      <c r="B38" s="201" t="s">
        <v>295</v>
      </c>
      <c r="C38" s="176"/>
      <c r="E38" s="168"/>
      <c r="F38" s="195"/>
      <c r="G38" s="22">
        <f>D34</f>
        <v>20365544.557714779</v>
      </c>
      <c r="H38" s="177"/>
      <c r="I38" s="168"/>
      <c r="J38" s="262"/>
      <c r="U38"/>
      <c r="V38"/>
      <c r="W38"/>
      <c r="X38"/>
      <c r="Y38"/>
    </row>
    <row r="39" spans="1:25" x14ac:dyDescent="0.2">
      <c r="A39" s="268">
        <f>ROW()</f>
        <v>39</v>
      </c>
      <c r="B39" s="176"/>
      <c r="C39" s="176"/>
      <c r="E39" s="168"/>
      <c r="F39" s="195"/>
      <c r="G39" s="19"/>
      <c r="H39" s="177"/>
      <c r="I39" s="168"/>
      <c r="J39" s="262"/>
      <c r="U39"/>
      <c r="V39"/>
      <c r="W39"/>
      <c r="X39"/>
      <c r="Y39"/>
    </row>
    <row r="40" spans="1:25" x14ac:dyDescent="0.2">
      <c r="A40" s="268">
        <f>ROW()</f>
        <v>40</v>
      </c>
      <c r="B40" s="201" t="s">
        <v>300</v>
      </c>
      <c r="C40" s="176"/>
      <c r="E40" s="168"/>
      <c r="F40" s="195"/>
      <c r="G40" s="264">
        <f>+G36*G38</f>
        <v>-22361367.924370829</v>
      </c>
      <c r="H40" s="177"/>
      <c r="I40" s="168"/>
      <c r="J40" s="262"/>
      <c r="U40"/>
      <c r="V40"/>
      <c r="W40"/>
      <c r="X40"/>
      <c r="Y40"/>
    </row>
    <row r="41" spans="1:25" x14ac:dyDescent="0.2">
      <c r="A41" s="268">
        <f>ROW()</f>
        <v>41</v>
      </c>
      <c r="B41" s="201"/>
      <c r="C41" s="176"/>
      <c r="E41" s="168"/>
      <c r="F41" s="195"/>
      <c r="G41" s="19"/>
      <c r="H41" s="177"/>
      <c r="I41" s="168"/>
      <c r="J41" s="262"/>
      <c r="U41"/>
      <c r="V41"/>
      <c r="W41"/>
      <c r="X41"/>
      <c r="Y41"/>
    </row>
    <row r="42" spans="1:25" x14ac:dyDescent="0.2">
      <c r="A42" s="268">
        <f>ROW()</f>
        <v>42</v>
      </c>
      <c r="B42" s="201" t="s">
        <v>301</v>
      </c>
      <c r="C42" s="176"/>
      <c r="E42" s="168"/>
      <c r="F42" s="195"/>
      <c r="G42" s="264">
        <f>-'[68]Sch 139 Eff 7-1-2021'!$K$47</f>
        <v>26942538.304544248</v>
      </c>
      <c r="H42" s="177"/>
      <c r="I42" s="168"/>
      <c r="J42" s="262"/>
      <c r="U42"/>
      <c r="V42"/>
      <c r="W42"/>
      <c r="X42"/>
      <c r="Y42"/>
    </row>
    <row r="43" spans="1:25" ht="13.5" thickBot="1" x14ac:dyDescent="0.25">
      <c r="A43" s="268">
        <f>ROW()</f>
        <v>43</v>
      </c>
      <c r="B43" s="201"/>
      <c r="C43" s="176"/>
      <c r="E43" s="168"/>
      <c r="F43" s="195"/>
      <c r="G43" s="19"/>
      <c r="H43" s="177"/>
      <c r="I43" s="168"/>
      <c r="J43" s="262"/>
      <c r="U43"/>
      <c r="V43"/>
      <c r="W43"/>
      <c r="X43"/>
      <c r="Y43"/>
    </row>
    <row r="44" spans="1:25" ht="13.5" thickBot="1" x14ac:dyDescent="0.25">
      <c r="A44" s="268">
        <f>ROW()</f>
        <v>44</v>
      </c>
      <c r="B44" s="191" t="s">
        <v>303</v>
      </c>
      <c r="C44" s="176"/>
      <c r="E44" s="168"/>
      <c r="F44" s="266">
        <f>G44/$F$50</f>
        <v>3.1363692362451422E-2</v>
      </c>
      <c r="G44" s="265">
        <f>SUM(G26,G40,G42)</f>
        <v>67307047.617934942</v>
      </c>
      <c r="H44" s="177"/>
      <c r="I44" s="168"/>
      <c r="J44" s="262"/>
      <c r="U44"/>
      <c r="V44"/>
      <c r="W44"/>
      <c r="X44"/>
      <c r="Y44"/>
    </row>
    <row r="45" spans="1:25" x14ac:dyDescent="0.2">
      <c r="A45" s="268">
        <f>ROW()</f>
        <v>45</v>
      </c>
      <c r="B45" s="176"/>
      <c r="C45" s="176"/>
      <c r="E45" s="168"/>
      <c r="F45" s="195"/>
      <c r="G45" s="19"/>
      <c r="H45" s="177"/>
      <c r="I45" s="168"/>
      <c r="J45" s="262"/>
      <c r="U45"/>
      <c r="V45"/>
      <c r="W45"/>
      <c r="X45"/>
      <c r="Y45"/>
    </row>
    <row r="46" spans="1:25" x14ac:dyDescent="0.2">
      <c r="A46" s="268">
        <f>ROW()</f>
        <v>46</v>
      </c>
      <c r="B46" s="176" t="s">
        <v>304</v>
      </c>
      <c r="C46" s="176"/>
      <c r="E46" s="168"/>
      <c r="F46" s="195"/>
      <c r="G46" s="264">
        <f>'[66]Exh BDJ-8 p1-2 (Rate Impacts)'!$X$40</f>
        <v>3580506</v>
      </c>
      <c r="H46" s="177"/>
      <c r="I46" s="168"/>
      <c r="J46" s="262"/>
      <c r="U46"/>
      <c r="V46"/>
      <c r="W46"/>
      <c r="X46"/>
      <c r="Y46"/>
    </row>
    <row r="47" spans="1:25" ht="13.5" thickBot="1" x14ac:dyDescent="0.25">
      <c r="A47" s="268">
        <f>ROW()</f>
        <v>47</v>
      </c>
      <c r="B47" s="176"/>
      <c r="C47" s="176"/>
      <c r="E47" s="168"/>
      <c r="F47" s="195"/>
      <c r="G47" s="19"/>
      <c r="H47" s="177"/>
      <c r="I47" s="168"/>
      <c r="J47" s="262"/>
      <c r="U47"/>
      <c r="V47"/>
      <c r="W47"/>
      <c r="X47"/>
      <c r="Y47"/>
    </row>
    <row r="48" spans="1:25" ht="13.5" thickBot="1" x14ac:dyDescent="0.25">
      <c r="A48" s="268">
        <f>ROW()</f>
        <v>48</v>
      </c>
      <c r="B48" s="176" t="s">
        <v>305</v>
      </c>
      <c r="C48" s="176"/>
      <c r="E48" s="168"/>
      <c r="F48" s="266">
        <f>G48/$F$50</f>
        <v>3.3032134117962145E-2</v>
      </c>
      <c r="G48" s="270">
        <f>G44+G46</f>
        <v>70887553.617934942</v>
      </c>
      <c r="H48" s="177"/>
      <c r="I48" s="168"/>
      <c r="J48" s="262"/>
      <c r="U48"/>
      <c r="V48"/>
      <c r="W48"/>
      <c r="X48"/>
      <c r="Y48"/>
    </row>
    <row r="49" spans="1:25" x14ac:dyDescent="0.2">
      <c r="A49" s="268">
        <f>ROW()</f>
        <v>49</v>
      </c>
      <c r="B49" s="176"/>
      <c r="C49" s="176"/>
      <c r="E49" s="168"/>
      <c r="F49" s="195"/>
      <c r="G49" s="19"/>
      <c r="H49" s="177"/>
      <c r="I49" s="168"/>
      <c r="J49" s="262"/>
      <c r="U49"/>
      <c r="V49"/>
      <c r="W49"/>
      <c r="X49"/>
      <c r="Y49"/>
    </row>
    <row r="50" spans="1:25" x14ac:dyDescent="0.2">
      <c r="A50" s="268">
        <f>ROW()</f>
        <v>50</v>
      </c>
      <c r="B50" s="203" t="s">
        <v>302</v>
      </c>
      <c r="C50" s="176"/>
      <c r="E50" s="168"/>
      <c r="F50" s="19">
        <f>'[66]Exh BDJ-8 p1-2 (Rate Impacts)'!$R$34</f>
        <v>2146017976.4585011</v>
      </c>
      <c r="H50" s="177"/>
      <c r="I50" s="168"/>
      <c r="J50" s="262"/>
      <c r="U50"/>
      <c r="V50"/>
      <c r="W50"/>
      <c r="X50"/>
      <c r="Y50"/>
    </row>
    <row r="51" spans="1:25" x14ac:dyDescent="0.2">
      <c r="A51" s="268"/>
      <c r="B51" s="203"/>
      <c r="C51" s="176"/>
      <c r="E51" s="168"/>
      <c r="F51" s="195"/>
      <c r="H51" s="177"/>
      <c r="I51" s="168"/>
      <c r="J51" s="262"/>
      <c r="U51"/>
      <c r="V51"/>
      <c r="W51"/>
      <c r="X51"/>
      <c r="Y51"/>
    </row>
    <row r="52" spans="1:25" x14ac:dyDescent="0.2">
      <c r="A52" s="268"/>
      <c r="B52" s="203"/>
      <c r="C52" s="176"/>
      <c r="E52" s="168"/>
      <c r="F52" s="195"/>
      <c r="H52" s="177"/>
      <c r="I52" s="168"/>
      <c r="J52" s="262"/>
      <c r="U52"/>
      <c r="V52"/>
      <c r="W52"/>
      <c r="X52"/>
      <c r="Y52"/>
    </row>
    <row r="53" spans="1:25" ht="13.5" thickBot="1" x14ac:dyDescent="0.25">
      <c r="A53" s="204"/>
      <c r="B53" s="32"/>
      <c r="C53" s="32"/>
      <c r="D53" s="32"/>
      <c r="E53" s="32"/>
      <c r="F53" s="32"/>
      <c r="G53" s="32"/>
      <c r="H53" s="33"/>
      <c r="I53" s="262"/>
      <c r="J53" s="262"/>
      <c r="U53"/>
      <c r="V53"/>
      <c r="W53"/>
      <c r="X53"/>
      <c r="Y53"/>
    </row>
    <row r="54" spans="1:25" x14ac:dyDescent="0.2">
      <c r="A54" s="168"/>
      <c r="B54" s="168"/>
      <c r="C54" s="168"/>
      <c r="D54" s="267"/>
      <c r="E54" s="168"/>
      <c r="F54" s="168"/>
      <c r="H54" s="168"/>
      <c r="I54" s="168"/>
      <c r="J54" s="168"/>
      <c r="U54"/>
      <c r="V54"/>
      <c r="W54"/>
      <c r="X54"/>
      <c r="Y54"/>
    </row>
    <row r="55" spans="1:25" x14ac:dyDescent="0.2">
      <c r="U55"/>
      <c r="V55"/>
      <c r="W55"/>
      <c r="X55"/>
      <c r="Y55"/>
    </row>
    <row r="56" spans="1:25" x14ac:dyDescent="0.2">
      <c r="U56"/>
      <c r="V56"/>
      <c r="W56"/>
      <c r="X56"/>
      <c r="Y56"/>
    </row>
    <row r="57" spans="1:25" x14ac:dyDescent="0.2">
      <c r="U57"/>
      <c r="V57"/>
      <c r="W57"/>
      <c r="X57"/>
      <c r="Y57"/>
    </row>
    <row r="58" spans="1:25" x14ac:dyDescent="0.2">
      <c r="U58"/>
      <c r="V58"/>
      <c r="W58"/>
      <c r="X58"/>
      <c r="Y58"/>
    </row>
    <row r="59" spans="1:25" x14ac:dyDescent="0.2">
      <c r="U59"/>
      <c r="V59"/>
      <c r="W59"/>
      <c r="X59"/>
      <c r="Y59"/>
    </row>
    <row r="60" spans="1:25" x14ac:dyDescent="0.2">
      <c r="U60"/>
      <c r="V60"/>
      <c r="W60"/>
      <c r="X60"/>
      <c r="Y60"/>
    </row>
    <row r="61" spans="1:25" x14ac:dyDescent="0.2">
      <c r="U61"/>
      <c r="V61"/>
      <c r="W61"/>
      <c r="X61"/>
      <c r="Y61"/>
    </row>
    <row r="62" spans="1:25" x14ac:dyDescent="0.2">
      <c r="U62"/>
      <c r="V62"/>
      <c r="W62"/>
      <c r="X62"/>
      <c r="Y62"/>
    </row>
    <row r="63" spans="1:25" x14ac:dyDescent="0.2">
      <c r="U63"/>
      <c r="V63"/>
      <c r="W63"/>
      <c r="X63"/>
      <c r="Y63"/>
    </row>
    <row r="64" spans="1:25" x14ac:dyDescent="0.2">
      <c r="U64"/>
      <c r="V64"/>
      <c r="W64"/>
      <c r="X64"/>
      <c r="Y64"/>
    </row>
    <row r="65" spans="21:25" x14ac:dyDescent="0.2">
      <c r="U65"/>
      <c r="V65"/>
      <c r="W65"/>
      <c r="X65"/>
      <c r="Y65"/>
    </row>
    <row r="66" spans="21:25" x14ac:dyDescent="0.2">
      <c r="U66"/>
      <c r="V66"/>
      <c r="W66"/>
      <c r="X66"/>
      <c r="Y66"/>
    </row>
    <row r="67" spans="21:25" x14ac:dyDescent="0.2">
      <c r="U67"/>
      <c r="V67"/>
      <c r="W67"/>
      <c r="X67"/>
      <c r="Y67"/>
    </row>
    <row r="68" spans="21:25" x14ac:dyDescent="0.2">
      <c r="U68"/>
      <c r="V68"/>
      <c r="W68"/>
      <c r="X68"/>
      <c r="Y68"/>
    </row>
    <row r="69" spans="21:25" x14ac:dyDescent="0.2">
      <c r="U69"/>
      <c r="V69"/>
      <c r="W69"/>
      <c r="X69"/>
      <c r="Y69"/>
    </row>
    <row r="70" spans="21:25" x14ac:dyDescent="0.2">
      <c r="U70"/>
      <c r="V70"/>
      <c r="W70"/>
      <c r="X70"/>
      <c r="Y70"/>
    </row>
    <row r="71" spans="21:25" x14ac:dyDescent="0.2">
      <c r="U71"/>
      <c r="V71"/>
      <c r="W71"/>
      <c r="X71"/>
      <c r="Y71"/>
    </row>
    <row r="72" spans="21:25" x14ac:dyDescent="0.2">
      <c r="U72"/>
      <c r="V72"/>
      <c r="W72"/>
      <c r="X72"/>
      <c r="Y72"/>
    </row>
    <row r="73" spans="21:25" x14ac:dyDescent="0.2">
      <c r="U73"/>
      <c r="V73"/>
      <c r="W73"/>
      <c r="X73"/>
      <c r="Y73"/>
    </row>
    <row r="74" spans="21:25" x14ac:dyDescent="0.2">
      <c r="U74"/>
      <c r="V74"/>
      <c r="W74"/>
      <c r="X74"/>
      <c r="Y74"/>
    </row>
    <row r="75" spans="21:25" x14ac:dyDescent="0.2">
      <c r="U75"/>
      <c r="V75"/>
      <c r="W75"/>
      <c r="X75"/>
      <c r="Y75"/>
    </row>
    <row r="76" spans="21:25" x14ac:dyDescent="0.2">
      <c r="U76"/>
      <c r="V76"/>
      <c r="W76"/>
      <c r="X76"/>
      <c r="Y76"/>
    </row>
    <row r="77" spans="21:25" x14ac:dyDescent="0.2">
      <c r="U77"/>
      <c r="V77"/>
      <c r="W77"/>
      <c r="X77"/>
      <c r="Y77"/>
    </row>
    <row r="78" spans="21:25" x14ac:dyDescent="0.2">
      <c r="U78"/>
      <c r="V78"/>
      <c r="W78"/>
      <c r="X78"/>
      <c r="Y78"/>
    </row>
    <row r="79" spans="21:25" x14ac:dyDescent="0.2">
      <c r="U79"/>
      <c r="V79"/>
      <c r="W79"/>
      <c r="X79"/>
      <c r="Y79"/>
    </row>
    <row r="80" spans="21:25" x14ac:dyDescent="0.2">
      <c r="U80"/>
      <c r="V80"/>
      <c r="W80"/>
      <c r="X80"/>
      <c r="Y80"/>
    </row>
    <row r="81" spans="21:25" x14ac:dyDescent="0.2">
      <c r="U81"/>
      <c r="V81"/>
      <c r="W81"/>
      <c r="X81"/>
      <c r="Y81"/>
    </row>
    <row r="82" spans="21:25" x14ac:dyDescent="0.2">
      <c r="U82"/>
      <c r="V82"/>
      <c r="W82"/>
      <c r="X82"/>
      <c r="Y82"/>
    </row>
  </sheetData>
  <printOptions horizontalCentered="1"/>
  <pageMargins left="0.25" right="0.25" top="1.1299999999999999" bottom="0.7" header="0.5" footer="0.2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5"/>
  <sheetViews>
    <sheetView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D8" sqref="A8:D9"/>
    </sheetView>
  </sheetViews>
  <sheetFormatPr defaultColWidth="9.140625" defaultRowHeight="12.75" x14ac:dyDescent="0.2"/>
  <cols>
    <col min="1" max="1" width="7.28515625" style="1" bestFit="1" customWidth="1"/>
    <col min="2" max="2" width="29.28515625" style="1" customWidth="1"/>
    <col min="3" max="3" width="9" style="1" bestFit="1" customWidth="1"/>
    <col min="4" max="5" width="12.85546875" style="1" bestFit="1" customWidth="1"/>
    <col min="6" max="6" width="3" style="1" customWidth="1"/>
    <col min="7" max="7" width="9" style="1" bestFit="1" customWidth="1"/>
    <col min="8" max="9" width="9.42578125" style="1" bestFit="1" customWidth="1"/>
    <col min="10" max="10" width="3" style="1" customWidth="1"/>
    <col min="11" max="12" width="12.85546875" style="1" bestFit="1" customWidth="1"/>
    <col min="13" max="13" width="10.7109375" style="1" bestFit="1" customWidth="1"/>
    <col min="14" max="16384" width="9.140625" style="1"/>
  </cols>
  <sheetData>
    <row r="1" spans="1:14" ht="12.75" customHeight="1" x14ac:dyDescent="0.2">
      <c r="A1" s="285" t="s">
        <v>15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</row>
    <row r="2" spans="1:14" ht="12.75" customHeight="1" x14ac:dyDescent="0.2">
      <c r="A2" s="286" t="s">
        <v>309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1:14" x14ac:dyDescent="0.2">
      <c r="A3" s="286" t="s">
        <v>243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4" s="9" customFormat="1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9" customFormat="1" ht="67.5" x14ac:dyDescent="0.2">
      <c r="A5" s="115" t="s">
        <v>24</v>
      </c>
      <c r="B5" s="115" t="s">
        <v>146</v>
      </c>
      <c r="C5" s="115" t="s">
        <v>16</v>
      </c>
      <c r="D5" s="116" t="s">
        <v>244</v>
      </c>
      <c r="E5" s="116" t="s">
        <v>245</v>
      </c>
      <c r="F5" s="116"/>
      <c r="G5" s="116" t="s">
        <v>147</v>
      </c>
      <c r="H5" s="116" t="s">
        <v>246</v>
      </c>
      <c r="I5" s="116" t="s">
        <v>247</v>
      </c>
      <c r="J5"/>
      <c r="K5" s="116" t="s">
        <v>248</v>
      </c>
      <c r="L5" s="116" t="s">
        <v>249</v>
      </c>
      <c r="M5" s="116" t="s">
        <v>250</v>
      </c>
      <c r="N5" s="116" t="s">
        <v>251</v>
      </c>
    </row>
    <row r="6" spans="1:14" ht="22.5" x14ac:dyDescent="0.2">
      <c r="A6" s="117"/>
      <c r="B6" s="118" t="s">
        <v>148</v>
      </c>
      <c r="C6" s="119" t="s">
        <v>149</v>
      </c>
      <c r="D6" s="119" t="s">
        <v>150</v>
      </c>
      <c r="E6" s="119" t="s">
        <v>178</v>
      </c>
      <c r="F6" s="119"/>
      <c r="G6" s="119" t="s">
        <v>179</v>
      </c>
      <c r="H6" s="119" t="s">
        <v>180</v>
      </c>
      <c r="I6" s="119" t="s">
        <v>252</v>
      </c>
      <c r="J6"/>
      <c r="K6" s="119" t="s">
        <v>253</v>
      </c>
      <c r="L6" s="119" t="s">
        <v>254</v>
      </c>
      <c r="M6" s="119" t="s">
        <v>255</v>
      </c>
      <c r="N6" s="119" t="s">
        <v>256</v>
      </c>
    </row>
    <row r="7" spans="1:14" x14ac:dyDescent="0.2">
      <c r="A7" s="120">
        <v>1</v>
      </c>
      <c r="B7" s="121" t="s">
        <v>0</v>
      </c>
      <c r="C7" s="117"/>
      <c r="D7" s="117"/>
      <c r="E7" s="152"/>
      <c r="F7" s="152"/>
      <c r="G7" s="207"/>
      <c r="H7" s="207"/>
      <c r="I7" s="207"/>
      <c r="J7"/>
      <c r="K7" s="152"/>
      <c r="L7" s="152"/>
      <c r="M7"/>
      <c r="N7"/>
    </row>
    <row r="8" spans="1:14" x14ac:dyDescent="0.2">
      <c r="A8" s="120">
        <v>2</v>
      </c>
      <c r="B8" s="123" t="s">
        <v>0</v>
      </c>
      <c r="C8" s="205">
        <v>7</v>
      </c>
      <c r="D8" s="208">
        <v>10994456000</v>
      </c>
      <c r="E8" s="209">
        <v>1207245000</v>
      </c>
      <c r="F8" s="152"/>
      <c r="G8" s="124">
        <v>0</v>
      </c>
      <c r="H8" s="124">
        <v>2.1346263238885407E-3</v>
      </c>
      <c r="I8" s="124">
        <v>2.1346263238885407E-3</v>
      </c>
      <c r="J8" s="210"/>
      <c r="K8" s="209">
        <v>1207245000</v>
      </c>
      <c r="L8" s="209">
        <v>1230714055.1944344</v>
      </c>
      <c r="M8" s="209">
        <v>23469055.194434404</v>
      </c>
      <c r="N8" s="211">
        <v>1.9440175933165518E-2</v>
      </c>
    </row>
    <row r="9" spans="1:14" x14ac:dyDescent="0.2">
      <c r="A9" s="120">
        <v>3</v>
      </c>
      <c r="B9" s="125" t="s">
        <v>151</v>
      </c>
      <c r="C9" s="126"/>
      <c r="D9" s="212">
        <v>10994456000</v>
      </c>
      <c r="E9" s="213">
        <v>1207245000</v>
      </c>
      <c r="F9" s="152"/>
      <c r="G9" s="127">
        <v>0</v>
      </c>
      <c r="H9" s="127">
        <v>2.1346263238885407E-3</v>
      </c>
      <c r="I9" s="127">
        <v>2.1346263238885407E-3</v>
      </c>
      <c r="J9"/>
      <c r="K9" s="213">
        <v>1207245000</v>
      </c>
      <c r="L9" s="213">
        <v>1230714055.1944344</v>
      </c>
      <c r="M9" s="213">
        <v>23469055.194434404</v>
      </c>
      <c r="N9" s="214">
        <v>1.9440175933165518E-2</v>
      </c>
    </row>
    <row r="10" spans="1:14" x14ac:dyDescent="0.2">
      <c r="A10" s="120">
        <v>4</v>
      </c>
      <c r="B10" s="126"/>
      <c r="C10" s="126"/>
      <c r="D10" s="215"/>
      <c r="E10" s="216"/>
      <c r="F10" s="152"/>
      <c r="G10" s="217"/>
      <c r="H10" s="217"/>
      <c r="I10" s="217"/>
      <c r="J10"/>
      <c r="K10" s="216"/>
      <c r="L10" s="216"/>
      <c r="M10" s="216"/>
      <c r="N10" s="218"/>
    </row>
    <row r="11" spans="1:14" x14ac:dyDescent="0.2">
      <c r="A11" s="120">
        <v>5</v>
      </c>
      <c r="B11" s="126" t="s">
        <v>152</v>
      </c>
      <c r="C11" s="126"/>
      <c r="D11" s="215"/>
      <c r="E11" s="216"/>
      <c r="F11" s="152"/>
      <c r="G11" s="217"/>
      <c r="H11" s="217"/>
      <c r="I11" s="217"/>
      <c r="J11"/>
      <c r="K11" s="216"/>
      <c r="L11" s="216"/>
      <c r="M11" s="216"/>
      <c r="N11" s="218"/>
    </row>
    <row r="12" spans="1:14" x14ac:dyDescent="0.2">
      <c r="A12" s="120">
        <v>6</v>
      </c>
      <c r="B12" s="128" t="s">
        <v>153</v>
      </c>
      <c r="C12" s="206" t="s">
        <v>154</v>
      </c>
      <c r="D12" s="208">
        <v>2698287000</v>
      </c>
      <c r="E12" s="209">
        <v>278370000</v>
      </c>
      <c r="F12" s="152"/>
      <c r="G12" s="124">
        <v>0</v>
      </c>
      <c r="H12" s="124">
        <v>2.1548217661402514E-3</v>
      </c>
      <c r="I12" s="124">
        <v>2.1548217661402514E-3</v>
      </c>
      <c r="J12" s="210"/>
      <c r="K12" s="216">
        <v>278370000</v>
      </c>
      <c r="L12" s="216">
        <v>284184327.55889326</v>
      </c>
      <c r="M12" s="216">
        <v>5814327.5588932633</v>
      </c>
      <c r="N12" s="218">
        <v>2.0887048025625115E-2</v>
      </c>
    </row>
    <row r="13" spans="1:14" x14ac:dyDescent="0.2">
      <c r="A13" s="120">
        <v>7</v>
      </c>
      <c r="B13" s="128" t="s">
        <v>155</v>
      </c>
      <c r="C13" s="206" t="s">
        <v>156</v>
      </c>
      <c r="D13" s="208">
        <v>2868466000</v>
      </c>
      <c r="E13" s="209">
        <v>268882000</v>
      </c>
      <c r="F13" s="152"/>
      <c r="G13" s="124">
        <v>0</v>
      </c>
      <c r="H13" s="124">
        <v>2.2235019667564571E-3</v>
      </c>
      <c r="I13" s="124">
        <v>2.2235019667564571E-3</v>
      </c>
      <c r="J13" s="210"/>
      <c r="K13" s="216">
        <v>268882000</v>
      </c>
      <c r="L13" s="216">
        <v>275260039.79257405</v>
      </c>
      <c r="M13" s="216">
        <v>6378039.792574048</v>
      </c>
      <c r="N13" s="218">
        <v>2.3720590417261281E-2</v>
      </c>
    </row>
    <row r="14" spans="1:14" x14ac:dyDescent="0.2">
      <c r="A14" s="120">
        <v>8</v>
      </c>
      <c r="B14" s="128" t="s">
        <v>157</v>
      </c>
      <c r="C14" s="206" t="s">
        <v>158</v>
      </c>
      <c r="D14" s="208">
        <v>1696095000</v>
      </c>
      <c r="E14" s="209">
        <v>146304000</v>
      </c>
      <c r="F14" s="152"/>
      <c r="G14" s="124">
        <v>0</v>
      </c>
      <c r="H14" s="124">
        <v>2.3267494191098565E-3</v>
      </c>
      <c r="I14" s="124">
        <v>2.3267494191098565E-3</v>
      </c>
      <c r="J14" s="210"/>
      <c r="K14" s="216">
        <v>146304000</v>
      </c>
      <c r="L14" s="216">
        <v>150250388.05600512</v>
      </c>
      <c r="M14" s="216">
        <v>3946388.0560051203</v>
      </c>
      <c r="N14" s="218">
        <v>2.6973890365301838E-2</v>
      </c>
    </row>
    <row r="15" spans="1:14" x14ac:dyDescent="0.2">
      <c r="A15" s="120">
        <v>9</v>
      </c>
      <c r="B15" s="123" t="s">
        <v>159</v>
      </c>
      <c r="C15" s="205">
        <v>29</v>
      </c>
      <c r="D15" s="208">
        <v>14609000</v>
      </c>
      <c r="E15" s="209">
        <v>1187000</v>
      </c>
      <c r="F15" s="152"/>
      <c r="G15" s="124">
        <v>0</v>
      </c>
      <c r="H15" s="124">
        <v>1.8524867967086855E-3</v>
      </c>
      <c r="I15" s="124">
        <v>1.8524867967086855E-3</v>
      </c>
      <c r="J15" s="210"/>
      <c r="K15" s="216">
        <v>1187000</v>
      </c>
      <c r="L15" s="216">
        <v>1214062.9796131172</v>
      </c>
      <c r="M15" s="216">
        <v>27062.979613117175</v>
      </c>
      <c r="N15" s="218">
        <v>2.2799477348877148E-2</v>
      </c>
    </row>
    <row r="16" spans="1:14" x14ac:dyDescent="0.2">
      <c r="A16" s="120">
        <v>10</v>
      </c>
      <c r="B16" s="129" t="s">
        <v>160</v>
      </c>
      <c r="C16" s="126"/>
      <c r="D16" s="212">
        <v>7277457000</v>
      </c>
      <c r="E16" s="213">
        <v>694743000</v>
      </c>
      <c r="F16" s="152"/>
      <c r="G16" s="127">
        <v>0</v>
      </c>
      <c r="H16" s="127">
        <v>2.2213553975084371E-3</v>
      </c>
      <c r="I16" s="127">
        <v>2.2213553975084371E-3</v>
      </c>
      <c r="J16"/>
      <c r="K16" s="213">
        <v>694743000</v>
      </c>
      <c r="L16" s="213">
        <v>710908818.38708556</v>
      </c>
      <c r="M16" s="213">
        <v>16165818.38708555</v>
      </c>
      <c r="N16" s="214">
        <v>2.3268774765755899E-2</v>
      </c>
    </row>
    <row r="17" spans="1:14" x14ac:dyDescent="0.2">
      <c r="A17" s="120">
        <v>11</v>
      </c>
      <c r="B17" s="126"/>
      <c r="C17" s="126"/>
      <c r="D17" s="215"/>
      <c r="E17" s="216"/>
      <c r="F17" s="152"/>
      <c r="G17" s="217"/>
      <c r="H17" s="217"/>
      <c r="I17" s="217"/>
      <c r="J17"/>
      <c r="K17" s="216"/>
      <c r="L17" s="216"/>
      <c r="M17" s="216"/>
      <c r="N17" s="218"/>
    </row>
    <row r="18" spans="1:14" x14ac:dyDescent="0.2">
      <c r="A18" s="120">
        <v>12</v>
      </c>
      <c r="B18" s="126" t="s">
        <v>161</v>
      </c>
      <c r="C18" s="126"/>
      <c r="D18" s="215"/>
      <c r="E18" s="216"/>
      <c r="F18" s="152"/>
      <c r="G18" s="217"/>
      <c r="H18" s="217"/>
      <c r="I18" s="217"/>
      <c r="J18"/>
      <c r="K18" s="216"/>
      <c r="L18" s="216"/>
      <c r="M18" s="216"/>
      <c r="N18" s="218"/>
    </row>
    <row r="19" spans="1:14" x14ac:dyDescent="0.2">
      <c r="A19" s="120">
        <v>13</v>
      </c>
      <c r="B19" s="128" t="s">
        <v>162</v>
      </c>
      <c r="C19" s="206" t="s">
        <v>163</v>
      </c>
      <c r="D19" s="208">
        <v>1293580000</v>
      </c>
      <c r="E19" s="209">
        <v>109968000</v>
      </c>
      <c r="F19" s="152"/>
      <c r="G19" s="124">
        <v>0</v>
      </c>
      <c r="H19" s="124">
        <v>2.1293083890334291E-3</v>
      </c>
      <c r="I19" s="124">
        <v>2.1293083890334291E-3</v>
      </c>
      <c r="J19" s="210"/>
      <c r="K19" s="216">
        <v>109968000</v>
      </c>
      <c r="L19" s="216">
        <v>112722430.74588586</v>
      </c>
      <c r="M19" s="216">
        <v>2754430.7458858639</v>
      </c>
      <c r="N19" s="218">
        <v>2.5047566072729011E-2</v>
      </c>
    </row>
    <row r="20" spans="1:14" x14ac:dyDescent="0.2">
      <c r="A20" s="120">
        <v>14</v>
      </c>
      <c r="B20" s="123" t="s">
        <v>159</v>
      </c>
      <c r="C20" s="205">
        <v>35</v>
      </c>
      <c r="D20" s="208">
        <v>4335000</v>
      </c>
      <c r="E20" s="209">
        <v>275000</v>
      </c>
      <c r="F20" s="152"/>
      <c r="G20" s="124">
        <v>0</v>
      </c>
      <c r="H20" s="124">
        <v>1.5888462451272998E-3</v>
      </c>
      <c r="I20" s="124">
        <v>1.5888462451272998E-3</v>
      </c>
      <c r="J20" s="210"/>
      <c r="K20" s="216">
        <v>275000</v>
      </c>
      <c r="L20" s="216">
        <v>281887.64847262687</v>
      </c>
      <c r="M20" s="216">
        <v>6887.6484726268682</v>
      </c>
      <c r="N20" s="218">
        <v>2.5045994445915883E-2</v>
      </c>
    </row>
    <row r="21" spans="1:14" x14ac:dyDescent="0.2">
      <c r="A21" s="120">
        <v>15</v>
      </c>
      <c r="B21" s="123" t="s">
        <v>164</v>
      </c>
      <c r="C21" s="205">
        <v>43</v>
      </c>
      <c r="D21" s="208">
        <v>111480000</v>
      </c>
      <c r="E21" s="209">
        <v>10231000</v>
      </c>
      <c r="F21" s="152"/>
      <c r="G21" s="124">
        <v>0</v>
      </c>
      <c r="H21" s="124">
        <v>1.7002983018005256E-3</v>
      </c>
      <c r="I21" s="124">
        <v>1.7002983018005256E-3</v>
      </c>
      <c r="J21" s="210"/>
      <c r="K21" s="216">
        <v>10231000</v>
      </c>
      <c r="L21" s="216">
        <v>10420549.254684722</v>
      </c>
      <c r="M21" s="216">
        <v>189549.25468472205</v>
      </c>
      <c r="N21" s="218">
        <v>1.8526952857464769E-2</v>
      </c>
    </row>
    <row r="22" spans="1:14" x14ac:dyDescent="0.2">
      <c r="A22" s="120">
        <v>16</v>
      </c>
      <c r="B22" s="125" t="s">
        <v>165</v>
      </c>
      <c r="C22" s="126"/>
      <c r="D22" s="212">
        <v>1409395000</v>
      </c>
      <c r="E22" s="213">
        <v>120474000</v>
      </c>
      <c r="F22" s="152"/>
      <c r="G22" s="127">
        <v>0</v>
      </c>
      <c r="H22" s="127">
        <v>2.0937123014082015E-3</v>
      </c>
      <c r="I22" s="127">
        <v>2.0937123014082015E-3</v>
      </c>
      <c r="J22" s="210"/>
      <c r="K22" s="213">
        <v>120474000</v>
      </c>
      <c r="L22" s="213">
        <v>123424867.6490432</v>
      </c>
      <c r="M22" s="213">
        <v>2950867.6490432126</v>
      </c>
      <c r="N22" s="214">
        <v>2.4493813179965906E-2</v>
      </c>
    </row>
    <row r="23" spans="1:14" x14ac:dyDescent="0.2">
      <c r="A23" s="120">
        <v>17</v>
      </c>
      <c r="B23" s="126"/>
      <c r="C23" s="126"/>
      <c r="D23" s="219"/>
      <c r="E23" s="143"/>
      <c r="F23" s="152"/>
      <c r="G23" s="122"/>
      <c r="H23" s="122"/>
      <c r="I23" s="122"/>
      <c r="J23" s="210"/>
      <c r="K23" s="143"/>
      <c r="L23" s="143"/>
      <c r="M23" s="143"/>
      <c r="N23" s="220"/>
    </row>
    <row r="24" spans="1:14" x14ac:dyDescent="0.2">
      <c r="A24" s="120">
        <v>18</v>
      </c>
      <c r="B24" s="126" t="s">
        <v>166</v>
      </c>
      <c r="C24" s="126"/>
      <c r="D24" s="215"/>
      <c r="E24" s="216"/>
      <c r="F24" s="152"/>
      <c r="G24" s="217"/>
      <c r="H24" s="217"/>
      <c r="I24" s="217"/>
      <c r="J24"/>
      <c r="K24" s="216"/>
      <c r="L24" s="216"/>
      <c r="M24" s="216"/>
      <c r="N24" s="218"/>
    </row>
    <row r="25" spans="1:14" x14ac:dyDescent="0.2">
      <c r="A25" s="120">
        <v>19</v>
      </c>
      <c r="B25" s="128" t="s">
        <v>167</v>
      </c>
      <c r="C25" s="205">
        <v>46</v>
      </c>
      <c r="D25" s="208">
        <v>65400000</v>
      </c>
      <c r="E25" s="209">
        <v>4522000</v>
      </c>
      <c r="F25" s="152"/>
      <c r="G25" s="124">
        <v>0</v>
      </c>
      <c r="H25" s="124">
        <v>1.8175352066230359E-3</v>
      </c>
      <c r="I25" s="124">
        <v>1.8175352066230359E-3</v>
      </c>
      <c r="J25" s="210"/>
      <c r="K25" s="216">
        <v>4522000</v>
      </c>
      <c r="L25" s="216">
        <v>4640866.8025131468</v>
      </c>
      <c r="M25" s="216">
        <v>118866.80251314677</v>
      </c>
      <c r="N25" s="218">
        <v>2.6286334036520736E-2</v>
      </c>
    </row>
    <row r="26" spans="1:14" x14ac:dyDescent="0.2">
      <c r="A26" s="120">
        <v>20</v>
      </c>
      <c r="B26" s="128" t="s">
        <v>162</v>
      </c>
      <c r="C26" s="205">
        <v>49</v>
      </c>
      <c r="D26" s="208">
        <v>518246000</v>
      </c>
      <c r="E26" s="209">
        <v>34834000</v>
      </c>
      <c r="F26" s="152"/>
      <c r="G26" s="124">
        <v>0</v>
      </c>
      <c r="H26" s="124">
        <v>1.9669639552832604E-3</v>
      </c>
      <c r="I26" s="124">
        <v>1.9669639552832604E-3</v>
      </c>
      <c r="J26" s="210"/>
      <c r="K26" s="216">
        <v>34834000</v>
      </c>
      <c r="L26" s="216">
        <v>35853371.201969728</v>
      </c>
      <c r="M26" s="216">
        <v>1019371.2019697279</v>
      </c>
      <c r="N26" s="218">
        <v>2.9263684962098177E-2</v>
      </c>
    </row>
    <row r="27" spans="1:14" x14ac:dyDescent="0.2">
      <c r="A27" s="120">
        <v>21</v>
      </c>
      <c r="B27" s="129" t="s">
        <v>168</v>
      </c>
      <c r="C27" s="126"/>
      <c r="D27" s="212">
        <v>583646000</v>
      </c>
      <c r="E27" s="213">
        <v>39356000</v>
      </c>
      <c r="F27" s="152"/>
      <c r="G27" s="127">
        <v>0</v>
      </c>
      <c r="H27" s="127">
        <v>1.9502198327117381E-3</v>
      </c>
      <c r="I27" s="127">
        <v>1.9502198327117381E-3</v>
      </c>
      <c r="J27" s="210"/>
      <c r="K27" s="213">
        <v>39356000</v>
      </c>
      <c r="L27" s="213">
        <v>40494238.004482873</v>
      </c>
      <c r="M27" s="213">
        <v>1138238.0044828746</v>
      </c>
      <c r="N27" s="214">
        <v>2.8921587673617102E-2</v>
      </c>
    </row>
    <row r="28" spans="1:14" x14ac:dyDescent="0.2">
      <c r="A28" s="120">
        <v>22</v>
      </c>
      <c r="B28" s="126"/>
      <c r="C28" s="126"/>
      <c r="D28" s="219"/>
      <c r="E28" s="143"/>
      <c r="F28" s="152"/>
      <c r="G28" s="122"/>
      <c r="H28" s="122"/>
      <c r="I28" s="122"/>
      <c r="J28"/>
      <c r="K28" s="143"/>
      <c r="L28" s="143"/>
      <c r="M28" s="143"/>
      <c r="N28" s="220"/>
    </row>
    <row r="29" spans="1:14" x14ac:dyDescent="0.2">
      <c r="A29" s="120">
        <v>23</v>
      </c>
      <c r="B29" s="126" t="s">
        <v>169</v>
      </c>
      <c r="C29" s="205" t="s">
        <v>86</v>
      </c>
      <c r="D29" s="212">
        <v>63910000</v>
      </c>
      <c r="E29" s="213">
        <v>15824000</v>
      </c>
      <c r="F29" s="152"/>
      <c r="G29" s="130">
        <v>0</v>
      </c>
      <c r="H29" s="130">
        <v>2.1304423544318677E-3</v>
      </c>
      <c r="I29" s="130">
        <v>2.1304423544318677E-3</v>
      </c>
      <c r="J29" s="210"/>
      <c r="K29" s="213">
        <v>15824000</v>
      </c>
      <c r="L29" s="213">
        <v>15960156.570871741</v>
      </c>
      <c r="M29" s="213">
        <v>136156.57087174058</v>
      </c>
      <c r="N29" s="214">
        <v>8.6044344585275902E-3</v>
      </c>
    </row>
    <row r="30" spans="1:14" x14ac:dyDescent="0.2">
      <c r="A30" s="120">
        <v>24</v>
      </c>
      <c r="B30" s="126"/>
      <c r="C30" s="205"/>
      <c r="D30" s="219"/>
      <c r="E30" s="143"/>
      <c r="F30" s="152"/>
      <c r="G30" s="122"/>
      <c r="H30" s="122"/>
      <c r="I30" s="122"/>
      <c r="J30"/>
      <c r="K30" s="143"/>
      <c r="L30" s="143"/>
      <c r="M30" s="143"/>
      <c r="N30" s="220"/>
    </row>
    <row r="31" spans="1:14" x14ac:dyDescent="0.2">
      <c r="A31" s="120">
        <v>25</v>
      </c>
      <c r="B31" s="125" t="s">
        <v>257</v>
      </c>
      <c r="C31" s="205">
        <v>5</v>
      </c>
      <c r="D31" s="212">
        <v>7428000</v>
      </c>
      <c r="E31" s="213">
        <v>717000</v>
      </c>
      <c r="F31" s="152"/>
      <c r="G31" s="130">
        <v>0</v>
      </c>
      <c r="H31" s="130">
        <v>2.0375333241719703E-3</v>
      </c>
      <c r="I31" s="130">
        <v>2.0375333241719703E-3</v>
      </c>
      <c r="J31" s="210"/>
      <c r="K31" s="213">
        <v>717000</v>
      </c>
      <c r="L31" s="213">
        <v>732134.79753194936</v>
      </c>
      <c r="M31" s="213">
        <v>15134.797531949356</v>
      </c>
      <c r="N31" s="214">
        <v>2.1108504228660192E-2</v>
      </c>
    </row>
    <row r="32" spans="1:14" x14ac:dyDescent="0.2">
      <c r="A32" s="120">
        <v>26</v>
      </c>
      <c r="B32" s="126"/>
      <c r="C32" s="126"/>
      <c r="D32" s="219"/>
      <c r="E32" s="143"/>
      <c r="F32" s="152"/>
      <c r="G32" s="122"/>
      <c r="H32" s="122"/>
      <c r="I32" s="122"/>
      <c r="J32" s="210"/>
      <c r="K32" s="143"/>
      <c r="L32" s="143"/>
      <c r="M32" s="143"/>
      <c r="N32" s="220"/>
    </row>
    <row r="33" spans="1:14" ht="13.5" thickBot="1" x14ac:dyDescent="0.25">
      <c r="A33" s="120">
        <v>27</v>
      </c>
      <c r="B33" s="129" t="s">
        <v>170</v>
      </c>
      <c r="C33" s="126"/>
      <c r="D33" s="221">
        <v>20336292000</v>
      </c>
      <c r="E33" s="222">
        <v>2078359000</v>
      </c>
      <c r="F33" s="152"/>
      <c r="G33" s="131">
        <v>0</v>
      </c>
      <c r="H33" s="131">
        <v>2.1574862616768899E-3</v>
      </c>
      <c r="I33" s="131">
        <v>2.1574862616768899E-3</v>
      </c>
      <c r="J33" s="210"/>
      <c r="K33" s="222">
        <v>2078359000</v>
      </c>
      <c r="L33" s="222">
        <v>2122234270.6034498</v>
      </c>
      <c r="M33" s="222">
        <v>43875270.603449725</v>
      </c>
      <c r="N33" s="223">
        <v>2.1110535092084538E-2</v>
      </c>
    </row>
    <row r="34" spans="1:14" ht="13.5" thickTop="1" x14ac:dyDescent="0.2">
      <c r="A34"/>
      <c r="B34"/>
      <c r="C34"/>
      <c r="D34" s="4"/>
      <c r="E34" s="4"/>
      <c r="F34"/>
      <c r="G34"/>
      <c r="H34"/>
      <c r="I34"/>
      <c r="J34" s="210"/>
      <c r="K34" s="224"/>
      <c r="L34" s="224"/>
      <c r="M34"/>
      <c r="N34"/>
    </row>
    <row r="35" spans="1:14" x14ac:dyDescent="0.2">
      <c r="A35"/>
      <c r="B35" s="129" t="s">
        <v>258</v>
      </c>
      <c r="C35"/>
      <c r="D35" s="4"/>
      <c r="E35" s="4"/>
      <c r="F35"/>
      <c r="G35"/>
      <c r="H35"/>
      <c r="I35"/>
      <c r="J35" s="210"/>
      <c r="K35" s="225"/>
      <c r="L35" s="225"/>
      <c r="M35"/>
      <c r="N35"/>
    </row>
  </sheetData>
  <mergeCells count="3">
    <mergeCell ref="A1:N1"/>
    <mergeCell ref="A2:N2"/>
    <mergeCell ref="A3:N3"/>
  </mergeCells>
  <printOptions horizontalCentered="1"/>
  <pageMargins left="0.7" right="0.7" top="0.75" bottom="0.75" header="0.3" footer="0.3"/>
  <pageSetup scale="82" orientation="landscape" horizontalDpi="4294967292" r:id="rId1"/>
  <headerFooter alignWithMargins="0">
    <oddFooter>&amp;L&amp;F&amp;R&amp;A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25"/>
  <sheetViews>
    <sheetView workbookViewId="0">
      <selection sqref="A1:H42"/>
    </sheetView>
  </sheetViews>
  <sheetFormatPr defaultRowHeight="12.75" x14ac:dyDescent="0.2"/>
  <cols>
    <col min="1" max="1" width="7.85546875" bestFit="1" customWidth="1"/>
    <col min="2" max="2" width="22.7109375" bestFit="1" customWidth="1"/>
    <col min="3" max="4" width="15" bestFit="1" customWidth="1"/>
    <col min="5" max="6" width="10.28515625" bestFit="1" customWidth="1"/>
    <col min="7" max="7" width="15" bestFit="1" customWidth="1"/>
    <col min="8" max="8" width="10.28515625" bestFit="1" customWidth="1"/>
  </cols>
  <sheetData>
    <row r="1" spans="1:8" x14ac:dyDescent="0.2">
      <c r="A1" s="289" t="s">
        <v>15</v>
      </c>
      <c r="B1" s="289"/>
      <c r="C1" s="289"/>
      <c r="D1" s="289"/>
      <c r="E1" s="289"/>
      <c r="F1" s="289"/>
      <c r="G1" s="289"/>
      <c r="H1" s="289"/>
    </row>
    <row r="2" spans="1:8" x14ac:dyDescent="0.2">
      <c r="A2" s="289" t="s">
        <v>32</v>
      </c>
      <c r="B2" s="289"/>
      <c r="C2" s="289"/>
      <c r="D2" s="289"/>
      <c r="E2" s="289"/>
      <c r="F2" s="289"/>
      <c r="G2" s="289"/>
      <c r="H2" s="289"/>
    </row>
    <row r="3" spans="1:8" x14ac:dyDescent="0.2">
      <c r="A3" s="290" t="s">
        <v>95</v>
      </c>
      <c r="B3" s="289"/>
      <c r="C3" s="289"/>
      <c r="D3" s="289"/>
      <c r="E3" s="289"/>
      <c r="F3" s="289"/>
      <c r="G3" s="289"/>
      <c r="H3" s="289"/>
    </row>
    <row r="4" spans="1:8" x14ac:dyDescent="0.2">
      <c r="A4" s="290" t="s">
        <v>96</v>
      </c>
      <c r="B4" s="289"/>
      <c r="C4" s="289"/>
      <c r="D4" s="289"/>
      <c r="E4" s="289"/>
      <c r="F4" s="289"/>
      <c r="G4" s="289"/>
      <c r="H4" s="289"/>
    </row>
    <row r="5" spans="1:8" ht="13.5" thickBot="1" x14ac:dyDescent="0.25">
      <c r="A5" s="23"/>
      <c r="B5" s="23"/>
      <c r="C5" s="23"/>
      <c r="D5" s="23"/>
      <c r="E5" s="23"/>
      <c r="F5" s="23"/>
      <c r="G5" s="23"/>
      <c r="H5" s="23"/>
    </row>
    <row r="6" spans="1:8" ht="13.5" thickBot="1" x14ac:dyDescent="0.25">
      <c r="A6" s="23"/>
      <c r="B6" s="23"/>
      <c r="C6" s="291" t="s">
        <v>33</v>
      </c>
      <c r="D6" s="292"/>
      <c r="E6" s="292"/>
      <c r="F6" s="292"/>
      <c r="G6" s="291" t="s">
        <v>34</v>
      </c>
      <c r="H6" s="293"/>
    </row>
    <row r="7" spans="1:8" ht="13.5" thickBot="1" x14ac:dyDescent="0.25">
      <c r="A7" s="23"/>
      <c r="B7" s="23"/>
      <c r="C7" s="10" t="s">
        <v>35</v>
      </c>
      <c r="D7" s="11" t="s">
        <v>36</v>
      </c>
      <c r="E7" s="11" t="s">
        <v>37</v>
      </c>
      <c r="F7" s="11" t="s">
        <v>38</v>
      </c>
      <c r="G7" s="287"/>
      <c r="H7" s="288"/>
    </row>
    <row r="8" spans="1:8" ht="90" thickBot="1" x14ac:dyDescent="0.25">
      <c r="A8" s="12" t="s">
        <v>24</v>
      </c>
      <c r="B8" s="12" t="s">
        <v>14</v>
      </c>
      <c r="C8" s="25" t="s">
        <v>39</v>
      </c>
      <c r="D8" s="26" t="s">
        <v>40</v>
      </c>
      <c r="E8" s="26" t="s">
        <v>97</v>
      </c>
      <c r="F8" s="26" t="s">
        <v>98</v>
      </c>
      <c r="G8" s="25" t="s">
        <v>41</v>
      </c>
      <c r="H8" s="27" t="s">
        <v>99</v>
      </c>
    </row>
    <row r="9" spans="1:8" x14ac:dyDescent="0.2">
      <c r="A9" s="10">
        <v>1</v>
      </c>
      <c r="B9" s="13">
        <v>7</v>
      </c>
      <c r="C9" s="28">
        <f>+G9</f>
        <v>11476152247.161776</v>
      </c>
      <c r="D9" s="22">
        <f>+C9</f>
        <v>11476152247.161776</v>
      </c>
      <c r="E9" s="22">
        <f>+H9</f>
        <v>2236474.2253660602</v>
      </c>
      <c r="F9" s="22">
        <f>+E9</f>
        <v>2236474.2253660602</v>
      </c>
      <c r="G9" s="28">
        <f>+'UE-190529 LR - Energy'!J22</f>
        <v>11476152247.161776</v>
      </c>
      <c r="H9" s="29">
        <f>+'UE-190529 LR - Dem 4CP'!D18</f>
        <v>2236474.2253660602</v>
      </c>
    </row>
    <row r="10" spans="1:8" x14ac:dyDescent="0.2">
      <c r="A10" s="24">
        <v>2</v>
      </c>
      <c r="B10" s="15" t="s">
        <v>90</v>
      </c>
      <c r="C10" s="28">
        <f t="shared" ref="C10:C20" si="0">+G10</f>
        <v>2915955626.4103169</v>
      </c>
      <c r="D10" s="22">
        <f t="shared" ref="D10:D18" si="1">+C10</f>
        <v>2915955626.4103169</v>
      </c>
      <c r="E10" s="22">
        <f t="shared" ref="E10:E20" si="2">+H10</f>
        <v>515625.82524854271</v>
      </c>
      <c r="F10" s="22">
        <f t="shared" ref="F10:F20" si="3">+E10</f>
        <v>515625.82524854271</v>
      </c>
      <c r="G10" s="28">
        <f>+'UE-190529 LR - Energy'!J23</f>
        <v>2915955626.4103169</v>
      </c>
      <c r="H10" s="29">
        <f>+'UE-190529 LR - Dem 4CP'!E18</f>
        <v>515625.82524854271</v>
      </c>
    </row>
    <row r="11" spans="1:8" x14ac:dyDescent="0.2">
      <c r="A11" s="24">
        <v>3</v>
      </c>
      <c r="B11" s="15" t="s">
        <v>100</v>
      </c>
      <c r="C11" s="28">
        <f t="shared" si="0"/>
        <v>3242765959.9604325</v>
      </c>
      <c r="D11" s="22">
        <f t="shared" si="1"/>
        <v>3242765959.9604325</v>
      </c>
      <c r="E11" s="22">
        <f t="shared" si="2"/>
        <v>551893.91878041346</v>
      </c>
      <c r="F11" s="22">
        <f t="shared" si="3"/>
        <v>551893.91878041346</v>
      </c>
      <c r="G11" s="28">
        <f>+'UE-190529 LR - Energy'!J24+'UE-190529 LR - Energy'!J26</f>
        <v>3242765959.9604325</v>
      </c>
      <c r="H11" s="29">
        <f>SUM('UE-190529 LR - Dem 4CP'!F18,'UE-190529 LR - Dem 4CP'!H18)</f>
        <v>551893.91878041346</v>
      </c>
    </row>
    <row r="12" spans="1:8" x14ac:dyDescent="0.2">
      <c r="A12" s="24">
        <v>4</v>
      </c>
      <c r="B12" s="15" t="s">
        <v>101</v>
      </c>
      <c r="C12" s="28">
        <f t="shared" si="0"/>
        <v>2092770306.5275679</v>
      </c>
      <c r="D12" s="22">
        <f t="shared" si="1"/>
        <v>2092770306.5275679</v>
      </c>
      <c r="E12" s="22">
        <f t="shared" si="2"/>
        <v>289974.91765494185</v>
      </c>
      <c r="F12" s="22">
        <f t="shared" si="3"/>
        <v>289974.91765494185</v>
      </c>
      <c r="G12" s="28">
        <f>+'UE-190529 LR - Energy'!J25</f>
        <v>2092770306.5275679</v>
      </c>
      <c r="H12" s="29">
        <f>+'UE-190529 LR - Dem 4CP'!G18</f>
        <v>289974.91765494185</v>
      </c>
    </row>
    <row r="13" spans="1:8" x14ac:dyDescent="0.2">
      <c r="A13" s="24">
        <v>5</v>
      </c>
      <c r="B13" s="16" t="s">
        <v>93</v>
      </c>
      <c r="C13" s="28">
        <f t="shared" si="0"/>
        <v>1456029850.0547175</v>
      </c>
      <c r="D13" s="22">
        <f t="shared" si="1"/>
        <v>1456029850.0547175</v>
      </c>
      <c r="E13" s="22">
        <f t="shared" si="2"/>
        <v>204844.84270926949</v>
      </c>
      <c r="F13" s="22">
        <f t="shared" si="3"/>
        <v>204844.84270926949</v>
      </c>
      <c r="G13" s="28">
        <f>+'UE-190529 LR - Energy'!J27</f>
        <v>1456029850.0547175</v>
      </c>
      <c r="H13" s="29">
        <f>+'UE-190529 LR - Dem 4CP'!I18</f>
        <v>204844.84270926949</v>
      </c>
    </row>
    <row r="14" spans="1:8" x14ac:dyDescent="0.2">
      <c r="A14" s="24">
        <v>6</v>
      </c>
      <c r="B14" s="15">
        <v>35</v>
      </c>
      <c r="C14" s="28">
        <f t="shared" si="0"/>
        <v>4597572.0317007378</v>
      </c>
      <c r="D14" s="22">
        <f t="shared" si="1"/>
        <v>4597572.0317007378</v>
      </c>
      <c r="E14" s="22">
        <f t="shared" si="2"/>
        <v>7.0004300675974864</v>
      </c>
      <c r="F14" s="22">
        <f t="shared" si="3"/>
        <v>7.0004300675974864</v>
      </c>
      <c r="G14" s="28">
        <f>+'UE-190529 LR - Energy'!J28</f>
        <v>4597572.0317007378</v>
      </c>
      <c r="H14" s="29">
        <f>+'UE-190529 LR - Dem 4CP'!J18</f>
        <v>7.0004300675974864</v>
      </c>
    </row>
    <row r="15" spans="1:8" x14ac:dyDescent="0.2">
      <c r="A15" s="24">
        <v>7</v>
      </c>
      <c r="B15" s="15">
        <v>43</v>
      </c>
      <c r="C15" s="28">
        <f t="shared" si="0"/>
        <v>126890757.18193617</v>
      </c>
      <c r="D15" s="22">
        <f t="shared" si="1"/>
        <v>126890757.18193617</v>
      </c>
      <c r="E15" s="22">
        <v>0</v>
      </c>
      <c r="F15" s="22">
        <f t="shared" si="3"/>
        <v>0</v>
      </c>
      <c r="G15" s="28">
        <f>+'UE-190529 LR - Energy'!J30</f>
        <v>126890757.18193617</v>
      </c>
      <c r="H15" s="29">
        <f>+'UE-190529 LR - Dem 4CP'!K18</f>
        <v>43420.982870153392</v>
      </c>
    </row>
    <row r="16" spans="1:8" x14ac:dyDescent="0.2">
      <c r="A16" s="24">
        <v>8</v>
      </c>
      <c r="B16" s="15" t="s">
        <v>42</v>
      </c>
      <c r="C16" s="28">
        <f t="shared" si="0"/>
        <v>350081232.79927498</v>
      </c>
      <c r="D16" s="22">
        <v>0</v>
      </c>
      <c r="E16" s="22">
        <f t="shared" si="2"/>
        <v>52796.147183246518</v>
      </c>
      <c r="F16" s="22">
        <v>0</v>
      </c>
      <c r="G16" s="28">
        <f>+'UE-190529 LR - Energy'!J44</f>
        <v>350081232.79927498</v>
      </c>
      <c r="H16" s="29">
        <f>+'UE-190529 LR - Dem 4CP'!L18</f>
        <v>52796.147183246518</v>
      </c>
    </row>
    <row r="17" spans="1:8" x14ac:dyDescent="0.2">
      <c r="A17" s="24">
        <v>9</v>
      </c>
      <c r="B17" s="16" t="s">
        <v>102</v>
      </c>
      <c r="C17" s="28">
        <f t="shared" si="0"/>
        <v>630228919.26662493</v>
      </c>
      <c r="D17" s="22">
        <f t="shared" si="1"/>
        <v>630228919.26662493</v>
      </c>
      <c r="E17" s="22">
        <f>+'UE-190529 LR - Dem 4CP'!N18</f>
        <v>69577.130407689765</v>
      </c>
      <c r="F17" s="22">
        <f t="shared" si="3"/>
        <v>69577.130407689765</v>
      </c>
      <c r="G17" s="28">
        <f>SUM('UE-190529 LR - Energy'!J31:J32)</f>
        <v>630228919.26662493</v>
      </c>
      <c r="H17" s="29">
        <f>SUM('UE-190529 LR - Dem 4CP'!M18:N18)</f>
        <v>79474.453702294268</v>
      </c>
    </row>
    <row r="18" spans="1:8" x14ac:dyDescent="0.2">
      <c r="A18" s="24">
        <v>10</v>
      </c>
      <c r="B18" s="16" t="s">
        <v>103</v>
      </c>
      <c r="C18" s="28">
        <f t="shared" si="0"/>
        <v>75887375.026475519</v>
      </c>
      <c r="D18" s="22">
        <f t="shared" si="1"/>
        <v>75887375.026475519</v>
      </c>
      <c r="E18" s="22">
        <f t="shared" si="2"/>
        <v>8059.2720272472116</v>
      </c>
      <c r="F18" s="22">
        <f t="shared" si="3"/>
        <v>8059.2720272472116</v>
      </c>
      <c r="G18" s="28">
        <f>+'UE-190529 LR - Energy'!J34</f>
        <v>75887375.026475519</v>
      </c>
      <c r="H18" s="29">
        <f>+'UE-190529 LR - Dem 4CP'!O18</f>
        <v>8059.2720272472116</v>
      </c>
    </row>
    <row r="19" spans="1:8" x14ac:dyDescent="0.2">
      <c r="A19" s="24">
        <v>11</v>
      </c>
      <c r="B19" s="16" t="s">
        <v>104</v>
      </c>
      <c r="C19" s="28">
        <f t="shared" si="0"/>
        <v>2066150549.7926297</v>
      </c>
      <c r="D19" s="22">
        <v>0</v>
      </c>
      <c r="E19" s="22">
        <f t="shared" si="2"/>
        <v>251839.84707747737</v>
      </c>
      <c r="F19" s="22">
        <v>0</v>
      </c>
      <c r="G19" s="28">
        <f>SUM('UE-190529 LR - Energy'!J41:J43)</f>
        <v>2066150549.7926297</v>
      </c>
      <c r="H19" s="29">
        <f>+'UE-190529 LR - Dem 4CP'!R18</f>
        <v>251839.84707747737</v>
      </c>
    </row>
    <row r="20" spans="1:8" x14ac:dyDescent="0.2">
      <c r="A20" s="24">
        <v>14</v>
      </c>
      <c r="B20" s="15" t="s">
        <v>13</v>
      </c>
      <c r="C20" s="28">
        <f t="shared" si="0"/>
        <v>7427003.1359829875</v>
      </c>
      <c r="D20" s="22">
        <f t="shared" ref="D20" si="4">+C20</f>
        <v>7427003.1359829875</v>
      </c>
      <c r="E20" s="22">
        <f t="shared" si="2"/>
        <v>1428.4140277629981</v>
      </c>
      <c r="F20" s="22">
        <f t="shared" si="3"/>
        <v>1428.4140277629981</v>
      </c>
      <c r="G20" s="28">
        <f>+'UE-190529 LR - Energy'!J33</f>
        <v>7427003.1359829875</v>
      </c>
      <c r="H20" s="29">
        <f>+'UE-190529 LR - Dem 4CP'!P18</f>
        <v>1428.4140277629981</v>
      </c>
    </row>
    <row r="21" spans="1:8" x14ac:dyDescent="0.2">
      <c r="A21" s="24">
        <v>15</v>
      </c>
      <c r="B21" s="17"/>
      <c r="C21" s="28"/>
      <c r="D21" s="22"/>
      <c r="E21" s="22"/>
      <c r="F21" s="22"/>
      <c r="G21" s="28"/>
      <c r="H21" s="29"/>
    </row>
    <row r="22" spans="1:8" x14ac:dyDescent="0.2">
      <c r="A22" s="24">
        <v>16</v>
      </c>
      <c r="B22" s="17" t="s">
        <v>10</v>
      </c>
      <c r="C22" s="28">
        <f>SUM(C9:C20)</f>
        <v>24444937399.34943</v>
      </c>
      <c r="D22" s="22">
        <f>SUM(D9:D21)</f>
        <v>22028705616.757526</v>
      </c>
      <c r="E22" s="22">
        <f t="shared" ref="E22:H22" si="5">SUM(E9:E20)</f>
        <v>4182521.5409127185</v>
      </c>
      <c r="F22" s="22">
        <f t="shared" si="5"/>
        <v>3877885.5466519948</v>
      </c>
      <c r="G22" s="28">
        <f t="shared" si="5"/>
        <v>24444937399.34943</v>
      </c>
      <c r="H22" s="29">
        <f t="shared" si="5"/>
        <v>4235839.8470774768</v>
      </c>
    </row>
    <row r="23" spans="1:8" x14ac:dyDescent="0.2">
      <c r="A23" s="24">
        <v>17</v>
      </c>
      <c r="B23" s="17" t="s">
        <v>31</v>
      </c>
      <c r="C23" s="28">
        <f>+G23</f>
        <v>24444937399.34943</v>
      </c>
      <c r="D23" s="22">
        <f>+'UE-190529 LR - Energy'!J36</f>
        <v>22028705616.757526</v>
      </c>
      <c r="E23" s="22">
        <v>4182521.5409127185</v>
      </c>
      <c r="F23" s="22">
        <v>3877885.5466519948</v>
      </c>
      <c r="G23" s="28">
        <f>+'UE-190529 LR - Energy'!J36+'UE-190529 LR - Energy'!J46</f>
        <v>24444937399.34943</v>
      </c>
      <c r="H23" s="29">
        <f>SUM('UE-190529 LR - Dem 4CP'!Q18:R18)</f>
        <v>4235839.8470774768</v>
      </c>
    </row>
    <row r="24" spans="1:8" x14ac:dyDescent="0.2">
      <c r="A24" s="24">
        <v>18</v>
      </c>
      <c r="B24" s="17" t="s">
        <v>31</v>
      </c>
      <c r="C24" s="28">
        <f>+C22-C23</f>
        <v>0</v>
      </c>
      <c r="D24" s="22">
        <f>+D22-D23</f>
        <v>0</v>
      </c>
      <c r="E24" s="22">
        <f t="shared" ref="E24:H24" si="6">+E22-E23</f>
        <v>0</v>
      </c>
      <c r="F24" s="22">
        <f t="shared" si="6"/>
        <v>0</v>
      </c>
      <c r="G24" s="28">
        <f t="shared" si="6"/>
        <v>0</v>
      </c>
      <c r="H24" s="29">
        <f t="shared" si="6"/>
        <v>0</v>
      </c>
    </row>
    <row r="25" spans="1:8" ht="13.5" thickBot="1" x14ac:dyDescent="0.25">
      <c r="A25" s="18"/>
      <c r="B25" s="30"/>
      <c r="C25" s="31"/>
      <c r="D25" s="32"/>
      <c r="E25" s="32"/>
      <c r="F25" s="32"/>
      <c r="G25" s="31"/>
      <c r="H25" s="33"/>
    </row>
  </sheetData>
  <mergeCells count="7">
    <mergeCell ref="G7:H7"/>
    <mergeCell ref="A1:H1"/>
    <mergeCell ref="A2:H2"/>
    <mergeCell ref="A3:H3"/>
    <mergeCell ref="A4:H4"/>
    <mergeCell ref="C6:F6"/>
    <mergeCell ref="G6:H6"/>
  </mergeCells>
  <pageMargins left="0.7" right="0.7" top="0.75" bottom="0.75" header="0.3" footer="0.3"/>
  <pageSetup scale="83" orientation="landscape" r:id="rId1"/>
  <headerFooter>
    <oddFooter>&amp;L&amp;F&amp;R&amp;A
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47"/>
  <sheetViews>
    <sheetView zoomScale="80" zoomScaleNormal="80" workbookViewId="0">
      <selection sqref="A1:J47"/>
    </sheetView>
  </sheetViews>
  <sheetFormatPr defaultRowHeight="12.75" x14ac:dyDescent="0.2"/>
  <cols>
    <col min="1" max="1" width="28" bestFit="1" customWidth="1"/>
    <col min="2" max="2" width="14.85546875" bestFit="1" customWidth="1"/>
    <col min="3" max="3" width="14.5703125" bestFit="1" customWidth="1"/>
    <col min="4" max="4" width="18.7109375" bestFit="1" customWidth="1"/>
    <col min="5" max="7" width="14.5703125" bestFit="1" customWidth="1"/>
    <col min="8" max="8" width="26.7109375" bestFit="1" customWidth="1"/>
    <col min="9" max="9" width="17.85546875" bestFit="1" customWidth="1"/>
    <col min="10" max="10" width="22.28515625" bestFit="1" customWidth="1"/>
  </cols>
  <sheetData>
    <row r="1" spans="1:10" x14ac:dyDescent="0.2">
      <c r="A1" s="34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">
      <c r="A2" s="34"/>
      <c r="B2" s="35"/>
      <c r="C2" s="35"/>
      <c r="D2" s="35"/>
      <c r="E2" s="35"/>
      <c r="F2" s="35"/>
      <c r="G2" s="35"/>
      <c r="H2" s="35"/>
      <c r="I2" s="35"/>
      <c r="J2" s="35"/>
    </row>
    <row r="3" spans="1:10" ht="15" x14ac:dyDescent="0.2">
      <c r="A3" s="36" t="s">
        <v>105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" x14ac:dyDescent="0.2">
      <c r="A4" s="36" t="s">
        <v>106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5" x14ac:dyDescent="0.2">
      <c r="A5" s="37"/>
      <c r="B5" s="37"/>
      <c r="C5" s="37"/>
      <c r="D5" s="37"/>
      <c r="E5" s="37"/>
      <c r="F5" s="37"/>
      <c r="G5" s="37"/>
      <c r="H5" s="37"/>
      <c r="I5" s="36"/>
      <c r="J5" s="36"/>
    </row>
    <row r="6" spans="1:10" ht="15" x14ac:dyDescent="0.2">
      <c r="A6" s="37"/>
      <c r="B6" s="37"/>
      <c r="C6" s="37"/>
      <c r="D6" s="37"/>
      <c r="E6" s="37"/>
      <c r="F6" s="37"/>
      <c r="G6" s="37"/>
      <c r="H6" s="37"/>
      <c r="I6" s="36"/>
      <c r="J6" s="36"/>
    </row>
    <row r="7" spans="1:10" ht="15.75" thickBot="1" x14ac:dyDescent="0.25">
      <c r="A7" s="37"/>
      <c r="B7" s="37"/>
      <c r="C7" s="37"/>
      <c r="D7" s="37"/>
      <c r="E7" s="37"/>
      <c r="F7" s="37"/>
      <c r="G7" s="37"/>
      <c r="H7" s="37"/>
      <c r="I7" s="36"/>
      <c r="J7" s="36"/>
    </row>
    <row r="8" spans="1:10" ht="15" x14ac:dyDescent="0.2">
      <c r="A8" s="38" t="s">
        <v>43</v>
      </c>
      <c r="B8" s="39">
        <v>22233671792</v>
      </c>
      <c r="C8" s="37"/>
      <c r="D8" s="37"/>
      <c r="E8" s="37"/>
      <c r="F8" s="37"/>
      <c r="G8" s="37"/>
      <c r="H8" s="40" t="s">
        <v>107</v>
      </c>
      <c r="I8" s="41"/>
      <c r="J8" s="42">
        <v>20367606876.28373</v>
      </c>
    </row>
    <row r="9" spans="1:10" ht="15" x14ac:dyDescent="0.2">
      <c r="A9" s="43" t="s">
        <v>44</v>
      </c>
      <c r="B9" s="44">
        <v>145584174.35660648</v>
      </c>
      <c r="C9" s="37"/>
      <c r="D9" s="37"/>
      <c r="E9" s="37"/>
      <c r="F9" s="37"/>
      <c r="G9" s="37"/>
      <c r="H9" s="45" t="s">
        <v>45</v>
      </c>
      <c r="I9" s="46"/>
      <c r="J9" s="47">
        <v>135700317.96310043</v>
      </c>
    </row>
    <row r="10" spans="1:10" ht="15.75" thickBot="1" x14ac:dyDescent="0.25">
      <c r="A10" s="48" t="s">
        <v>46</v>
      </c>
      <c r="B10" s="49">
        <v>22379255966.356606</v>
      </c>
      <c r="C10" s="37"/>
      <c r="D10" s="37"/>
      <c r="E10" s="37"/>
      <c r="F10" s="37"/>
      <c r="G10" s="37"/>
      <c r="H10" s="50" t="s">
        <v>108</v>
      </c>
      <c r="I10" s="51"/>
      <c r="J10" s="52">
        <v>20503307194.24683</v>
      </c>
    </row>
    <row r="11" spans="1:10" ht="15" x14ac:dyDescent="0.2">
      <c r="A11" s="36"/>
      <c r="B11" s="36"/>
      <c r="C11" s="36"/>
      <c r="D11" s="36"/>
      <c r="E11" s="36"/>
      <c r="F11" s="36"/>
      <c r="G11" s="36"/>
      <c r="H11" s="53"/>
      <c r="I11" s="53"/>
      <c r="J11" s="36"/>
    </row>
    <row r="12" spans="1:10" ht="15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13.5" thickBot="1" x14ac:dyDescent="0.25">
      <c r="A13" s="35"/>
      <c r="B13" s="54"/>
      <c r="C13" s="35"/>
      <c r="D13" s="54"/>
      <c r="E13" s="35"/>
      <c r="F13" s="35"/>
      <c r="G13" s="35"/>
      <c r="H13" s="35"/>
      <c r="I13" s="35"/>
      <c r="J13" s="55"/>
    </row>
    <row r="14" spans="1:10" x14ac:dyDescent="0.2">
      <c r="A14" s="56" t="s">
        <v>47</v>
      </c>
      <c r="B14" s="57" t="s">
        <v>48</v>
      </c>
      <c r="C14" s="57" t="s">
        <v>49</v>
      </c>
      <c r="D14" s="57" t="s">
        <v>50</v>
      </c>
      <c r="E14" s="57" t="s">
        <v>51</v>
      </c>
      <c r="F14" s="57" t="s">
        <v>52</v>
      </c>
      <c r="G14" s="57" t="s">
        <v>53</v>
      </c>
      <c r="H14" s="57" t="s">
        <v>54</v>
      </c>
      <c r="I14" s="57" t="s">
        <v>55</v>
      </c>
      <c r="J14" s="58" t="s">
        <v>56</v>
      </c>
    </row>
    <row r="15" spans="1:10" x14ac:dyDescent="0.2">
      <c r="A15" s="59"/>
      <c r="B15" s="60"/>
      <c r="C15" s="60"/>
      <c r="D15" s="60"/>
      <c r="E15" s="60"/>
      <c r="F15" s="60" t="s">
        <v>26</v>
      </c>
      <c r="G15" s="60" t="s">
        <v>26</v>
      </c>
      <c r="H15" s="60" t="s">
        <v>26</v>
      </c>
      <c r="I15" s="60" t="s">
        <v>57</v>
      </c>
      <c r="J15" s="61" t="s">
        <v>58</v>
      </c>
    </row>
    <row r="16" spans="1:10" x14ac:dyDescent="0.2">
      <c r="A16" s="59"/>
      <c r="B16" s="60" t="s">
        <v>59</v>
      </c>
      <c r="C16" s="60" t="s">
        <v>60</v>
      </c>
      <c r="D16" s="60" t="s">
        <v>60</v>
      </c>
      <c r="E16" s="60" t="s">
        <v>61</v>
      </c>
      <c r="F16" s="60" t="s">
        <v>57</v>
      </c>
      <c r="G16" s="60" t="s">
        <v>62</v>
      </c>
      <c r="H16" s="60" t="s">
        <v>60</v>
      </c>
      <c r="I16" s="60" t="s">
        <v>63</v>
      </c>
      <c r="J16" s="61" t="s">
        <v>64</v>
      </c>
    </row>
    <row r="17" spans="1:10" x14ac:dyDescent="0.2">
      <c r="A17" s="59" t="s">
        <v>28</v>
      </c>
      <c r="B17" s="60" t="s">
        <v>65</v>
      </c>
      <c r="C17" s="60" t="s">
        <v>59</v>
      </c>
      <c r="D17" s="60" t="s">
        <v>25</v>
      </c>
      <c r="E17" s="60" t="s">
        <v>57</v>
      </c>
      <c r="F17" s="60" t="s">
        <v>27</v>
      </c>
      <c r="G17" s="60" t="s">
        <v>66</v>
      </c>
      <c r="H17" s="60" t="s">
        <v>67</v>
      </c>
      <c r="I17" s="60" t="s">
        <v>68</v>
      </c>
      <c r="J17" s="61" t="s">
        <v>57</v>
      </c>
    </row>
    <row r="18" spans="1:10" x14ac:dyDescent="0.2">
      <c r="A18" s="62"/>
      <c r="B18" s="63"/>
      <c r="C18" s="60" t="s">
        <v>25</v>
      </c>
      <c r="D18" s="60" t="s">
        <v>66</v>
      </c>
      <c r="E18" s="60" t="s">
        <v>27</v>
      </c>
      <c r="F18" s="60" t="s">
        <v>69</v>
      </c>
      <c r="G18" s="60" t="s">
        <v>70</v>
      </c>
      <c r="H18" s="60" t="s">
        <v>66</v>
      </c>
      <c r="I18" s="60" t="s">
        <v>71</v>
      </c>
      <c r="J18" s="61" t="s">
        <v>71</v>
      </c>
    </row>
    <row r="19" spans="1:10" x14ac:dyDescent="0.2">
      <c r="A19" s="62"/>
      <c r="B19" s="63"/>
      <c r="C19" s="64"/>
      <c r="D19" s="60" t="s">
        <v>72</v>
      </c>
      <c r="E19" s="60"/>
      <c r="F19" s="63"/>
      <c r="G19" s="60"/>
      <c r="H19" s="60"/>
      <c r="I19" s="60"/>
      <c r="J19" s="61"/>
    </row>
    <row r="20" spans="1:10" x14ac:dyDescent="0.2">
      <c r="A20" s="65"/>
      <c r="B20" s="66" t="s">
        <v>73</v>
      </c>
      <c r="C20" s="67"/>
      <c r="D20" s="67"/>
      <c r="E20" s="67" t="s">
        <v>109</v>
      </c>
      <c r="F20" s="68" t="s">
        <v>110</v>
      </c>
      <c r="G20" s="68" t="s">
        <v>111</v>
      </c>
      <c r="H20" s="68" t="s">
        <v>112</v>
      </c>
      <c r="I20" s="67" t="s">
        <v>113</v>
      </c>
      <c r="J20" s="69" t="s">
        <v>114</v>
      </c>
    </row>
    <row r="21" spans="1:10" x14ac:dyDescent="0.2">
      <c r="A21" s="70" t="s">
        <v>74</v>
      </c>
      <c r="B21" s="71" t="s">
        <v>74</v>
      </c>
      <c r="C21" s="71" t="s">
        <v>74</v>
      </c>
      <c r="D21" s="71" t="s">
        <v>74</v>
      </c>
      <c r="E21" s="71" t="s">
        <v>74</v>
      </c>
      <c r="F21" s="71" t="s">
        <v>74</v>
      </c>
      <c r="G21" s="71" t="s">
        <v>74</v>
      </c>
      <c r="H21" s="71" t="s">
        <v>74</v>
      </c>
      <c r="I21" s="71" t="s">
        <v>75</v>
      </c>
      <c r="J21" s="72" t="s">
        <v>76</v>
      </c>
    </row>
    <row r="22" spans="1:10" x14ac:dyDescent="0.2">
      <c r="A22" s="73" t="s">
        <v>77</v>
      </c>
      <c r="B22" s="74">
        <v>10497389420.552736</v>
      </c>
      <c r="C22" s="74">
        <v>10625472918.689331</v>
      </c>
      <c r="D22" s="74">
        <v>128083498.13659537</v>
      </c>
      <c r="E22" s="75">
        <v>7.6394329101422034E-2</v>
      </c>
      <c r="F22" s="76">
        <v>10594188.859395742</v>
      </c>
      <c r="G22" s="76">
        <v>138677686.99599111</v>
      </c>
      <c r="H22" s="76">
        <v>137498609.64961803</v>
      </c>
      <c r="I22" s="76">
        <v>11338653637.512157</v>
      </c>
      <c r="J22" s="77">
        <v>11476152247.161776</v>
      </c>
    </row>
    <row r="23" spans="1:10" x14ac:dyDescent="0.2">
      <c r="A23" s="78">
        <v>24</v>
      </c>
      <c r="B23" s="74">
        <v>2690721829.5087838</v>
      </c>
      <c r="C23" s="74">
        <v>2700129196.7702866</v>
      </c>
      <c r="D23" s="74">
        <v>9407367.2615028732</v>
      </c>
      <c r="E23" s="75">
        <v>7.6248550578070895E-2</v>
      </c>
      <c r="F23" s="76">
        <v>776505.54041789658</v>
      </c>
      <c r="G23" s="76">
        <v>10183872.80192077</v>
      </c>
      <c r="H23" s="76">
        <v>10097286.603526527</v>
      </c>
      <c r="I23" s="76">
        <v>2905858339.8067904</v>
      </c>
      <c r="J23" s="77">
        <v>2915955626.4103169</v>
      </c>
    </row>
    <row r="24" spans="1:10" x14ac:dyDescent="0.2">
      <c r="A24" s="78">
        <v>25</v>
      </c>
      <c r="B24" s="74">
        <v>2986356397.9411645</v>
      </c>
      <c r="C24" s="74">
        <v>2987721690.5601029</v>
      </c>
      <c r="D24" s="74">
        <v>1365292.6189382095</v>
      </c>
      <c r="E24" s="75">
        <v>7.6027086368391728E-2</v>
      </c>
      <c r="F24" s="76">
        <v>112340.11119456706</v>
      </c>
      <c r="G24" s="76">
        <v>1477632.7301327765</v>
      </c>
      <c r="H24" s="76">
        <v>1465069.4741678184</v>
      </c>
      <c r="I24" s="76">
        <v>3224057072.0137458</v>
      </c>
      <c r="J24" s="77">
        <v>3225522141.4879136</v>
      </c>
    </row>
    <row r="25" spans="1:10" x14ac:dyDescent="0.2">
      <c r="A25" s="78">
        <v>26</v>
      </c>
      <c r="B25" s="74">
        <v>1946174476.2870584</v>
      </c>
      <c r="C25" s="74">
        <v>1941301363.9308119</v>
      </c>
      <c r="D25" s="74">
        <v>-4873112.3562464509</v>
      </c>
      <c r="E25" s="75">
        <v>7.552808828744316E-2</v>
      </c>
      <c r="F25" s="76">
        <v>-398126.60137547925</v>
      </c>
      <c r="G25" s="76">
        <v>-5271238.9576219302</v>
      </c>
      <c r="H25" s="76">
        <v>-5226421.376820839</v>
      </c>
      <c r="I25" s="76">
        <v>2097996727.9043887</v>
      </c>
      <c r="J25" s="77">
        <v>2092770306.5275679</v>
      </c>
    </row>
    <row r="26" spans="1:10" x14ac:dyDescent="0.2">
      <c r="A26" s="78">
        <v>29</v>
      </c>
      <c r="B26" s="74">
        <v>16475530.158172358</v>
      </c>
      <c r="C26" s="74">
        <v>16009313.796828577</v>
      </c>
      <c r="D26" s="74">
        <v>-466216.36134378111</v>
      </c>
      <c r="E26" s="75">
        <v>7.3631662253881694E-2</v>
      </c>
      <c r="F26" s="76">
        <v>-37056.842572168098</v>
      </c>
      <c r="G26" s="76">
        <v>-503273.20391594921</v>
      </c>
      <c r="H26" s="76">
        <v>-498994.23123744584</v>
      </c>
      <c r="I26" s="76">
        <v>17742812.703756321</v>
      </c>
      <c r="J26" s="77">
        <v>17243818.472518876</v>
      </c>
    </row>
    <row r="27" spans="1:10" x14ac:dyDescent="0.2">
      <c r="A27" s="73">
        <v>31</v>
      </c>
      <c r="B27" s="74">
        <v>1408684085.0035303</v>
      </c>
      <c r="C27" s="74">
        <v>1407978352.242965</v>
      </c>
      <c r="D27" s="74">
        <v>-705732.76056518452</v>
      </c>
      <c r="E27" s="75">
        <v>3.6410112930760248E-2</v>
      </c>
      <c r="F27" s="76">
        <v>-26666.748848173767</v>
      </c>
      <c r="G27" s="76">
        <v>-732399.50941335829</v>
      </c>
      <c r="H27" s="76">
        <v>-726172.4393723862</v>
      </c>
      <c r="I27" s="76">
        <v>1456756022.4940898</v>
      </c>
      <c r="J27" s="77">
        <v>1456029850.0547175</v>
      </c>
    </row>
    <row r="28" spans="1:10" x14ac:dyDescent="0.2">
      <c r="A28" s="73">
        <v>35</v>
      </c>
      <c r="B28" s="74">
        <v>4443660</v>
      </c>
      <c r="C28" s="74">
        <v>4443660</v>
      </c>
      <c r="D28" s="74">
        <v>0</v>
      </c>
      <c r="E28" s="75">
        <v>3.577352608043876E-2</v>
      </c>
      <c r="F28" s="76">
        <v>0</v>
      </c>
      <c r="G28" s="76">
        <v>0</v>
      </c>
      <c r="H28" s="76">
        <v>0</v>
      </c>
      <c r="I28" s="76">
        <v>4597572.0317007378</v>
      </c>
      <c r="J28" s="77">
        <v>4597572.0317007378</v>
      </c>
    </row>
    <row r="29" spans="1:10" x14ac:dyDescent="0.2">
      <c r="A29" s="73">
        <v>40</v>
      </c>
      <c r="B29" s="74">
        <v>0</v>
      </c>
      <c r="C29" s="74">
        <v>0</v>
      </c>
      <c r="D29" s="74">
        <v>0</v>
      </c>
      <c r="E29" s="75">
        <v>3.6447350534266516E-2</v>
      </c>
      <c r="F29" s="76">
        <v>0</v>
      </c>
      <c r="G29" s="76">
        <v>0</v>
      </c>
      <c r="H29" s="76">
        <v>0</v>
      </c>
      <c r="I29" s="76">
        <v>0</v>
      </c>
      <c r="J29" s="77">
        <v>0</v>
      </c>
    </row>
    <row r="30" spans="1:10" x14ac:dyDescent="0.2">
      <c r="A30" s="78">
        <v>43</v>
      </c>
      <c r="B30" s="74">
        <v>119697408.13428572</v>
      </c>
      <c r="C30" s="74">
        <v>122500713.32397975</v>
      </c>
      <c r="D30" s="74">
        <v>2803305.1896940321</v>
      </c>
      <c r="E30" s="75">
        <v>3.7026438277086147E-2</v>
      </c>
      <c r="F30" s="76">
        <v>107787.38971019397</v>
      </c>
      <c r="G30" s="76">
        <v>2911092.579404226</v>
      </c>
      <c r="H30" s="76">
        <v>2886341.6379375607</v>
      </c>
      <c r="I30" s="76">
        <v>124004415.54399861</v>
      </c>
      <c r="J30" s="77">
        <v>126890757.18193617</v>
      </c>
    </row>
    <row r="31" spans="1:10" x14ac:dyDescent="0.2">
      <c r="A31" s="78">
        <v>46</v>
      </c>
      <c r="B31" s="74">
        <v>78351492</v>
      </c>
      <c r="C31" s="74">
        <v>78351492</v>
      </c>
      <c r="D31" s="74">
        <v>0</v>
      </c>
      <c r="E31" s="75">
        <v>1.7696784210330874E-2</v>
      </c>
      <c r="F31" s="76">
        <v>0</v>
      </c>
      <c r="G31" s="76">
        <v>0</v>
      </c>
      <c r="H31" s="76">
        <v>0</v>
      </c>
      <c r="I31" s="76">
        <v>79573505.048999339</v>
      </c>
      <c r="J31" s="77">
        <v>79573505.048999339</v>
      </c>
    </row>
    <row r="32" spans="1:10" x14ac:dyDescent="0.2">
      <c r="A32" s="78">
        <v>49</v>
      </c>
      <c r="B32" s="74">
        <v>542259321.40199995</v>
      </c>
      <c r="C32" s="74">
        <v>542259321.40199995</v>
      </c>
      <c r="D32" s="74">
        <v>0</v>
      </c>
      <c r="E32" s="75">
        <v>1.7587491040799316E-2</v>
      </c>
      <c r="F32" s="76">
        <v>0</v>
      </c>
      <c r="G32" s="76">
        <v>0</v>
      </c>
      <c r="H32" s="76">
        <v>0</v>
      </c>
      <c r="I32" s="76">
        <v>550655414.21762562</v>
      </c>
      <c r="J32" s="77">
        <v>550655414.21762562</v>
      </c>
    </row>
    <row r="33" spans="1:10" x14ac:dyDescent="0.2">
      <c r="A33" s="78" t="s">
        <v>78</v>
      </c>
      <c r="B33" s="74">
        <v>7084150</v>
      </c>
      <c r="C33" s="74">
        <v>7170066.2345252717</v>
      </c>
      <c r="D33" s="74">
        <v>85916.234525271488</v>
      </c>
      <c r="E33" s="75">
        <v>3.6959891695881389E-2</v>
      </c>
      <c r="F33" s="76">
        <v>3297.3234402083763</v>
      </c>
      <c r="G33" s="76">
        <v>89213.557965479864</v>
      </c>
      <c r="H33" s="76">
        <v>88455.038787196492</v>
      </c>
      <c r="I33" s="76">
        <v>7338548.0971957911</v>
      </c>
      <c r="J33" s="77">
        <v>7427003.1359829875</v>
      </c>
    </row>
    <row r="34" spans="1:10" x14ac:dyDescent="0.2">
      <c r="A34" s="73" t="s">
        <v>79</v>
      </c>
      <c r="B34" s="74">
        <v>69969105.295999989</v>
      </c>
      <c r="C34" s="74">
        <v>69969105.295999989</v>
      </c>
      <c r="D34" s="74">
        <v>0</v>
      </c>
      <c r="E34" s="75">
        <v>8.0178490041609624E-2</v>
      </c>
      <c r="F34" s="76">
        <v>0</v>
      </c>
      <c r="G34" s="76">
        <v>0</v>
      </c>
      <c r="H34" s="76">
        <v>0</v>
      </c>
      <c r="I34" s="76">
        <v>75887375.026475519</v>
      </c>
      <c r="J34" s="77">
        <v>75887375.026475519</v>
      </c>
    </row>
    <row r="35" spans="1:10" x14ac:dyDescent="0.2">
      <c r="A35" s="70" t="s">
        <v>74</v>
      </c>
      <c r="B35" s="71" t="s">
        <v>74</v>
      </c>
      <c r="C35" s="79" t="s">
        <v>74</v>
      </c>
      <c r="D35" s="71" t="s">
        <v>74</v>
      </c>
      <c r="E35" s="71" t="s">
        <v>74</v>
      </c>
      <c r="F35" s="71" t="s">
        <v>74</v>
      </c>
      <c r="G35" s="71" t="s">
        <v>74</v>
      </c>
      <c r="H35" s="71" t="s">
        <v>74</v>
      </c>
      <c r="I35" s="71" t="s">
        <v>75</v>
      </c>
      <c r="J35" s="72" t="s">
        <v>76</v>
      </c>
    </row>
    <row r="36" spans="1:10" x14ac:dyDescent="0.2">
      <c r="A36" s="80" t="s">
        <v>10</v>
      </c>
      <c r="B36" s="81">
        <v>20367606876.28373</v>
      </c>
      <c r="C36" s="82">
        <v>20503307194.24683</v>
      </c>
      <c r="D36" s="81">
        <v>135700317.96310043</v>
      </c>
      <c r="E36" s="81">
        <v>0</v>
      </c>
      <c r="F36" s="81">
        <v>11132269.031362789</v>
      </c>
      <c r="G36" s="81">
        <v>146832586.99446315</v>
      </c>
      <c r="H36" s="81">
        <v>145584174.35660648</v>
      </c>
      <c r="I36" s="83">
        <v>21883121442.400917</v>
      </c>
      <c r="J36" s="84">
        <v>22028705616.757526</v>
      </c>
    </row>
    <row r="37" spans="1:10" ht="13.5" thickBot="1" x14ac:dyDescent="0.25">
      <c r="A37" s="85"/>
      <c r="B37" s="86"/>
      <c r="C37" s="87"/>
      <c r="D37" s="88"/>
      <c r="E37" s="86"/>
      <c r="F37" s="86"/>
      <c r="G37" s="86"/>
      <c r="H37" s="88"/>
      <c r="I37" s="86"/>
      <c r="J37" s="89"/>
    </row>
    <row r="38" spans="1:10" x14ac:dyDescent="0.2">
      <c r="A38" s="35"/>
      <c r="B38" s="35"/>
      <c r="C38" s="55"/>
      <c r="D38" s="35"/>
      <c r="E38" s="35"/>
      <c r="F38" s="35"/>
      <c r="G38" s="35"/>
      <c r="H38" s="35"/>
      <c r="I38" s="35"/>
      <c r="J38" s="55"/>
    </row>
    <row r="39" spans="1:10" x14ac:dyDescent="0.2">
      <c r="A39" s="35"/>
      <c r="B39" s="35"/>
      <c r="C39" s="55"/>
      <c r="D39" s="35"/>
      <c r="E39" s="35"/>
      <c r="F39" s="35"/>
      <c r="G39" s="35"/>
      <c r="H39" s="35"/>
      <c r="I39" s="35"/>
      <c r="J39" s="55"/>
    </row>
    <row r="40" spans="1:10" ht="13.5" thickBot="1" x14ac:dyDescent="0.25">
      <c r="A40" s="90" t="s">
        <v>80</v>
      </c>
      <c r="B40" s="35"/>
      <c r="C40" s="55"/>
      <c r="D40" s="35"/>
      <c r="E40" s="35"/>
      <c r="F40" s="35"/>
      <c r="G40" s="35"/>
      <c r="H40" s="35"/>
      <c r="I40" s="35"/>
      <c r="J40" s="55"/>
    </row>
    <row r="41" spans="1:10" x14ac:dyDescent="0.2">
      <c r="A41" s="91">
        <v>459</v>
      </c>
      <c r="B41" s="92">
        <v>293153938.24000144</v>
      </c>
      <c r="C41" s="92">
        <v>293153938.24000144</v>
      </c>
      <c r="D41" s="93">
        <v>0</v>
      </c>
      <c r="E41" s="94">
        <v>1.6945222666027646E-2</v>
      </c>
      <c r="F41" s="95">
        <v>0</v>
      </c>
      <c r="G41" s="95">
        <v>0</v>
      </c>
      <c r="H41" s="95">
        <v>0</v>
      </c>
      <c r="I41" s="95">
        <v>298207124.36292702</v>
      </c>
      <c r="J41" s="96">
        <v>298207124.36292702</v>
      </c>
    </row>
    <row r="42" spans="1:10" x14ac:dyDescent="0.2">
      <c r="A42" s="78" t="s">
        <v>30</v>
      </c>
      <c r="B42" s="74">
        <v>1661664054.6089966</v>
      </c>
      <c r="C42" s="74">
        <v>1661664054.6089966</v>
      </c>
      <c r="D42" s="97">
        <v>0</v>
      </c>
      <c r="E42" s="75">
        <v>1.6911502274592646E-2</v>
      </c>
      <c r="F42" s="76">
        <v>0</v>
      </c>
      <c r="G42" s="76">
        <v>0</v>
      </c>
      <c r="H42" s="98">
        <v>0</v>
      </c>
      <c r="I42" s="76">
        <v>1690248699.3323834</v>
      </c>
      <c r="J42" s="77">
        <v>1690248699.3323834</v>
      </c>
    </row>
    <row r="43" spans="1:10" x14ac:dyDescent="0.2">
      <c r="A43" s="78" t="s">
        <v>29</v>
      </c>
      <c r="B43" s="74">
        <v>74975062.919999987</v>
      </c>
      <c r="C43" s="74">
        <v>74975062.919999987</v>
      </c>
      <c r="D43" s="97">
        <v>0</v>
      </c>
      <c r="E43" s="75">
        <v>3.5004476029850982E-2</v>
      </c>
      <c r="F43" s="76">
        <v>0</v>
      </c>
      <c r="G43" s="76">
        <v>0</v>
      </c>
      <c r="H43" s="98">
        <v>0</v>
      </c>
      <c r="I43" s="76">
        <v>77694726.097319439</v>
      </c>
      <c r="J43" s="77">
        <v>77694726.097319439</v>
      </c>
    </row>
    <row r="44" spans="1:10" x14ac:dyDescent="0.2">
      <c r="A44" s="80" t="s">
        <v>42</v>
      </c>
      <c r="B44" s="99">
        <v>336220536</v>
      </c>
      <c r="C44" s="99">
        <v>335767916</v>
      </c>
      <c r="D44" s="74">
        <v>-452620</v>
      </c>
      <c r="E44" s="100">
        <v>3.6447350534266516E-2</v>
      </c>
      <c r="F44" s="76">
        <v>-16496.799798819709</v>
      </c>
      <c r="G44" s="76">
        <v>-469116.7997988197</v>
      </c>
      <c r="H44" s="98">
        <v>-469116.7997988197</v>
      </c>
      <c r="I44" s="76">
        <v>350550349.59907383</v>
      </c>
      <c r="J44" s="77">
        <v>350081232.79927498</v>
      </c>
    </row>
    <row r="45" spans="1:10" x14ac:dyDescent="0.2">
      <c r="A45" s="101" t="s">
        <v>74</v>
      </c>
      <c r="B45" s="102" t="s">
        <v>74</v>
      </c>
      <c r="C45" s="102" t="s">
        <v>74</v>
      </c>
      <c r="D45" s="102" t="s">
        <v>74</v>
      </c>
      <c r="E45" s="102" t="s">
        <v>74</v>
      </c>
      <c r="F45" s="102" t="s">
        <v>74</v>
      </c>
      <c r="G45" s="102" t="s">
        <v>74</v>
      </c>
      <c r="H45" s="102" t="s">
        <v>74</v>
      </c>
      <c r="I45" s="102" t="s">
        <v>74</v>
      </c>
      <c r="J45" s="103" t="s">
        <v>74</v>
      </c>
    </row>
    <row r="46" spans="1:10" x14ac:dyDescent="0.2">
      <c r="A46" s="80" t="s">
        <v>81</v>
      </c>
      <c r="B46" s="104">
        <v>2366013591.7689981</v>
      </c>
      <c r="C46" s="104">
        <v>2365560971.7689981</v>
      </c>
      <c r="D46" s="104">
        <v>-452620</v>
      </c>
      <c r="E46" s="104"/>
      <c r="F46" s="104">
        <v>-16496.799798819709</v>
      </c>
      <c r="G46" s="104">
        <v>-469116.7997988197</v>
      </c>
      <c r="H46" s="104">
        <v>-469116.7997988197</v>
      </c>
      <c r="I46" s="105">
        <v>2416700899.3917036</v>
      </c>
      <c r="J46" s="106">
        <v>2416231782.5919046</v>
      </c>
    </row>
    <row r="47" spans="1:10" ht="13.5" thickBot="1" x14ac:dyDescent="0.25">
      <c r="A47" s="85"/>
      <c r="B47" s="107"/>
      <c r="C47" s="107"/>
      <c r="D47" s="107"/>
      <c r="E47" s="107"/>
      <c r="F47" s="107"/>
      <c r="G47" s="107"/>
      <c r="H47" s="107"/>
      <c r="I47" s="108"/>
      <c r="J47" s="109"/>
    </row>
  </sheetData>
  <pageMargins left="0.7" right="0.7" top="0.75" bottom="0.75" header="0.3" footer="0.3"/>
  <pageSetup scale="66" orientation="landscape" r:id="rId1"/>
  <headerFooter>
    <oddFooter>&amp;L&amp;F&amp;R&amp;A
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R18"/>
  <sheetViews>
    <sheetView workbookViewId="0">
      <selection sqref="A1:R18"/>
    </sheetView>
  </sheetViews>
  <sheetFormatPr defaultRowHeight="12.75" x14ac:dyDescent="0.2"/>
  <cols>
    <col min="1" max="1" width="18.85546875" bestFit="1" customWidth="1"/>
    <col min="2" max="2" width="10.140625" bestFit="1" customWidth="1"/>
    <col min="3" max="3" width="5.5703125" bestFit="1" customWidth="1"/>
    <col min="4" max="4" width="10.28515625" bestFit="1" customWidth="1"/>
    <col min="5" max="7" width="8.7109375" bestFit="1" customWidth="1"/>
    <col min="8" max="8" width="6.7109375" bestFit="1" customWidth="1"/>
    <col min="9" max="9" width="8.7109375" bestFit="1" customWidth="1"/>
    <col min="10" max="10" width="6.7109375" bestFit="1" customWidth="1"/>
    <col min="11" max="15" width="7.7109375" bestFit="1" customWidth="1"/>
    <col min="16" max="16" width="6.7109375" bestFit="1" customWidth="1"/>
    <col min="17" max="17" width="10.28515625" bestFit="1" customWidth="1"/>
    <col min="18" max="18" width="8.7109375" bestFit="1" customWidth="1"/>
  </cols>
  <sheetData>
    <row r="1" spans="1:18" x14ac:dyDescent="0.2">
      <c r="A1" s="4" t="s">
        <v>115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4" t="s">
        <v>83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">
      <c r="A4" s="4" t="s">
        <v>116</v>
      </c>
      <c r="B4" s="4" t="s">
        <v>117</v>
      </c>
      <c r="C4" s="4" t="s">
        <v>118</v>
      </c>
      <c r="D4" s="4" t="s">
        <v>119</v>
      </c>
      <c r="E4" s="4" t="s">
        <v>120</v>
      </c>
      <c r="F4" s="4" t="s">
        <v>121</v>
      </c>
      <c r="G4" s="4" t="s">
        <v>122</v>
      </c>
      <c r="H4" s="4" t="s">
        <v>123</v>
      </c>
      <c r="I4" s="4" t="s">
        <v>124</v>
      </c>
      <c r="J4" s="4" t="s">
        <v>125</v>
      </c>
      <c r="K4" s="4" t="s">
        <v>126</v>
      </c>
      <c r="L4" s="4" t="s">
        <v>127</v>
      </c>
      <c r="M4" s="4" t="s">
        <v>128</v>
      </c>
      <c r="N4" s="4" t="s">
        <v>129</v>
      </c>
      <c r="O4" s="4" t="s">
        <v>8</v>
      </c>
      <c r="P4" s="4" t="s">
        <v>130</v>
      </c>
      <c r="Q4" s="4" t="s">
        <v>82</v>
      </c>
      <c r="R4" s="4" t="s">
        <v>131</v>
      </c>
    </row>
    <row r="5" spans="1:18" x14ac:dyDescent="0.2">
      <c r="A5" s="110">
        <v>43101</v>
      </c>
      <c r="B5" s="111">
        <v>43102</v>
      </c>
      <c r="C5" s="4" t="s">
        <v>132</v>
      </c>
      <c r="D5" s="112">
        <v>2451658.627491157</v>
      </c>
      <c r="E5" s="112">
        <v>471173.08485940099</v>
      </c>
      <c r="F5" s="112">
        <v>438464.57535427733</v>
      </c>
      <c r="G5" s="112">
        <v>238160.17031604124</v>
      </c>
      <c r="H5" s="112">
        <v>456.83185222461861</v>
      </c>
      <c r="I5" s="112">
        <v>193014.15414325823</v>
      </c>
      <c r="J5" s="112">
        <v>8.0893858558904288</v>
      </c>
      <c r="K5" s="112">
        <v>19555.05291473525</v>
      </c>
      <c r="L5" s="112">
        <v>52055.058981791277</v>
      </c>
      <c r="M5" s="112">
        <v>6439.8343590015247</v>
      </c>
      <c r="N5" s="112">
        <v>64000.526689762642</v>
      </c>
      <c r="O5" s="112">
        <v>17544.428690664128</v>
      </c>
      <c r="P5" s="112">
        <v>1469.5649618292723</v>
      </c>
      <c r="Q5" s="112">
        <f>SUM(D5:P5)</f>
        <v>3953999.9999999995</v>
      </c>
      <c r="R5" s="112">
        <v>246981.3839242247</v>
      </c>
    </row>
    <row r="6" spans="1:18" x14ac:dyDescent="0.2">
      <c r="A6" s="110">
        <v>43132</v>
      </c>
      <c r="B6" s="111">
        <v>43154</v>
      </c>
      <c r="C6" s="4" t="s">
        <v>133</v>
      </c>
      <c r="D6" s="112">
        <v>2343427.6222602087</v>
      </c>
      <c r="E6" s="112">
        <v>532239.13259806007</v>
      </c>
      <c r="F6" s="112">
        <v>577208.51150491962</v>
      </c>
      <c r="G6" s="112">
        <v>337597.36057761702</v>
      </c>
      <c r="H6" s="112">
        <v>382.37580548877025</v>
      </c>
      <c r="I6" s="112">
        <v>214695.13704874928</v>
      </c>
      <c r="J6" s="112">
        <v>6.2226045045310983</v>
      </c>
      <c r="K6" s="112">
        <v>52645.553975916373</v>
      </c>
      <c r="L6" s="112">
        <v>61961.575252897703</v>
      </c>
      <c r="M6" s="112">
        <v>14276.874772038684</v>
      </c>
      <c r="N6" s="112">
        <v>69414.016391389465</v>
      </c>
      <c r="O6" s="112">
        <v>556.08839544154216</v>
      </c>
      <c r="P6" s="112">
        <v>1589.5288127673646</v>
      </c>
      <c r="Q6" s="112">
        <f t="shared" ref="Q6:Q16" si="0">SUM(D6:P6)</f>
        <v>4205999.9999999991</v>
      </c>
      <c r="R6" s="112">
        <v>251302.72100123111</v>
      </c>
    </row>
    <row r="7" spans="1:18" x14ac:dyDescent="0.2">
      <c r="A7" s="110">
        <v>43160</v>
      </c>
      <c r="B7" s="111">
        <v>43166</v>
      </c>
      <c r="C7" s="4" t="s">
        <v>133</v>
      </c>
      <c r="D7" s="112">
        <v>2008111.3276105835</v>
      </c>
      <c r="E7" s="112">
        <v>492291.24856311874</v>
      </c>
      <c r="F7" s="112">
        <v>526061.12433508027</v>
      </c>
      <c r="G7" s="112">
        <v>266037.83728892903</v>
      </c>
      <c r="H7" s="112">
        <v>462.95685566451311</v>
      </c>
      <c r="I7" s="112">
        <v>202111.59800062128</v>
      </c>
      <c r="J7" s="112">
        <v>6.8448649549842084</v>
      </c>
      <c r="K7" s="112">
        <v>42139.97802975103</v>
      </c>
      <c r="L7" s="112">
        <v>57604.221243931002</v>
      </c>
      <c r="M7" s="112">
        <v>9619.0970854188818</v>
      </c>
      <c r="N7" s="112">
        <v>68598.047546642905</v>
      </c>
      <c r="O7" s="112">
        <v>556.08839544154216</v>
      </c>
      <c r="P7" s="112">
        <v>1399.6301798619861</v>
      </c>
      <c r="Q7" s="112">
        <f t="shared" si="0"/>
        <v>3675000.0000000005</v>
      </c>
      <c r="R7" s="112">
        <v>246381.07596868131</v>
      </c>
    </row>
    <row r="8" spans="1:18" x14ac:dyDescent="0.2">
      <c r="A8" s="110">
        <v>43191</v>
      </c>
      <c r="B8" s="111">
        <v>43192</v>
      </c>
      <c r="C8" s="4" t="s">
        <v>133</v>
      </c>
      <c r="D8" s="112">
        <v>1752781.0204252896</v>
      </c>
      <c r="E8" s="112">
        <v>465136.24136914639</v>
      </c>
      <c r="F8" s="112">
        <v>528042.23916680645</v>
      </c>
      <c r="G8" s="112">
        <v>280934.64731822733</v>
      </c>
      <c r="H8" s="112">
        <v>464.74255771112968</v>
      </c>
      <c r="I8" s="112">
        <v>207665.99904258319</v>
      </c>
      <c r="J8" s="112">
        <v>7.4671254054373186</v>
      </c>
      <c r="K8" s="112">
        <v>41018.785779592225</v>
      </c>
      <c r="L8" s="112">
        <v>54789.720135451149</v>
      </c>
      <c r="M8" s="112">
        <v>8922.1941444571348</v>
      </c>
      <c r="N8" s="112">
        <v>71484.943808789132</v>
      </c>
      <c r="O8" s="112">
        <v>556.08839544154216</v>
      </c>
      <c r="P8" s="112">
        <v>1195.9107310993754</v>
      </c>
      <c r="Q8" s="112">
        <f t="shared" si="0"/>
        <v>3412999.9999999995</v>
      </c>
      <c r="R8" s="112">
        <v>248363.95589107269</v>
      </c>
    </row>
    <row r="9" spans="1:18" x14ac:dyDescent="0.2">
      <c r="A9" s="110">
        <v>43221</v>
      </c>
      <c r="B9" s="111">
        <v>43234</v>
      </c>
      <c r="C9" s="4" t="s">
        <v>132</v>
      </c>
      <c r="D9" s="112">
        <v>1378717.395216984</v>
      </c>
      <c r="E9" s="112">
        <v>395968.69264537859</v>
      </c>
      <c r="F9" s="112">
        <v>481009.72731474403</v>
      </c>
      <c r="G9" s="112">
        <v>318699.87351684464</v>
      </c>
      <c r="H9" s="112">
        <v>3122.0778422315298</v>
      </c>
      <c r="I9" s="112">
        <v>196914.03478317583</v>
      </c>
      <c r="J9" s="112">
        <v>1006.1951483826786</v>
      </c>
      <c r="K9" s="112">
        <v>11913.885300986569</v>
      </c>
      <c r="L9" s="112">
        <v>52739.806203819906</v>
      </c>
      <c r="M9" s="112">
        <v>5103.8721236086249</v>
      </c>
      <c r="N9" s="112">
        <v>71799.657838975429</v>
      </c>
      <c r="O9" s="112">
        <v>556.08839544154216</v>
      </c>
      <c r="P9" s="112">
        <v>448.69366942663618</v>
      </c>
      <c r="Q9" s="112">
        <f t="shared" si="0"/>
        <v>2918000</v>
      </c>
      <c r="R9" s="112">
        <v>183833.6142165793</v>
      </c>
    </row>
    <row r="10" spans="1:18" x14ac:dyDescent="0.2">
      <c r="A10" s="110">
        <v>43252</v>
      </c>
      <c r="B10" s="111">
        <v>43271</v>
      </c>
      <c r="C10" s="4" t="s">
        <v>132</v>
      </c>
      <c r="D10" s="112">
        <v>1692502.8158108443</v>
      </c>
      <c r="E10" s="112">
        <v>366929.83622786414</v>
      </c>
      <c r="F10" s="112">
        <v>428936.81992204918</v>
      </c>
      <c r="G10" s="112">
        <v>311833.03431395942</v>
      </c>
      <c r="H10" s="112">
        <v>4239.9594160984116</v>
      </c>
      <c r="I10" s="112">
        <v>200794.8737103228</v>
      </c>
      <c r="J10" s="112">
        <v>1001.217064779054</v>
      </c>
      <c r="K10" s="112">
        <v>9340.5828198340023</v>
      </c>
      <c r="L10" s="112">
        <v>55378.810934293055</v>
      </c>
      <c r="M10" s="112">
        <v>15966.281844442419</v>
      </c>
      <c r="N10" s="112">
        <v>73143.018176882964</v>
      </c>
      <c r="O10" s="112">
        <v>556.08839544154216</v>
      </c>
      <c r="P10" s="112">
        <v>376.66136318950726</v>
      </c>
      <c r="Q10" s="112">
        <f t="shared" si="0"/>
        <v>3161000.0000000005</v>
      </c>
      <c r="R10" s="112">
        <v>259632.62403940671</v>
      </c>
    </row>
    <row r="11" spans="1:18" x14ac:dyDescent="0.2">
      <c r="A11" s="110">
        <v>43282</v>
      </c>
      <c r="B11" s="111">
        <v>43311</v>
      </c>
      <c r="C11" s="4" t="s">
        <v>132</v>
      </c>
      <c r="D11" s="112">
        <v>1818838.1549716657</v>
      </c>
      <c r="E11" s="112">
        <v>397272.08625105734</v>
      </c>
      <c r="F11" s="112">
        <v>494405.52119706746</v>
      </c>
      <c r="G11" s="112">
        <v>346920.79413661058</v>
      </c>
      <c r="H11" s="112">
        <v>6257.2842516803221</v>
      </c>
      <c r="I11" s="112">
        <v>195859.14025093245</v>
      </c>
      <c r="J11" s="112">
        <v>1031.0855664008031</v>
      </c>
      <c r="K11" s="112">
        <v>8033.2059016026396</v>
      </c>
      <c r="L11" s="112">
        <v>54611.515031562725</v>
      </c>
      <c r="M11" s="112">
        <v>11043.046409330593</v>
      </c>
      <c r="N11" s="112">
        <v>71784.367927799613</v>
      </c>
      <c r="O11" s="112">
        <v>556.08839544154216</v>
      </c>
      <c r="P11" s="112">
        <v>387.70970884848151</v>
      </c>
      <c r="Q11" s="112">
        <f t="shared" si="0"/>
        <v>3407000</v>
      </c>
      <c r="R11" s="112">
        <v>257680.47075978349</v>
      </c>
    </row>
    <row r="12" spans="1:18" x14ac:dyDescent="0.2">
      <c r="A12" s="110">
        <v>43313</v>
      </c>
      <c r="B12" s="111">
        <v>43320</v>
      </c>
      <c r="C12" s="4" t="s">
        <v>132</v>
      </c>
      <c r="D12" s="112">
        <v>1828728.2047145315</v>
      </c>
      <c r="E12" s="112">
        <v>420739.90609414969</v>
      </c>
      <c r="F12" s="112">
        <v>484734.95603208034</v>
      </c>
      <c r="G12" s="112">
        <v>341196.00308751146</v>
      </c>
      <c r="H12" s="112">
        <v>5821.9154766956208</v>
      </c>
      <c r="I12" s="112">
        <v>195865.66514143188</v>
      </c>
      <c r="J12" s="112">
        <v>993.12767892316333</v>
      </c>
      <c r="K12" s="112">
        <v>8345.6760093930188</v>
      </c>
      <c r="L12" s="112">
        <v>52821.078358531355</v>
      </c>
      <c r="M12" s="112">
        <v>9217.4186691644773</v>
      </c>
      <c r="N12" s="112">
        <v>73606.725627516527</v>
      </c>
      <c r="O12" s="112">
        <v>556.08839544154216</v>
      </c>
      <c r="P12" s="112">
        <v>373.23471462986294</v>
      </c>
      <c r="Q12" s="112">
        <f t="shared" si="0"/>
        <v>3423000.0000000005</v>
      </c>
      <c r="R12" s="112">
        <v>260392.15406710896</v>
      </c>
    </row>
    <row r="13" spans="1:18" x14ac:dyDescent="0.2">
      <c r="A13" s="110">
        <v>43344</v>
      </c>
      <c r="B13" s="111">
        <v>43349</v>
      </c>
      <c r="C13" s="4" t="s">
        <v>132</v>
      </c>
      <c r="D13" s="112">
        <v>1364998.1957095929</v>
      </c>
      <c r="E13" s="112">
        <v>373206.04483403865</v>
      </c>
      <c r="F13" s="112">
        <v>433343.58555821673</v>
      </c>
      <c r="G13" s="112">
        <v>305221.57078587112</v>
      </c>
      <c r="H13" s="112">
        <v>3722.0862203853967</v>
      </c>
      <c r="I13" s="112">
        <v>203805.62614141303</v>
      </c>
      <c r="J13" s="112">
        <v>1279.3674861315938</v>
      </c>
      <c r="K13" s="112">
        <v>9626.8960996480964</v>
      </c>
      <c r="L13" s="112">
        <v>47766.035437212267</v>
      </c>
      <c r="M13" s="112">
        <v>13746.702426444421</v>
      </c>
      <c r="N13" s="112">
        <v>70300.009792391793</v>
      </c>
      <c r="O13" s="112">
        <v>556.08839544154216</v>
      </c>
      <c r="P13" s="112">
        <v>427.7911132128059</v>
      </c>
      <c r="Q13" s="112">
        <f t="shared" si="0"/>
        <v>2828000</v>
      </c>
      <c r="R13" s="112">
        <v>249755.20128844332</v>
      </c>
    </row>
    <row r="14" spans="1:18" x14ac:dyDescent="0.2">
      <c r="A14" s="110">
        <v>43374</v>
      </c>
      <c r="B14" s="111">
        <v>43395</v>
      </c>
      <c r="C14" s="4" t="s">
        <v>133</v>
      </c>
      <c r="D14" s="112">
        <v>1496843.050387464</v>
      </c>
      <c r="E14" s="112">
        <v>433591.00624138175</v>
      </c>
      <c r="F14" s="112">
        <v>475343.30139727745</v>
      </c>
      <c r="G14" s="112">
        <v>275861.27861203719</v>
      </c>
      <c r="H14" s="112">
        <v>256.26275914950008</v>
      </c>
      <c r="I14" s="112">
        <v>193220.86924616757</v>
      </c>
      <c r="J14" s="112">
        <v>3.7335627027186593</v>
      </c>
      <c r="K14" s="112">
        <v>36987.071644323245</v>
      </c>
      <c r="L14" s="112">
        <v>44680.007910175977</v>
      </c>
      <c r="M14" s="112">
        <v>5062.2963664050121</v>
      </c>
      <c r="N14" s="112">
        <v>68232.436363230212</v>
      </c>
      <c r="O14" s="112">
        <v>9050.2585430528325</v>
      </c>
      <c r="P14" s="112">
        <v>868.42696663252082</v>
      </c>
      <c r="Q14" s="112">
        <f t="shared" si="0"/>
        <v>3040000.0000000005</v>
      </c>
      <c r="R14" s="112">
        <v>251758.17259761583</v>
      </c>
    </row>
    <row r="15" spans="1:18" x14ac:dyDescent="0.2">
      <c r="A15" s="110">
        <v>43405</v>
      </c>
      <c r="B15" s="111">
        <v>43423</v>
      </c>
      <c r="C15" s="4" t="s">
        <v>133</v>
      </c>
      <c r="D15" s="112">
        <v>1933373.3384301127</v>
      </c>
      <c r="E15" s="112">
        <v>514088.62283850287</v>
      </c>
      <c r="F15" s="112">
        <v>544794.37035335705</v>
      </c>
      <c r="G15" s="112">
        <v>277229.6342685406</v>
      </c>
      <c r="H15" s="112">
        <v>660.31719537533365</v>
      </c>
      <c r="I15" s="112">
        <v>193183.44278496929</v>
      </c>
      <c r="J15" s="112">
        <v>6.8448649549842084</v>
      </c>
      <c r="K15" s="112">
        <v>48160.552265055245</v>
      </c>
      <c r="L15" s="112">
        <v>47468.220885865114</v>
      </c>
      <c r="M15" s="112">
        <v>7442.1725211630765</v>
      </c>
      <c r="N15" s="112">
        <v>72482.046340634697</v>
      </c>
      <c r="O15" s="112">
        <v>3953.7564544860588</v>
      </c>
      <c r="P15" s="112">
        <v>1156.6807969832053</v>
      </c>
      <c r="Q15" s="112">
        <f t="shared" si="0"/>
        <v>3643999.9999999995</v>
      </c>
      <c r="R15" s="112">
        <v>253325.03854828654</v>
      </c>
    </row>
    <row r="16" spans="1:18" x14ac:dyDescent="0.2">
      <c r="A16" s="110">
        <v>43435</v>
      </c>
      <c r="B16" s="111">
        <v>43440</v>
      </c>
      <c r="C16" s="4" t="s">
        <v>133</v>
      </c>
      <c r="D16" s="112">
        <v>2217437.3132827613</v>
      </c>
      <c r="E16" s="112">
        <v>545002.46069820691</v>
      </c>
      <c r="F16" s="112">
        <v>645263.90588749177</v>
      </c>
      <c r="G16" s="112">
        <v>306912.50545756845</v>
      </c>
      <c r="H16" s="112">
        <v>344.78716851985956</v>
      </c>
      <c r="I16" s="112">
        <v>218486.63686010128</v>
      </c>
      <c r="J16" s="112">
        <v>6.8448649549842084</v>
      </c>
      <c r="K16" s="112">
        <v>53322.772324906691</v>
      </c>
      <c r="L16" s="112">
        <v>49699.733612431985</v>
      </c>
      <c r="M16" s="112">
        <v>11430.411526214701</v>
      </c>
      <c r="N16" s="112">
        <v>72411.932208972255</v>
      </c>
      <c r="O16" s="112">
        <v>10182.81456839712</v>
      </c>
      <c r="P16" s="112">
        <v>1497.8815394721507</v>
      </c>
      <c r="Q16" s="112">
        <f t="shared" si="0"/>
        <v>4132000</v>
      </c>
      <c r="R16" s="112">
        <v>255750.24483616717</v>
      </c>
    </row>
    <row r="17" spans="1:18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A18" s="110" t="s">
        <v>134</v>
      </c>
      <c r="B18" s="4"/>
      <c r="C18" s="4"/>
      <c r="D18" s="113">
        <f>AVERAGE(D5:D6,D15:D16)</f>
        <v>2236474.2253660602</v>
      </c>
      <c r="E18" s="113">
        <f t="shared" ref="E18:R18" si="1">AVERAGE(E5:E6,E15:E16)</f>
        <v>515625.82524854271</v>
      </c>
      <c r="F18" s="113">
        <f t="shared" si="1"/>
        <v>551432.84077501134</v>
      </c>
      <c r="G18" s="113">
        <f t="shared" si="1"/>
        <v>289974.91765494185</v>
      </c>
      <c r="H18" s="113">
        <f t="shared" si="1"/>
        <v>461.07800540214549</v>
      </c>
      <c r="I18" s="113">
        <f t="shared" si="1"/>
        <v>204844.84270926949</v>
      </c>
      <c r="J18" s="113">
        <f t="shared" si="1"/>
        <v>7.0004300675974864</v>
      </c>
      <c r="K18" s="113">
        <f t="shared" si="1"/>
        <v>43420.982870153392</v>
      </c>
      <c r="L18" s="113">
        <f t="shared" si="1"/>
        <v>52796.147183246518</v>
      </c>
      <c r="M18" s="113">
        <f t="shared" si="1"/>
        <v>9897.3232946044973</v>
      </c>
      <c r="N18" s="113">
        <f t="shared" si="1"/>
        <v>69577.130407689765</v>
      </c>
      <c r="O18" s="113">
        <f t="shared" si="1"/>
        <v>8059.2720272472116</v>
      </c>
      <c r="P18" s="113">
        <f t="shared" si="1"/>
        <v>1428.4140277629981</v>
      </c>
      <c r="Q18" s="113">
        <f t="shared" si="1"/>
        <v>3983999.9999999995</v>
      </c>
      <c r="R18" s="113">
        <f t="shared" si="1"/>
        <v>251839.84707747737</v>
      </c>
    </row>
  </sheetData>
  <pageMargins left="0.7" right="0.7" top="0.75" bottom="0.75" header="0.3" footer="0.3"/>
  <pageSetup scale="79" orientation="landscape" r:id="rId1"/>
  <headerFooter>
    <oddFooter>&amp;L&amp;F&amp;R&amp;A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0EE3639-079F-461C-AB4C-C76BF7011C42}"/>
</file>

<file path=customXml/itemProps2.xml><?xml version="1.0" encoding="utf-8"?>
<ds:datastoreItem xmlns:ds="http://schemas.openxmlformats.org/officeDocument/2006/customXml" ds:itemID="{65897011-FF93-4128-9652-9DDE98AA0B1B}"/>
</file>

<file path=customXml/itemProps3.xml><?xml version="1.0" encoding="utf-8"?>
<ds:datastoreItem xmlns:ds="http://schemas.openxmlformats.org/officeDocument/2006/customXml" ds:itemID="{732FC2E5-F67D-4091-9215-065B4E2B70FD}"/>
</file>

<file path=customXml/itemProps4.xml><?xml version="1.0" encoding="utf-8"?>
<ds:datastoreItem xmlns:ds="http://schemas.openxmlformats.org/officeDocument/2006/customXml" ds:itemID="{F6D78E38-392B-4863-B6AA-0C014867B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Exh BDJ-6 p1 (Rate Spread)</vt:lpstr>
      <vt:lpstr>Exh BDJ-6 p 2-6 (Lighting)</vt:lpstr>
      <vt:lpstr>WP Support=====&gt;</vt:lpstr>
      <vt:lpstr>2020 PCORC Deficiency</vt:lpstr>
      <vt:lpstr>UE-200893 Sch 95 Eff 12-01-2020</vt:lpstr>
      <vt:lpstr>UE-190529 Load Research </vt:lpstr>
      <vt:lpstr>UE-190529 LR - Energy</vt:lpstr>
      <vt:lpstr>UE-190529 LR - Dem 4CP</vt:lpstr>
      <vt:lpstr>_Deficiency</vt:lpstr>
      <vt:lpstr>'Exh BDJ-6 p 2-6 (Lighting)'!Print_Area</vt:lpstr>
      <vt:lpstr>'Exh BDJ-6 p1 (Rate Spread)'!Print_Area</vt:lpstr>
      <vt:lpstr>'UE-190529 Load Research '!Print_Area</vt:lpstr>
      <vt:lpstr>'UE-190529 LR - Dem 4CP'!Print_Area</vt:lpstr>
      <vt:lpstr>'UE-190529 LR - Energy'!Print_Area</vt:lpstr>
      <vt:lpstr>'UE-200893 Sch 95 Eff 12-01-2020'!Print_Area</vt:lpstr>
      <vt:lpstr>'Exh BDJ-6 p 2-6 (Lighting)'!Print_Titles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Rasanen</dc:creator>
  <cp:lastModifiedBy>Pam Rasanen</cp:lastModifiedBy>
  <cp:lastPrinted>2020-11-23T18:15:28Z</cp:lastPrinted>
  <dcterms:created xsi:type="dcterms:W3CDTF">2001-02-07T23:54:25Z</dcterms:created>
  <dcterms:modified xsi:type="dcterms:W3CDTF">2021-06-09T16:25:31Z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