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Dept\Rates\WA Rate Case 2020 UG-200568\Compliance Filing\E-Filed 5.21.21\"/>
    </mc:Choice>
  </mc:AlternateContent>
  <xr:revisionPtr revIDLastSave="0" documentId="13_ncr:1_{864441D9-0D45-44F4-A5B8-BBFE150A8C54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2021 Rate Calculation" sheetId="2" r:id="rId1"/>
    <sheet name="Monthly" sheetId="1" r:id="rId2"/>
  </sheets>
  <externalReferences>
    <externalReference r:id="rId3"/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2" l="1"/>
  <c r="F30" i="2"/>
  <c r="F36" i="2"/>
  <c r="F18" i="2" l="1"/>
  <c r="F17" i="2"/>
  <c r="F16" i="2"/>
  <c r="F15" i="2"/>
  <c r="F14" i="2"/>
  <c r="F13" i="2"/>
  <c r="F12" i="2"/>
  <c r="F10" i="2"/>
  <c r="F9" i="2"/>
  <c r="F8" i="2"/>
  <c r="I31" i="2"/>
  <c r="H18" i="2"/>
  <c r="H16" i="2"/>
  <c r="H15" i="2"/>
  <c r="H14" i="2"/>
  <c r="H13" i="2"/>
  <c r="H12" i="2"/>
  <c r="H11" i="2"/>
  <c r="H7" i="2"/>
  <c r="H25" i="2" s="1"/>
  <c r="F25" i="2" l="1"/>
  <c r="F34" i="2" s="1"/>
  <c r="J31" i="2"/>
  <c r="K31" i="2"/>
  <c r="L31" i="2"/>
  <c r="M31" i="2"/>
  <c r="H31" i="2"/>
  <c r="F31" i="2" s="1"/>
  <c r="F38" i="2" l="1"/>
  <c r="F39" i="2" l="1"/>
  <c r="F40" i="2" s="1"/>
  <c r="F37" i="2"/>
  <c r="H36" i="2"/>
  <c r="F43" i="2" l="1"/>
  <c r="F46" i="2" s="1"/>
  <c r="H41" i="2"/>
  <c r="H46" i="2" l="1"/>
  <c r="F47" i="2" s="1"/>
  <c r="F49" i="2" s="1"/>
  <c r="F52" i="2" s="1"/>
  <c r="K57" i="2" l="1"/>
  <c r="K61" i="2" s="1"/>
  <c r="J57" i="2"/>
  <c r="J61" i="2" s="1"/>
  <c r="I57" i="2"/>
  <c r="I61" i="2" s="1"/>
  <c r="F55" i="2"/>
  <c r="H64" i="2" s="1"/>
  <c r="L57" i="2"/>
  <c r="L61" i="2" s="1"/>
  <c r="H57" i="2"/>
  <c r="H61" i="2" s="1"/>
  <c r="M57" i="2"/>
  <c r="M61" i="2" s="1"/>
  <c r="X66" i="1" l="1"/>
  <c r="L50" i="1" l="1"/>
  <c r="M50" i="1"/>
  <c r="N50" i="1"/>
  <c r="O50" i="1"/>
  <c r="P50" i="1"/>
  <c r="Q50" i="1"/>
  <c r="R50" i="1"/>
  <c r="S50" i="1"/>
  <c r="T50" i="1"/>
  <c r="K50" i="1"/>
  <c r="L41" i="1"/>
  <c r="M41" i="1"/>
  <c r="N41" i="1"/>
  <c r="O41" i="1"/>
  <c r="P41" i="1"/>
  <c r="Q41" i="1"/>
  <c r="R41" i="1"/>
  <c r="S41" i="1"/>
  <c r="T41" i="1"/>
  <c r="K41" i="1"/>
  <c r="L20" i="1"/>
  <c r="M20" i="1"/>
  <c r="N20" i="1"/>
  <c r="O20" i="1"/>
  <c r="P20" i="1"/>
  <c r="Q20" i="1"/>
  <c r="R20" i="1"/>
  <c r="S20" i="1"/>
  <c r="T20" i="1"/>
  <c r="K20" i="1"/>
  <c r="L31" i="1"/>
  <c r="M31" i="1"/>
  <c r="N31" i="1"/>
  <c r="O31" i="1"/>
  <c r="P31" i="1"/>
  <c r="Q31" i="1"/>
  <c r="R31" i="1"/>
  <c r="S31" i="1"/>
  <c r="T31" i="1"/>
  <c r="K31" i="1"/>
  <c r="V66" i="1" l="1"/>
  <c r="T66" i="1"/>
  <c r="T67" i="1" s="1"/>
  <c r="L66" i="1"/>
  <c r="M66" i="1"/>
  <c r="N66" i="1"/>
  <c r="O66" i="1"/>
  <c r="P66" i="1"/>
  <c r="Q66" i="1"/>
  <c r="R66" i="1"/>
  <c r="S66" i="1"/>
  <c r="K66" i="1"/>
  <c r="N67" i="1" l="1"/>
  <c r="U22" i="1"/>
  <c r="U34" i="1"/>
  <c r="U35" i="1"/>
  <c r="U36" i="1"/>
  <c r="U37" i="1"/>
  <c r="U38" i="1"/>
  <c r="U39" i="1"/>
  <c r="U40" i="1"/>
  <c r="U33" i="1"/>
  <c r="U44" i="1"/>
  <c r="U45" i="1"/>
  <c r="U46" i="1"/>
  <c r="U47" i="1"/>
  <c r="U48" i="1"/>
  <c r="U49" i="1"/>
  <c r="U43" i="1"/>
  <c r="U53" i="1"/>
  <c r="U54" i="1"/>
  <c r="U55" i="1"/>
  <c r="U52" i="1"/>
  <c r="U56" i="1" s="1"/>
  <c r="Z56" i="1" s="1"/>
  <c r="U58" i="1"/>
  <c r="Z58" i="1" s="1"/>
  <c r="U60" i="1"/>
  <c r="Z60" i="1" s="1"/>
  <c r="U62" i="1"/>
  <c r="U64" i="1"/>
  <c r="U12" i="1"/>
  <c r="Z12" i="1" s="1"/>
  <c r="U14" i="1"/>
  <c r="Z14" i="1" s="1"/>
  <c r="U16" i="1"/>
  <c r="Z16" i="1" s="1"/>
  <c r="U18" i="1"/>
  <c r="U19" i="1"/>
  <c r="U23" i="1"/>
  <c r="U24" i="1"/>
  <c r="U25" i="1"/>
  <c r="U26" i="1"/>
  <c r="U27" i="1"/>
  <c r="U28" i="1"/>
  <c r="U29" i="1"/>
  <c r="U30" i="1"/>
  <c r="U10" i="1"/>
  <c r="Z10" i="1" s="1"/>
  <c r="Y66" i="1" l="1"/>
  <c r="U50" i="1"/>
  <c r="Z50" i="1" s="1"/>
  <c r="U20" i="1"/>
  <c r="Z20" i="1" s="1"/>
  <c r="U41" i="1"/>
  <c r="Z41" i="1" s="1"/>
  <c r="U31" i="1"/>
  <c r="Z31" i="1" s="1"/>
  <c r="U67" i="1"/>
  <c r="Z67" i="1" s="1"/>
  <c r="Z66" i="1" l="1"/>
  <c r="U66" i="1"/>
  <c r="I64" i="1" l="1"/>
  <c r="I62" i="1"/>
  <c r="I60" i="1"/>
  <c r="I58" i="1"/>
  <c r="I55" i="1"/>
  <c r="I54" i="1"/>
  <c r="I53" i="1"/>
  <c r="I52" i="1"/>
  <c r="I49" i="1"/>
  <c r="I48" i="1"/>
  <c r="I47" i="1"/>
  <c r="I46" i="1"/>
  <c r="I45" i="1"/>
  <c r="I44" i="1"/>
  <c r="I43" i="1"/>
  <c r="I40" i="1"/>
  <c r="I39" i="1"/>
  <c r="I38" i="1"/>
  <c r="I37" i="1"/>
  <c r="I36" i="1"/>
  <c r="I33" i="1"/>
  <c r="I30" i="1"/>
  <c r="I29" i="1"/>
  <c r="I28" i="1"/>
  <c r="I27" i="1"/>
  <c r="I26" i="1"/>
  <c r="I25" i="1"/>
  <c r="I24" i="1"/>
  <c r="I23" i="1"/>
  <c r="I22" i="1"/>
  <c r="I19" i="1"/>
  <c r="I18" i="1"/>
  <c r="I16" i="1"/>
  <c r="I14" i="1"/>
  <c r="I12" i="1"/>
  <c r="I10" i="1"/>
</calcChain>
</file>

<file path=xl/sharedStrings.xml><?xml version="1.0" encoding="utf-8"?>
<sst xmlns="http://schemas.openxmlformats.org/spreadsheetml/2006/main" count="522" uniqueCount="259">
  <si>
    <t>Configuration</t>
  </si>
  <si>
    <t>JDE 1 - MDUAS401</t>
  </si>
  <si>
    <t>Ledger Type</t>
  </si>
  <si>
    <t>AA</t>
  </si>
  <si>
    <t>Year</t>
  </si>
  <si>
    <t>Format</t>
  </si>
  <si>
    <t>PER</t>
  </si>
  <si>
    <t>Period</t>
  </si>
  <si>
    <t>Currency</t>
  </si>
  <si>
    <t>***</t>
  </si>
  <si>
    <t>Company</t>
  </si>
  <si>
    <t>Business Unit</t>
  </si>
  <si>
    <t>Object</t>
  </si>
  <si>
    <t>Subsidiary</t>
  </si>
  <si>
    <t>Subledger Type</t>
  </si>
  <si>
    <t>Subledger</t>
  </si>
  <si>
    <t>Funding Project No.</t>
  </si>
  <si>
    <t>Funding Project Description</t>
  </si>
  <si>
    <t>Work Order</t>
  </si>
  <si>
    <t>Work Order Description</t>
  </si>
  <si>
    <t>00047</t>
  </si>
  <si>
    <t>47</t>
  </si>
  <si>
    <t>0001.0998</t>
  </si>
  <si>
    <t>*</t>
  </si>
  <si>
    <t>W</t>
  </si>
  <si>
    <t>00266858</t>
  </si>
  <si>
    <t>FP-316034</t>
  </si>
  <si>
    <t xml:space="preserve">C/M; 4" HP; OTHELL0; 9,801' </t>
  </si>
  <si>
    <t>MAOP; 8" HP; OTHE; 11,500' W LEE RD</t>
  </si>
  <si>
    <t>00219107</t>
  </si>
  <si>
    <t>FP-307212</t>
  </si>
  <si>
    <t>CRM KELSO GRADE ST BRIDGE RELOCATE</t>
  </si>
  <si>
    <t>Grade Street Bridge Removal</t>
  </si>
  <si>
    <t>00265881</t>
  </si>
  <si>
    <t>FP-316569</t>
  </si>
  <si>
    <t>C/M RPL; 12" STL HP, LONG/KELSO PH3</t>
  </si>
  <si>
    <t>MAOP; 12" HP; LONG; 4,700' PHASE 3</t>
  </si>
  <si>
    <t>00268493</t>
  </si>
  <si>
    <t>FP-317219</t>
  </si>
  <si>
    <t>CRM RP; 8" BRIDGE XING, WALLA WALLA</t>
  </si>
  <si>
    <t>RP; 8" ST; WALL; 500'</t>
  </si>
  <si>
    <t>00266121</t>
  </si>
  <si>
    <t>FP-316579</t>
  </si>
  <si>
    <t>C/M; 2,6,8" HP; ANACORTES; PH2</t>
  </si>
  <si>
    <t>MAOP; 8" HP, 2" IP; ANACORTES; PH 2</t>
  </si>
  <si>
    <t>00266178</t>
  </si>
  <si>
    <t>FP-317529</t>
  </si>
  <si>
    <t>C/M; 2,6,8" HP; ANACORTES; PH2 SERV</t>
  </si>
  <si>
    <t>MAOP; 1" PE SRV LINES; ANAC; PH 2</t>
  </si>
  <si>
    <t>Total Anacortes MAOP</t>
  </si>
  <si>
    <t>00252849</t>
  </si>
  <si>
    <t>FP-316689</t>
  </si>
  <si>
    <t>CRM ANAC PIPE RPL PH 5, 2 &amp; 3, SL</t>
  </si>
  <si>
    <t>CRM; 5/8" PE; ANAC; Serv.; Phase 5</t>
  </si>
  <si>
    <t>00256583</t>
  </si>
  <si>
    <t>FP-316690</t>
  </si>
  <si>
    <t>CRM ANAC PIPE RPL PH 6 MAIN</t>
  </si>
  <si>
    <t>CRM Anacortes Pipe Repl. Phase 6</t>
  </si>
  <si>
    <t>00252854</t>
  </si>
  <si>
    <t>FP-316691</t>
  </si>
  <si>
    <t>CRM ANAC PIPE RPL PH 6, SL</t>
  </si>
  <si>
    <t>CRM; 5/8" PE; ANAC; Serv.; Phase 6</t>
  </si>
  <si>
    <t>00265747</t>
  </si>
  <si>
    <t>FP-317514</t>
  </si>
  <si>
    <t>CRM;RP; 2" ST; ANACOR; 6,579' P7 S1</t>
  </si>
  <si>
    <t>RP; 2" ST; ANACORTES; 6,579' PH 7 S</t>
  </si>
  <si>
    <t>00266060</t>
  </si>
  <si>
    <t>FP-317524</t>
  </si>
  <si>
    <t xml:space="preserve">CRM; RP; 3/4" SL; ANACORTES; P7 S1 </t>
  </si>
  <si>
    <t xml:space="preserve">RP; 3/4" SL; ANACORTES; PH 7 SEC 1 </t>
  </si>
  <si>
    <t>00269672</t>
  </si>
  <si>
    <t>FP-318321</t>
  </si>
  <si>
    <t>CRM, RP; 2" ST; ANACORTES; 2,057' P</t>
  </si>
  <si>
    <t>00269678</t>
  </si>
  <si>
    <t>FP-318325</t>
  </si>
  <si>
    <t>CRM, RP; 3/4" SL; ANACORT; PH 7 S 2</t>
  </si>
  <si>
    <t>00274769</t>
  </si>
  <si>
    <t>FP-318186</t>
  </si>
  <si>
    <t>Sys Safety &amp; Integrity Mains Rpl-WA</t>
  </si>
  <si>
    <t>CRM, RP; 4" ST; ANACORTES;  PHASE 8</t>
  </si>
  <si>
    <t>00274770</t>
  </si>
  <si>
    <t>FP-318187</t>
  </si>
  <si>
    <t>Sys Safety &amp; Integrity Srvcs Rpl-WA</t>
  </si>
  <si>
    <t>CRM, RP; 3/4" SL; ANACORTES; PH 8</t>
  </si>
  <si>
    <t>Total Anacortes CRM Pipe Replacement</t>
  </si>
  <si>
    <t>00199775</t>
  </si>
  <si>
    <t>FP-300363</t>
  </si>
  <si>
    <t>CRM SHELTON PIPE REPLACEMENT</t>
  </si>
  <si>
    <t>RPL; 2:PE MAIN, SHELTON</t>
  </si>
  <si>
    <t>00242068</t>
  </si>
  <si>
    <t>CMR SHELTON PIPE REPLACEMENT</t>
  </si>
  <si>
    <t xml:space="preserve">RP; Shelton Bare Steel MN </t>
  </si>
  <si>
    <t>00242069</t>
  </si>
  <si>
    <t xml:space="preserve">RP; Shelton Bare Steel SL </t>
  </si>
  <si>
    <t>00254851</t>
  </si>
  <si>
    <t>FP-316766</t>
  </si>
  <si>
    <t>CRM; 4" PE; SHEL; 6,000' PHASE 2</t>
  </si>
  <si>
    <t>CRM; 4" PE; SHEL; 6,000' PH 2 SEC 1</t>
  </si>
  <si>
    <t>00254863</t>
  </si>
  <si>
    <t>FP-316767</t>
  </si>
  <si>
    <t>CRM; 2" PE; SHEL; 6,000' PHASE 2</t>
  </si>
  <si>
    <t>CRM; 2" PE; SHEL; 6,000' PH 2 SEC 2</t>
  </si>
  <si>
    <t>00254868</t>
  </si>
  <si>
    <t>FP-316768</t>
  </si>
  <si>
    <t>CRM; SL PE; SHELTON PHASE 2</t>
  </si>
  <si>
    <t>00266054</t>
  </si>
  <si>
    <t>FP-317519</t>
  </si>
  <si>
    <t>CRM; RP; 2" ST; SHELT; 7,034' P3 S1</t>
  </si>
  <si>
    <t>RP; 2" ST; SHELTON; 7,034' PH 3 SEC</t>
  </si>
  <si>
    <t>00266102</t>
  </si>
  <si>
    <t>FP-317528</t>
  </si>
  <si>
    <t xml:space="preserve">CRM; RP; 3/4" SL; SHELTON; P3 S1 </t>
  </si>
  <si>
    <t>RP; 3/4" SL; SHELTON; PH 3 SEC 1 SE</t>
  </si>
  <si>
    <t>Total Shelton CRM Pipe Replacement</t>
  </si>
  <si>
    <t>00255351</t>
  </si>
  <si>
    <t>FP-316777</t>
  </si>
  <si>
    <t xml:space="preserve">CRM; 2" PE; KELS; 12,000' KBS PART </t>
  </si>
  <si>
    <t>00255352</t>
  </si>
  <si>
    <t>FP-316778</t>
  </si>
  <si>
    <t>CRM; 1/2" SL; KELS; KBS SERVICES</t>
  </si>
  <si>
    <t>00255349</t>
  </si>
  <si>
    <t>FP-316787</t>
  </si>
  <si>
    <t>CRM; 2" PE; KELS; 20,500' KBS PT B</t>
  </si>
  <si>
    <t>00265880</t>
  </si>
  <si>
    <t>FP-317518</t>
  </si>
  <si>
    <t>CRM; RP; 2" ST; KELSO; 6,501' P2 S1</t>
  </si>
  <si>
    <t>RP; 2" ST; KELSO; 6,501' PH 2 SEC 2</t>
  </si>
  <si>
    <t>00266099</t>
  </si>
  <si>
    <t>FP-317527</t>
  </si>
  <si>
    <t>CRM; RP; 3/4" SL; KELSO; P2 S1 SERV</t>
  </si>
  <si>
    <t>RP; 3/4" SL; KELSO; PH 2 SEC 1 SERV</t>
  </si>
  <si>
    <t>00272440</t>
  </si>
  <si>
    <t>FP-319198</t>
  </si>
  <si>
    <t xml:space="preserve">CRM, RP; 2" ST; KELSO; 4,140' PH 2 </t>
  </si>
  <si>
    <t>00272445</t>
  </si>
  <si>
    <t>FP-319199</t>
  </si>
  <si>
    <t>Total Kelso CRM Pipe Replacement</t>
  </si>
  <si>
    <t>00265750</t>
  </si>
  <si>
    <t>FP-317516</t>
  </si>
  <si>
    <t>CRM; RP; 2" ST; LONGV; 3,959' P8 S1</t>
  </si>
  <si>
    <t>RP; 2" ST; LONGVIEW; 3,959' PH 8 SE</t>
  </si>
  <si>
    <t>00267771</t>
  </si>
  <si>
    <t>FP-317596</t>
  </si>
  <si>
    <t>CRM,RP; 3/4" SL; LONG; P8 S 1 SERV</t>
  </si>
  <si>
    <t>CRM, RP; 3/4" SL; LONGVIEW; P8 S1 S</t>
  </si>
  <si>
    <t>00268408</t>
  </si>
  <si>
    <t>FP-317612</t>
  </si>
  <si>
    <t>CRM, RP; 2" ST; LONGV; 2,745' P8 S2</t>
  </si>
  <si>
    <t>00268411</t>
  </si>
  <si>
    <t>FP-317614</t>
  </si>
  <si>
    <t>CRM, RP; 3/4" SL; LONGV; P8 S2 SERV</t>
  </si>
  <si>
    <t>Total Longivew CRM Pipe Replacement</t>
  </si>
  <si>
    <t>00264306</t>
  </si>
  <si>
    <t>FP-317474</t>
  </si>
  <si>
    <t>CRM; RP; 2" ST; LYND; 1,160'</t>
  </si>
  <si>
    <t>RPL 2" STL MN; LYNDEN 1160'</t>
  </si>
  <si>
    <t>00263036</t>
  </si>
  <si>
    <t>FP-317428</t>
  </si>
  <si>
    <t>CRM; 2" STL; BELL; 1900'</t>
  </si>
  <si>
    <t>CRM; 2" STL; BELL; 1900' JUT</t>
  </si>
  <si>
    <t>N/A</t>
  </si>
  <si>
    <t>FP-316033</t>
  </si>
  <si>
    <t>C/M RPL; 3" HP; ZILLAH; 873'</t>
  </si>
  <si>
    <t>FP-316580</t>
  </si>
  <si>
    <t>C/M RPL; 2,6,8" HP; ANACORTES; PH3</t>
  </si>
  <si>
    <t>Total Actuals</t>
  </si>
  <si>
    <t>January 2020 Thru October 31, 2020</t>
  </si>
  <si>
    <t>Total Estimates</t>
  </si>
  <si>
    <t>Reverse UG-190455 October Estimate</t>
  </si>
  <si>
    <t>Total Thru October</t>
  </si>
  <si>
    <t>Shaded Information is designated as confidential per WAC 480-07-160</t>
  </si>
  <si>
    <t>Estimate</t>
  </si>
  <si>
    <t>Actual thru August plus Oct True-up</t>
  </si>
  <si>
    <t>Thru September Acutal</t>
  </si>
  <si>
    <t>Cascade Natural Gas Corp.</t>
  </si>
  <si>
    <t>Replacement Projects 1-1-20 to 10-31-20</t>
  </si>
  <si>
    <t>Actual costs thru</t>
  </si>
  <si>
    <t>September with</t>
  </si>
  <si>
    <t>Estimtimated Cost</t>
  </si>
  <si>
    <t>Project</t>
  </si>
  <si>
    <t>Location</t>
  </si>
  <si>
    <t>Funding Projects</t>
  </si>
  <si>
    <t>thru October</t>
  </si>
  <si>
    <t>Actual Cost</t>
  </si>
  <si>
    <t>TYPE OF PIPE TO BE REPLACED</t>
  </si>
  <si>
    <t>ANACORTES</t>
  </si>
  <si>
    <t>BARE STEEL/PRE-CNG PIPE - IDENTIFIED HIGH (RED) RISK IN DIMP</t>
  </si>
  <si>
    <t>CRM Pipe Replacement, Anacortes</t>
  </si>
  <si>
    <t>FP-316691,FP-317514, FP-317524, FP-318321,      FP-318325, FP-318186, FP-318187</t>
  </si>
  <si>
    <t>CRM RPL; 12" STL HP, LONG/KELSO PH3</t>
  </si>
  <si>
    <t>LONGVIEW/KELSO</t>
  </si>
  <si>
    <t>PRE-CNG PIPE - HIGH (RED) IN DIMP</t>
  </si>
  <si>
    <t>SHELTON</t>
  </si>
  <si>
    <t>FP-317519, FP-317528</t>
  </si>
  <si>
    <t>PRE-CNG PIPE - IDENTIFIED HIGH (RED) RISK IN DIMP</t>
  </si>
  <si>
    <t>CRM RPL; 3" HP; Zilliah; 873'</t>
  </si>
  <si>
    <t>ZILLIAH</t>
  </si>
  <si>
    <t>KELSO</t>
  </si>
  <si>
    <t>EXPOSED PIPE SUSCEPTIBLE TO CORROSION RISK - MODERATE (ORANGE)</t>
  </si>
  <si>
    <t>CRM Longview</t>
  </si>
  <si>
    <t>LONGVIEW</t>
  </si>
  <si>
    <t>FP-317516, FP-317596, FP-317612, FP-317614</t>
  </si>
  <si>
    <t>PRE-CNG PIPE</t>
  </si>
  <si>
    <t>FP-316579, FP-317529</t>
  </si>
  <si>
    <t>CRM KELSO PIPE REPLACEMENT</t>
  </si>
  <si>
    <t>FP-317518, FP-317527, FP-319198, FP-319199</t>
  </si>
  <si>
    <t>HIGH-MODERATE RISK IN DIMP</t>
  </si>
  <si>
    <t>CRM 2" STL BELLINGHAM</t>
  </si>
  <si>
    <t>BELLIGHAM</t>
  </si>
  <si>
    <t>BARE STEEL/PRE-CNG PIPE IDENTIFIED HIGH (RED) RISK IN DIMP</t>
  </si>
  <si>
    <t>OTHELLO</t>
  </si>
  <si>
    <t>EARLY VINTAGE STEEL PIPE PRE-1970</t>
  </si>
  <si>
    <t>WALLA WALLA</t>
  </si>
  <si>
    <t>Total Estimated Replacement Cost</t>
  </si>
  <si>
    <t>Schedule</t>
  </si>
  <si>
    <t>503</t>
  </si>
  <si>
    <t>505</t>
  </si>
  <si>
    <t>570</t>
  </si>
  <si>
    <t xml:space="preserve"> </t>
  </si>
  <si>
    <t>Rate Base Allocation from UG-170929 Company COS</t>
  </si>
  <si>
    <t>Percentage</t>
  </si>
  <si>
    <t>Total Investment</t>
  </si>
  <si>
    <t>Ln 20</t>
  </si>
  <si>
    <t xml:space="preserve">   Accumulated Depr. (Avg)</t>
  </si>
  <si>
    <t>Ln 41 / 2</t>
  </si>
  <si>
    <t>Accum Tax depreciation</t>
  </si>
  <si>
    <t>Ln 40 *3.75%</t>
  </si>
  <si>
    <t>Deferred Tax</t>
  </si>
  <si>
    <t>(Ln 43 - Ln 41) * .21</t>
  </si>
  <si>
    <t xml:space="preserve">   Accum Def Tax (Avg)</t>
  </si>
  <si>
    <t>Ln 44 / 2</t>
  </si>
  <si>
    <t>FIT</t>
  </si>
  <si>
    <t>Ln 41* .21</t>
  </si>
  <si>
    <t>Rate Base</t>
  </si>
  <si>
    <t>Ln 20 - Ln 42 - Ln 45</t>
  </si>
  <si>
    <t>NOI</t>
  </si>
  <si>
    <t>((Ln 48 * Ln 49)  and  (Ln 41 - Ln 46-Ln 47)</t>
  </si>
  <si>
    <t>Total NOI</t>
  </si>
  <si>
    <t>Sum Ln 50</t>
  </si>
  <si>
    <t>Revenue Requirement (Current Year Investment)</t>
  </si>
  <si>
    <t>Ln 51 / Ln 52</t>
  </si>
  <si>
    <t>2020 Current Revenue Requirement</t>
  </si>
  <si>
    <t>Total Revenue Requirement</t>
  </si>
  <si>
    <t>Ln 53</t>
  </si>
  <si>
    <t>Less UG-190455 Updated Revenue Requirement (From UG-190210 Compliance filing)</t>
  </si>
  <si>
    <t>Increase in Revenue Requirement</t>
  </si>
  <si>
    <t>Allocation Rev Req to Schedules</t>
  </si>
  <si>
    <t>Ln 54 * Ln 39</t>
  </si>
  <si>
    <t xml:space="preserve">Weather Normalized 2019 Volumes </t>
  </si>
  <si>
    <t>Rate Charge</t>
  </si>
  <si>
    <t>Ln 55 / Ln 56</t>
  </si>
  <si>
    <t>2019 Commission Basis Total Revenue</t>
  </si>
  <si>
    <t>Percentage Increase in Revenue</t>
  </si>
  <si>
    <t>Ln 54 / Ln 58</t>
  </si>
  <si>
    <t>Conversion Factor in UG-200568</t>
  </si>
  <si>
    <t>Authorized ROR from UG-200568</t>
  </si>
  <si>
    <t>Ln 40* 2.63%</t>
  </si>
  <si>
    <t>Depreciation Expense  -  Rate 2.63%</t>
  </si>
  <si>
    <t>Interest Coordination Adj (Rate Base x Weighted Cost of Debt (2.336%) x 21% 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</si>
</sst>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"/>
    <numFmt numFmtId="166" formatCode="&quot;$&quot;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39" fontId="0" fillId="0" borderId="0" xfId="0" applyNumberFormat="1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39" fontId="0" fillId="0" borderId="9" xfId="0" applyNumberFormat="1" applyFill="1" applyBorder="1"/>
    <xf numFmtId="0" fontId="4" fillId="0" borderId="0" xfId="0" applyFont="1"/>
    <xf numFmtId="0" fontId="1" fillId="0" borderId="0" xfId="0" applyFont="1" applyAlignment="1">
      <alignment horizontal="center"/>
    </xf>
    <xf numFmtId="43" fontId="1" fillId="0" borderId="0" xfId="1" applyFont="1" applyFill="1" applyAlignment="1">
      <alignment horizontal="center"/>
    </xf>
    <xf numFmtId="43" fontId="0" fillId="0" borderId="0" xfId="1" applyFont="1" applyFill="1"/>
    <xf numFmtId="164" fontId="1" fillId="0" borderId="0" xfId="1" applyNumberFormat="1" applyFont="1" applyFill="1" applyAlignment="1">
      <alignment horizontal="center"/>
    </xf>
    <xf numFmtId="43" fontId="1" fillId="0" borderId="0" xfId="1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43" fontId="0" fillId="0" borderId="0" xfId="0" applyNumberFormat="1"/>
    <xf numFmtId="165" fontId="3" fillId="0" borderId="0" xfId="1" applyNumberFormat="1" applyFont="1" applyFill="1"/>
    <xf numFmtId="4" fontId="0" fillId="0" borderId="0" xfId="0" applyNumberFormat="1"/>
    <xf numFmtId="0" fontId="3" fillId="0" borderId="0" xfId="2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1" fillId="0" borderId="0" xfId="0" applyFont="1"/>
    <xf numFmtId="39" fontId="0" fillId="0" borderId="0" xfId="0" applyNumberFormat="1"/>
    <xf numFmtId="44" fontId="3" fillId="0" borderId="0" xfId="2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vertical="center"/>
    </xf>
    <xf numFmtId="44" fontId="1" fillId="0" borderId="0" xfId="2" applyFont="1" applyFill="1" applyBorder="1" applyAlignment="1">
      <alignment vertical="center"/>
    </xf>
    <xf numFmtId="39" fontId="1" fillId="0" borderId="0" xfId="0" applyNumberFormat="1" applyFont="1"/>
    <xf numFmtId="0" fontId="1" fillId="0" borderId="0" xfId="0" applyFont="1" applyAlignment="1">
      <alignment vertical="center"/>
    </xf>
    <xf numFmtId="165" fontId="1" fillId="0" borderId="0" xfId="1" applyNumberFormat="1" applyFont="1" applyFill="1"/>
    <xf numFmtId="44" fontId="0" fillId="0" borderId="0" xfId="2" applyFont="1" applyFill="1" applyBorder="1" applyAlignment="1">
      <alignment vertical="center"/>
    </xf>
    <xf numFmtId="39" fontId="0" fillId="0" borderId="0" xfId="2" applyNumberFormat="1" applyFont="1" applyFill="1" applyBorder="1" applyAlignment="1">
      <alignment vertical="center"/>
    </xf>
    <xf numFmtId="165" fontId="0" fillId="0" borderId="0" xfId="1" applyNumberFormat="1" applyFont="1" applyFill="1"/>
    <xf numFmtId="39" fontId="1" fillId="0" borderId="0" xfId="0" applyNumberFormat="1" applyFont="1" applyAlignment="1">
      <alignment vertical="center"/>
    </xf>
    <xf numFmtId="39" fontId="0" fillId="0" borderId="0" xfId="0" applyNumberFormat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165" fontId="0" fillId="0" borderId="12" xfId="1" applyNumberFormat="1" applyFont="1" applyFill="1" applyBorder="1"/>
    <xf numFmtId="43" fontId="0" fillId="0" borderId="12" xfId="1" applyFont="1" applyFill="1" applyBorder="1"/>
    <xf numFmtId="5" fontId="0" fillId="0" borderId="12" xfId="1" applyNumberFormat="1" applyFont="1" applyFill="1" applyBorder="1"/>
    <xf numFmtId="43" fontId="4" fillId="0" borderId="0" xfId="1" applyFont="1" applyFill="1" applyAlignment="1">
      <alignment horizontal="right"/>
    </xf>
    <xf numFmtId="49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10" fontId="0" fillId="0" borderId="0" xfId="3" applyNumberFormat="1" applyFont="1" applyFill="1"/>
    <xf numFmtId="37" fontId="0" fillId="0" borderId="0" xfId="0" applyNumberFormat="1"/>
    <xf numFmtId="3" fontId="0" fillId="0" borderId="0" xfId="0" applyNumberFormat="1"/>
    <xf numFmtId="1" fontId="0" fillId="0" borderId="0" xfId="0" applyNumberFormat="1"/>
    <xf numFmtId="10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5" fontId="1" fillId="0" borderId="13" xfId="0" applyNumberFormat="1" applyFont="1" applyBorder="1"/>
    <xf numFmtId="166" fontId="0" fillId="0" borderId="0" xfId="0" applyNumberFormat="1"/>
    <xf numFmtId="43" fontId="3" fillId="0" borderId="0" xfId="2" applyNumberFormat="1" applyFont="1" applyFill="1" applyBorder="1" applyAlignment="1">
      <alignment vertical="center"/>
    </xf>
    <xf numFmtId="10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65" fontId="1" fillId="2" borderId="0" xfId="0" applyNumberFormat="1" applyFont="1" applyFill="1"/>
    <xf numFmtId="166" fontId="0" fillId="2" borderId="0" xfId="0" applyNumberFormat="1" applyFill="1"/>
    <xf numFmtId="0" fontId="2" fillId="0" borderId="0" xfId="0" applyFont="1" applyFill="1"/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wrapText="1"/>
    </xf>
    <xf numFmtId="0" fontId="0" fillId="0" borderId="0" xfId="0" applyFill="1" applyBorder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39" fontId="0" fillId="0" borderId="2" xfId="0" applyNumberFormat="1" applyFill="1" applyBorder="1"/>
    <xf numFmtId="39" fontId="0" fillId="0" borderId="6" xfId="0" applyNumberFormat="1" applyFill="1" applyBorder="1"/>
    <xf numFmtId="49" fontId="0" fillId="0" borderId="4" xfId="0" applyNumberFormat="1" applyFill="1" applyBorder="1"/>
    <xf numFmtId="49" fontId="0" fillId="0" borderId="3" xfId="0" applyNumberFormat="1" applyFill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9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3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0" xfId="0" applyNumberFormat="1" applyFill="1" applyBorder="1"/>
    <xf numFmtId="49" fontId="0" fillId="0" borderId="9" xfId="0" applyNumberFormat="1" applyFill="1" applyBorder="1" applyAlignment="1">
      <alignment horizontal="center"/>
    </xf>
    <xf numFmtId="39" fontId="1" fillId="0" borderId="0" xfId="0" applyNumberFormat="1" applyFont="1" applyFill="1"/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39" fontId="0" fillId="2" borderId="0" xfId="0" applyNumberFormat="1" applyFill="1"/>
    <xf numFmtId="39" fontId="0" fillId="2" borderId="0" xfId="0" applyNumberForma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ipeline%20Replacement%20Plan%20-%20Washington/2020/UG-200493,%20CNGC%20CRM%20Monthly%20details,%20WP%2009.30.20%20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ipeline%20Replacement%20Plan%20-%20Washington/2020/E-Filed%2010.15.20/UG-200493,%20CNGC%20CRM%20Actual%20Forecast%20through%209.20.20,%2010.15.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aved as Values"/>
      <sheetName val="11-2019 WO 265881"/>
      <sheetName val="11-2019 WO 266121"/>
      <sheetName val="11-2019 WO 266178"/>
      <sheetName val="11-2019 WO 269672"/>
      <sheetName val="11-2019 WO 266054"/>
      <sheetName val="12-2019 WO 266121"/>
      <sheetName val="12-2019 WO 265750"/>
      <sheetName val="01-2020 WO 266121"/>
    </sheetNames>
    <sheetDataSet>
      <sheetData sheetId="0">
        <row r="10">
          <cell r="Y10">
            <v>2665754.9899999998</v>
          </cell>
        </row>
        <row r="62">
          <cell r="Y62">
            <v>0</v>
          </cell>
        </row>
        <row r="64">
          <cell r="Y6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Saved as Values"/>
      <sheetName val="11-2019 WO 265881"/>
      <sheetName val="11-2019 WO 266121"/>
      <sheetName val="11-2019 WO 266178"/>
      <sheetName val="11-2019 WO 269672"/>
      <sheetName val="11-2019 WO 266054"/>
      <sheetName val="12-2019 WO 266121"/>
      <sheetName val="12-2019 WO 265750"/>
      <sheetName val="01-2020 WO 266121"/>
    </sheetNames>
    <sheetDataSet>
      <sheetData sheetId="0">
        <row r="10">
          <cell r="Y10">
            <v>2629141.9</v>
          </cell>
        </row>
        <row r="12">
          <cell r="Y12">
            <v>-214295.21000000002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D21-B6E5-4DE1-BB80-91FA5B1FAF55}">
  <sheetPr>
    <pageSetUpPr fitToPage="1"/>
  </sheetPr>
  <dimension ref="A1:P72"/>
  <sheetViews>
    <sheetView topLeftCell="A31" zoomScaleNormal="100" workbookViewId="0">
      <selection activeCell="H61" sqref="H61:M61"/>
    </sheetView>
  </sheetViews>
  <sheetFormatPr defaultRowHeight="15" x14ac:dyDescent="0.25"/>
  <cols>
    <col min="1" max="1" width="3" bestFit="1" customWidth="1"/>
    <col min="2" max="2" width="2.7109375" customWidth="1"/>
    <col min="3" max="3" width="75.42578125" bestFit="1" customWidth="1"/>
    <col min="4" max="4" width="17.28515625" bestFit="1" customWidth="1"/>
    <col min="5" max="5" width="41.710937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C1" s="7" t="s">
        <v>174</v>
      </c>
    </row>
    <row r="2" spans="1:16" x14ac:dyDescent="0.25">
      <c r="C2" t="s">
        <v>175</v>
      </c>
      <c r="F2" s="8" t="s">
        <v>176</v>
      </c>
    </row>
    <row r="3" spans="1:16" x14ac:dyDescent="0.25">
      <c r="F3" s="9" t="s">
        <v>177</v>
      </c>
    </row>
    <row r="4" spans="1:16" x14ac:dyDescent="0.25">
      <c r="C4" s="10"/>
      <c r="D4" s="10"/>
      <c r="E4" s="10"/>
      <c r="F4" s="9" t="s">
        <v>178</v>
      </c>
      <c r="G4" s="10"/>
      <c r="H4" s="11">
        <v>44104</v>
      </c>
      <c r="I4" s="10"/>
      <c r="J4" s="10"/>
      <c r="K4" s="10"/>
      <c r="L4" s="10"/>
      <c r="M4" s="10"/>
      <c r="N4" s="10"/>
      <c r="O4" s="10"/>
    </row>
    <row r="5" spans="1:16" x14ac:dyDescent="0.25">
      <c r="C5" s="9" t="s">
        <v>179</v>
      </c>
      <c r="D5" s="9" t="s">
        <v>180</v>
      </c>
      <c r="E5" s="9" t="s">
        <v>181</v>
      </c>
      <c r="F5" s="9" t="s">
        <v>182</v>
      </c>
      <c r="G5" s="10"/>
      <c r="H5" s="9" t="s">
        <v>183</v>
      </c>
      <c r="I5" s="10"/>
      <c r="J5" s="12" t="s">
        <v>184</v>
      </c>
      <c r="K5" s="10"/>
      <c r="L5" s="10"/>
      <c r="M5" s="10"/>
      <c r="N5" s="12"/>
      <c r="O5" s="10"/>
    </row>
    <row r="6" spans="1:16" x14ac:dyDescent="0.25">
      <c r="C6" s="9"/>
      <c r="D6" s="9"/>
      <c r="E6" s="10"/>
      <c r="F6" s="12"/>
      <c r="G6" s="10"/>
      <c r="H6" s="12"/>
      <c r="I6" s="10"/>
      <c r="J6" s="10"/>
      <c r="K6" s="10"/>
      <c r="L6" s="10"/>
      <c r="M6" s="10"/>
      <c r="N6" s="10"/>
      <c r="O6" s="10"/>
    </row>
    <row r="7" spans="1:16" x14ac:dyDescent="0.25">
      <c r="A7">
        <v>1</v>
      </c>
      <c r="C7" s="13" t="s">
        <v>164</v>
      </c>
      <c r="D7" s="14" t="s">
        <v>185</v>
      </c>
      <c r="E7" s="15" t="s">
        <v>163</v>
      </c>
      <c r="F7" s="52">
        <v>0</v>
      </c>
      <c r="H7" s="16">
        <f>+'[1]Query Saved as Values'!$Y$64</f>
        <v>0</v>
      </c>
      <c r="I7" s="13" t="s">
        <v>186</v>
      </c>
      <c r="L7" s="17"/>
      <c r="M7" s="13"/>
      <c r="N7" s="18"/>
      <c r="O7" s="18"/>
      <c r="P7" s="18"/>
    </row>
    <row r="8" spans="1:16" ht="30" x14ac:dyDescent="0.25">
      <c r="A8">
        <v>2</v>
      </c>
      <c r="C8" s="13" t="s">
        <v>187</v>
      </c>
      <c r="D8" s="14" t="s">
        <v>185</v>
      </c>
      <c r="E8" s="19" t="s">
        <v>188</v>
      </c>
      <c r="F8" s="52">
        <f>+Monthly!Z31</f>
        <v>7631034.1700000009</v>
      </c>
      <c r="H8" s="20">
        <v>6747195.2400000002</v>
      </c>
      <c r="I8" s="13" t="s">
        <v>186</v>
      </c>
      <c r="L8" s="17"/>
      <c r="M8" s="13"/>
      <c r="N8" s="18"/>
      <c r="O8" s="18"/>
      <c r="P8" s="18"/>
    </row>
    <row r="9" spans="1:16" x14ac:dyDescent="0.25">
      <c r="A9">
        <v>3</v>
      </c>
      <c r="C9" s="13" t="s">
        <v>189</v>
      </c>
      <c r="D9" s="14" t="s">
        <v>190</v>
      </c>
      <c r="E9" s="15" t="s">
        <v>34</v>
      </c>
      <c r="F9" s="52">
        <f>+Monthly!Z14</f>
        <v>167810.18</v>
      </c>
      <c r="H9" s="16">
        <v>-1505278.57</v>
      </c>
      <c r="I9" s="13" t="s">
        <v>191</v>
      </c>
      <c r="L9" s="17"/>
      <c r="M9" s="13"/>
      <c r="N9" s="18"/>
      <c r="O9" s="18"/>
      <c r="P9" s="18"/>
    </row>
    <row r="10" spans="1:16" x14ac:dyDescent="0.25">
      <c r="A10">
        <v>4</v>
      </c>
      <c r="C10" s="13" t="s">
        <v>87</v>
      </c>
      <c r="D10" s="14" t="s">
        <v>192</v>
      </c>
      <c r="E10" s="15" t="s">
        <v>193</v>
      </c>
      <c r="F10" s="52">
        <f>+Monthly!Z41</f>
        <v>341064.43999999994</v>
      </c>
      <c r="H10" s="16">
        <v>-109959.95</v>
      </c>
      <c r="I10" s="13" t="s">
        <v>194</v>
      </c>
      <c r="L10" s="17"/>
      <c r="M10" s="13"/>
      <c r="N10" s="18"/>
      <c r="O10" s="18"/>
      <c r="P10" s="18"/>
    </row>
    <row r="11" spans="1:16" x14ac:dyDescent="0.25">
      <c r="A11">
        <v>5</v>
      </c>
      <c r="B11" s="21"/>
      <c r="C11" s="13" t="s">
        <v>195</v>
      </c>
      <c r="D11" s="14" t="s">
        <v>196</v>
      </c>
      <c r="E11" s="15" t="s">
        <v>161</v>
      </c>
      <c r="F11" s="52">
        <v>0</v>
      </c>
      <c r="H11" s="16">
        <f>+'[1]Query Saved as Values'!$Y$62</f>
        <v>0</v>
      </c>
      <c r="I11" s="13" t="s">
        <v>194</v>
      </c>
      <c r="L11" s="17"/>
      <c r="M11" s="13"/>
      <c r="N11" s="18"/>
      <c r="O11" s="18"/>
      <c r="P11" s="18"/>
    </row>
    <row r="12" spans="1:16" x14ac:dyDescent="0.25">
      <c r="A12">
        <v>6</v>
      </c>
      <c r="C12" s="13" t="s">
        <v>31</v>
      </c>
      <c r="D12" s="14" t="s">
        <v>197</v>
      </c>
      <c r="E12" s="15" t="s">
        <v>30</v>
      </c>
      <c r="F12" s="52">
        <f>+Monthly!Z12</f>
        <v>72404.789999999994</v>
      </c>
      <c r="H12" s="16">
        <f>+'[2]Query Saved as Values'!$Y$12</f>
        <v>-214295.21000000002</v>
      </c>
      <c r="I12" s="13" t="s">
        <v>198</v>
      </c>
      <c r="L12" s="17"/>
      <c r="M12" s="13"/>
      <c r="N12" s="18"/>
      <c r="O12" s="18"/>
      <c r="P12" s="18"/>
    </row>
    <row r="13" spans="1:16" x14ac:dyDescent="0.25">
      <c r="A13">
        <v>7</v>
      </c>
      <c r="C13" s="13" t="s">
        <v>199</v>
      </c>
      <c r="D13" s="14" t="s">
        <v>200</v>
      </c>
      <c r="E13" s="15" t="s">
        <v>201</v>
      </c>
      <c r="F13" s="52">
        <f>+Monthly!Z56</f>
        <v>46047.479999999996</v>
      </c>
      <c r="H13" s="16">
        <f>+Monthly!$Y$56</f>
        <v>0</v>
      </c>
      <c r="I13" s="13" t="s">
        <v>202</v>
      </c>
      <c r="L13" s="17"/>
      <c r="M13" s="13"/>
      <c r="N13" s="18"/>
      <c r="O13" s="18"/>
      <c r="P13" s="18"/>
    </row>
    <row r="14" spans="1:16" x14ac:dyDescent="0.25">
      <c r="A14">
        <v>8</v>
      </c>
      <c r="C14" s="13" t="s">
        <v>43</v>
      </c>
      <c r="D14" s="14" t="s">
        <v>185</v>
      </c>
      <c r="E14" s="15" t="s">
        <v>203</v>
      </c>
      <c r="F14" s="52">
        <f>+Monthly!Z20</f>
        <v>1131792.42</v>
      </c>
      <c r="H14" s="16">
        <f>+Monthly!$Y$20</f>
        <v>0</v>
      </c>
      <c r="I14" s="13" t="s">
        <v>202</v>
      </c>
      <c r="L14" s="17"/>
      <c r="M14" s="13"/>
      <c r="N14" s="18"/>
      <c r="O14" s="18"/>
      <c r="P14" s="18"/>
    </row>
    <row r="15" spans="1:16" x14ac:dyDescent="0.25">
      <c r="A15">
        <v>9</v>
      </c>
      <c r="C15" s="13" t="s">
        <v>204</v>
      </c>
      <c r="D15" s="14" t="s">
        <v>197</v>
      </c>
      <c r="E15" s="15" t="s">
        <v>205</v>
      </c>
      <c r="F15" s="52">
        <f>+Monthly!Z50</f>
        <v>121341.01999999997</v>
      </c>
      <c r="H15" s="16">
        <f>+Monthly!$Y$50</f>
        <v>0</v>
      </c>
      <c r="I15" s="13" t="s">
        <v>206</v>
      </c>
      <c r="L15" s="17"/>
      <c r="M15" s="13"/>
      <c r="N15" s="18"/>
      <c r="O15" s="18"/>
      <c r="P15" s="18"/>
    </row>
    <row r="16" spans="1:16" x14ac:dyDescent="0.25">
      <c r="A16">
        <v>10</v>
      </c>
      <c r="C16" s="13" t="s">
        <v>207</v>
      </c>
      <c r="D16" s="14" t="s">
        <v>208</v>
      </c>
      <c r="E16" s="15" t="s">
        <v>157</v>
      </c>
      <c r="F16" s="52">
        <f>+Monthly!Z60</f>
        <v>38830.54</v>
      </c>
      <c r="H16" s="16">
        <f>+Monthly!$Y$60</f>
        <v>0</v>
      </c>
      <c r="I16" s="13" t="s">
        <v>209</v>
      </c>
      <c r="L16" s="17"/>
      <c r="M16" s="13"/>
      <c r="N16" s="18"/>
      <c r="O16" s="18"/>
      <c r="P16" s="18"/>
    </row>
    <row r="17" spans="1:16" x14ac:dyDescent="0.25">
      <c r="A17">
        <v>11</v>
      </c>
      <c r="C17" s="13" t="s">
        <v>27</v>
      </c>
      <c r="D17" s="14" t="s">
        <v>210</v>
      </c>
      <c r="E17" s="15" t="s">
        <v>26</v>
      </c>
      <c r="F17" s="52">
        <f>+Monthly!Z10</f>
        <v>3135079.27</v>
      </c>
      <c r="H17" s="16">
        <v>2584179.2799999998</v>
      </c>
      <c r="I17" s="13" t="s">
        <v>211</v>
      </c>
      <c r="L17" s="17"/>
      <c r="M17" s="13"/>
      <c r="N17" s="18"/>
      <c r="O17" s="18"/>
      <c r="P17" s="18"/>
    </row>
    <row r="18" spans="1:16" x14ac:dyDescent="0.25">
      <c r="A18">
        <v>12</v>
      </c>
      <c r="C18" s="13" t="s">
        <v>39</v>
      </c>
      <c r="D18" s="14" t="s">
        <v>212</v>
      </c>
      <c r="E18" s="15" t="s">
        <v>38</v>
      </c>
      <c r="F18" s="24">
        <f>+Monthly!Z16</f>
        <v>-434.51999999999953</v>
      </c>
      <c r="G18" s="22"/>
      <c r="H18" s="22">
        <f>+Monthly!$Y$16</f>
        <v>0</v>
      </c>
      <c r="I18" s="13" t="s">
        <v>211</v>
      </c>
      <c r="L18" s="17"/>
      <c r="M18" s="13"/>
    </row>
    <row r="19" spans="1:16" x14ac:dyDescent="0.25">
      <c r="A19">
        <v>13</v>
      </c>
      <c r="C19" s="13"/>
      <c r="D19" s="14"/>
      <c r="E19" s="23"/>
      <c r="F19" s="24"/>
      <c r="G19" s="22"/>
      <c r="H19" s="22"/>
      <c r="I19" s="13"/>
      <c r="L19" s="17"/>
      <c r="M19" s="13"/>
    </row>
    <row r="20" spans="1:16" x14ac:dyDescent="0.25">
      <c r="A20">
        <v>14</v>
      </c>
      <c r="C20" s="13"/>
      <c r="D20" s="14"/>
      <c r="E20" s="25"/>
      <c r="F20" s="24"/>
      <c r="G20" s="26"/>
      <c r="H20" s="22"/>
      <c r="I20" s="27"/>
      <c r="J20" s="21"/>
      <c r="K20" s="21"/>
      <c r="L20" s="28"/>
      <c r="M20" s="13"/>
    </row>
    <row r="21" spans="1:16" x14ac:dyDescent="0.25">
      <c r="A21">
        <v>15</v>
      </c>
      <c r="C21" s="13"/>
      <c r="D21" s="14"/>
      <c r="E21" s="25"/>
      <c r="F21" s="24"/>
      <c r="G21" s="26"/>
      <c r="H21" s="22"/>
      <c r="I21" s="27"/>
      <c r="J21" s="21"/>
      <c r="K21" s="21"/>
      <c r="L21" s="28"/>
      <c r="M21" s="13"/>
    </row>
    <row r="22" spans="1:16" x14ac:dyDescent="0.25">
      <c r="A22">
        <v>16</v>
      </c>
      <c r="C22" s="13"/>
      <c r="D22" s="14"/>
      <c r="E22" s="25"/>
      <c r="F22" s="24"/>
      <c r="G22" s="26"/>
      <c r="H22" s="22"/>
      <c r="I22" s="27"/>
      <c r="J22" s="21"/>
      <c r="K22" s="21"/>
      <c r="L22" s="28"/>
      <c r="M22" s="13"/>
    </row>
    <row r="23" spans="1:16" x14ac:dyDescent="0.25">
      <c r="A23">
        <v>17</v>
      </c>
      <c r="C23" s="13"/>
      <c r="D23" s="14"/>
      <c r="E23" s="29"/>
      <c r="F23" s="30"/>
      <c r="G23" s="22"/>
      <c r="H23" s="22"/>
      <c r="I23" s="13"/>
      <c r="L23" s="31"/>
      <c r="M23" s="13"/>
    </row>
    <row r="24" spans="1:16" ht="15.75" thickBot="1" x14ac:dyDescent="0.3">
      <c r="A24">
        <v>18</v>
      </c>
      <c r="C24" s="13"/>
      <c r="D24" s="14"/>
      <c r="E24" s="25"/>
      <c r="F24" s="32"/>
      <c r="G24" s="33"/>
      <c r="H24" s="34"/>
      <c r="I24" s="35"/>
      <c r="J24" s="35"/>
      <c r="K24" s="35"/>
      <c r="L24" s="10"/>
      <c r="M24" s="10"/>
      <c r="N24" s="10"/>
      <c r="O24" s="10"/>
    </row>
    <row r="25" spans="1:16" ht="15.75" thickTop="1" x14ac:dyDescent="0.25">
      <c r="A25">
        <v>19</v>
      </c>
      <c r="C25" s="10" t="s">
        <v>213</v>
      </c>
      <c r="D25" s="10"/>
      <c r="E25" s="10"/>
      <c r="F25" s="36">
        <f>SUM(F7:F24)</f>
        <v>12684969.789999999</v>
      </c>
      <c r="G25" s="37"/>
      <c r="H25" s="38">
        <f>SUM(H7:H24)</f>
        <v>7501840.7899999991</v>
      </c>
      <c r="I25" s="31"/>
      <c r="J25" s="10"/>
      <c r="K25" s="10"/>
      <c r="L25" s="10"/>
      <c r="M25" s="10"/>
      <c r="N25" s="10"/>
      <c r="O25" s="10"/>
    </row>
    <row r="26" spans="1:16" x14ac:dyDescent="0.25">
      <c r="C26" s="10"/>
      <c r="D26" s="10"/>
      <c r="E26" s="10"/>
      <c r="F26" s="31"/>
      <c r="G26" s="10"/>
      <c r="H26" s="31"/>
      <c r="I26" s="10"/>
      <c r="J26" s="10"/>
      <c r="K26" s="10"/>
      <c r="L26" s="10"/>
      <c r="M26" s="10"/>
      <c r="N26" s="10"/>
      <c r="O26" s="10"/>
    </row>
    <row r="27" spans="1:16" ht="18.75" x14ac:dyDescent="0.3">
      <c r="A27">
        <v>20</v>
      </c>
      <c r="C27" s="10"/>
      <c r="D27" s="10"/>
      <c r="E27" s="10"/>
      <c r="F27" s="10"/>
      <c r="G27" s="10"/>
      <c r="H27" s="39" t="s">
        <v>214</v>
      </c>
      <c r="I27" s="39" t="s">
        <v>214</v>
      </c>
      <c r="J27" s="39" t="s">
        <v>214</v>
      </c>
      <c r="K27" s="39" t="s">
        <v>214</v>
      </c>
      <c r="L27" s="39" t="s">
        <v>214</v>
      </c>
      <c r="M27" s="39" t="s">
        <v>214</v>
      </c>
      <c r="N27" s="39"/>
      <c r="O27" s="39"/>
    </row>
    <row r="28" spans="1:16" ht="18.75" x14ac:dyDescent="0.3">
      <c r="A28">
        <v>21</v>
      </c>
      <c r="C28" s="10"/>
      <c r="D28" s="10"/>
      <c r="E28" s="10"/>
      <c r="F28" s="10"/>
      <c r="G28" s="10"/>
      <c r="H28" s="40" t="s">
        <v>215</v>
      </c>
      <c r="I28" s="41">
        <v>504</v>
      </c>
      <c r="J28" s="40" t="s">
        <v>216</v>
      </c>
      <c r="K28" s="41">
        <v>511</v>
      </c>
      <c r="L28" s="40" t="s">
        <v>217</v>
      </c>
      <c r="M28" s="41">
        <v>663</v>
      </c>
      <c r="N28" s="41"/>
      <c r="O28" s="41"/>
    </row>
    <row r="29" spans="1:16" x14ac:dyDescent="0.25">
      <c r="C29" s="10"/>
      <c r="D29" s="10"/>
      <c r="E29" s="10"/>
      <c r="F29" s="10"/>
      <c r="G29" s="10"/>
      <c r="H29" s="10" t="s">
        <v>218</v>
      </c>
      <c r="I29" s="10"/>
      <c r="J29" s="10"/>
      <c r="K29" s="10"/>
      <c r="L29" s="10"/>
      <c r="M29" s="10"/>
      <c r="N29" s="10"/>
      <c r="O29" s="10"/>
    </row>
    <row r="30" spans="1:16" x14ac:dyDescent="0.25">
      <c r="A30">
        <v>22</v>
      </c>
      <c r="C30" s="42" t="s">
        <v>219</v>
      </c>
      <c r="D30" s="42"/>
      <c r="E30" s="10"/>
      <c r="F30" s="31">
        <f>SUM(H30:Q30)</f>
        <v>279938461</v>
      </c>
      <c r="G30" s="31"/>
      <c r="H30" s="31">
        <v>139245995</v>
      </c>
      <c r="I30" s="31">
        <v>64103014</v>
      </c>
      <c r="J30" s="31">
        <v>7030783</v>
      </c>
      <c r="K30" s="31">
        <v>5473765</v>
      </c>
      <c r="L30" s="31">
        <v>806645</v>
      </c>
      <c r="M30" s="31">
        <v>63278259</v>
      </c>
      <c r="N30" s="31"/>
      <c r="O30" s="31"/>
    </row>
    <row r="31" spans="1:16" x14ac:dyDescent="0.25">
      <c r="A31">
        <v>23</v>
      </c>
      <c r="C31" t="s">
        <v>220</v>
      </c>
      <c r="F31" s="43">
        <f>SUM(H31:Q31)</f>
        <v>1</v>
      </c>
      <c r="H31" s="43">
        <f t="shared" ref="H31:M31" si="0">+H30/$F$30</f>
        <v>0.49741644825288939</v>
      </c>
      <c r="I31" s="43">
        <f t="shared" si="0"/>
        <v>0.22898966355323358</v>
      </c>
      <c r="J31" s="43">
        <f t="shared" si="0"/>
        <v>2.5115459215159435E-2</v>
      </c>
      <c r="K31" s="43">
        <f t="shared" si="0"/>
        <v>1.9553458215232526E-2</v>
      </c>
      <c r="L31" s="43">
        <f t="shared" si="0"/>
        <v>2.8815083040697291E-3</v>
      </c>
      <c r="M31" s="43">
        <f t="shared" si="0"/>
        <v>0.22604346245941531</v>
      </c>
      <c r="N31" s="43"/>
      <c r="O31" s="43"/>
    </row>
    <row r="34" spans="1:8" x14ac:dyDescent="0.25">
      <c r="A34">
        <v>24</v>
      </c>
      <c r="C34" t="s">
        <v>221</v>
      </c>
      <c r="E34" t="s">
        <v>222</v>
      </c>
      <c r="F34" s="44">
        <f>+F25</f>
        <v>12684969.789999999</v>
      </c>
    </row>
    <row r="36" spans="1:8" x14ac:dyDescent="0.25">
      <c r="A36">
        <v>25</v>
      </c>
      <c r="C36" s="54" t="s">
        <v>257</v>
      </c>
      <c r="E36" t="s">
        <v>256</v>
      </c>
      <c r="F36" s="55">
        <f>+F34*0.0263</f>
        <v>333614.70547699998</v>
      </c>
      <c r="G36" s="45"/>
      <c r="H36" s="45">
        <f>+F36</f>
        <v>333614.70547699998</v>
      </c>
    </row>
    <row r="37" spans="1:8" x14ac:dyDescent="0.25">
      <c r="A37">
        <v>26</v>
      </c>
      <c r="C37" t="s">
        <v>223</v>
      </c>
      <c r="E37" t="s">
        <v>224</v>
      </c>
      <c r="F37" s="45">
        <f>+F36/2</f>
        <v>166807.35273849999</v>
      </c>
      <c r="G37" s="45"/>
      <c r="H37" s="45"/>
    </row>
    <row r="38" spans="1:8" x14ac:dyDescent="0.25">
      <c r="A38">
        <v>27</v>
      </c>
      <c r="C38" t="s">
        <v>225</v>
      </c>
      <c r="E38" t="s">
        <v>226</v>
      </c>
      <c r="F38" s="45">
        <f>+F34*0.0375</f>
        <v>475686.36712499993</v>
      </c>
      <c r="G38" s="45"/>
      <c r="H38" s="45"/>
    </row>
    <row r="39" spans="1:8" x14ac:dyDescent="0.25">
      <c r="A39">
        <v>28</v>
      </c>
      <c r="C39" t="s">
        <v>227</v>
      </c>
      <c r="E39" t="s">
        <v>228</v>
      </c>
      <c r="F39" s="45">
        <f>(+F38-F36)*0.21</f>
        <v>29835.048946079987</v>
      </c>
      <c r="G39" s="45"/>
      <c r="H39" s="45"/>
    </row>
    <row r="40" spans="1:8" x14ac:dyDescent="0.25">
      <c r="A40">
        <v>29</v>
      </c>
      <c r="C40" t="s">
        <v>229</v>
      </c>
      <c r="E40" t="s">
        <v>230</v>
      </c>
      <c r="F40" s="45">
        <f>+F39/2</f>
        <v>14917.524473039994</v>
      </c>
      <c r="G40" s="45"/>
      <c r="H40" s="45"/>
    </row>
    <row r="41" spans="1:8" x14ac:dyDescent="0.25">
      <c r="A41">
        <v>30</v>
      </c>
      <c r="C41" t="s">
        <v>231</v>
      </c>
      <c r="E41" t="s">
        <v>232</v>
      </c>
      <c r="F41" s="45"/>
      <c r="G41" s="45"/>
      <c r="H41" s="45">
        <f>+H36*0.21</f>
        <v>70059.088150169991</v>
      </c>
    </row>
    <row r="42" spans="1:8" x14ac:dyDescent="0.25">
      <c r="A42">
        <v>31</v>
      </c>
      <c r="B42" s="46"/>
      <c r="C42" s="54" t="s">
        <v>258</v>
      </c>
      <c r="F42" s="45"/>
      <c r="G42" s="45"/>
      <c r="H42" s="55">
        <f>+F43*0.02336*0.21</f>
        <v>61335.918244175067</v>
      </c>
    </row>
    <row r="43" spans="1:8" x14ac:dyDescent="0.25">
      <c r="A43">
        <v>32</v>
      </c>
      <c r="C43" t="s">
        <v>233</v>
      </c>
      <c r="E43" t="s">
        <v>234</v>
      </c>
      <c r="F43" s="45">
        <f>+F25-F40-F37</f>
        <v>12503244.91278846</v>
      </c>
      <c r="G43" s="45"/>
      <c r="H43" s="45"/>
    </row>
    <row r="44" spans="1:8" x14ac:dyDescent="0.25">
      <c r="A44">
        <v>33</v>
      </c>
      <c r="C44" t="s">
        <v>255</v>
      </c>
      <c r="F44" s="53">
        <v>6.9510000000000002E-2</v>
      </c>
    </row>
    <row r="46" spans="1:8" x14ac:dyDescent="0.25">
      <c r="A46">
        <v>34</v>
      </c>
      <c r="C46" t="s">
        <v>235</v>
      </c>
      <c r="E46" t="s">
        <v>236</v>
      </c>
      <c r="F46" s="48">
        <f>+F43*F44</f>
        <v>869100.55388792593</v>
      </c>
      <c r="G46" s="48"/>
      <c r="H46" s="48">
        <f>+H36-H41-H42</f>
        <v>202219.69908265493</v>
      </c>
    </row>
    <row r="47" spans="1:8" x14ac:dyDescent="0.25">
      <c r="A47">
        <v>35</v>
      </c>
      <c r="C47" t="s">
        <v>237</v>
      </c>
      <c r="E47" t="s">
        <v>238</v>
      </c>
      <c r="F47" s="48">
        <f>+F46+H46</f>
        <v>1071320.2529705809</v>
      </c>
      <c r="G47" s="48"/>
      <c r="H47" s="48"/>
    </row>
    <row r="48" spans="1:8" x14ac:dyDescent="0.25">
      <c r="A48">
        <v>36</v>
      </c>
      <c r="C48" t="s">
        <v>254</v>
      </c>
      <c r="F48" s="54">
        <v>0.75480999999999998</v>
      </c>
    </row>
    <row r="49" spans="1:16" x14ac:dyDescent="0.25">
      <c r="A49">
        <v>37</v>
      </c>
      <c r="C49" t="s">
        <v>239</v>
      </c>
      <c r="E49" t="s">
        <v>240</v>
      </c>
      <c r="F49" s="49">
        <f>+F47/F48</f>
        <v>1419324.4034532942</v>
      </c>
      <c r="H49" s="49"/>
      <c r="I49" s="48"/>
      <c r="J49" s="48"/>
      <c r="K49" s="48"/>
      <c r="L49" s="48"/>
      <c r="M49" s="48"/>
      <c r="N49" s="48"/>
      <c r="O49" s="48"/>
    </row>
    <row r="50" spans="1:16" x14ac:dyDescent="0.25">
      <c r="A50">
        <v>38</v>
      </c>
      <c r="C50" t="s">
        <v>241</v>
      </c>
      <c r="F50" s="56"/>
      <c r="H50" s="49"/>
      <c r="I50" s="48"/>
      <c r="J50" s="48"/>
      <c r="K50" s="48"/>
      <c r="L50" s="48"/>
      <c r="M50" s="48"/>
      <c r="N50" s="48"/>
      <c r="O50" s="48"/>
    </row>
    <row r="51" spans="1:16" x14ac:dyDescent="0.25">
      <c r="H51" s="49"/>
      <c r="I51" s="48"/>
      <c r="J51" s="48"/>
      <c r="K51" s="48"/>
      <c r="L51" s="48"/>
      <c r="M51" s="48"/>
      <c r="N51" s="48"/>
      <c r="O51" s="48"/>
    </row>
    <row r="52" spans="1:16" ht="15.75" thickBot="1" x14ac:dyDescent="0.3">
      <c r="A52">
        <v>39</v>
      </c>
      <c r="C52" t="s">
        <v>242</v>
      </c>
      <c r="E52" t="s">
        <v>243</v>
      </c>
      <c r="F52" s="50">
        <f>+F49+F50</f>
        <v>1419324.4034532942</v>
      </c>
      <c r="H52" s="49"/>
      <c r="I52" s="48"/>
      <c r="J52" s="48"/>
      <c r="K52" s="48"/>
      <c r="L52" s="48"/>
      <c r="M52" s="48"/>
      <c r="N52" s="48"/>
      <c r="O52" s="48"/>
    </row>
    <row r="53" spans="1:16" ht="15.75" thickTop="1" x14ac:dyDescent="0.25">
      <c r="A53">
        <v>40</v>
      </c>
      <c r="C53" t="s">
        <v>244</v>
      </c>
      <c r="F53" s="56"/>
      <c r="H53" s="48"/>
      <c r="I53" s="48"/>
      <c r="J53" s="48"/>
      <c r="K53" s="48"/>
      <c r="L53" s="48"/>
      <c r="M53" s="48"/>
      <c r="N53" s="48"/>
      <c r="O53" s="48"/>
      <c r="P53" s="48"/>
    </row>
    <row r="54" spans="1:16" x14ac:dyDescent="0.25">
      <c r="F54" s="49"/>
      <c r="H54" s="49"/>
      <c r="I54" s="48"/>
      <c r="J54" s="48"/>
      <c r="K54" s="48"/>
      <c r="L54" s="48"/>
      <c r="M54" s="48"/>
      <c r="N54" s="48"/>
      <c r="O54" s="48"/>
    </row>
    <row r="55" spans="1:16" x14ac:dyDescent="0.25">
      <c r="A55">
        <v>41</v>
      </c>
      <c r="C55" t="s">
        <v>245</v>
      </c>
      <c r="F55" s="49">
        <f>+F52-F53</f>
        <v>1419324.4034532942</v>
      </c>
      <c r="H55" s="49"/>
      <c r="I55" s="48"/>
      <c r="J55" s="48"/>
      <c r="K55" s="48"/>
      <c r="L55" s="48"/>
      <c r="M55" s="48"/>
      <c r="N55" s="48"/>
      <c r="O55" s="48"/>
    </row>
    <row r="56" spans="1:16" x14ac:dyDescent="0.25">
      <c r="H56" s="48"/>
      <c r="I56" s="48"/>
      <c r="J56" s="48"/>
      <c r="K56" s="48"/>
      <c r="L56" s="48"/>
      <c r="M56" s="48"/>
      <c r="N56" s="48"/>
      <c r="O56" s="48"/>
    </row>
    <row r="57" spans="1:16" x14ac:dyDescent="0.25">
      <c r="A57">
        <v>42</v>
      </c>
      <c r="C57" t="s">
        <v>246</v>
      </c>
      <c r="E57" t="s">
        <v>247</v>
      </c>
      <c r="H57" s="48">
        <f t="shared" ref="H57:M57" si="1">+$F$52*H31</f>
        <v>705995.30368438864</v>
      </c>
      <c r="I57" s="48">
        <f t="shared" si="1"/>
        <v>325010.61761966377</v>
      </c>
      <c r="J57" s="48">
        <f t="shared" si="1"/>
        <v>35646.984168011702</v>
      </c>
      <c r="K57" s="48">
        <f t="shared" si="1"/>
        <v>27752.70041678382</v>
      </c>
      <c r="L57" s="48">
        <f t="shared" si="1"/>
        <v>4089.7950547194819</v>
      </c>
      <c r="M57" s="48">
        <f t="shared" si="1"/>
        <v>320829.00250972674</v>
      </c>
      <c r="N57" s="48"/>
      <c r="O57" s="48"/>
    </row>
    <row r="58" spans="1:16" x14ac:dyDescent="0.25">
      <c r="A58">
        <v>43</v>
      </c>
      <c r="C58" t="s">
        <v>248</v>
      </c>
      <c r="F58" s="45"/>
      <c r="H58" s="45">
        <v>130528548</v>
      </c>
      <c r="I58" s="45">
        <v>92679715</v>
      </c>
      <c r="J58" s="45">
        <v>13156465</v>
      </c>
      <c r="K58" s="45">
        <v>18010718</v>
      </c>
      <c r="L58" s="45">
        <v>2270481</v>
      </c>
      <c r="M58" s="45">
        <v>621523064</v>
      </c>
      <c r="N58" s="45"/>
      <c r="O58" s="45"/>
    </row>
    <row r="59" spans="1:16" x14ac:dyDescent="0.25">
      <c r="H59" s="45"/>
      <c r="I59" s="45"/>
      <c r="J59" s="45"/>
      <c r="K59" s="45"/>
      <c r="L59" s="45"/>
      <c r="M59" s="45"/>
      <c r="N59" s="45"/>
      <c r="O59" s="45"/>
    </row>
    <row r="60" spans="1:16" x14ac:dyDescent="0.25">
      <c r="H60" s="45"/>
      <c r="I60" s="45"/>
      <c r="J60" s="45"/>
      <c r="K60" s="45"/>
      <c r="L60" s="45"/>
      <c r="M60" s="45"/>
      <c r="N60" s="45"/>
      <c r="O60" s="45"/>
    </row>
    <row r="61" spans="1:16" x14ac:dyDescent="0.25">
      <c r="A61">
        <v>44</v>
      </c>
      <c r="C61" t="s">
        <v>249</v>
      </c>
      <c r="E61" t="s">
        <v>250</v>
      </c>
      <c r="H61" s="57">
        <f>+H57/H58</f>
        <v>5.4087424896842387E-3</v>
      </c>
      <c r="I61" s="57">
        <f>+I57/I58</f>
        <v>3.5068150308798832E-3</v>
      </c>
      <c r="J61" s="57">
        <f>+J57/J58</f>
        <v>2.7094652072583102E-3</v>
      </c>
      <c r="K61" s="57">
        <f t="shared" ref="K61:M61" si="2">+K57/K58</f>
        <v>1.540899169971115E-3</v>
      </c>
      <c r="L61" s="57">
        <f t="shared" si="2"/>
        <v>1.801290147206465E-3</v>
      </c>
      <c r="M61" s="57">
        <f t="shared" si="2"/>
        <v>5.1619806422779305E-4</v>
      </c>
      <c r="N61" s="51"/>
      <c r="O61" s="51"/>
    </row>
    <row r="63" spans="1:16" x14ac:dyDescent="0.25">
      <c r="A63">
        <v>45</v>
      </c>
      <c r="C63" t="s">
        <v>251</v>
      </c>
      <c r="H63" s="48">
        <v>247324990</v>
      </c>
    </row>
    <row r="64" spans="1:16" x14ac:dyDescent="0.25">
      <c r="A64">
        <v>46</v>
      </c>
      <c r="C64" t="s">
        <v>252</v>
      </c>
      <c r="E64" t="s">
        <v>253</v>
      </c>
      <c r="H64" s="47">
        <f>(+F55)/H63</f>
        <v>5.738701954271965E-3</v>
      </c>
    </row>
    <row r="65" spans="8:13" x14ac:dyDescent="0.25">
      <c r="H65" s="43"/>
    </row>
    <row r="66" spans="8:13" x14ac:dyDescent="0.25">
      <c r="H66" s="43"/>
    </row>
    <row r="71" spans="8:13" x14ac:dyDescent="0.25">
      <c r="H71" s="45"/>
      <c r="I71" s="45"/>
      <c r="J71" s="45"/>
      <c r="K71" s="45"/>
      <c r="L71" s="45"/>
      <c r="M71" s="45"/>
    </row>
    <row r="72" spans="8:13" x14ac:dyDescent="0.25">
      <c r="H72" s="45"/>
      <c r="I72" s="45"/>
      <c r="J72" s="45"/>
      <c r="K72" s="45"/>
      <c r="L72" s="45"/>
      <c r="M72" s="45"/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tabSelected="1" view="pageBreakPreview" zoomScale="57" zoomScaleNormal="100" zoomScaleSheetLayoutView="57" workbookViewId="0">
      <selection activeCell="V1" sqref="V1:Y1048576"/>
    </sheetView>
  </sheetViews>
  <sheetFormatPr defaultRowHeight="15" outlineLevelCol="1" x14ac:dyDescent="0.25"/>
  <cols>
    <col min="1" max="1" width="9.28515625" style="1" customWidth="1" outlineLevel="1"/>
    <col min="2" max="2" width="12.85546875" style="1" customWidth="1" outlineLevel="1"/>
    <col min="3" max="3" width="9.5703125" style="1" customWidth="1" outlineLevel="1"/>
    <col min="4" max="4" width="10.140625" style="1" customWidth="1" outlineLevel="1"/>
    <col min="5" max="5" width="14.85546875" style="1" customWidth="1" outlineLevel="1"/>
    <col min="6" max="6" width="10" style="2" customWidth="1" outlineLevel="1"/>
    <col min="7" max="7" width="18.7109375" style="2" bestFit="1" customWidth="1"/>
    <col min="8" max="8" width="36.85546875" style="1" bestFit="1" customWidth="1"/>
    <col min="9" max="9" width="11.28515625" style="59" bestFit="1" customWidth="1"/>
    <col min="10" max="10" width="35.28515625" style="1" customWidth="1"/>
    <col min="11" max="14" width="16.7109375" style="1" customWidth="1"/>
    <col min="15" max="20" width="16.7109375" style="1" bestFit="1" customWidth="1"/>
    <col min="21" max="21" width="16.28515625" style="1" customWidth="1"/>
    <col min="22" max="22" width="15.85546875" style="54" bestFit="1" customWidth="1"/>
    <col min="23" max="23" width="14.7109375" style="54" bestFit="1" customWidth="1"/>
    <col min="24" max="24" width="18.140625" style="54" bestFit="1" customWidth="1"/>
    <col min="25" max="25" width="14.42578125" style="54" bestFit="1" customWidth="1"/>
    <col min="26" max="26" width="15.7109375" style="1" bestFit="1" customWidth="1"/>
    <col min="27" max="16384" width="9.140625" style="1"/>
  </cols>
  <sheetData>
    <row r="1" spans="1:26" x14ac:dyDescent="0.25">
      <c r="G1" s="58"/>
      <c r="R1" s="58" t="s">
        <v>170</v>
      </c>
    </row>
    <row r="2" spans="1:26" x14ac:dyDescent="0.25">
      <c r="J2" s="60" t="s">
        <v>0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</row>
    <row r="3" spans="1:26" x14ac:dyDescent="0.25">
      <c r="J3" s="60" t="s">
        <v>2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</row>
    <row r="4" spans="1:26" x14ac:dyDescent="0.25">
      <c r="J4" s="60" t="s">
        <v>4</v>
      </c>
      <c r="K4" s="2">
        <v>2020</v>
      </c>
      <c r="L4" s="2">
        <v>2020</v>
      </c>
      <c r="M4" s="2">
        <v>2020</v>
      </c>
      <c r="N4" s="2">
        <v>2020</v>
      </c>
      <c r="O4" s="2">
        <v>2020</v>
      </c>
      <c r="P4" s="2">
        <v>2020</v>
      </c>
      <c r="Q4" s="2">
        <v>2020</v>
      </c>
      <c r="R4" s="2">
        <v>2020</v>
      </c>
      <c r="S4" s="2">
        <v>2020</v>
      </c>
      <c r="T4" s="2">
        <v>2020</v>
      </c>
    </row>
    <row r="5" spans="1:26" x14ac:dyDescent="0.25">
      <c r="J5" s="60" t="s">
        <v>5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</row>
    <row r="6" spans="1:26" x14ac:dyDescent="0.25">
      <c r="J6" s="60" t="s">
        <v>7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61" t="s">
        <v>166</v>
      </c>
      <c r="Y6" s="92"/>
    </row>
    <row r="7" spans="1:26" x14ac:dyDescent="0.25">
      <c r="J7" s="60" t="s">
        <v>8</v>
      </c>
      <c r="K7" s="2" t="s">
        <v>9</v>
      </c>
      <c r="L7" s="2" t="s">
        <v>9</v>
      </c>
      <c r="M7" s="2" t="s">
        <v>9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9</v>
      </c>
      <c r="S7" s="2" t="s">
        <v>9</v>
      </c>
      <c r="T7" s="2" t="s">
        <v>9</v>
      </c>
      <c r="U7" s="61"/>
      <c r="W7" s="93"/>
      <c r="Y7" s="92"/>
    </row>
    <row r="8" spans="1:26" ht="45" x14ac:dyDescent="0.25">
      <c r="O8" s="4"/>
      <c r="P8" s="4"/>
      <c r="Q8" s="4"/>
      <c r="R8" s="4"/>
      <c r="S8" s="4"/>
      <c r="T8" s="4" t="s">
        <v>171</v>
      </c>
      <c r="U8" s="61"/>
      <c r="V8" s="94" t="s">
        <v>173</v>
      </c>
      <c r="W8" s="92"/>
      <c r="X8" s="92" t="s">
        <v>168</v>
      </c>
      <c r="Y8" s="95" t="s">
        <v>172</v>
      </c>
      <c r="Z8" s="5" t="s">
        <v>169</v>
      </c>
    </row>
    <row r="9" spans="1:26" ht="15.75" thickBot="1" x14ac:dyDescent="0.3">
      <c r="A9" s="1" t="s">
        <v>10</v>
      </c>
      <c r="B9" s="1" t="s">
        <v>11</v>
      </c>
      <c r="C9" s="1" t="s">
        <v>12</v>
      </c>
      <c r="D9" s="1" t="s">
        <v>13</v>
      </c>
      <c r="E9" s="1" t="s">
        <v>14</v>
      </c>
      <c r="F9" s="2" t="s">
        <v>15</v>
      </c>
      <c r="G9" s="2" t="s">
        <v>16</v>
      </c>
      <c r="H9" s="1" t="s">
        <v>17</v>
      </c>
      <c r="I9" s="59" t="s">
        <v>18</v>
      </c>
      <c r="J9" s="1" t="s">
        <v>19</v>
      </c>
      <c r="U9" s="62"/>
    </row>
    <row r="10" spans="1:26" ht="15.75" thickBot="1" x14ac:dyDescent="0.3">
      <c r="A10" s="63" t="s">
        <v>20</v>
      </c>
      <c r="B10" s="63" t="s">
        <v>21</v>
      </c>
      <c r="C10" s="63" t="s">
        <v>22</v>
      </c>
      <c r="D10" s="63" t="s">
        <v>23</v>
      </c>
      <c r="E10" s="63" t="s">
        <v>24</v>
      </c>
      <c r="F10" s="64" t="s">
        <v>25</v>
      </c>
      <c r="G10" s="65" t="s">
        <v>26</v>
      </c>
      <c r="H10" s="66" t="s">
        <v>27</v>
      </c>
      <c r="I10" s="67" t="str">
        <f>F10</f>
        <v>00266858</v>
      </c>
      <c r="J10" s="68" t="s">
        <v>28</v>
      </c>
      <c r="K10" s="69">
        <v>18211.86</v>
      </c>
      <c r="L10" s="69">
        <v>16346.33</v>
      </c>
      <c r="M10" s="69">
        <v>48992.32</v>
      </c>
      <c r="N10" s="69">
        <v>28034.27</v>
      </c>
      <c r="O10" s="69">
        <v>386443.35</v>
      </c>
      <c r="P10" s="69">
        <v>194884.58</v>
      </c>
      <c r="Q10" s="69">
        <v>1123670.9099999999</v>
      </c>
      <c r="R10" s="69">
        <v>830108.74</v>
      </c>
      <c r="S10" s="69">
        <v>-36613.089999999997</v>
      </c>
      <c r="T10" s="69">
        <v>525000</v>
      </c>
      <c r="U10" s="70">
        <f>SUM(K10:T10)</f>
        <v>3135079.27</v>
      </c>
      <c r="V10" s="96"/>
      <c r="W10" s="96"/>
      <c r="X10" s="96"/>
      <c r="Y10" s="96"/>
      <c r="Z10" s="6">
        <f>+U10+W10+X10</f>
        <v>3135079.27</v>
      </c>
    </row>
    <row r="11" spans="1:26" ht="15.75" thickBot="1" x14ac:dyDescent="0.3">
      <c r="A11" s="63"/>
      <c r="B11" s="63"/>
      <c r="C11" s="63"/>
      <c r="D11" s="63"/>
      <c r="E11" s="63"/>
      <c r="F11" s="64"/>
      <c r="G11" s="64"/>
      <c r="H11" s="63"/>
      <c r="J11" s="71"/>
      <c r="K11" s="3"/>
      <c r="L11" s="3"/>
      <c r="M11" s="3"/>
      <c r="N11" s="3"/>
      <c r="O11" s="3"/>
      <c r="P11" s="3"/>
      <c r="Q11" s="3"/>
      <c r="R11" s="3"/>
      <c r="S11" s="3"/>
      <c r="T11" s="3"/>
      <c r="U11" s="70"/>
      <c r="V11" s="96"/>
      <c r="Y11" s="96"/>
      <c r="Z11" s="3"/>
    </row>
    <row r="12" spans="1:26" ht="15.75" thickBot="1" x14ac:dyDescent="0.3">
      <c r="A12" s="63" t="s">
        <v>20</v>
      </c>
      <c r="B12" s="63" t="s">
        <v>21</v>
      </c>
      <c r="C12" s="63" t="s">
        <v>22</v>
      </c>
      <c r="D12" s="63" t="s">
        <v>23</v>
      </c>
      <c r="E12" s="63" t="s">
        <v>24</v>
      </c>
      <c r="F12" s="64" t="s">
        <v>29</v>
      </c>
      <c r="G12" s="65" t="s">
        <v>30</v>
      </c>
      <c r="H12" s="66" t="s">
        <v>31</v>
      </c>
      <c r="I12" s="67" t="str">
        <f>F12</f>
        <v>00219107</v>
      </c>
      <c r="J12" s="72" t="s">
        <v>32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72404.789999999994</v>
      </c>
      <c r="R12" s="69">
        <v>0</v>
      </c>
      <c r="S12" s="69">
        <v>0</v>
      </c>
      <c r="T12" s="69">
        <v>0</v>
      </c>
      <c r="U12" s="70">
        <f>SUM(K12:T12)</f>
        <v>72404.789999999994</v>
      </c>
      <c r="V12" s="96"/>
      <c r="W12" s="96"/>
      <c r="X12" s="96"/>
      <c r="Y12" s="96"/>
      <c r="Z12" s="6">
        <f>+U12+W12+X12</f>
        <v>72404.789999999994</v>
      </c>
    </row>
    <row r="13" spans="1:26" ht="15.75" thickBot="1" x14ac:dyDescent="0.3">
      <c r="A13" s="63"/>
      <c r="B13" s="63"/>
      <c r="C13" s="63"/>
      <c r="D13" s="63"/>
      <c r="E13" s="63"/>
      <c r="F13" s="64"/>
      <c r="J13" s="73"/>
      <c r="K13" s="3"/>
      <c r="L13" s="3"/>
      <c r="M13" s="3"/>
      <c r="N13" s="3"/>
      <c r="O13" s="3"/>
      <c r="P13" s="3"/>
      <c r="Q13" s="3"/>
      <c r="R13" s="3"/>
      <c r="S13" s="3"/>
      <c r="T13" s="3"/>
      <c r="U13" s="70"/>
      <c r="V13" s="96"/>
      <c r="Y13" s="96"/>
      <c r="Z13" s="3"/>
    </row>
    <row r="14" spans="1:26" ht="15.75" thickBot="1" x14ac:dyDescent="0.3">
      <c r="A14" s="63" t="s">
        <v>20</v>
      </c>
      <c r="B14" s="63" t="s">
        <v>21</v>
      </c>
      <c r="C14" s="63" t="s">
        <v>22</v>
      </c>
      <c r="D14" s="63" t="s">
        <v>23</v>
      </c>
      <c r="E14" s="63" t="s">
        <v>24</v>
      </c>
      <c r="F14" s="64" t="s">
        <v>33</v>
      </c>
      <c r="G14" s="65" t="s">
        <v>34</v>
      </c>
      <c r="H14" s="66" t="s">
        <v>35</v>
      </c>
      <c r="I14" s="67" t="str">
        <f>F14</f>
        <v>00265881</v>
      </c>
      <c r="J14" s="72" t="s">
        <v>36</v>
      </c>
      <c r="K14" s="69">
        <v>40</v>
      </c>
      <c r="L14" s="69">
        <v>32776.25</v>
      </c>
      <c r="M14" s="69">
        <v>134993.93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70">
        <f>SUM(K14:T14)</f>
        <v>167810.18</v>
      </c>
      <c r="V14" s="96"/>
      <c r="W14" s="96"/>
      <c r="X14" s="96"/>
      <c r="Y14" s="96"/>
      <c r="Z14" s="6">
        <f t="shared" ref="Z14:Z60" si="0">+U14+W14+X14</f>
        <v>167810.18</v>
      </c>
    </row>
    <row r="15" spans="1:26" ht="15.75" thickBot="1" x14ac:dyDescent="0.3">
      <c r="A15" s="63"/>
      <c r="B15" s="63"/>
      <c r="C15" s="63"/>
      <c r="D15" s="63"/>
      <c r="E15" s="63"/>
      <c r="F15" s="64"/>
      <c r="J15" s="73"/>
      <c r="K15" s="3"/>
      <c r="L15" s="3"/>
      <c r="M15" s="3"/>
      <c r="N15" s="3"/>
      <c r="O15" s="3"/>
      <c r="P15" s="3"/>
      <c r="Q15" s="3"/>
      <c r="R15" s="3"/>
      <c r="S15" s="3"/>
      <c r="T15" s="3"/>
      <c r="U15" s="70"/>
      <c r="V15" s="96"/>
      <c r="Y15" s="96"/>
      <c r="Z15" s="3"/>
    </row>
    <row r="16" spans="1:26" ht="15.75" thickBot="1" x14ac:dyDescent="0.3">
      <c r="A16" s="63" t="s">
        <v>20</v>
      </c>
      <c r="B16" s="63" t="s">
        <v>21</v>
      </c>
      <c r="C16" s="63" t="s">
        <v>22</v>
      </c>
      <c r="D16" s="63" t="s">
        <v>23</v>
      </c>
      <c r="E16" s="63" t="s">
        <v>24</v>
      </c>
      <c r="F16" s="64" t="s">
        <v>37</v>
      </c>
      <c r="G16" s="65" t="s">
        <v>38</v>
      </c>
      <c r="H16" s="66" t="s">
        <v>39</v>
      </c>
      <c r="I16" s="67" t="str">
        <f>F16</f>
        <v>00268493</v>
      </c>
      <c r="J16" s="72" t="s">
        <v>40</v>
      </c>
      <c r="K16" s="69">
        <v>4970.1000000000004</v>
      </c>
      <c r="L16" s="69">
        <v>0</v>
      </c>
      <c r="M16" s="69">
        <v>81.36</v>
      </c>
      <c r="N16" s="69">
        <v>0</v>
      </c>
      <c r="O16" s="69">
        <v>0</v>
      </c>
      <c r="P16" s="69">
        <v>-5485.98</v>
      </c>
      <c r="Q16" s="69">
        <v>0</v>
      </c>
      <c r="R16" s="69">
        <v>0</v>
      </c>
      <c r="S16" s="69">
        <v>0</v>
      </c>
      <c r="T16" s="69">
        <v>0</v>
      </c>
      <c r="U16" s="70">
        <f>SUM(K16:T16)</f>
        <v>-434.51999999999953</v>
      </c>
      <c r="V16" s="96"/>
      <c r="W16" s="96"/>
      <c r="X16" s="96"/>
      <c r="Y16" s="96"/>
      <c r="Z16" s="6">
        <f t="shared" si="0"/>
        <v>-434.51999999999953</v>
      </c>
    </row>
    <row r="17" spans="1:26" ht="15.75" thickBot="1" x14ac:dyDescent="0.3">
      <c r="A17" s="63"/>
      <c r="B17" s="63"/>
      <c r="C17" s="63"/>
      <c r="D17" s="63"/>
      <c r="E17" s="63"/>
      <c r="F17" s="64"/>
      <c r="J17" s="73"/>
      <c r="K17" s="3"/>
      <c r="L17" s="3"/>
      <c r="M17" s="3"/>
      <c r="N17" s="3"/>
      <c r="O17" s="3"/>
      <c r="P17" s="3"/>
      <c r="Q17" s="3"/>
      <c r="R17" s="3"/>
      <c r="S17" s="3"/>
      <c r="T17" s="3"/>
      <c r="U17" s="70"/>
      <c r="V17" s="96"/>
      <c r="Y17" s="96"/>
      <c r="Z17" s="3"/>
    </row>
    <row r="18" spans="1:26" x14ac:dyDescent="0.25">
      <c r="A18" s="63" t="s">
        <v>20</v>
      </c>
      <c r="B18" s="63" t="s">
        <v>21</v>
      </c>
      <c r="C18" s="63" t="s">
        <v>22</v>
      </c>
      <c r="D18" s="63" t="s">
        <v>23</v>
      </c>
      <c r="E18" s="63" t="s">
        <v>24</v>
      </c>
      <c r="F18" s="64" t="s">
        <v>41</v>
      </c>
      <c r="G18" s="74" t="s">
        <v>42</v>
      </c>
      <c r="H18" s="75" t="s">
        <v>43</v>
      </c>
      <c r="I18" s="76" t="str">
        <f>F18</f>
        <v>00266121</v>
      </c>
      <c r="J18" s="77" t="s">
        <v>44</v>
      </c>
      <c r="K18" s="70">
        <v>820680.08</v>
      </c>
      <c r="L18" s="70">
        <v>2730.02</v>
      </c>
      <c r="M18" s="70">
        <v>-44347.53</v>
      </c>
      <c r="N18" s="70">
        <v>560.62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f>SUM(K18:T18)</f>
        <v>779623.19</v>
      </c>
      <c r="V18" s="96"/>
      <c r="Y18" s="96"/>
      <c r="Z18" s="3"/>
    </row>
    <row r="19" spans="1:26" ht="15.75" thickBot="1" x14ac:dyDescent="0.3">
      <c r="A19" s="63" t="s">
        <v>20</v>
      </c>
      <c r="B19" s="63" t="s">
        <v>21</v>
      </c>
      <c r="C19" s="63" t="s">
        <v>22</v>
      </c>
      <c r="D19" s="63" t="s">
        <v>23</v>
      </c>
      <c r="E19" s="63" t="s">
        <v>24</v>
      </c>
      <c r="F19" s="64" t="s">
        <v>45</v>
      </c>
      <c r="G19" s="78" t="s">
        <v>46</v>
      </c>
      <c r="H19" s="79" t="s">
        <v>47</v>
      </c>
      <c r="I19" s="80" t="str">
        <f>F19</f>
        <v>00266178</v>
      </c>
      <c r="J19" s="81" t="s">
        <v>48</v>
      </c>
      <c r="K19" s="6">
        <v>292089.52</v>
      </c>
      <c r="L19" s="6">
        <v>8426.77</v>
      </c>
      <c r="M19" s="6">
        <v>50589.64</v>
      </c>
      <c r="N19" s="6">
        <v>115.55</v>
      </c>
      <c r="O19" s="6">
        <v>947.75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3">
        <f>SUM(K19:T19)</f>
        <v>352169.23000000004</v>
      </c>
      <c r="V19" s="96"/>
      <c r="Y19" s="96"/>
      <c r="Z19" s="3"/>
    </row>
    <row r="20" spans="1:26" ht="15.75" thickBot="1" x14ac:dyDescent="0.3">
      <c r="A20" s="63"/>
      <c r="B20" s="63"/>
      <c r="C20" s="63"/>
      <c r="D20" s="63"/>
      <c r="E20" s="63"/>
      <c r="F20" s="64"/>
      <c r="G20" s="82"/>
      <c r="H20" s="62"/>
      <c r="I20" s="83"/>
      <c r="J20" s="84" t="s">
        <v>49</v>
      </c>
      <c r="K20" s="85">
        <f>+K18+K19</f>
        <v>1112769.6000000001</v>
      </c>
      <c r="L20" s="85">
        <f t="shared" ref="L20:T20" si="1">+L18+L19</f>
        <v>11156.79</v>
      </c>
      <c r="M20" s="85">
        <f t="shared" si="1"/>
        <v>6242.1100000000006</v>
      </c>
      <c r="N20" s="85">
        <f t="shared" si="1"/>
        <v>676.17</v>
      </c>
      <c r="O20" s="85">
        <f t="shared" si="1"/>
        <v>947.75</v>
      </c>
      <c r="P20" s="85">
        <f t="shared" si="1"/>
        <v>0</v>
      </c>
      <c r="Q20" s="85">
        <f t="shared" si="1"/>
        <v>0</v>
      </c>
      <c r="R20" s="85">
        <f t="shared" si="1"/>
        <v>0</v>
      </c>
      <c r="S20" s="85">
        <f t="shared" si="1"/>
        <v>0</v>
      </c>
      <c r="T20" s="85">
        <f t="shared" si="1"/>
        <v>0</v>
      </c>
      <c r="U20" s="70">
        <f>SUM(U18:U19)</f>
        <v>1131792.42</v>
      </c>
      <c r="V20" s="96"/>
      <c r="W20" s="96"/>
      <c r="X20" s="96"/>
      <c r="Y20" s="96"/>
      <c r="Z20" s="6">
        <f t="shared" si="0"/>
        <v>1131792.42</v>
      </c>
    </row>
    <row r="21" spans="1:26" x14ac:dyDescent="0.25">
      <c r="A21" s="63"/>
      <c r="B21" s="63"/>
      <c r="C21" s="63"/>
      <c r="D21" s="63"/>
      <c r="E21" s="63"/>
      <c r="F21" s="64"/>
      <c r="J21" s="7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96"/>
      <c r="Y21" s="96"/>
      <c r="Z21" s="3"/>
    </row>
    <row r="22" spans="1:26" x14ac:dyDescent="0.25">
      <c r="A22" s="63" t="s">
        <v>20</v>
      </c>
      <c r="B22" s="63" t="s">
        <v>21</v>
      </c>
      <c r="C22" s="63" t="s">
        <v>22</v>
      </c>
      <c r="D22" s="63" t="s">
        <v>23</v>
      </c>
      <c r="E22" s="63" t="s">
        <v>24</v>
      </c>
      <c r="F22" s="86" t="s">
        <v>50</v>
      </c>
      <c r="G22" s="87" t="s">
        <v>51</v>
      </c>
      <c r="H22" s="62" t="s">
        <v>52</v>
      </c>
      <c r="I22" s="83" t="str">
        <f t="shared" ref="I22:I30" si="2">F22</f>
        <v>00252849</v>
      </c>
      <c r="J22" s="73" t="s">
        <v>53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3">
        <f t="shared" ref="U22:U30" si="3">SUM(K22:T22)</f>
        <v>0</v>
      </c>
      <c r="V22" s="96"/>
      <c r="Y22" s="96"/>
      <c r="Z22" s="3"/>
    </row>
    <row r="23" spans="1:26" x14ac:dyDescent="0.25">
      <c r="A23" s="63" t="s">
        <v>20</v>
      </c>
      <c r="B23" s="63" t="s">
        <v>21</v>
      </c>
      <c r="C23" s="63" t="s">
        <v>22</v>
      </c>
      <c r="D23" s="63" t="s">
        <v>23</v>
      </c>
      <c r="E23" s="63" t="s">
        <v>24</v>
      </c>
      <c r="F23" s="86" t="s">
        <v>54</v>
      </c>
      <c r="G23" s="87" t="s">
        <v>55</v>
      </c>
      <c r="H23" s="62" t="s">
        <v>56</v>
      </c>
      <c r="I23" s="83" t="str">
        <f t="shared" si="2"/>
        <v>00256583</v>
      </c>
      <c r="J23" s="88" t="s">
        <v>57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3">
        <f t="shared" si="3"/>
        <v>0</v>
      </c>
      <c r="V23" s="96"/>
      <c r="Y23" s="96"/>
      <c r="Z23" s="3"/>
    </row>
    <row r="24" spans="1:26" x14ac:dyDescent="0.25">
      <c r="A24" s="63" t="s">
        <v>20</v>
      </c>
      <c r="B24" s="63" t="s">
        <v>21</v>
      </c>
      <c r="C24" s="63" t="s">
        <v>22</v>
      </c>
      <c r="D24" s="63" t="s">
        <v>23</v>
      </c>
      <c r="E24" s="63" t="s">
        <v>24</v>
      </c>
      <c r="F24" s="86" t="s">
        <v>58</v>
      </c>
      <c r="G24" s="87" t="s">
        <v>59</v>
      </c>
      <c r="H24" s="62" t="s">
        <v>60</v>
      </c>
      <c r="I24" s="83" t="str">
        <f t="shared" si="2"/>
        <v>00252854</v>
      </c>
      <c r="J24" s="88" t="s">
        <v>61</v>
      </c>
      <c r="K24" s="85">
        <v>0</v>
      </c>
      <c r="L24" s="85">
        <v>0</v>
      </c>
      <c r="M24" s="85">
        <v>0</v>
      </c>
      <c r="N24" s="85">
        <v>-836.36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3">
        <f t="shared" si="3"/>
        <v>-836.36</v>
      </c>
      <c r="V24" s="96"/>
      <c r="Y24" s="96"/>
      <c r="Z24" s="3"/>
    </row>
    <row r="25" spans="1:26" x14ac:dyDescent="0.25">
      <c r="A25" s="63" t="s">
        <v>20</v>
      </c>
      <c r="B25" s="63" t="s">
        <v>21</v>
      </c>
      <c r="C25" s="63" t="s">
        <v>22</v>
      </c>
      <c r="D25" s="63" t="s">
        <v>23</v>
      </c>
      <c r="E25" s="63" t="s">
        <v>24</v>
      </c>
      <c r="F25" s="86" t="s">
        <v>62</v>
      </c>
      <c r="G25" s="87" t="s">
        <v>63</v>
      </c>
      <c r="H25" s="62" t="s">
        <v>64</v>
      </c>
      <c r="I25" s="83" t="str">
        <f t="shared" si="2"/>
        <v>00265747</v>
      </c>
      <c r="J25" s="73" t="s">
        <v>65</v>
      </c>
      <c r="K25" s="85">
        <v>0</v>
      </c>
      <c r="L25" s="85">
        <v>292.49</v>
      </c>
      <c r="M25" s="85">
        <v>137818.07</v>
      </c>
      <c r="N25" s="85">
        <v>77.260000000000005</v>
      </c>
      <c r="O25" s="85">
        <v>20911.64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3">
        <f t="shared" si="3"/>
        <v>159099.46000000002</v>
      </c>
      <c r="V25" s="96"/>
      <c r="Y25" s="96"/>
      <c r="Z25" s="3"/>
    </row>
    <row r="26" spans="1:26" x14ac:dyDescent="0.25">
      <c r="A26" s="63" t="s">
        <v>20</v>
      </c>
      <c r="B26" s="63" t="s">
        <v>21</v>
      </c>
      <c r="C26" s="63" t="s">
        <v>22</v>
      </c>
      <c r="D26" s="63" t="s">
        <v>23</v>
      </c>
      <c r="E26" s="63" t="s">
        <v>24</v>
      </c>
      <c r="F26" s="86" t="s">
        <v>66</v>
      </c>
      <c r="G26" s="87" t="s">
        <v>67</v>
      </c>
      <c r="H26" s="62" t="s">
        <v>68</v>
      </c>
      <c r="I26" s="83" t="str">
        <f t="shared" si="2"/>
        <v>00266060</v>
      </c>
      <c r="J26" s="73" t="s">
        <v>69</v>
      </c>
      <c r="K26" s="85">
        <v>10146.66</v>
      </c>
      <c r="L26" s="85">
        <v>28682.22</v>
      </c>
      <c r="M26" s="85">
        <v>18322.2</v>
      </c>
      <c r="N26" s="85">
        <v>0</v>
      </c>
      <c r="O26" s="85">
        <v>28052.720000000001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3">
        <f t="shared" si="3"/>
        <v>85203.8</v>
      </c>
      <c r="V26" s="96"/>
      <c r="Y26" s="96"/>
      <c r="Z26" s="3"/>
    </row>
    <row r="27" spans="1:26" x14ac:dyDescent="0.25">
      <c r="A27" s="63" t="s">
        <v>20</v>
      </c>
      <c r="B27" s="63" t="s">
        <v>21</v>
      </c>
      <c r="C27" s="63" t="s">
        <v>22</v>
      </c>
      <c r="D27" s="63" t="s">
        <v>23</v>
      </c>
      <c r="E27" s="63" t="s">
        <v>24</v>
      </c>
      <c r="F27" s="86" t="s">
        <v>70</v>
      </c>
      <c r="G27" s="87" t="s">
        <v>71</v>
      </c>
      <c r="H27" s="62" t="s">
        <v>72</v>
      </c>
      <c r="I27" s="83" t="str">
        <f t="shared" si="2"/>
        <v>00269672</v>
      </c>
      <c r="J27" s="73" t="s">
        <v>72</v>
      </c>
      <c r="K27" s="85">
        <v>44338.23</v>
      </c>
      <c r="L27" s="85">
        <v>74.36</v>
      </c>
      <c r="M27" s="85">
        <v>809.72</v>
      </c>
      <c r="N27" s="85">
        <v>6930.92</v>
      </c>
      <c r="O27" s="85">
        <v>17691.48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3">
        <f t="shared" si="3"/>
        <v>69844.710000000006</v>
      </c>
      <c r="V27" s="96"/>
      <c r="Y27" s="96"/>
      <c r="Z27" s="3"/>
    </row>
    <row r="28" spans="1:26" x14ac:dyDescent="0.25">
      <c r="A28" s="63" t="s">
        <v>20</v>
      </c>
      <c r="B28" s="63" t="s">
        <v>21</v>
      </c>
      <c r="C28" s="63" t="s">
        <v>22</v>
      </c>
      <c r="D28" s="63" t="s">
        <v>23</v>
      </c>
      <c r="E28" s="63" t="s">
        <v>24</v>
      </c>
      <c r="F28" s="86" t="s">
        <v>73</v>
      </c>
      <c r="G28" s="87" t="s">
        <v>74</v>
      </c>
      <c r="H28" s="62" t="s">
        <v>75</v>
      </c>
      <c r="I28" s="83" t="str">
        <f t="shared" si="2"/>
        <v>00269678</v>
      </c>
      <c r="J28" s="73" t="s">
        <v>75</v>
      </c>
      <c r="K28" s="85">
        <v>8468.7999999999993</v>
      </c>
      <c r="L28" s="85">
        <v>12742.26</v>
      </c>
      <c r="M28" s="85">
        <v>6439.6</v>
      </c>
      <c r="N28" s="85">
        <v>11834.13</v>
      </c>
      <c r="O28" s="85">
        <v>7502.56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3">
        <f t="shared" si="3"/>
        <v>46987.349999999991</v>
      </c>
      <c r="V28" s="96"/>
      <c r="Y28" s="96"/>
      <c r="Z28" s="3"/>
    </row>
    <row r="29" spans="1:26" x14ac:dyDescent="0.25">
      <c r="A29" s="63" t="s">
        <v>20</v>
      </c>
      <c r="B29" s="63" t="s">
        <v>21</v>
      </c>
      <c r="C29" s="63" t="s">
        <v>22</v>
      </c>
      <c r="D29" s="63" t="s">
        <v>23</v>
      </c>
      <c r="E29" s="63" t="s">
        <v>24</v>
      </c>
      <c r="F29" s="86" t="s">
        <v>76</v>
      </c>
      <c r="G29" s="87" t="s">
        <v>77</v>
      </c>
      <c r="H29" s="62" t="s">
        <v>78</v>
      </c>
      <c r="I29" s="83" t="str">
        <f t="shared" si="2"/>
        <v>00274769</v>
      </c>
      <c r="J29" s="73" t="s">
        <v>79</v>
      </c>
      <c r="K29" s="85">
        <v>41198.78</v>
      </c>
      <c r="L29" s="85">
        <v>38.049999999999997</v>
      </c>
      <c r="M29" s="85">
        <v>41785.68</v>
      </c>
      <c r="N29" s="85">
        <v>60947.92</v>
      </c>
      <c r="O29" s="85">
        <v>27333.03</v>
      </c>
      <c r="P29" s="85">
        <v>2352450.5699999998</v>
      </c>
      <c r="Q29" s="85">
        <v>2176701.04</v>
      </c>
      <c r="R29" s="85">
        <v>53279.73</v>
      </c>
      <c r="S29" s="85">
        <v>1158256.1200000001</v>
      </c>
      <c r="T29" s="85">
        <v>130871</v>
      </c>
      <c r="U29" s="3">
        <f t="shared" si="3"/>
        <v>6042861.9200000009</v>
      </c>
      <c r="V29" s="96"/>
      <c r="Y29" s="96"/>
      <c r="Z29" s="3"/>
    </row>
    <row r="30" spans="1:26" ht="15.75" thickBot="1" x14ac:dyDescent="0.3">
      <c r="A30" s="63" t="s">
        <v>20</v>
      </c>
      <c r="B30" s="63" t="s">
        <v>21</v>
      </c>
      <c r="C30" s="63" t="s">
        <v>22</v>
      </c>
      <c r="D30" s="63" t="s">
        <v>23</v>
      </c>
      <c r="E30" s="63" t="s">
        <v>24</v>
      </c>
      <c r="F30" s="64" t="s">
        <v>80</v>
      </c>
      <c r="G30" s="78" t="s">
        <v>81</v>
      </c>
      <c r="H30" s="79" t="s">
        <v>82</v>
      </c>
      <c r="I30" s="80" t="str">
        <f t="shared" si="2"/>
        <v>00274770</v>
      </c>
      <c r="J30" s="81" t="s">
        <v>83</v>
      </c>
      <c r="K30" s="6">
        <v>0</v>
      </c>
      <c r="L30" s="6">
        <v>0</v>
      </c>
      <c r="M30" s="6">
        <v>0</v>
      </c>
      <c r="N30" s="6">
        <v>30447.39</v>
      </c>
      <c r="O30" s="6">
        <v>62313.82</v>
      </c>
      <c r="P30" s="6">
        <v>235202.71</v>
      </c>
      <c r="Q30" s="6">
        <v>366340.07</v>
      </c>
      <c r="R30" s="6">
        <v>309374.02</v>
      </c>
      <c r="S30" s="6">
        <v>159727.28</v>
      </c>
      <c r="T30" s="6">
        <v>64468</v>
      </c>
      <c r="U30" s="3">
        <f t="shared" si="3"/>
        <v>1227873.29</v>
      </c>
      <c r="V30" s="96"/>
      <c r="Y30" s="96"/>
      <c r="Z30" s="3"/>
    </row>
    <row r="31" spans="1:26" ht="15.75" thickBot="1" x14ac:dyDescent="0.3">
      <c r="A31" s="63"/>
      <c r="B31" s="63"/>
      <c r="C31" s="63"/>
      <c r="D31" s="63"/>
      <c r="E31" s="63"/>
      <c r="F31" s="64"/>
      <c r="G31" s="82"/>
      <c r="H31" s="62"/>
      <c r="I31" s="83"/>
      <c r="J31" s="84" t="s">
        <v>84</v>
      </c>
      <c r="K31" s="3">
        <f>SUM(K22:K30)</f>
        <v>104152.47</v>
      </c>
      <c r="L31" s="3">
        <f t="shared" ref="L31:T31" si="4">SUM(L22:L30)</f>
        <v>41829.380000000005</v>
      </c>
      <c r="M31" s="3">
        <f t="shared" si="4"/>
        <v>205175.27000000002</v>
      </c>
      <c r="N31" s="3">
        <f t="shared" si="4"/>
        <v>109401.26</v>
      </c>
      <c r="O31" s="3">
        <f t="shared" si="4"/>
        <v>163805.25</v>
      </c>
      <c r="P31" s="3">
        <f t="shared" si="4"/>
        <v>2587653.2799999998</v>
      </c>
      <c r="Q31" s="3">
        <f t="shared" si="4"/>
        <v>2543041.11</v>
      </c>
      <c r="R31" s="3">
        <f t="shared" si="4"/>
        <v>362653.75</v>
      </c>
      <c r="S31" s="3">
        <f t="shared" si="4"/>
        <v>1317983.4000000001</v>
      </c>
      <c r="T31" s="3">
        <f t="shared" si="4"/>
        <v>195339</v>
      </c>
      <c r="U31" s="70">
        <f>SUM(U22:U30)</f>
        <v>7631034.1700000009</v>
      </c>
      <c r="V31" s="96"/>
      <c r="W31" s="97"/>
      <c r="X31" s="97"/>
      <c r="Y31" s="96"/>
      <c r="Z31" s="6">
        <f t="shared" si="0"/>
        <v>7631034.1700000009</v>
      </c>
    </row>
    <row r="32" spans="1:26" ht="15.75" thickBot="1" x14ac:dyDescent="0.3">
      <c r="A32" s="63"/>
      <c r="B32" s="63"/>
      <c r="C32" s="63"/>
      <c r="D32" s="63"/>
      <c r="E32" s="63"/>
      <c r="F32" s="64"/>
      <c r="J32" s="73"/>
      <c r="K32" s="3"/>
      <c r="L32" s="3"/>
      <c r="M32" s="3"/>
      <c r="N32" s="3"/>
      <c r="O32" s="3"/>
      <c r="P32" s="3"/>
      <c r="Q32" s="3"/>
      <c r="R32" s="3"/>
      <c r="S32" s="3"/>
      <c r="T32" s="3"/>
      <c r="V32" s="96"/>
      <c r="Y32" s="96"/>
      <c r="Z32" s="3"/>
    </row>
    <row r="33" spans="1:26" x14ac:dyDescent="0.25">
      <c r="A33" s="63" t="s">
        <v>20</v>
      </c>
      <c r="B33" s="63" t="s">
        <v>21</v>
      </c>
      <c r="C33" s="63" t="s">
        <v>22</v>
      </c>
      <c r="D33" s="63" t="s">
        <v>23</v>
      </c>
      <c r="E33" s="63" t="s">
        <v>24</v>
      </c>
      <c r="F33" s="64" t="s">
        <v>85</v>
      </c>
      <c r="G33" s="74" t="s">
        <v>86</v>
      </c>
      <c r="H33" s="75" t="s">
        <v>87</v>
      </c>
      <c r="I33" s="76" t="str">
        <f>F33</f>
        <v>00199775</v>
      </c>
      <c r="J33" s="77" t="s">
        <v>88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f t="shared" ref="U33:U40" si="5">SUM(K33:T33)</f>
        <v>0</v>
      </c>
      <c r="V33" s="96"/>
      <c r="Y33" s="96"/>
      <c r="Z33" s="3"/>
    </row>
    <row r="34" spans="1:26" x14ac:dyDescent="0.25">
      <c r="A34" s="63" t="s">
        <v>20</v>
      </c>
      <c r="B34" s="63" t="s">
        <v>21</v>
      </c>
      <c r="C34" s="63" t="s">
        <v>22</v>
      </c>
      <c r="D34" s="63" t="s">
        <v>23</v>
      </c>
      <c r="E34" s="63" t="s">
        <v>24</v>
      </c>
      <c r="F34" s="64" t="s">
        <v>89</v>
      </c>
      <c r="G34" s="87" t="s">
        <v>86</v>
      </c>
      <c r="H34" s="89" t="s">
        <v>90</v>
      </c>
      <c r="I34" s="83" t="s">
        <v>89</v>
      </c>
      <c r="J34" s="73" t="s">
        <v>91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f t="shared" si="5"/>
        <v>0</v>
      </c>
      <c r="V34" s="96"/>
      <c r="Y34" s="96"/>
      <c r="Z34" s="3"/>
    </row>
    <row r="35" spans="1:26" x14ac:dyDescent="0.25">
      <c r="A35" s="63" t="s">
        <v>20</v>
      </c>
      <c r="B35" s="63" t="s">
        <v>21</v>
      </c>
      <c r="C35" s="63" t="s">
        <v>22</v>
      </c>
      <c r="D35" s="63" t="s">
        <v>23</v>
      </c>
      <c r="E35" s="63" t="s">
        <v>24</v>
      </c>
      <c r="F35" s="64" t="s">
        <v>92</v>
      </c>
      <c r="G35" s="87" t="s">
        <v>86</v>
      </c>
      <c r="H35" s="89" t="s">
        <v>90</v>
      </c>
      <c r="I35" s="83" t="s">
        <v>92</v>
      </c>
      <c r="J35" s="73" t="s">
        <v>93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f t="shared" si="5"/>
        <v>0</v>
      </c>
      <c r="V35" s="96"/>
      <c r="Y35" s="96"/>
      <c r="Z35" s="3"/>
    </row>
    <row r="36" spans="1:26" x14ac:dyDescent="0.25">
      <c r="A36" s="63" t="s">
        <v>20</v>
      </c>
      <c r="B36" s="63" t="s">
        <v>21</v>
      </c>
      <c r="C36" s="63" t="s">
        <v>22</v>
      </c>
      <c r="D36" s="63" t="s">
        <v>23</v>
      </c>
      <c r="E36" s="63" t="s">
        <v>24</v>
      </c>
      <c r="F36" s="64" t="s">
        <v>94</v>
      </c>
      <c r="G36" s="87" t="s">
        <v>95</v>
      </c>
      <c r="H36" s="62" t="s">
        <v>96</v>
      </c>
      <c r="I36" s="83" t="str">
        <f>F36</f>
        <v>00254851</v>
      </c>
      <c r="J36" s="73" t="s">
        <v>97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f t="shared" si="5"/>
        <v>0</v>
      </c>
      <c r="V36" s="96"/>
      <c r="Y36" s="96"/>
      <c r="Z36" s="3"/>
    </row>
    <row r="37" spans="1:26" x14ac:dyDescent="0.25">
      <c r="A37" s="63" t="s">
        <v>20</v>
      </c>
      <c r="B37" s="63" t="s">
        <v>21</v>
      </c>
      <c r="C37" s="63" t="s">
        <v>22</v>
      </c>
      <c r="D37" s="63" t="s">
        <v>23</v>
      </c>
      <c r="E37" s="63" t="s">
        <v>24</v>
      </c>
      <c r="F37" s="64" t="s">
        <v>98</v>
      </c>
      <c r="G37" s="87" t="s">
        <v>99</v>
      </c>
      <c r="H37" s="62" t="s">
        <v>100</v>
      </c>
      <c r="I37" s="83" t="str">
        <f>F37</f>
        <v>00254863</v>
      </c>
      <c r="J37" s="73" t="s">
        <v>101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85">
        <f t="shared" si="5"/>
        <v>0</v>
      </c>
      <c r="V37" s="96"/>
      <c r="Y37" s="96"/>
      <c r="Z37" s="3"/>
    </row>
    <row r="38" spans="1:26" x14ac:dyDescent="0.25">
      <c r="A38" s="63" t="s">
        <v>20</v>
      </c>
      <c r="B38" s="63" t="s">
        <v>21</v>
      </c>
      <c r="C38" s="63" t="s">
        <v>22</v>
      </c>
      <c r="D38" s="63" t="s">
        <v>23</v>
      </c>
      <c r="E38" s="63" t="s">
        <v>24</v>
      </c>
      <c r="F38" s="64" t="s">
        <v>102</v>
      </c>
      <c r="G38" s="87" t="s">
        <v>103</v>
      </c>
      <c r="H38" s="62" t="s">
        <v>104</v>
      </c>
      <c r="I38" s="83" t="str">
        <f>F38</f>
        <v>00254868</v>
      </c>
      <c r="J38" s="73" t="s">
        <v>104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f t="shared" si="5"/>
        <v>0</v>
      </c>
      <c r="V38" s="96"/>
      <c r="Y38" s="96"/>
      <c r="Z38" s="3"/>
    </row>
    <row r="39" spans="1:26" x14ac:dyDescent="0.25">
      <c r="A39" s="63" t="s">
        <v>20</v>
      </c>
      <c r="B39" s="63" t="s">
        <v>21</v>
      </c>
      <c r="C39" s="63" t="s">
        <v>22</v>
      </c>
      <c r="D39" s="63" t="s">
        <v>23</v>
      </c>
      <c r="E39" s="63" t="s">
        <v>24</v>
      </c>
      <c r="F39" s="64" t="s">
        <v>105</v>
      </c>
      <c r="G39" s="87" t="s">
        <v>106</v>
      </c>
      <c r="H39" s="62" t="s">
        <v>107</v>
      </c>
      <c r="I39" s="83" t="str">
        <f>F39</f>
        <v>00266054</v>
      </c>
      <c r="J39" s="73" t="s">
        <v>108</v>
      </c>
      <c r="K39" s="85">
        <v>15801.43</v>
      </c>
      <c r="L39" s="85">
        <v>1825.62</v>
      </c>
      <c r="M39" s="85">
        <v>97993.45</v>
      </c>
      <c r="N39" s="85">
        <v>13587.94</v>
      </c>
      <c r="O39" s="85">
        <v>3834.15</v>
      </c>
      <c r="P39" s="85">
        <v>1439.48</v>
      </c>
      <c r="Q39" s="85">
        <v>4368.49</v>
      </c>
      <c r="R39" s="85">
        <v>15435.68</v>
      </c>
      <c r="S39" s="85">
        <v>4031.54</v>
      </c>
      <c r="T39" s="85">
        <v>157643.68</v>
      </c>
      <c r="U39" s="85">
        <f t="shared" si="5"/>
        <v>315961.45999999996</v>
      </c>
      <c r="V39" s="96"/>
      <c r="Y39" s="96"/>
      <c r="Z39" s="3"/>
    </row>
    <row r="40" spans="1:26" ht="15.75" thickBot="1" x14ac:dyDescent="0.3">
      <c r="A40" s="63" t="s">
        <v>20</v>
      </c>
      <c r="B40" s="63" t="s">
        <v>21</v>
      </c>
      <c r="C40" s="63" t="s">
        <v>22</v>
      </c>
      <c r="D40" s="63" t="s">
        <v>23</v>
      </c>
      <c r="E40" s="63" t="s">
        <v>24</v>
      </c>
      <c r="F40" s="64" t="s">
        <v>109</v>
      </c>
      <c r="G40" s="78" t="s">
        <v>110</v>
      </c>
      <c r="H40" s="79" t="s">
        <v>111</v>
      </c>
      <c r="I40" s="80" t="str">
        <f>F40</f>
        <v>00266102</v>
      </c>
      <c r="J40" s="81" t="s">
        <v>112</v>
      </c>
      <c r="K40" s="6">
        <v>1845.09</v>
      </c>
      <c r="L40" s="6">
        <v>6916.08</v>
      </c>
      <c r="M40" s="6">
        <v>428.56</v>
      </c>
      <c r="N40" s="6">
        <v>2601.54</v>
      </c>
      <c r="O40" s="6">
        <v>278.98</v>
      </c>
      <c r="P40" s="6">
        <v>283.41000000000003</v>
      </c>
      <c r="Q40" s="6">
        <v>242.08</v>
      </c>
      <c r="R40" s="6">
        <v>242.08</v>
      </c>
      <c r="S40" s="6">
        <v>242.08</v>
      </c>
      <c r="T40" s="6">
        <v>12023.08</v>
      </c>
      <c r="U40" s="6">
        <f t="shared" si="5"/>
        <v>25102.98</v>
      </c>
      <c r="V40" s="96"/>
      <c r="Y40" s="96"/>
      <c r="Z40" s="3"/>
    </row>
    <row r="41" spans="1:26" ht="15.75" thickBot="1" x14ac:dyDescent="0.3">
      <c r="A41" s="63"/>
      <c r="B41" s="63"/>
      <c r="C41" s="63"/>
      <c r="D41" s="63"/>
      <c r="E41" s="63"/>
      <c r="F41" s="64"/>
      <c r="J41" s="84" t="s">
        <v>113</v>
      </c>
      <c r="K41" s="3">
        <f>SUM(K33:K40)</f>
        <v>17646.52</v>
      </c>
      <c r="L41" s="3">
        <f t="shared" ref="L41:T41" si="6">SUM(L33:L40)</f>
        <v>8741.7000000000007</v>
      </c>
      <c r="M41" s="3">
        <f t="shared" si="6"/>
        <v>98422.01</v>
      </c>
      <c r="N41" s="3">
        <f t="shared" si="6"/>
        <v>16189.48</v>
      </c>
      <c r="O41" s="3">
        <f t="shared" si="6"/>
        <v>4113.13</v>
      </c>
      <c r="P41" s="3">
        <f t="shared" si="6"/>
        <v>1722.89</v>
      </c>
      <c r="Q41" s="3">
        <f t="shared" si="6"/>
        <v>4610.57</v>
      </c>
      <c r="R41" s="3">
        <f t="shared" si="6"/>
        <v>15677.76</v>
      </c>
      <c r="S41" s="3">
        <f t="shared" si="6"/>
        <v>4273.62</v>
      </c>
      <c r="T41" s="3">
        <f t="shared" si="6"/>
        <v>169666.75999999998</v>
      </c>
      <c r="U41" s="3">
        <f>SUM(U33:U40)</f>
        <v>341064.43999999994</v>
      </c>
      <c r="V41" s="96"/>
      <c r="W41" s="96"/>
      <c r="X41" s="96"/>
      <c r="Y41" s="96"/>
      <c r="Z41" s="6">
        <f t="shared" si="0"/>
        <v>341064.43999999994</v>
      </c>
    </row>
    <row r="42" spans="1:26" ht="15.75" thickBot="1" x14ac:dyDescent="0.3">
      <c r="A42" s="63"/>
      <c r="B42" s="63"/>
      <c r="C42" s="63"/>
      <c r="D42" s="63"/>
      <c r="E42" s="63"/>
      <c r="F42" s="64"/>
      <c r="J42" s="73"/>
      <c r="K42" s="3"/>
      <c r="L42" s="3"/>
      <c r="M42" s="3"/>
      <c r="N42" s="3"/>
      <c r="O42" s="3"/>
      <c r="P42" s="3"/>
      <c r="Q42" s="3"/>
      <c r="R42" s="3"/>
      <c r="S42" s="3"/>
      <c r="T42" s="3"/>
      <c r="V42" s="96"/>
      <c r="Y42" s="96"/>
      <c r="Z42" s="3"/>
    </row>
    <row r="43" spans="1:26" x14ac:dyDescent="0.25">
      <c r="A43" s="63" t="s">
        <v>20</v>
      </c>
      <c r="B43" s="63" t="s">
        <v>21</v>
      </c>
      <c r="C43" s="63" t="s">
        <v>22</v>
      </c>
      <c r="D43" s="63" t="s">
        <v>23</v>
      </c>
      <c r="E43" s="63" t="s">
        <v>24</v>
      </c>
      <c r="F43" s="64" t="s">
        <v>114</v>
      </c>
      <c r="G43" s="74" t="s">
        <v>115</v>
      </c>
      <c r="H43" s="75" t="s">
        <v>116</v>
      </c>
      <c r="I43" s="76" t="str">
        <f t="shared" ref="I43:I49" si="7">F43</f>
        <v>00255351</v>
      </c>
      <c r="J43" s="77" t="s">
        <v>116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f t="shared" ref="U43:U49" si="8">SUM(K43:T43)</f>
        <v>0</v>
      </c>
      <c r="V43" s="96"/>
      <c r="Y43" s="96"/>
      <c r="Z43" s="3"/>
    </row>
    <row r="44" spans="1:26" x14ac:dyDescent="0.25">
      <c r="A44" s="63" t="s">
        <v>20</v>
      </c>
      <c r="B44" s="63" t="s">
        <v>21</v>
      </c>
      <c r="C44" s="63" t="s">
        <v>22</v>
      </c>
      <c r="D44" s="63" t="s">
        <v>23</v>
      </c>
      <c r="E44" s="63" t="s">
        <v>24</v>
      </c>
      <c r="F44" s="64" t="s">
        <v>117</v>
      </c>
      <c r="G44" s="87" t="s">
        <v>118</v>
      </c>
      <c r="H44" s="62" t="s">
        <v>119</v>
      </c>
      <c r="I44" s="83" t="str">
        <f t="shared" si="7"/>
        <v>00255352</v>
      </c>
      <c r="J44" s="73" t="s">
        <v>119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f t="shared" si="8"/>
        <v>0</v>
      </c>
      <c r="V44" s="96"/>
      <c r="Y44" s="96"/>
      <c r="Z44" s="3"/>
    </row>
    <row r="45" spans="1:26" x14ac:dyDescent="0.25">
      <c r="A45" s="63" t="s">
        <v>20</v>
      </c>
      <c r="B45" s="63" t="s">
        <v>21</v>
      </c>
      <c r="C45" s="63" t="s">
        <v>22</v>
      </c>
      <c r="D45" s="63" t="s">
        <v>23</v>
      </c>
      <c r="E45" s="63" t="s">
        <v>24</v>
      </c>
      <c r="F45" s="64" t="s">
        <v>120</v>
      </c>
      <c r="G45" s="87" t="s">
        <v>121</v>
      </c>
      <c r="H45" s="62" t="s">
        <v>122</v>
      </c>
      <c r="I45" s="83" t="str">
        <f t="shared" si="7"/>
        <v>00255349</v>
      </c>
      <c r="J45" s="73" t="s">
        <v>122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0</v>
      </c>
      <c r="S45" s="85">
        <v>0</v>
      </c>
      <c r="T45" s="85">
        <v>0</v>
      </c>
      <c r="U45" s="85">
        <f t="shared" si="8"/>
        <v>0</v>
      </c>
      <c r="V45" s="96"/>
      <c r="Y45" s="96"/>
      <c r="Z45" s="3"/>
    </row>
    <row r="46" spans="1:26" x14ac:dyDescent="0.25">
      <c r="A46" s="63" t="s">
        <v>20</v>
      </c>
      <c r="B46" s="63" t="s">
        <v>21</v>
      </c>
      <c r="C46" s="63" t="s">
        <v>22</v>
      </c>
      <c r="D46" s="63" t="s">
        <v>23</v>
      </c>
      <c r="E46" s="63" t="s">
        <v>24</v>
      </c>
      <c r="F46" s="64" t="s">
        <v>123</v>
      </c>
      <c r="G46" s="87" t="s">
        <v>124</v>
      </c>
      <c r="H46" s="62" t="s">
        <v>125</v>
      </c>
      <c r="I46" s="83" t="str">
        <f t="shared" si="7"/>
        <v>00265880</v>
      </c>
      <c r="J46" s="73" t="s">
        <v>126</v>
      </c>
      <c r="K46" s="85">
        <v>2028.34</v>
      </c>
      <c r="L46" s="85">
        <v>0</v>
      </c>
      <c r="M46" s="85">
        <v>37.65</v>
      </c>
      <c r="N46" s="85">
        <v>32215.75</v>
      </c>
      <c r="O46" s="85">
        <v>77.099999999999994</v>
      </c>
      <c r="P46" s="85">
        <v>-8637.99</v>
      </c>
      <c r="Q46" s="85">
        <v>0</v>
      </c>
      <c r="R46" s="85">
        <v>0</v>
      </c>
      <c r="S46" s="85">
        <v>0</v>
      </c>
      <c r="T46" s="85">
        <v>0</v>
      </c>
      <c r="U46" s="85">
        <f t="shared" si="8"/>
        <v>25720.85</v>
      </c>
      <c r="V46" s="96"/>
      <c r="Y46" s="96"/>
      <c r="Z46" s="3"/>
    </row>
    <row r="47" spans="1:26" x14ac:dyDescent="0.25">
      <c r="A47" s="63" t="s">
        <v>20</v>
      </c>
      <c r="B47" s="63" t="s">
        <v>21</v>
      </c>
      <c r="C47" s="63" t="s">
        <v>22</v>
      </c>
      <c r="D47" s="63" t="s">
        <v>23</v>
      </c>
      <c r="E47" s="63" t="s">
        <v>24</v>
      </c>
      <c r="F47" s="64" t="s">
        <v>127</v>
      </c>
      <c r="G47" s="87" t="s">
        <v>128</v>
      </c>
      <c r="H47" s="62" t="s">
        <v>129</v>
      </c>
      <c r="I47" s="83" t="str">
        <f t="shared" si="7"/>
        <v>00266099</v>
      </c>
      <c r="J47" s="73" t="s">
        <v>130</v>
      </c>
      <c r="K47" s="85">
        <v>0</v>
      </c>
      <c r="L47" s="85">
        <v>0</v>
      </c>
      <c r="M47" s="85">
        <v>120.96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f t="shared" si="8"/>
        <v>120.96</v>
      </c>
      <c r="V47" s="96"/>
      <c r="Y47" s="96"/>
      <c r="Z47" s="3"/>
    </row>
    <row r="48" spans="1:26" x14ac:dyDescent="0.25">
      <c r="A48" s="63" t="s">
        <v>20</v>
      </c>
      <c r="B48" s="63" t="s">
        <v>21</v>
      </c>
      <c r="C48" s="63" t="s">
        <v>22</v>
      </c>
      <c r="D48" s="63" t="s">
        <v>23</v>
      </c>
      <c r="E48" s="63" t="s">
        <v>24</v>
      </c>
      <c r="F48" s="64" t="s">
        <v>131</v>
      </c>
      <c r="G48" s="87" t="s">
        <v>132</v>
      </c>
      <c r="H48" s="62" t="s">
        <v>133</v>
      </c>
      <c r="I48" s="83" t="str">
        <f t="shared" si="7"/>
        <v>00272440</v>
      </c>
      <c r="J48" s="73" t="s">
        <v>133</v>
      </c>
      <c r="K48" s="85">
        <v>9376.26</v>
      </c>
      <c r="L48" s="85">
        <v>0</v>
      </c>
      <c r="M48" s="85">
        <v>0</v>
      </c>
      <c r="N48" s="85">
        <v>115475.19</v>
      </c>
      <c r="O48" s="85">
        <v>23891.69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f t="shared" si="8"/>
        <v>148743.13999999998</v>
      </c>
      <c r="V48" s="96"/>
      <c r="Y48" s="96"/>
      <c r="Z48" s="3"/>
    </row>
    <row r="49" spans="1:26" ht="15.75" thickBot="1" x14ac:dyDescent="0.3">
      <c r="A49" s="63" t="s">
        <v>20</v>
      </c>
      <c r="B49" s="63" t="s">
        <v>21</v>
      </c>
      <c r="C49" s="63" t="s">
        <v>22</v>
      </c>
      <c r="D49" s="63" t="s">
        <v>23</v>
      </c>
      <c r="E49" s="63" t="s">
        <v>24</v>
      </c>
      <c r="F49" s="64" t="s">
        <v>134</v>
      </c>
      <c r="G49" s="78" t="s">
        <v>135</v>
      </c>
      <c r="H49" s="79" t="s">
        <v>129</v>
      </c>
      <c r="I49" s="90" t="str">
        <f t="shared" si="7"/>
        <v>00272445</v>
      </c>
      <c r="J49" s="81" t="s">
        <v>130</v>
      </c>
      <c r="K49" s="6">
        <v>9333.7999999999993</v>
      </c>
      <c r="L49" s="6">
        <v>197.62</v>
      </c>
      <c r="M49" s="6">
        <v>123.53</v>
      </c>
      <c r="N49" s="6">
        <v>-69688.11</v>
      </c>
      <c r="O49" s="6">
        <v>6789.23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85">
        <f t="shared" si="8"/>
        <v>-53243.930000000008</v>
      </c>
      <c r="V49" s="96"/>
      <c r="Y49" s="96"/>
      <c r="Z49" s="3"/>
    </row>
    <row r="50" spans="1:26" ht="15.75" thickBot="1" x14ac:dyDescent="0.3">
      <c r="A50" s="63"/>
      <c r="B50" s="63"/>
      <c r="C50" s="63"/>
      <c r="D50" s="63"/>
      <c r="E50" s="63"/>
      <c r="F50" s="64"/>
      <c r="G50" s="82"/>
      <c r="H50" s="62"/>
      <c r="I50" s="83"/>
      <c r="J50" s="84" t="s">
        <v>136</v>
      </c>
      <c r="K50" s="3">
        <f>SUM(K43:K49)</f>
        <v>20738.400000000001</v>
      </c>
      <c r="L50" s="3">
        <f t="shared" ref="L50:T50" si="9">SUM(L43:L49)</f>
        <v>197.62</v>
      </c>
      <c r="M50" s="3">
        <f t="shared" si="9"/>
        <v>282.14</v>
      </c>
      <c r="N50" s="3">
        <f t="shared" si="9"/>
        <v>78002.83</v>
      </c>
      <c r="O50" s="3">
        <f t="shared" si="9"/>
        <v>30758.019999999997</v>
      </c>
      <c r="P50" s="3">
        <f t="shared" si="9"/>
        <v>-8637.99</v>
      </c>
      <c r="Q50" s="3">
        <f t="shared" si="9"/>
        <v>0</v>
      </c>
      <c r="R50" s="3">
        <f t="shared" si="9"/>
        <v>0</v>
      </c>
      <c r="S50" s="3">
        <f t="shared" si="9"/>
        <v>0</v>
      </c>
      <c r="T50" s="3">
        <f t="shared" si="9"/>
        <v>0</v>
      </c>
      <c r="U50" s="70">
        <f>SUM(U43:U49)</f>
        <v>121341.01999999997</v>
      </c>
      <c r="V50" s="96"/>
      <c r="W50" s="97"/>
      <c r="X50" s="97"/>
      <c r="Y50" s="96"/>
      <c r="Z50" s="6">
        <f t="shared" si="0"/>
        <v>121341.01999999997</v>
      </c>
    </row>
    <row r="51" spans="1:26" ht="15.75" thickBot="1" x14ac:dyDescent="0.3">
      <c r="A51" s="63"/>
      <c r="B51" s="63"/>
      <c r="C51" s="63"/>
      <c r="D51" s="63"/>
      <c r="E51" s="63"/>
      <c r="F51" s="64"/>
      <c r="J51" s="73"/>
      <c r="K51" s="3"/>
      <c r="L51" s="3"/>
      <c r="M51" s="3"/>
      <c r="N51" s="3"/>
      <c r="O51" s="3"/>
      <c r="P51" s="3"/>
      <c r="Q51" s="3"/>
      <c r="R51" s="3"/>
      <c r="S51" s="3"/>
      <c r="T51" s="3"/>
      <c r="V51" s="96"/>
      <c r="Y51" s="96"/>
      <c r="Z51" s="3"/>
    </row>
    <row r="52" spans="1:26" x14ac:dyDescent="0.25">
      <c r="A52" s="63" t="s">
        <v>20</v>
      </c>
      <c r="B52" s="63" t="s">
        <v>21</v>
      </c>
      <c r="C52" s="63" t="s">
        <v>22</v>
      </c>
      <c r="D52" s="63" t="s">
        <v>23</v>
      </c>
      <c r="E52" s="63" t="s">
        <v>24</v>
      </c>
      <c r="F52" s="64" t="s">
        <v>137</v>
      </c>
      <c r="G52" s="74" t="s">
        <v>138</v>
      </c>
      <c r="H52" s="75" t="s">
        <v>139</v>
      </c>
      <c r="I52" s="76" t="str">
        <f>F52</f>
        <v>00265750</v>
      </c>
      <c r="J52" s="77" t="s">
        <v>140</v>
      </c>
      <c r="K52" s="70">
        <v>42832.17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f>SUM(K52:T52)</f>
        <v>42832.17</v>
      </c>
      <c r="V52" s="96"/>
      <c r="Y52" s="96"/>
      <c r="Z52" s="3"/>
    </row>
    <row r="53" spans="1:26" x14ac:dyDescent="0.25">
      <c r="A53" s="63" t="s">
        <v>20</v>
      </c>
      <c r="B53" s="63" t="s">
        <v>21</v>
      </c>
      <c r="C53" s="63" t="s">
        <v>22</v>
      </c>
      <c r="D53" s="63" t="s">
        <v>23</v>
      </c>
      <c r="E53" s="63" t="s">
        <v>24</v>
      </c>
      <c r="F53" s="64" t="s">
        <v>141</v>
      </c>
      <c r="G53" s="87" t="s">
        <v>142</v>
      </c>
      <c r="H53" s="62" t="s">
        <v>143</v>
      </c>
      <c r="I53" s="83" t="str">
        <f>F53</f>
        <v>00267771</v>
      </c>
      <c r="J53" s="73" t="s">
        <v>144</v>
      </c>
      <c r="K53" s="85">
        <v>0</v>
      </c>
      <c r="L53" s="85">
        <v>0</v>
      </c>
      <c r="M53" s="85">
        <v>122.93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f>SUM(K53:T53)</f>
        <v>122.93</v>
      </c>
      <c r="V53" s="96"/>
      <c r="Y53" s="96"/>
      <c r="Z53" s="3"/>
    </row>
    <row r="54" spans="1:26" x14ac:dyDescent="0.25">
      <c r="A54" s="63" t="s">
        <v>20</v>
      </c>
      <c r="B54" s="63" t="s">
        <v>21</v>
      </c>
      <c r="C54" s="63" t="s">
        <v>22</v>
      </c>
      <c r="D54" s="63" t="s">
        <v>23</v>
      </c>
      <c r="E54" s="63" t="s">
        <v>24</v>
      </c>
      <c r="F54" s="64" t="s">
        <v>145</v>
      </c>
      <c r="G54" s="87" t="s">
        <v>146</v>
      </c>
      <c r="H54" s="62" t="s">
        <v>147</v>
      </c>
      <c r="I54" s="83" t="str">
        <f>F54</f>
        <v>00268408</v>
      </c>
      <c r="J54" s="73" t="s">
        <v>147</v>
      </c>
      <c r="K54" s="85">
        <v>2970.67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f>SUM(K54:T54)</f>
        <v>2970.67</v>
      </c>
      <c r="V54" s="96"/>
      <c r="Y54" s="96"/>
      <c r="Z54" s="3"/>
    </row>
    <row r="55" spans="1:26" ht="15.75" thickBot="1" x14ac:dyDescent="0.3">
      <c r="A55" s="63" t="s">
        <v>20</v>
      </c>
      <c r="B55" s="63" t="s">
        <v>21</v>
      </c>
      <c r="C55" s="63" t="s">
        <v>22</v>
      </c>
      <c r="D55" s="63" t="s">
        <v>23</v>
      </c>
      <c r="E55" s="63" t="s">
        <v>24</v>
      </c>
      <c r="F55" s="64" t="s">
        <v>148</v>
      </c>
      <c r="G55" s="78" t="s">
        <v>149</v>
      </c>
      <c r="H55" s="79" t="s">
        <v>150</v>
      </c>
      <c r="I55" s="80" t="str">
        <f>F55</f>
        <v>00268411</v>
      </c>
      <c r="J55" s="81" t="s">
        <v>150</v>
      </c>
      <c r="K55" s="6">
        <v>0</v>
      </c>
      <c r="L55" s="6">
        <v>0</v>
      </c>
      <c r="M55" s="6">
        <v>121.71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85">
        <f>SUM(K55:T55)</f>
        <v>121.71</v>
      </c>
      <c r="V55" s="96"/>
      <c r="Y55" s="96"/>
      <c r="Z55" s="3"/>
    </row>
    <row r="56" spans="1:26" ht="15.75" thickBot="1" x14ac:dyDescent="0.3">
      <c r="A56" s="63"/>
      <c r="B56" s="63"/>
      <c r="C56" s="63"/>
      <c r="D56" s="63"/>
      <c r="E56" s="63"/>
      <c r="F56" s="64"/>
      <c r="J56" s="84" t="s">
        <v>151</v>
      </c>
      <c r="K56" s="3">
        <v>45802.84</v>
      </c>
      <c r="L56" s="3">
        <v>0</v>
      </c>
      <c r="M56" s="3">
        <v>244.64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70">
        <f>SUM(U52:U55)</f>
        <v>46047.479999999996</v>
      </c>
      <c r="V56" s="96"/>
      <c r="W56" s="97"/>
      <c r="X56" s="97"/>
      <c r="Y56" s="96"/>
      <c r="Z56" s="6">
        <f t="shared" si="0"/>
        <v>46047.479999999996</v>
      </c>
    </row>
    <row r="57" spans="1:26" ht="15.75" thickBot="1" x14ac:dyDescent="0.3">
      <c r="A57" s="63"/>
      <c r="B57" s="63"/>
      <c r="C57" s="63"/>
      <c r="D57" s="63"/>
      <c r="E57" s="63"/>
      <c r="F57" s="64"/>
      <c r="J57" s="73"/>
      <c r="K57" s="3"/>
      <c r="L57" s="3"/>
      <c r="M57" s="3"/>
      <c r="N57" s="3"/>
      <c r="O57" s="3"/>
      <c r="P57" s="3"/>
      <c r="Q57" s="3"/>
      <c r="R57" s="3"/>
      <c r="S57" s="3"/>
      <c r="T57" s="3"/>
      <c r="V57" s="96"/>
      <c r="Y57" s="96"/>
      <c r="Z57" s="3"/>
    </row>
    <row r="58" spans="1:26" ht="15.75" thickBot="1" x14ac:dyDescent="0.3">
      <c r="A58" s="63" t="s">
        <v>20</v>
      </c>
      <c r="B58" s="63" t="s">
        <v>21</v>
      </c>
      <c r="C58" s="63" t="s">
        <v>22</v>
      </c>
      <c r="D58" s="63" t="s">
        <v>23</v>
      </c>
      <c r="E58" s="63" t="s">
        <v>24</v>
      </c>
      <c r="F58" s="64" t="s">
        <v>152</v>
      </c>
      <c r="G58" s="65" t="s">
        <v>153</v>
      </c>
      <c r="H58" s="66" t="s">
        <v>154</v>
      </c>
      <c r="I58" s="67" t="str">
        <f>F58</f>
        <v>00264306</v>
      </c>
      <c r="J58" s="68" t="s">
        <v>155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70">
        <f>SUM(K58:T58)</f>
        <v>0</v>
      </c>
      <c r="V58" s="96"/>
      <c r="Y58" s="96"/>
      <c r="Z58" s="6">
        <f t="shared" si="0"/>
        <v>0</v>
      </c>
    </row>
    <row r="59" spans="1:26" ht="15.75" thickBot="1" x14ac:dyDescent="0.3">
      <c r="A59" s="63"/>
      <c r="B59" s="63"/>
      <c r="C59" s="63"/>
      <c r="D59" s="63"/>
      <c r="E59" s="63"/>
      <c r="F59" s="64"/>
      <c r="J59" s="73"/>
      <c r="K59" s="3"/>
      <c r="L59" s="3"/>
      <c r="M59" s="3"/>
      <c r="N59" s="3"/>
      <c r="O59" s="3"/>
      <c r="P59" s="3"/>
      <c r="Q59" s="3"/>
      <c r="R59" s="3"/>
      <c r="S59" s="3"/>
      <c r="T59" s="3"/>
      <c r="U59" s="75"/>
      <c r="V59" s="96"/>
      <c r="Y59" s="96"/>
      <c r="Z59" s="3"/>
    </row>
    <row r="60" spans="1:26" ht="15.75" thickBot="1" x14ac:dyDescent="0.3">
      <c r="A60" s="63" t="s">
        <v>20</v>
      </c>
      <c r="B60" s="63" t="s">
        <v>21</v>
      </c>
      <c r="C60" s="63" t="s">
        <v>22</v>
      </c>
      <c r="D60" s="63" t="s">
        <v>23</v>
      </c>
      <c r="E60" s="63" t="s">
        <v>24</v>
      </c>
      <c r="F60" s="64" t="s">
        <v>156</v>
      </c>
      <c r="G60" s="65" t="s">
        <v>157</v>
      </c>
      <c r="H60" s="66" t="s">
        <v>158</v>
      </c>
      <c r="I60" s="67" t="str">
        <f>F60</f>
        <v>00263036</v>
      </c>
      <c r="J60" s="68" t="s">
        <v>159</v>
      </c>
      <c r="K60" s="69">
        <v>32039.5</v>
      </c>
      <c r="L60" s="69">
        <v>0</v>
      </c>
      <c r="M60" s="69">
        <v>0</v>
      </c>
      <c r="N60" s="69">
        <v>0</v>
      </c>
      <c r="O60" s="69">
        <v>0</v>
      </c>
      <c r="P60" s="69">
        <v>6791.04</v>
      </c>
      <c r="Q60" s="69">
        <v>0</v>
      </c>
      <c r="R60" s="69">
        <v>0</v>
      </c>
      <c r="S60" s="69">
        <v>0</v>
      </c>
      <c r="T60" s="69">
        <v>0</v>
      </c>
      <c r="U60" s="69">
        <f>SUM(K60:T60)</f>
        <v>38830.54</v>
      </c>
      <c r="V60" s="96"/>
      <c r="W60" s="96"/>
      <c r="X60" s="96"/>
      <c r="Y60" s="96"/>
      <c r="Z60" s="6">
        <f t="shared" si="0"/>
        <v>38830.54</v>
      </c>
    </row>
    <row r="61" spans="1:26" ht="15.75" thickBot="1" x14ac:dyDescent="0.3">
      <c r="A61" s="63"/>
      <c r="B61" s="63"/>
      <c r="C61" s="63"/>
      <c r="D61" s="63"/>
      <c r="E61" s="63"/>
      <c r="F61" s="64"/>
      <c r="J61" s="73"/>
      <c r="K61" s="3"/>
      <c r="L61" s="3"/>
      <c r="M61" s="3"/>
      <c r="N61" s="3"/>
      <c r="O61" s="3"/>
      <c r="P61" s="3"/>
      <c r="Q61" s="3"/>
      <c r="R61" s="3"/>
      <c r="S61" s="3"/>
      <c r="T61" s="3"/>
      <c r="V61" s="96"/>
      <c r="Y61" s="96"/>
      <c r="Z61" s="3"/>
    </row>
    <row r="62" spans="1:26" ht="15.75" thickBot="1" x14ac:dyDescent="0.3">
      <c r="A62" s="63" t="s">
        <v>20</v>
      </c>
      <c r="B62" s="63" t="s">
        <v>21</v>
      </c>
      <c r="C62" s="63" t="s">
        <v>22</v>
      </c>
      <c r="D62" s="63" t="s">
        <v>23</v>
      </c>
      <c r="E62" s="63" t="s">
        <v>24</v>
      </c>
      <c r="F62" s="64" t="s">
        <v>160</v>
      </c>
      <c r="G62" s="65" t="s">
        <v>161</v>
      </c>
      <c r="H62" s="66" t="s">
        <v>162</v>
      </c>
      <c r="I62" s="67" t="str">
        <f>F62</f>
        <v>N/A</v>
      </c>
      <c r="J62" s="68"/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564.77</v>
      </c>
      <c r="S62" s="69">
        <v>17066.97</v>
      </c>
      <c r="T62" s="69">
        <v>29489.25</v>
      </c>
      <c r="U62" s="70">
        <f>SUM(K62:T62)</f>
        <v>47120.990000000005</v>
      </c>
      <c r="V62" s="96"/>
      <c r="W62" s="96"/>
      <c r="X62" s="96"/>
      <c r="Y62" s="96"/>
      <c r="Z62" s="6"/>
    </row>
    <row r="63" spans="1:26" ht="15.75" thickBot="1" x14ac:dyDescent="0.3">
      <c r="A63" s="63"/>
      <c r="B63" s="63"/>
      <c r="C63" s="63"/>
      <c r="D63" s="63"/>
      <c r="E63" s="63"/>
      <c r="F63" s="64"/>
      <c r="J63" s="73"/>
      <c r="K63" s="3"/>
      <c r="L63" s="3"/>
      <c r="M63" s="3"/>
      <c r="N63" s="3"/>
      <c r="O63" s="3"/>
      <c r="P63" s="3"/>
      <c r="Q63" s="3"/>
      <c r="R63" s="3"/>
      <c r="S63" s="3"/>
      <c r="T63" s="3"/>
      <c r="U63" s="75"/>
      <c r="V63" s="96"/>
      <c r="Y63" s="96"/>
      <c r="Z63" s="3"/>
    </row>
    <row r="64" spans="1:26" ht="15.75" thickBot="1" x14ac:dyDescent="0.3">
      <c r="A64" s="63" t="s">
        <v>20</v>
      </c>
      <c r="B64" s="63" t="s">
        <v>21</v>
      </c>
      <c r="C64" s="63" t="s">
        <v>22</v>
      </c>
      <c r="D64" s="63" t="s">
        <v>23</v>
      </c>
      <c r="E64" s="63" t="s">
        <v>24</v>
      </c>
      <c r="F64" s="64" t="s">
        <v>160</v>
      </c>
      <c r="G64" s="65" t="s">
        <v>163</v>
      </c>
      <c r="H64" s="66" t="s">
        <v>164</v>
      </c>
      <c r="I64" s="67" t="str">
        <f>F64</f>
        <v>N/A</v>
      </c>
      <c r="J64" s="68"/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706860</v>
      </c>
      <c r="U64" s="70">
        <f>SUM(K64:T64)</f>
        <v>706860</v>
      </c>
      <c r="V64" s="96"/>
      <c r="W64" s="96"/>
      <c r="X64" s="96"/>
      <c r="Y64" s="96"/>
      <c r="Z64" s="6"/>
    </row>
    <row r="65" spans="1:26" ht="15.75" thickBot="1" x14ac:dyDescent="0.3">
      <c r="A65" s="63"/>
      <c r="B65" s="63"/>
      <c r="C65" s="63"/>
      <c r="D65" s="63"/>
      <c r="E65" s="63"/>
      <c r="F65" s="64"/>
      <c r="J65" s="77"/>
      <c r="U65" s="75"/>
      <c r="V65" s="96"/>
    </row>
    <row r="66" spans="1:26" ht="15.75" thickBot="1" x14ac:dyDescent="0.3">
      <c r="A66" s="63"/>
      <c r="B66" s="63"/>
      <c r="C66" s="63"/>
      <c r="D66" s="63"/>
      <c r="E66" s="63"/>
      <c r="F66" s="64"/>
      <c r="J66" s="73"/>
      <c r="K66" s="69">
        <f>K10+K12+K14+K16+K20+K31+K41+K50+K56+K58+K60+K62+K64</f>
        <v>1356371.29</v>
      </c>
      <c r="L66" s="69">
        <f t="shared" ref="L66:S66" si="10">L10+L12+L14+L16+L20+L31+L41+L50+L56+L58+L60+L62+L64</f>
        <v>111048.06999999999</v>
      </c>
      <c r="M66" s="69">
        <f t="shared" si="10"/>
        <v>494433.78</v>
      </c>
      <c r="N66" s="69">
        <f t="shared" si="10"/>
        <v>232304.01</v>
      </c>
      <c r="O66" s="69">
        <f t="shared" si="10"/>
        <v>586067.5</v>
      </c>
      <c r="P66" s="69">
        <f t="shared" si="10"/>
        <v>2776927.82</v>
      </c>
      <c r="Q66" s="69">
        <f t="shared" si="10"/>
        <v>3743727.3799999994</v>
      </c>
      <c r="R66" s="69">
        <f t="shared" si="10"/>
        <v>1209005.02</v>
      </c>
      <c r="S66" s="69">
        <f t="shared" si="10"/>
        <v>1302710.9000000001</v>
      </c>
      <c r="T66" s="69">
        <f>T10+T12+T14+T16+T20+T31+T41+T50+T56+T58+T60+T62+T64</f>
        <v>1626355.01</v>
      </c>
      <c r="U66" s="69">
        <f>U10+U12+U14+U16+U20+U31+U41+U50+U56+U58+U60+U62+U64</f>
        <v>13438950.780000001</v>
      </c>
      <c r="V66" s="96">
        <f>SUM(V10:V65)</f>
        <v>0</v>
      </c>
      <c r="W66" s="96"/>
      <c r="X66" s="96">
        <f>SUM(X10:X65)</f>
        <v>0</v>
      </c>
      <c r="Y66" s="96">
        <f>SUM(Y10:Y65)</f>
        <v>0</v>
      </c>
      <c r="Z66" s="3">
        <f>SUM(Z10:Z65)</f>
        <v>12684969.790000001</v>
      </c>
    </row>
    <row r="67" spans="1:26" x14ac:dyDescent="0.25">
      <c r="A67" s="63"/>
      <c r="B67" s="63"/>
      <c r="C67" s="63"/>
      <c r="D67" s="63"/>
      <c r="E67" s="63"/>
      <c r="F67" s="64"/>
      <c r="K67" s="3"/>
      <c r="L67" s="3"/>
      <c r="M67" s="91" t="s">
        <v>165</v>
      </c>
      <c r="N67" s="3">
        <f>+N66+M66+L66+K66+O66+P66+Q66+R66+S66</f>
        <v>11812595.77</v>
      </c>
      <c r="O67" s="3"/>
      <c r="P67" s="3"/>
      <c r="Q67" s="3"/>
      <c r="R67" s="3"/>
      <c r="S67" s="91" t="s">
        <v>167</v>
      </c>
      <c r="T67" s="3">
        <f>+T66</f>
        <v>1626355.01</v>
      </c>
      <c r="U67" s="3">
        <f>+T67+N67</f>
        <v>13438950.779999999</v>
      </c>
      <c r="Z67" s="3">
        <f>+U67+W66+X66</f>
        <v>13438950.779999999</v>
      </c>
    </row>
    <row r="68" spans="1:26" x14ac:dyDescent="0.25">
      <c r="A68" s="63"/>
      <c r="B68" s="63"/>
      <c r="C68" s="63"/>
      <c r="D68" s="63"/>
      <c r="E68" s="63"/>
      <c r="F68" s="64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6" x14ac:dyDescent="0.25">
      <c r="A69" s="63"/>
      <c r="B69" s="63"/>
      <c r="C69" s="63"/>
      <c r="D69" s="63"/>
      <c r="E69" s="63"/>
      <c r="F69" s="64"/>
    </row>
    <row r="70" spans="1:26" x14ac:dyDescent="0.25">
      <c r="A70" s="63"/>
      <c r="B70" s="63"/>
      <c r="C70" s="63"/>
      <c r="D70" s="63"/>
      <c r="E70" s="63"/>
      <c r="F70" s="64"/>
    </row>
    <row r="71" spans="1:26" x14ac:dyDescent="0.25">
      <c r="A71" s="63"/>
      <c r="B71" s="63"/>
      <c r="C71" s="63"/>
      <c r="D71" s="63"/>
      <c r="E71" s="63"/>
      <c r="F71" s="64"/>
    </row>
    <row r="72" spans="1:26" x14ac:dyDescent="0.25">
      <c r="A72" s="63"/>
      <c r="B72" s="63"/>
      <c r="C72" s="63"/>
      <c r="D72" s="63"/>
      <c r="E72" s="63"/>
      <c r="F72" s="64"/>
    </row>
  </sheetData>
  <mergeCells count="1">
    <mergeCell ref="U6:U8"/>
  </mergeCells>
  <dataValidations disablePrompts="1" count="1">
    <dataValidation type="list" allowBlank="1" showInputMessage="1" showErrorMessage="1" sqref="K5:T5" xr:uid="{00000000-0002-0000-0000-000000000000}">
      <formula1>"PER,QTR,DQTR,YTD,LTD,RANGE,BLTD,BLTDAPR,BLTDREQ,per,qtr,dqtr,ytd,ltd,range,bltd,bltdapr,bltdreq"</formula1>
    </dataValidation>
  </dataValidations>
  <pageMargins left="0.7" right="0.7" top="0.75" bottom="0.75" header="0.3" footer="0.3"/>
  <pageSetup scale="48" orientation="landscape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44" ma:contentTypeDescription="" ma:contentTypeScope="" ma:versionID="495a5c5da9dc688e04dc96aba61080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2021-05-21T07:00:00+00:00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07177D-EFCA-4519-BAFA-3765132B568C}"/>
</file>

<file path=customXml/itemProps2.xml><?xml version="1.0" encoding="utf-8"?>
<ds:datastoreItem xmlns:ds="http://schemas.openxmlformats.org/officeDocument/2006/customXml" ds:itemID="{52178742-130E-4EEB-9232-463F54AD4784}"/>
</file>

<file path=customXml/itemProps3.xml><?xml version="1.0" encoding="utf-8"?>
<ds:datastoreItem xmlns:ds="http://schemas.openxmlformats.org/officeDocument/2006/customXml" ds:itemID="{9A6BD67B-E4DD-45F4-994F-09F35BBA0244}"/>
</file>

<file path=customXml/itemProps4.xml><?xml version="1.0" encoding="utf-8"?>
<ds:datastoreItem xmlns:ds="http://schemas.openxmlformats.org/officeDocument/2006/customXml" ds:itemID="{B3823A16-9029-4466-ABB8-6CEA32CDE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Rate Calculation</vt:lpstr>
      <vt:lpstr>Monthly</vt:lpstr>
    </vt:vector>
  </TitlesOfParts>
  <Company>MDUR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Wanner, Scott</dc:creator>
  <cp:lastModifiedBy>Peters, Maryalice</cp:lastModifiedBy>
  <cp:lastPrinted>2020-05-28T23:41:11Z</cp:lastPrinted>
  <dcterms:created xsi:type="dcterms:W3CDTF">2020-05-26T16:55:13Z</dcterms:created>
  <dcterms:modified xsi:type="dcterms:W3CDTF">2021-05-21T21:53:05Z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Workbook id">
    <vt:lpwstr>fb62fc57-a72f-4902-836e-33fe916bfa89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  <property fmtid="{D5CDD505-2E9C-101B-9397-08002B2CF9AE}" pid="6" name="ContentTypeId">
    <vt:lpwstr>0x0101006E56B4D1795A2E4DB2F0B01679ED314A00A9B141868A9DE943AC0520515758323A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