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Compliance Filing\2020 PCORC Work Papers COMPLIANCE\"/>
    </mc:Choice>
  </mc:AlternateContent>
  <bookViews>
    <workbookView xWindow="0" yWindow="1350" windowWidth="25200" windowHeight="10860"/>
  </bookViews>
  <sheets>
    <sheet name="Exh BDJ-5 p1" sheetId="9" r:id="rId1"/>
    <sheet name="WP====&gt;" sheetId="6" r:id="rId2"/>
    <sheet name="Sch 139 Eff 7-1-2021" sheetId="4" r:id="rId3"/>
    <sheet name="Sch 139 Eff 1-1-2021" sheetId="2" r:id="rId4"/>
    <sheet name="Sch 139 Eff 10-15-2020" sheetId="1" r:id="rId5"/>
    <sheet name="Temp Adj Diff" sheetId="8" r:id="rId6"/>
    <sheet name="Sch 139 Credit Calculation" sheetId="3" r:id="rId7"/>
  </sheets>
  <externalReferences>
    <externalReference r:id="rId8"/>
    <externalReference r:id="rId9"/>
  </externalReferences>
  <definedNames>
    <definedName name="_xlnm.Print_Area" localSheetId="6">'Sch 139 Credit Calculation'!$A$1:$F$39</definedName>
    <definedName name="_xlnm.Print_Area" localSheetId="4">'Sch 139 Eff 10-15-2020'!$A$1:$T$47</definedName>
    <definedName name="_xlnm.Print_Area" localSheetId="3">'Sch 139 Eff 1-1-2021'!$A$1:$H$47</definedName>
    <definedName name="_xlnm.Print_Area" localSheetId="2">'Sch 139 Eff 7-1-2021'!$A$1:$H$47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5" i="2"/>
  <c r="F45" i="1"/>
  <c r="F43" i="1"/>
  <c r="F42" i="1"/>
  <c r="F40" i="1"/>
  <c r="D8" i="8"/>
  <c r="D9" i="8"/>
  <c r="D10" i="8"/>
  <c r="D11" i="8"/>
  <c r="D12" i="8"/>
  <c r="D13" i="8"/>
  <c r="D7" i="8"/>
  <c r="C8" i="8"/>
  <c r="C9" i="8"/>
  <c r="C10" i="8"/>
  <c r="C11" i="8"/>
  <c r="C12" i="8"/>
  <c r="C13" i="8"/>
  <c r="C7" i="8"/>
  <c r="E10" i="8" l="1"/>
  <c r="E26" i="1" s="1"/>
  <c r="F26" i="1" s="1"/>
  <c r="E13" i="8"/>
  <c r="E12" i="8"/>
  <c r="E38" i="1" s="1"/>
  <c r="F38" i="1" s="1"/>
  <c r="E8" i="8"/>
  <c r="E13" i="1" s="1"/>
  <c r="F13" i="1" s="1"/>
  <c r="E9" i="8"/>
  <c r="E21" i="1" s="1"/>
  <c r="F21" i="1" s="1"/>
  <c r="C14" i="8"/>
  <c r="E16" i="1"/>
  <c r="F16" i="1" s="1"/>
  <c r="E15" i="1"/>
  <c r="F15" i="1" s="1"/>
  <c r="D14" i="8"/>
  <c r="E29" i="1"/>
  <c r="F29" i="1" s="1"/>
  <c r="E23" i="1"/>
  <c r="F23" i="1" s="1"/>
  <c r="E28" i="1"/>
  <c r="F28" i="1" s="1"/>
  <c r="E25" i="1"/>
  <c r="F25" i="1" s="1"/>
  <c r="E27" i="1"/>
  <c r="F27" i="1" s="1"/>
  <c r="E30" i="1"/>
  <c r="F30" i="1" s="1"/>
  <c r="E11" i="8"/>
  <c r="E7" i="8"/>
  <c r="E14" i="1" l="1"/>
  <c r="F14" i="1" s="1"/>
  <c r="E12" i="1"/>
  <c r="F12" i="1" s="1"/>
  <c r="E11" i="1"/>
  <c r="F11" i="1" s="1"/>
  <c r="E14" i="8"/>
  <c r="E22" i="1"/>
  <c r="F22" i="1" s="1"/>
  <c r="E20" i="1"/>
  <c r="F20" i="1" s="1"/>
  <c r="E19" i="1"/>
  <c r="F19" i="1" s="1"/>
  <c r="E18" i="1"/>
  <c r="F18" i="1" s="1"/>
  <c r="E7" i="1"/>
  <c r="F7" i="1" s="1"/>
  <c r="D7" i="4" s="1"/>
  <c r="E8" i="1"/>
  <c r="F8" i="1" s="1"/>
  <c r="E9" i="1"/>
  <c r="F9" i="1" s="1"/>
  <c r="E34" i="1"/>
  <c r="F34" i="1" s="1"/>
  <c r="E35" i="1"/>
  <c r="F35" i="1" s="1"/>
  <c r="E36" i="1"/>
  <c r="F36" i="1" s="1"/>
  <c r="E33" i="1"/>
  <c r="F33" i="1" s="1"/>
  <c r="E32" i="1"/>
  <c r="F32" i="1" s="1"/>
  <c r="D45" i="1"/>
  <c r="D43" i="1"/>
  <c r="D42" i="1"/>
  <c r="D40" i="1"/>
  <c r="D38" i="1"/>
  <c r="D36" i="1"/>
  <c r="D35" i="1"/>
  <c r="D34" i="1"/>
  <c r="D33" i="1"/>
  <c r="D32" i="1"/>
  <c r="D30" i="1"/>
  <c r="D29" i="1"/>
  <c r="D28" i="1"/>
  <c r="D27" i="1"/>
  <c r="D26" i="1"/>
  <c r="D25" i="1"/>
  <c r="D23" i="1"/>
  <c r="D22" i="1"/>
  <c r="D21" i="1"/>
  <c r="D20" i="1"/>
  <c r="D19" i="1"/>
  <c r="D18" i="1"/>
  <c r="D16" i="1"/>
  <c r="D15" i="1"/>
  <c r="D14" i="1"/>
  <c r="D13" i="1"/>
  <c r="D12" i="1"/>
  <c r="D11" i="1"/>
  <c r="D8" i="1"/>
  <c r="D9" i="1"/>
  <c r="D7" i="1"/>
  <c r="D47" i="1" s="1"/>
  <c r="E47" i="1" l="1"/>
  <c r="D7" i="3" l="1"/>
  <c r="C9" i="3" l="1"/>
  <c r="C10" i="3" s="1"/>
  <c r="A10" i="3" l="1"/>
  <c r="D9" i="3"/>
  <c r="D10" i="3" s="1"/>
  <c r="H16" i="1"/>
  <c r="A8" i="3"/>
  <c r="A9" i="3" s="1"/>
  <c r="F45" i="2" l="1"/>
  <c r="F38" i="2"/>
  <c r="F33" i="2"/>
  <c r="F28" i="2"/>
  <c r="F23" i="2"/>
  <c r="F19" i="2"/>
  <c r="F14" i="2"/>
  <c r="F9" i="2"/>
  <c r="F42" i="2"/>
  <c r="F30" i="2"/>
  <c r="F21" i="2"/>
  <c r="F16" i="2"/>
  <c r="F40" i="2"/>
  <c r="F25" i="2"/>
  <c r="F15" i="2"/>
  <c r="F43" i="2"/>
  <c r="F36" i="2"/>
  <c r="F32" i="2"/>
  <c r="F27" i="2"/>
  <c r="F22" i="2"/>
  <c r="F18" i="2"/>
  <c r="F13" i="2"/>
  <c r="F8" i="2"/>
  <c r="F35" i="2"/>
  <c r="F26" i="2"/>
  <c r="F12" i="2"/>
  <c r="F7" i="2"/>
  <c r="F34" i="2"/>
  <c r="F29" i="2"/>
  <c r="F20" i="2"/>
  <c r="F11" i="2"/>
  <c r="H12" i="1"/>
  <c r="H40" i="1"/>
  <c r="H34" i="1"/>
  <c r="H29" i="1"/>
  <c r="H25" i="1"/>
  <c r="H20" i="1"/>
  <c r="H15" i="1"/>
  <c r="H11" i="1"/>
  <c r="H36" i="1"/>
  <c r="H27" i="1"/>
  <c r="H22" i="1"/>
  <c r="H13" i="1"/>
  <c r="H35" i="1"/>
  <c r="H26" i="1"/>
  <c r="H45" i="1"/>
  <c r="H38" i="1"/>
  <c r="H33" i="1"/>
  <c r="H28" i="1"/>
  <c r="H23" i="1"/>
  <c r="H19" i="1"/>
  <c r="H14" i="1"/>
  <c r="H9" i="1"/>
  <c r="H43" i="1"/>
  <c r="H32" i="1"/>
  <c r="H18" i="1"/>
  <c r="H8" i="1"/>
  <c r="H42" i="1"/>
  <c r="H30" i="1"/>
  <c r="H21" i="1"/>
  <c r="H7" i="1"/>
  <c r="C45" i="1" l="1"/>
  <c r="C43" i="1"/>
  <c r="C42" i="1"/>
  <c r="C40" i="1"/>
  <c r="C38" i="1"/>
  <c r="C36" i="1"/>
  <c r="C35" i="1"/>
  <c r="C34" i="1"/>
  <c r="C33" i="1"/>
  <c r="C32" i="1"/>
  <c r="C30" i="1"/>
  <c r="C29" i="1"/>
  <c r="C28" i="1"/>
  <c r="C27" i="1"/>
  <c r="C26" i="1"/>
  <c r="C25" i="1"/>
  <c r="C23" i="1"/>
  <c r="C22" i="1"/>
  <c r="C21" i="1"/>
  <c r="C20" i="1"/>
  <c r="C19" i="1"/>
  <c r="C18" i="1"/>
  <c r="C16" i="1"/>
  <c r="C15" i="1"/>
  <c r="C14" i="1"/>
  <c r="C13" i="1"/>
  <c r="C12" i="1"/>
  <c r="C11" i="1"/>
  <c r="C9" i="1"/>
  <c r="C8" i="1"/>
  <c r="C7" i="1"/>
  <c r="G16" i="1"/>
  <c r="G23" i="1"/>
  <c r="G28" i="1"/>
  <c r="G36" i="1"/>
  <c r="G45" i="1"/>
  <c r="G43" i="1"/>
  <c r="G42" i="1"/>
  <c r="G40" i="1"/>
  <c r="G33" i="1"/>
  <c r="G27" i="1"/>
  <c r="G26" i="1"/>
  <c r="G20" i="1"/>
  <c r="G11" i="1"/>
  <c r="G8" i="1"/>
  <c r="G14" i="1"/>
  <c r="G9" i="1"/>
  <c r="F41" i="1" l="1"/>
  <c r="F17" i="1"/>
  <c r="D11" i="2"/>
  <c r="D11" i="4"/>
  <c r="F24" i="1"/>
  <c r="D18" i="2"/>
  <c r="D18" i="4"/>
  <c r="D25" i="2"/>
  <c r="D25" i="4"/>
  <c r="F37" i="1"/>
  <c r="D32" i="2"/>
  <c r="D32" i="4"/>
  <c r="D36" i="2"/>
  <c r="D36" i="4"/>
  <c r="D43" i="2"/>
  <c r="D43" i="4"/>
  <c r="C7" i="4"/>
  <c r="C7" i="2"/>
  <c r="C12" i="2"/>
  <c r="C12" i="4"/>
  <c r="C21" i="2"/>
  <c r="C21" i="4"/>
  <c r="C35" i="2"/>
  <c r="C35" i="4"/>
  <c r="D12" i="4"/>
  <c r="D12" i="2"/>
  <c r="D16" i="4"/>
  <c r="D16" i="2"/>
  <c r="D19" i="4"/>
  <c r="D19" i="2"/>
  <c r="D21" i="4"/>
  <c r="D21" i="2"/>
  <c r="D26" i="4"/>
  <c r="D26" i="2"/>
  <c r="D28" i="4"/>
  <c r="D28" i="2"/>
  <c r="D30" i="4"/>
  <c r="D30" i="2"/>
  <c r="D33" i="4"/>
  <c r="D33" i="2"/>
  <c r="D35" i="4"/>
  <c r="D35" i="2"/>
  <c r="F39" i="1"/>
  <c r="D38" i="4"/>
  <c r="D38" i="2"/>
  <c r="D39" i="2" s="1"/>
  <c r="D42" i="4"/>
  <c r="D42" i="2"/>
  <c r="D44" i="2" s="1"/>
  <c r="F44" i="1"/>
  <c r="D8" i="2"/>
  <c r="D8" i="4"/>
  <c r="D13" i="2"/>
  <c r="D13" i="4"/>
  <c r="D15" i="2"/>
  <c r="D15" i="4"/>
  <c r="D20" i="2"/>
  <c r="D20" i="4"/>
  <c r="D22" i="2"/>
  <c r="D22" i="4"/>
  <c r="D27" i="2"/>
  <c r="D27" i="4"/>
  <c r="D29" i="2"/>
  <c r="D29" i="4"/>
  <c r="D34" i="2"/>
  <c r="D34" i="4"/>
  <c r="D40" i="2"/>
  <c r="D41" i="2" s="1"/>
  <c r="D40" i="4"/>
  <c r="F46" i="1"/>
  <c r="D45" i="4"/>
  <c r="D45" i="2"/>
  <c r="D46" i="2" s="1"/>
  <c r="C9" i="4"/>
  <c r="C9" i="2"/>
  <c r="C14" i="2"/>
  <c r="C14" i="4"/>
  <c r="C16" i="2"/>
  <c r="C16" i="4"/>
  <c r="C19" i="4"/>
  <c r="C19" i="2"/>
  <c r="C23" i="4"/>
  <c r="C23" i="2"/>
  <c r="C26" i="2"/>
  <c r="C26" i="4"/>
  <c r="C28" i="4"/>
  <c r="C28" i="2"/>
  <c r="C30" i="2"/>
  <c r="C30" i="4"/>
  <c r="C33" i="4"/>
  <c r="C33" i="2"/>
  <c r="C38" i="2"/>
  <c r="C38" i="4"/>
  <c r="C42" i="2"/>
  <c r="C42" i="4"/>
  <c r="F10" i="1"/>
  <c r="D7" i="2"/>
  <c r="D9" i="4"/>
  <c r="D9" i="2"/>
  <c r="D14" i="4"/>
  <c r="D14" i="2"/>
  <c r="D23" i="4"/>
  <c r="D23" i="2"/>
  <c r="C8" i="4"/>
  <c r="C8" i="2"/>
  <c r="C11" i="2"/>
  <c r="C11" i="4"/>
  <c r="C13" i="4"/>
  <c r="C13" i="2"/>
  <c r="C15" i="2"/>
  <c r="C15" i="4"/>
  <c r="C18" i="4"/>
  <c r="C18" i="2"/>
  <c r="C20" i="2"/>
  <c r="C20" i="4"/>
  <c r="C22" i="4"/>
  <c r="C22" i="2"/>
  <c r="C25" i="2"/>
  <c r="C25" i="4"/>
  <c r="C27" i="4"/>
  <c r="C27" i="2"/>
  <c r="C29" i="2"/>
  <c r="C29" i="4"/>
  <c r="C32" i="4"/>
  <c r="C32" i="2"/>
  <c r="C34" i="2"/>
  <c r="C34" i="4"/>
  <c r="C36" i="4"/>
  <c r="C36" i="2"/>
  <c r="C40" i="4"/>
  <c r="C40" i="2"/>
  <c r="C43" i="2"/>
  <c r="C43" i="4"/>
  <c r="C45" i="4"/>
  <c r="C45" i="2"/>
  <c r="E40" i="2"/>
  <c r="E40" i="4"/>
  <c r="E43" i="2"/>
  <c r="G43" i="2" s="1"/>
  <c r="E43" i="4"/>
  <c r="E26" i="4"/>
  <c r="E26" i="2"/>
  <c r="E36" i="4"/>
  <c r="E36" i="2"/>
  <c r="E45" i="4"/>
  <c r="E45" i="2"/>
  <c r="E20" i="2"/>
  <c r="E20" i="4"/>
  <c r="E11" i="4"/>
  <c r="E11" i="2"/>
  <c r="E23" i="2"/>
  <c r="E23" i="4"/>
  <c r="I9" i="1"/>
  <c r="E9" i="4"/>
  <c r="E9" i="2"/>
  <c r="E27" i="4"/>
  <c r="E27" i="2"/>
  <c r="E33" i="2"/>
  <c r="E33" i="4"/>
  <c r="E42" i="2"/>
  <c r="E42" i="4"/>
  <c r="E28" i="4"/>
  <c r="E28" i="2"/>
  <c r="E14" i="4"/>
  <c r="E14" i="2"/>
  <c r="E8" i="2"/>
  <c r="E8" i="4"/>
  <c r="E16" i="4"/>
  <c r="E16" i="2"/>
  <c r="I11" i="1"/>
  <c r="I26" i="1"/>
  <c r="I23" i="1"/>
  <c r="I16" i="1"/>
  <c r="I42" i="1"/>
  <c r="I40" i="1"/>
  <c r="J41" i="1" s="1"/>
  <c r="I43" i="1"/>
  <c r="I45" i="1"/>
  <c r="J46" i="1" s="1"/>
  <c r="I8" i="1"/>
  <c r="G12" i="1"/>
  <c r="G13" i="1"/>
  <c r="G15" i="1"/>
  <c r="G25" i="1"/>
  <c r="I27" i="1"/>
  <c r="I28" i="1"/>
  <c r="G38" i="1"/>
  <c r="I14" i="1"/>
  <c r="G29" i="1"/>
  <c r="I33" i="1"/>
  <c r="I36" i="1"/>
  <c r="G18" i="1"/>
  <c r="I20" i="1"/>
  <c r="G30" i="1"/>
  <c r="G32" i="1"/>
  <c r="G34" i="1"/>
  <c r="G35" i="1"/>
  <c r="G7" i="1"/>
  <c r="G19" i="1"/>
  <c r="G21" i="1"/>
  <c r="G22" i="1"/>
  <c r="F31" i="1"/>
  <c r="G27" i="2" l="1"/>
  <c r="G26" i="2"/>
  <c r="G20" i="2"/>
  <c r="G40" i="2"/>
  <c r="H41" i="2" s="1"/>
  <c r="J14" i="4"/>
  <c r="J26" i="4"/>
  <c r="J45" i="4"/>
  <c r="J27" i="4"/>
  <c r="J20" i="4"/>
  <c r="J43" i="4"/>
  <c r="J11" i="4"/>
  <c r="J33" i="4"/>
  <c r="J28" i="4"/>
  <c r="J16" i="4"/>
  <c r="J23" i="4"/>
  <c r="J9" i="4"/>
  <c r="J40" i="4"/>
  <c r="J8" i="4"/>
  <c r="J42" i="4"/>
  <c r="J36" i="4"/>
  <c r="G14" i="2"/>
  <c r="G42" i="2"/>
  <c r="H44" i="2" s="1"/>
  <c r="G11" i="2"/>
  <c r="G23" i="2"/>
  <c r="G33" i="2"/>
  <c r="D10" i="4"/>
  <c r="D46" i="4"/>
  <c r="D39" i="4"/>
  <c r="D41" i="4"/>
  <c r="D37" i="4"/>
  <c r="D17" i="4"/>
  <c r="G28" i="2"/>
  <c r="F47" i="1"/>
  <c r="D37" i="2"/>
  <c r="D24" i="4"/>
  <c r="D17" i="2"/>
  <c r="D31" i="4"/>
  <c r="G36" i="2"/>
  <c r="D31" i="2"/>
  <c r="G16" i="2"/>
  <c r="G8" i="2"/>
  <c r="G9" i="2"/>
  <c r="G45" i="2"/>
  <c r="H46" i="2" s="1"/>
  <c r="D10" i="2"/>
  <c r="D44" i="4"/>
  <c r="D24" i="2"/>
  <c r="I35" i="1"/>
  <c r="E35" i="4"/>
  <c r="J35" i="4" s="1"/>
  <c r="E35" i="2"/>
  <c r="G35" i="2" s="1"/>
  <c r="I7" i="1"/>
  <c r="J10" i="1" s="1"/>
  <c r="E7" i="4"/>
  <c r="J7" i="4" s="1"/>
  <c r="E7" i="2"/>
  <c r="G7" i="2" s="1"/>
  <c r="I18" i="1"/>
  <c r="E18" i="2"/>
  <c r="G18" i="2" s="1"/>
  <c r="E18" i="4"/>
  <c r="J18" i="4" s="1"/>
  <c r="I32" i="1"/>
  <c r="E32" i="4"/>
  <c r="J32" i="4" s="1"/>
  <c r="E32" i="2"/>
  <c r="G32" i="2" s="1"/>
  <c r="I12" i="1"/>
  <c r="E12" i="4"/>
  <c r="J12" i="4" s="1"/>
  <c r="E12" i="2"/>
  <c r="G12" i="2" s="1"/>
  <c r="J44" i="1"/>
  <c r="I38" i="1"/>
  <c r="J39" i="1" s="1"/>
  <c r="E38" i="4"/>
  <c r="J38" i="4" s="1"/>
  <c r="E38" i="2"/>
  <c r="G38" i="2" s="1"/>
  <c r="H39" i="2" s="1"/>
  <c r="I15" i="1"/>
  <c r="E15" i="2"/>
  <c r="G15" i="2" s="1"/>
  <c r="E15" i="4"/>
  <c r="J15" i="4" s="1"/>
  <c r="I22" i="1"/>
  <c r="E22" i="4"/>
  <c r="J22" i="4" s="1"/>
  <c r="E22" i="2"/>
  <c r="G22" i="2" s="1"/>
  <c r="I34" i="1"/>
  <c r="E34" i="2"/>
  <c r="G34" i="2" s="1"/>
  <c r="E34" i="4"/>
  <c r="J34" i="4" s="1"/>
  <c r="I13" i="1"/>
  <c r="E13" i="4"/>
  <c r="J13" i="4" s="1"/>
  <c r="E13" i="2"/>
  <c r="G13" i="2" s="1"/>
  <c r="I21" i="1"/>
  <c r="E21" i="4"/>
  <c r="J21" i="4" s="1"/>
  <c r="E21" i="2"/>
  <c r="G21" i="2" s="1"/>
  <c r="I19" i="1"/>
  <c r="E19" i="4"/>
  <c r="J19" i="4" s="1"/>
  <c r="E19" i="2"/>
  <c r="G19" i="2" s="1"/>
  <c r="I30" i="1"/>
  <c r="E30" i="4"/>
  <c r="J30" i="4" s="1"/>
  <c r="E30" i="2"/>
  <c r="G30" i="2" s="1"/>
  <c r="I29" i="1"/>
  <c r="E29" i="2"/>
  <c r="G29" i="2" s="1"/>
  <c r="E29" i="4"/>
  <c r="J29" i="4" s="1"/>
  <c r="I25" i="1"/>
  <c r="E25" i="2"/>
  <c r="G25" i="2" s="1"/>
  <c r="E25" i="4"/>
  <c r="J25" i="4" s="1"/>
  <c r="J47" i="4" l="1"/>
  <c r="G47" i="2"/>
  <c r="D47" i="4"/>
  <c r="B7" i="9" s="1"/>
  <c r="D47" i="2"/>
  <c r="J24" i="1"/>
  <c r="J17" i="1"/>
  <c r="J37" i="1"/>
  <c r="H17" i="2"/>
  <c r="J31" i="1"/>
  <c r="H10" i="2"/>
  <c r="H31" i="2"/>
  <c r="H37" i="2"/>
  <c r="H24" i="2"/>
  <c r="J47" i="1" l="1"/>
  <c r="H48" i="2" s="1"/>
  <c r="H47" i="2"/>
  <c r="H49" i="2" l="1"/>
  <c r="E7" i="3" l="1"/>
  <c r="E9" i="3" s="1"/>
  <c r="E10" i="3" s="1"/>
  <c r="C7" i="9" s="1"/>
  <c r="D7" i="9" s="1"/>
  <c r="F30" i="4" l="1"/>
  <c r="F16" i="4"/>
  <c r="F23" i="4"/>
  <c r="F14" i="4"/>
  <c r="F27" i="4"/>
  <c r="F26" i="4"/>
  <c r="F7" i="4"/>
  <c r="F29" i="4"/>
  <c r="F21" i="4"/>
  <c r="F8" i="4"/>
  <c r="F45" i="4"/>
  <c r="F12" i="4"/>
  <c r="F28" i="4"/>
  <c r="F13" i="4"/>
  <c r="F22" i="4"/>
  <c r="F40" i="4"/>
  <c r="F38" i="4"/>
  <c r="F9" i="4"/>
  <c r="F11" i="4"/>
  <c r="F18" i="4"/>
  <c r="F36" i="4"/>
  <c r="F42" i="4"/>
  <c r="F32" i="4"/>
  <c r="F43" i="4"/>
  <c r="F33" i="4"/>
  <c r="F25" i="4"/>
  <c r="F35" i="4"/>
  <c r="F19" i="4"/>
  <c r="F15" i="4"/>
  <c r="F20" i="4"/>
  <c r="F34" i="4"/>
  <c r="G34" i="4" l="1"/>
  <c r="K34" i="4"/>
  <c r="G35" i="4"/>
  <c r="K35" i="4"/>
  <c r="G32" i="4"/>
  <c r="K32" i="4"/>
  <c r="G11" i="4"/>
  <c r="K11" i="4"/>
  <c r="G22" i="4"/>
  <c r="K22" i="4"/>
  <c r="G45" i="4"/>
  <c r="H46" i="4" s="1"/>
  <c r="K45" i="4"/>
  <c r="G7" i="4"/>
  <c r="K7" i="4"/>
  <c r="G23" i="4"/>
  <c r="K23" i="4"/>
  <c r="G20" i="4"/>
  <c r="K20" i="4"/>
  <c r="G25" i="4"/>
  <c r="K25" i="4"/>
  <c r="G42" i="4"/>
  <c r="K42" i="4"/>
  <c r="G9" i="4"/>
  <c r="K9" i="4"/>
  <c r="G13" i="4"/>
  <c r="K13" i="4"/>
  <c r="G8" i="4"/>
  <c r="K8" i="4"/>
  <c r="G26" i="4"/>
  <c r="K26" i="4"/>
  <c r="G16" i="4"/>
  <c r="K16" i="4"/>
  <c r="G15" i="4"/>
  <c r="K15" i="4"/>
  <c r="G33" i="4"/>
  <c r="K33" i="4"/>
  <c r="G36" i="4"/>
  <c r="K36" i="4"/>
  <c r="G38" i="4"/>
  <c r="H39" i="4" s="1"/>
  <c r="K38" i="4"/>
  <c r="G28" i="4"/>
  <c r="K28" i="4"/>
  <c r="G21" i="4"/>
  <c r="K21" i="4"/>
  <c r="G27" i="4"/>
  <c r="K27" i="4"/>
  <c r="G30" i="4"/>
  <c r="K30" i="4"/>
  <c r="G19" i="4"/>
  <c r="K19" i="4"/>
  <c r="G43" i="4"/>
  <c r="K43" i="4"/>
  <c r="G18" i="4"/>
  <c r="K18" i="4"/>
  <c r="G40" i="4"/>
  <c r="H41" i="4" s="1"/>
  <c r="K40" i="4"/>
  <c r="G12" i="4"/>
  <c r="K12" i="4"/>
  <c r="G29" i="4"/>
  <c r="K29" i="4"/>
  <c r="G14" i="4"/>
  <c r="K14" i="4"/>
  <c r="H44" i="4" l="1"/>
  <c r="H37" i="4"/>
  <c r="H17" i="4"/>
  <c r="H24" i="4"/>
  <c r="H10" i="4"/>
  <c r="H31" i="4"/>
  <c r="K47" i="4"/>
  <c r="H47" i="4" l="1"/>
</calcChain>
</file>

<file path=xl/sharedStrings.xml><?xml version="1.0" encoding="utf-8"?>
<sst xmlns="http://schemas.openxmlformats.org/spreadsheetml/2006/main" count="165" uniqueCount="74">
  <si>
    <t>Sum of KWH</t>
  </si>
  <si>
    <t>2021
Resource
Cost</t>
  </si>
  <si>
    <t>2021
Energy
Credit</t>
  </si>
  <si>
    <t>Annual
Sch 139
$</t>
  </si>
  <si>
    <t>Tariff</t>
  </si>
  <si>
    <t>Resource</t>
  </si>
  <si>
    <t>Total</t>
  </si>
  <si>
    <t>13903SW10</t>
  </si>
  <si>
    <t>7 Total</t>
  </si>
  <si>
    <t>13903SW15</t>
  </si>
  <si>
    <t>13903SW18</t>
  </si>
  <si>
    <t>24 Total</t>
  </si>
  <si>
    <t>25 Total</t>
  </si>
  <si>
    <t>26 Total</t>
  </si>
  <si>
    <t>31 Total</t>
  </si>
  <si>
    <t>43 Total</t>
  </si>
  <si>
    <t>56 Total</t>
  </si>
  <si>
    <t>Grand Total</t>
  </si>
  <si>
    <t>Phase 2</t>
  </si>
  <si>
    <t>Phase 1 + Phase 2</t>
  </si>
  <si>
    <t>13902SW10</t>
  </si>
  <si>
    <t>13902SW20</t>
  </si>
  <si>
    <t>13902SW15</t>
  </si>
  <si>
    <t>46 Total</t>
  </si>
  <si>
    <t>49 Total</t>
  </si>
  <si>
    <t>Phase 1</t>
  </si>
  <si>
    <t>PUGET SOUND ENERGY</t>
  </si>
  <si>
    <t>Schedule 139</t>
  </si>
  <si>
    <t>Voluntary Long Term Renewable Energy Purchase Rider</t>
  </si>
  <si>
    <t>Calculation of the Energy Charge Credit on Sheet No. 139-E</t>
  </si>
  <si>
    <t>Line No.</t>
  </si>
  <si>
    <t>Description</t>
  </si>
  <si>
    <t>Source:</t>
  </si>
  <si>
    <t>Power Costs Embedded in Retail Rates (¢/kWh)</t>
  </si>
  <si>
    <t>Portion of Power Costs Related to Energy</t>
  </si>
  <si>
    <t>Energy Charge Credit (¢/kWh)</t>
  </si>
  <si>
    <t>GRC Amount</t>
  </si>
  <si>
    <t>Exhibit A-1</t>
  </si>
  <si>
    <t>Corrected GRC Amount</t>
  </si>
  <si>
    <t>Energy Charge Credit ($/kWh)</t>
  </si>
  <si>
    <t>Power Cost Strip</t>
  </si>
  <si>
    <t>a</t>
  </si>
  <si>
    <t>b</t>
  </si>
  <si>
    <t>Puget Sound Energy</t>
  </si>
  <si>
    <t>Schedule 139 Green Direct</t>
  </si>
  <si>
    <t>Docket UE-190529 Order on Fixed Method</t>
  </si>
  <si>
    <t>PCORC Amount (Variable Production Cost)</t>
  </si>
  <si>
    <t>Difference</t>
  </si>
  <si>
    <t>Weather Norm</t>
  </si>
  <si>
    <t>Phase 1 &amp; 2</t>
  </si>
  <si>
    <t>YTD SALES &amp; REVENUE ADJUSTMENT:</t>
  </si>
  <si>
    <t>Schedule 7</t>
  </si>
  <si>
    <t>(by Rate Schedule)</t>
  </si>
  <si>
    <t>Schedule 24</t>
  </si>
  <si>
    <t>Schedule 25</t>
  </si>
  <si>
    <t>Schedule 26</t>
  </si>
  <si>
    <t>Schedule 31</t>
  </si>
  <si>
    <t>Schedule 43</t>
  </si>
  <si>
    <t>Firm Resale</t>
  </si>
  <si>
    <t>Excl Green Direct</t>
  </si>
  <si>
    <t>Incl Green Direct</t>
  </si>
  <si>
    <t>Total Weather Adj Load</t>
  </si>
  <si>
    <t>Power Cost</t>
  </si>
  <si>
    <t>Energy Credit</t>
  </si>
  <si>
    <t>Delivered Green Direct kWh</t>
  </si>
  <si>
    <t>Green Direct Credit $</t>
  </si>
  <si>
    <t>Green Direct Credit Price</t>
  </si>
  <si>
    <t>c = a * b</t>
  </si>
  <si>
    <t>Energy Credit $</t>
  </si>
  <si>
    <t>BDJ-02</t>
  </si>
  <si>
    <t>Temperature Adjusted Loads</t>
  </si>
  <si>
    <t>Green Direct Program Impact</t>
  </si>
  <si>
    <t>Compliance Filing Docket UE-200980, Rates Effective 7-1-2021</t>
  </si>
  <si>
    <t>Puget Sound Energy Compliance Filing Docket UE-200980, Rates Effective 7-1-2021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</si>
</sst>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&quot;$&quot;* #,##0_);_(&quot;$&quot;* \(#,##0\);_(&quot;$&quot;* &quot;-&quot;??_);_(@_)"/>
    <numFmt numFmtId="166" formatCode="0.000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41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quotePrefix="1" applyAlignment="1">
      <alignment horizontal="left"/>
    </xf>
    <xf numFmtId="0" fontId="0" fillId="0" borderId="5" xfId="0" quotePrefix="1" applyBorder="1" applyAlignment="1">
      <alignment horizontal="center" wrapText="1"/>
    </xf>
    <xf numFmtId="166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5" xfId="0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quotePrefix="1" applyFont="1" applyFill="1" applyBorder="1" applyAlignment="1">
      <alignment horizontal="center" wrapText="1"/>
    </xf>
    <xf numFmtId="9" fontId="2" fillId="0" borderId="5" xfId="0" quotePrefix="1" applyNumberFormat="1" applyFont="1" applyFill="1" applyBorder="1" applyAlignment="1">
      <alignment horizontal="center" wrapText="1"/>
    </xf>
    <xf numFmtId="0" fontId="6" fillId="0" borderId="0" xfId="0" applyFont="1" applyFill="1"/>
    <xf numFmtId="167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left"/>
    </xf>
    <xf numFmtId="41" fontId="0" fillId="3" borderId="0" xfId="0" applyNumberFormat="1" applyFill="1"/>
    <xf numFmtId="0" fontId="0" fillId="3" borderId="0" xfId="0" applyFill="1"/>
    <xf numFmtId="165" fontId="0" fillId="3" borderId="0" xfId="1" applyNumberFormat="1" applyFont="1" applyFill="1"/>
    <xf numFmtId="165" fontId="0" fillId="3" borderId="0" xfId="0" applyNumberFormat="1" applyFill="1"/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7" fontId="0" fillId="3" borderId="0" xfId="2" applyNumberFormat="1" applyFont="1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5" xfId="0" quotePrefix="1" applyBorder="1" applyAlignment="1">
      <alignment horizontal="right"/>
    </xf>
    <xf numFmtId="167" fontId="6" fillId="0" borderId="6" xfId="0" applyNumberFormat="1" applyFont="1" applyBorder="1" applyAlignment="1">
      <alignment horizontal="right"/>
    </xf>
    <xf numFmtId="0" fontId="0" fillId="3" borderId="5" xfId="0" quotePrefix="1" applyFill="1" applyBorder="1" applyAlignment="1">
      <alignment horizontal="center" wrapText="1"/>
    </xf>
    <xf numFmtId="166" fontId="0" fillId="3" borderId="0" xfId="0" applyNumberFormat="1" applyFill="1" applyAlignment="1">
      <alignment horizontal="center"/>
    </xf>
    <xf numFmtId="9" fontId="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quotePrefix="1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quotePrefix="1" applyFont="1" applyFill="1" applyAlignment="1" applyProtection="1">
      <alignment horizontal="center"/>
    </xf>
    <xf numFmtId="0" fontId="7" fillId="0" borderId="0" xfId="0" quotePrefix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10</xdr:row>
      <xdr:rowOff>142875</xdr:rowOff>
    </xdr:from>
    <xdr:to>
      <xdr:col>5</xdr:col>
      <xdr:colOff>1351687</xdr:colOff>
      <xdr:row>37</xdr:row>
      <xdr:rowOff>123184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466975"/>
          <a:ext cx="6904762" cy="51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-3.00-TEMP-ADJ-20PCORC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BDJ-3 p1 (Temp Adj)"/>
      <sheetName val="Exh BDJ-3 p2 (Temp Adj No 139)"/>
    </sheetNames>
    <sheetDataSet>
      <sheetData sheetId="0">
        <row r="26">
          <cell r="E26">
            <v>113613083.64609638</v>
          </cell>
        </row>
        <row r="27">
          <cell r="E27">
            <v>10393077.25623735</v>
          </cell>
        </row>
        <row r="28">
          <cell r="E28">
            <v>3557729.0577563541</v>
          </cell>
        </row>
        <row r="29">
          <cell r="E29">
            <v>-3637673.5428055348</v>
          </cell>
        </row>
        <row r="30">
          <cell r="E30">
            <v>-296922.23409463669</v>
          </cell>
        </row>
        <row r="31">
          <cell r="E31">
            <v>2722658.8846482676</v>
          </cell>
        </row>
        <row r="32">
          <cell r="E32">
            <v>78673.221480658452</v>
          </cell>
        </row>
      </sheetData>
      <sheetData sheetId="1">
        <row r="26">
          <cell r="E26">
            <v>113614259.20292071</v>
          </cell>
        </row>
        <row r="27">
          <cell r="E27">
            <v>9697768.8027456533</v>
          </cell>
        </row>
        <row r="28">
          <cell r="E28">
            <v>3448482.3386424747</v>
          </cell>
        </row>
        <row r="29">
          <cell r="E29">
            <v>-3492565.1265775114</v>
          </cell>
        </row>
        <row r="30">
          <cell r="E30">
            <v>-280369.8063891544</v>
          </cell>
        </row>
        <row r="31">
          <cell r="E31">
            <v>2699242.1108746068</v>
          </cell>
        </row>
        <row r="32">
          <cell r="E32">
            <v>78673.221480658452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>
        <row r="46">
          <cell r="G46">
            <v>39.617986180249666</v>
          </cell>
        </row>
      </sheetData>
      <sheetData sheetId="5"/>
      <sheetData sheetId="6">
        <row r="47">
          <cell r="D47">
            <v>59.844000000000001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7"/>
  <sheetViews>
    <sheetView tabSelected="1" workbookViewId="0">
      <selection activeCell="D7" sqref="D7"/>
    </sheetView>
  </sheetViews>
  <sheetFormatPr defaultRowHeight="15" x14ac:dyDescent="0.25"/>
  <cols>
    <col min="1" max="1" width="4.7109375" bestFit="1" customWidth="1"/>
    <col min="2" max="2" width="12.5703125" bestFit="1" customWidth="1"/>
    <col min="3" max="3" width="12.28515625" bestFit="1" customWidth="1"/>
    <col min="4" max="4" width="13.42578125" bestFit="1" customWidth="1"/>
  </cols>
  <sheetData>
    <row r="1" spans="1:4" x14ac:dyDescent="0.25">
      <c r="A1" s="44" t="s">
        <v>43</v>
      </c>
      <c r="B1" s="44"/>
      <c r="C1" s="44"/>
      <c r="D1" s="44"/>
    </row>
    <row r="2" spans="1:4" x14ac:dyDescent="0.25">
      <c r="A2" s="44" t="s">
        <v>44</v>
      </c>
      <c r="B2" s="44"/>
      <c r="C2" s="44"/>
      <c r="D2" s="44"/>
    </row>
    <row r="3" spans="1:4" x14ac:dyDescent="0.25">
      <c r="A3" s="45" t="s">
        <v>68</v>
      </c>
      <c r="B3" s="44"/>
      <c r="C3" s="44"/>
      <c r="D3" s="44"/>
    </row>
    <row r="5" spans="1:4" ht="45" x14ac:dyDescent="0.25">
      <c r="A5" s="19" t="s">
        <v>30</v>
      </c>
      <c r="B5" s="20" t="s">
        <v>64</v>
      </c>
      <c r="C5" s="21" t="s">
        <v>66</v>
      </c>
      <c r="D5" s="21" t="s">
        <v>65</v>
      </c>
    </row>
    <row r="6" spans="1:4" x14ac:dyDescent="0.25">
      <c r="B6" s="18" t="s">
        <v>41</v>
      </c>
      <c r="C6" s="18" t="s">
        <v>42</v>
      </c>
      <c r="D6" s="18" t="s">
        <v>67</v>
      </c>
    </row>
    <row r="7" spans="1:4" x14ac:dyDescent="0.25">
      <c r="A7" s="8">
        <v>1</v>
      </c>
      <c r="B7" s="1">
        <f>'Sch 139 Eff 7-1-2021'!D47</f>
        <v>680058011.62462139</v>
      </c>
      <c r="C7" s="2">
        <f>-'Sch 139 Credit Calculation'!$E$10</f>
        <v>-3.9618E-2</v>
      </c>
      <c r="D7" s="3">
        <f>B7*C7</f>
        <v>-26942538.304544251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49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0" sqref="H10"/>
    </sheetView>
  </sheetViews>
  <sheetFormatPr defaultRowHeight="15" x14ac:dyDescent="0.25"/>
  <cols>
    <col min="2" max="2" width="15.42578125" bestFit="1" customWidth="1"/>
    <col min="3" max="3" width="12.85546875" bestFit="1" customWidth="1"/>
    <col min="4" max="4" width="17.7109375" bestFit="1" customWidth="1"/>
    <col min="5" max="5" width="13" bestFit="1" customWidth="1"/>
    <col min="6" max="6" width="13.5703125" bestFit="1" customWidth="1"/>
    <col min="7" max="7" width="12.42578125" bestFit="1" customWidth="1"/>
    <col min="8" max="8" width="14.28515625" bestFit="1" customWidth="1"/>
    <col min="10" max="10" width="17.7109375" bestFit="1" customWidth="1"/>
    <col min="11" max="11" width="18.7109375" bestFit="1" customWidth="1"/>
  </cols>
  <sheetData>
    <row r="1" spans="1:11" x14ac:dyDescent="0.25">
      <c r="A1" s="59" t="s">
        <v>73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5.75" thickBot="1" x14ac:dyDescent="0.3"/>
    <row r="3" spans="1:11" ht="15.75" thickBot="1" x14ac:dyDescent="0.3">
      <c r="B3" s="48" t="s">
        <v>19</v>
      </c>
      <c r="C3" s="49"/>
      <c r="D3" s="49"/>
      <c r="E3" s="49"/>
      <c r="F3" s="49"/>
      <c r="G3" s="49"/>
      <c r="H3" s="50"/>
    </row>
    <row r="5" spans="1:11" ht="15" customHeight="1" x14ac:dyDescent="0.25">
      <c r="B5" s="15" t="s">
        <v>0</v>
      </c>
      <c r="C5" s="15"/>
      <c r="D5" s="46" t="str">
        <f>'Sch 139 Eff 10-15-2020'!F5</f>
        <v>Total Weather Adj Load</v>
      </c>
      <c r="E5" s="15" t="s">
        <v>1</v>
      </c>
      <c r="F5" s="46" t="s">
        <v>2</v>
      </c>
      <c r="G5" s="51" t="s">
        <v>3</v>
      </c>
      <c r="H5" s="46" t="s">
        <v>3</v>
      </c>
      <c r="J5" s="46" t="s">
        <v>62</v>
      </c>
      <c r="K5" s="46" t="s">
        <v>63</v>
      </c>
    </row>
    <row r="6" spans="1:11" ht="34.5" customHeight="1" x14ac:dyDescent="0.25">
      <c r="B6" s="16" t="s">
        <v>4</v>
      </c>
      <c r="C6" s="16" t="s">
        <v>5</v>
      </c>
      <c r="D6" s="47"/>
      <c r="E6" s="17" t="s">
        <v>40</v>
      </c>
      <c r="F6" s="47"/>
      <c r="G6" s="52"/>
      <c r="H6" s="47"/>
      <c r="J6" s="47"/>
      <c r="K6" s="47"/>
    </row>
    <row r="7" spans="1:11" x14ac:dyDescent="0.25">
      <c r="B7">
        <v>7</v>
      </c>
      <c r="C7" t="str">
        <f>+'Sch 139 Eff 10-15-2020'!C7</f>
        <v>13902SW10</v>
      </c>
      <c r="D7" s="28">
        <f>+'Sch 139 Eff 10-15-2020'!F7</f>
        <v>12213.898547312883</v>
      </c>
      <c r="E7" s="2">
        <f>+'Sch 139 Eff 10-15-2020'!G7</f>
        <v>4.4540000000000003E-2</v>
      </c>
      <c r="F7" s="2">
        <f>-'Sch 139 Credit Calculation'!$E$10</f>
        <v>-3.9618E-2</v>
      </c>
      <c r="G7" s="3">
        <f>ROUND(SUM(E7:F7)*D7,0)</f>
        <v>60</v>
      </c>
      <c r="H7" s="29"/>
      <c r="J7" s="30">
        <f>D7*E7</f>
        <v>544.00704129731582</v>
      </c>
      <c r="K7" s="30">
        <f>D7*F7</f>
        <v>-483.89023264744179</v>
      </c>
    </row>
    <row r="8" spans="1:11" x14ac:dyDescent="0.25">
      <c r="B8">
        <v>7</v>
      </c>
      <c r="C8" t="str">
        <f>+'Sch 139 Eff 10-15-2020'!C8</f>
        <v>13902SW20</v>
      </c>
      <c r="D8" s="28">
        <f>+'Sch 139 Eff 10-15-2020'!F8</f>
        <v>945.19416910616155</v>
      </c>
      <c r="E8" s="2">
        <f>+'Sch 139 Eff 10-15-2020'!G8</f>
        <v>4.4089999999999997E-2</v>
      </c>
      <c r="F8" s="2">
        <f>-'Sch 139 Credit Calculation'!$E$10</f>
        <v>-3.9618E-2</v>
      </c>
      <c r="G8" s="3">
        <f t="shared" ref="G8:G9" si="0">ROUND(SUM(E8:F8)*D8,0)</f>
        <v>4</v>
      </c>
      <c r="H8" s="29"/>
      <c r="J8" s="30">
        <f t="shared" ref="J8:J9" si="1">D8*E8</f>
        <v>41.673610915890663</v>
      </c>
      <c r="K8" s="30">
        <f t="shared" ref="K8:K9" si="2">D8*F8</f>
        <v>-37.446702591647906</v>
      </c>
    </row>
    <row r="9" spans="1:11" x14ac:dyDescent="0.25">
      <c r="B9">
        <v>7</v>
      </c>
      <c r="C9" t="str">
        <f>+'Sch 139 Eff 10-15-2020'!C9</f>
        <v>13903SW10</v>
      </c>
      <c r="D9" s="28">
        <f>+'Sch 139 Eff 10-15-2020'!F9</f>
        <v>218045.35045925443</v>
      </c>
      <c r="E9" s="2">
        <f>+'Sch 139 Eff 10-15-2020'!G9</f>
        <v>4.4540000000000003E-2</v>
      </c>
      <c r="F9" s="2">
        <f>-'Sch 139 Credit Calculation'!$E$10</f>
        <v>-3.9618E-2</v>
      </c>
      <c r="G9" s="3">
        <f t="shared" si="0"/>
        <v>1073</v>
      </c>
      <c r="H9" s="29"/>
      <c r="J9" s="30">
        <f t="shared" si="1"/>
        <v>9711.7399094551929</v>
      </c>
      <c r="K9" s="30">
        <f t="shared" si="2"/>
        <v>-8638.5206944947422</v>
      </c>
    </row>
    <row r="10" spans="1:11" x14ac:dyDescent="0.25">
      <c r="B10" t="s">
        <v>8</v>
      </c>
      <c r="D10" s="28">
        <f>SUM(D7:D9)</f>
        <v>231204.44317567348</v>
      </c>
      <c r="E10" s="2"/>
      <c r="F10" s="2"/>
      <c r="G10" s="3"/>
      <c r="H10" s="30">
        <f>SUM(G7:G9)</f>
        <v>1137</v>
      </c>
      <c r="J10" s="30"/>
      <c r="K10" s="30"/>
    </row>
    <row r="11" spans="1:11" x14ac:dyDescent="0.25">
      <c r="B11">
        <v>24</v>
      </c>
      <c r="C11" t="str">
        <f>+'Sch 139 Eff 10-15-2020'!C11</f>
        <v>13902SW10</v>
      </c>
      <c r="D11" s="28">
        <f>+'Sch 139 Eff 10-15-2020'!F11</f>
        <v>19897131.167401478</v>
      </c>
      <c r="E11" s="2">
        <f>+'Sch 139 Eff 10-15-2020'!G11</f>
        <v>4.4540000000000003E-2</v>
      </c>
      <c r="F11" s="2">
        <f>-'Sch 139 Credit Calculation'!$E$10</f>
        <v>-3.9618E-2</v>
      </c>
      <c r="G11" s="3">
        <f t="shared" ref="G11:G16" si="3">ROUND(SUM(E11:F11)*D11,0)</f>
        <v>97934</v>
      </c>
      <c r="H11" s="30"/>
      <c r="J11" s="30">
        <f t="shared" ref="J11:J16" si="4">D11*E11</f>
        <v>886218.22219606186</v>
      </c>
      <c r="K11" s="30">
        <f t="shared" ref="K11:K16" si="5">D11*F11</f>
        <v>-788284.54259011173</v>
      </c>
    </row>
    <row r="12" spans="1:11" x14ac:dyDescent="0.25">
      <c r="B12">
        <v>24</v>
      </c>
      <c r="C12" t="str">
        <f>+'Sch 139 Eff 10-15-2020'!C12</f>
        <v>13902SW15</v>
      </c>
      <c r="D12" s="28">
        <f>+'Sch 139 Eff 10-15-2020'!F12</f>
        <v>1289609.4845312347</v>
      </c>
      <c r="E12" s="2">
        <f>+'Sch 139 Eff 10-15-2020'!G12</f>
        <v>4.4269999999999997E-2</v>
      </c>
      <c r="F12" s="2">
        <f>-'Sch 139 Credit Calculation'!$E$10</f>
        <v>-3.9618E-2</v>
      </c>
      <c r="G12" s="3">
        <f t="shared" si="3"/>
        <v>5999</v>
      </c>
      <c r="H12" s="30"/>
      <c r="J12" s="30">
        <f t="shared" si="4"/>
        <v>57091.011880197759</v>
      </c>
      <c r="K12" s="30">
        <f t="shared" si="5"/>
        <v>-51091.748558158455</v>
      </c>
    </row>
    <row r="13" spans="1:11" x14ac:dyDescent="0.25">
      <c r="B13">
        <v>24</v>
      </c>
      <c r="C13" t="str">
        <f>+'Sch 139 Eff 10-15-2020'!C13</f>
        <v>13902SW20</v>
      </c>
      <c r="D13" s="28">
        <f>+'Sch 139 Eff 10-15-2020'!F13</f>
        <v>13971894.851888603</v>
      </c>
      <c r="E13" s="2">
        <f>+'Sch 139 Eff 10-15-2020'!G13</f>
        <v>4.4089999999999997E-2</v>
      </c>
      <c r="F13" s="2">
        <f>-'Sch 139 Credit Calculation'!$E$10</f>
        <v>-3.9618E-2</v>
      </c>
      <c r="G13" s="3">
        <f t="shared" si="3"/>
        <v>62482</v>
      </c>
      <c r="H13" s="30"/>
      <c r="J13" s="30">
        <f t="shared" si="4"/>
        <v>616020.84401976841</v>
      </c>
      <c r="K13" s="30">
        <f t="shared" si="5"/>
        <v>-553538.53024212271</v>
      </c>
    </row>
    <row r="14" spans="1:11" x14ac:dyDescent="0.25">
      <c r="B14">
        <v>24</v>
      </c>
      <c r="C14" t="str">
        <f>+'Sch 139 Eff 10-15-2020'!C14</f>
        <v>13903SW10</v>
      </c>
      <c r="D14" s="28">
        <f>+'Sch 139 Eff 10-15-2020'!F14</f>
        <v>129061021.89333151</v>
      </c>
      <c r="E14" s="2">
        <f>+'Sch 139 Eff 10-15-2020'!G14</f>
        <v>4.4540000000000003E-2</v>
      </c>
      <c r="F14" s="2">
        <f>-'Sch 139 Credit Calculation'!$E$10</f>
        <v>-3.9618E-2</v>
      </c>
      <c r="G14" s="3">
        <f t="shared" si="3"/>
        <v>635238</v>
      </c>
      <c r="H14" s="30"/>
      <c r="J14" s="30">
        <f t="shared" si="4"/>
        <v>5748377.9151289864</v>
      </c>
      <c r="K14" s="30">
        <f t="shared" si="5"/>
        <v>-5113139.5653700083</v>
      </c>
    </row>
    <row r="15" spans="1:11" x14ac:dyDescent="0.25">
      <c r="B15">
        <v>24</v>
      </c>
      <c r="C15" t="str">
        <f>+'Sch 139 Eff 10-15-2020'!C15</f>
        <v>13903SW15</v>
      </c>
      <c r="D15" s="28">
        <f>+'Sch 139 Eff 10-15-2020'!F15</f>
        <v>16772270.290319733</v>
      </c>
      <c r="E15" s="2">
        <f>+'Sch 139 Eff 10-15-2020'!G15</f>
        <v>4.4269999999999997E-2</v>
      </c>
      <c r="F15" s="2">
        <f>-'Sch 139 Credit Calculation'!$E$10</f>
        <v>-3.9618E-2</v>
      </c>
      <c r="G15" s="3">
        <f t="shared" si="3"/>
        <v>78025</v>
      </c>
      <c r="H15" s="30"/>
      <c r="J15" s="30">
        <f t="shared" si="4"/>
        <v>742508.40575245454</v>
      </c>
      <c r="K15" s="30">
        <f t="shared" si="5"/>
        <v>-664483.80436188716</v>
      </c>
    </row>
    <row r="16" spans="1:11" x14ac:dyDescent="0.25">
      <c r="B16">
        <v>24</v>
      </c>
      <c r="C16" t="str">
        <f>+'Sch 139 Eff 10-15-2020'!C16</f>
        <v>13903SW18</v>
      </c>
      <c r="D16" s="28">
        <f>+'Sch 139 Eff 10-15-2020'!F16</f>
        <v>119655524.76601914</v>
      </c>
      <c r="E16" s="2">
        <f>+'Sch 139 Eff 10-15-2020'!G16</f>
        <v>4.4089999999999997E-2</v>
      </c>
      <c r="F16" s="2">
        <f>-'Sch 139 Credit Calculation'!$E$10</f>
        <v>-3.9618E-2</v>
      </c>
      <c r="G16" s="3">
        <f t="shared" si="3"/>
        <v>535100</v>
      </c>
      <c r="H16" s="30"/>
      <c r="J16" s="30">
        <f t="shared" si="4"/>
        <v>5275612.0869337833</v>
      </c>
      <c r="K16" s="30">
        <f t="shared" si="5"/>
        <v>-4740512.5801801458</v>
      </c>
    </row>
    <row r="17" spans="2:11" x14ac:dyDescent="0.25">
      <c r="B17" t="s">
        <v>11</v>
      </c>
      <c r="D17" s="28">
        <f>SUM(D11:D16)</f>
        <v>300647452.45349169</v>
      </c>
      <c r="E17" s="2"/>
      <c r="F17" s="2"/>
      <c r="G17" s="3"/>
      <c r="H17" s="30">
        <f>SUM(G11:G16)</f>
        <v>1414778</v>
      </c>
      <c r="J17" s="30"/>
      <c r="K17" s="30"/>
    </row>
    <row r="18" spans="2:11" x14ac:dyDescent="0.25">
      <c r="B18">
        <v>25</v>
      </c>
      <c r="C18" t="str">
        <f>+'Sch 139 Eff 10-15-2020'!C18</f>
        <v>13902SW10</v>
      </c>
      <c r="D18" s="28">
        <f>+'Sch 139 Eff 10-15-2020'!F18</f>
        <v>34535296.39791093</v>
      </c>
      <c r="E18" s="2">
        <f>+'Sch 139 Eff 10-15-2020'!G18</f>
        <v>4.4540000000000003E-2</v>
      </c>
      <c r="F18" s="2">
        <f>-'Sch 139 Credit Calculation'!$E$10</f>
        <v>-3.9618E-2</v>
      </c>
      <c r="G18" s="3">
        <f t="shared" ref="G18:G23" si="6">ROUND(SUM(E18:F18)*D18,0)</f>
        <v>169983</v>
      </c>
      <c r="H18" s="30"/>
      <c r="J18" s="30">
        <f t="shared" ref="J18:J23" si="7">D18*E18</f>
        <v>1538202.1015629529</v>
      </c>
      <c r="K18" s="30">
        <f t="shared" ref="K18:K23" si="8">D18*F18</f>
        <v>-1368219.3726924353</v>
      </c>
    </row>
    <row r="19" spans="2:11" x14ac:dyDescent="0.25">
      <c r="B19">
        <v>25</v>
      </c>
      <c r="C19" t="str">
        <f>+'Sch 139 Eff 10-15-2020'!C19</f>
        <v>13902SW15</v>
      </c>
      <c r="D19" s="28">
        <f>+'Sch 139 Eff 10-15-2020'!F19</f>
        <v>2570748.3115762766</v>
      </c>
      <c r="E19" s="2">
        <f>+'Sch 139 Eff 10-15-2020'!G19</f>
        <v>4.4269999999999997E-2</v>
      </c>
      <c r="F19" s="2">
        <f>-'Sch 139 Credit Calculation'!$E$10</f>
        <v>-3.9618E-2</v>
      </c>
      <c r="G19" s="3">
        <f t="shared" si="6"/>
        <v>11959</v>
      </c>
      <c r="H19" s="30"/>
      <c r="J19" s="30">
        <f t="shared" si="7"/>
        <v>113807.02775348176</v>
      </c>
      <c r="K19" s="30">
        <f t="shared" si="8"/>
        <v>-101847.90660802892</v>
      </c>
    </row>
    <row r="20" spans="2:11" x14ac:dyDescent="0.25">
      <c r="B20">
        <v>25</v>
      </c>
      <c r="C20" t="str">
        <f>+'Sch 139 Eff 10-15-2020'!C20</f>
        <v>13902SW20</v>
      </c>
      <c r="D20" s="28">
        <f>+'Sch 139 Eff 10-15-2020'!F20</f>
        <v>22301264.633278791</v>
      </c>
      <c r="E20" s="2">
        <f>+'Sch 139 Eff 10-15-2020'!G20</f>
        <v>4.4089999999999997E-2</v>
      </c>
      <c r="F20" s="2">
        <f>-'Sch 139 Credit Calculation'!$E$10</f>
        <v>-3.9618E-2</v>
      </c>
      <c r="G20" s="3">
        <f t="shared" si="6"/>
        <v>99731</v>
      </c>
      <c r="H20" s="30"/>
      <c r="J20" s="30">
        <f t="shared" si="7"/>
        <v>983262.75768126186</v>
      </c>
      <c r="K20" s="30">
        <f t="shared" si="8"/>
        <v>-883531.50224123918</v>
      </c>
    </row>
    <row r="21" spans="2:11" x14ac:dyDescent="0.25">
      <c r="B21">
        <v>25</v>
      </c>
      <c r="C21" t="str">
        <f>+'Sch 139 Eff 10-15-2020'!C21</f>
        <v>13903SW10</v>
      </c>
      <c r="D21" s="28">
        <f>+'Sch 139 Eff 10-15-2020'!F21</f>
        <v>15166061.321066329</v>
      </c>
      <c r="E21" s="2">
        <f>+'Sch 139 Eff 10-15-2020'!G21</f>
        <v>4.4540000000000003E-2</v>
      </c>
      <c r="F21" s="2">
        <f>-'Sch 139 Credit Calculation'!$E$10</f>
        <v>-3.9618E-2</v>
      </c>
      <c r="G21" s="3">
        <f t="shared" si="6"/>
        <v>74647</v>
      </c>
      <c r="H21" s="30"/>
      <c r="J21" s="30">
        <f t="shared" si="7"/>
        <v>675496.37124029431</v>
      </c>
      <c r="K21" s="30">
        <f t="shared" si="8"/>
        <v>-600849.01741800585</v>
      </c>
    </row>
    <row r="22" spans="2:11" x14ac:dyDescent="0.25">
      <c r="B22">
        <v>25</v>
      </c>
      <c r="C22" t="str">
        <f>+'Sch 139 Eff 10-15-2020'!C22</f>
        <v>13903SW15</v>
      </c>
      <c r="D22" s="28">
        <f>+'Sch 139 Eff 10-15-2020'!F22</f>
        <v>5203925.9065338653</v>
      </c>
      <c r="E22" s="2">
        <f>+'Sch 139 Eff 10-15-2020'!G22</f>
        <v>4.4269999999999997E-2</v>
      </c>
      <c r="F22" s="2">
        <f>-'Sch 139 Credit Calculation'!$E$10</f>
        <v>-3.9618E-2</v>
      </c>
      <c r="G22" s="3">
        <f t="shared" si="6"/>
        <v>24209</v>
      </c>
      <c r="H22" s="30"/>
      <c r="J22" s="30">
        <f t="shared" si="7"/>
        <v>230377.79988225418</v>
      </c>
      <c r="K22" s="30">
        <f t="shared" si="8"/>
        <v>-206169.13656505867</v>
      </c>
    </row>
    <row r="23" spans="2:11" x14ac:dyDescent="0.25">
      <c r="B23">
        <v>25</v>
      </c>
      <c r="C23" t="str">
        <f>+'Sch 139 Eff 10-15-2020'!C23</f>
        <v>13903SW18</v>
      </c>
      <c r="D23" s="28">
        <f>+'Sch 139 Eff 10-15-2020'!F23</f>
        <v>3109360.2157476833</v>
      </c>
      <c r="E23" s="2">
        <f>+'Sch 139 Eff 10-15-2020'!G23</f>
        <v>4.4089999999999997E-2</v>
      </c>
      <c r="F23" s="2">
        <f>-'Sch 139 Credit Calculation'!$E$10</f>
        <v>-3.9618E-2</v>
      </c>
      <c r="G23" s="3">
        <f t="shared" si="6"/>
        <v>13905</v>
      </c>
      <c r="H23" s="30"/>
      <c r="J23" s="30">
        <f t="shared" si="7"/>
        <v>137091.69191231535</v>
      </c>
      <c r="K23" s="30">
        <f t="shared" si="8"/>
        <v>-123186.63302749171</v>
      </c>
    </row>
    <row r="24" spans="2:11" x14ac:dyDescent="0.25">
      <c r="B24" t="s">
        <v>12</v>
      </c>
      <c r="D24" s="28">
        <f>SUM(D18:D23)</f>
        <v>82886656.786113888</v>
      </c>
      <c r="E24" s="2"/>
      <c r="F24" s="2"/>
      <c r="G24" s="3"/>
      <c r="H24" s="30">
        <f>SUM(G18:G23)</f>
        <v>394434</v>
      </c>
      <c r="J24" s="30"/>
      <c r="K24" s="30"/>
    </row>
    <row r="25" spans="2:11" x14ac:dyDescent="0.25">
      <c r="B25">
        <v>26</v>
      </c>
      <c r="C25" t="str">
        <f>+'Sch 139 Eff 10-15-2020'!C25</f>
        <v>13902SW10</v>
      </c>
      <c r="D25" s="28">
        <f>+'Sch 139 Eff 10-15-2020'!F25</f>
        <v>47557247.361794107</v>
      </c>
      <c r="E25" s="2">
        <f>+'Sch 139 Eff 10-15-2020'!G25</f>
        <v>4.4540000000000003E-2</v>
      </c>
      <c r="F25" s="2">
        <f>-'Sch 139 Credit Calculation'!$E$10</f>
        <v>-3.9618E-2</v>
      </c>
      <c r="G25" s="3">
        <f t="shared" ref="G25:G30" si="9">ROUND(SUM(E25:F25)*D25,0)</f>
        <v>234077</v>
      </c>
      <c r="H25" s="30"/>
      <c r="J25" s="30">
        <f t="shared" ref="J25:J30" si="10">D25*E25</f>
        <v>2118199.7974943095</v>
      </c>
      <c r="K25" s="30">
        <f t="shared" ref="K25:K30" si="11">D25*F25</f>
        <v>-1884123.0259795589</v>
      </c>
    </row>
    <row r="26" spans="2:11" x14ac:dyDescent="0.25">
      <c r="B26">
        <v>26</v>
      </c>
      <c r="C26" t="str">
        <f>+'Sch 139 Eff 10-15-2020'!C26</f>
        <v>13902SW15</v>
      </c>
      <c r="D26" s="28">
        <f>+'Sch 139 Eff 10-15-2020'!F26</f>
        <v>12042559.44254427</v>
      </c>
      <c r="E26" s="2">
        <f>+'Sch 139 Eff 10-15-2020'!G26</f>
        <v>4.4269999999999997E-2</v>
      </c>
      <c r="F26" s="2">
        <f>-'Sch 139 Credit Calculation'!$E$10</f>
        <v>-3.9618E-2</v>
      </c>
      <c r="G26" s="3">
        <f t="shared" si="9"/>
        <v>56022</v>
      </c>
      <c r="H26" s="30"/>
      <c r="J26" s="30">
        <f t="shared" si="10"/>
        <v>533124.10652143485</v>
      </c>
      <c r="K26" s="30">
        <f t="shared" si="11"/>
        <v>-477102.11999471893</v>
      </c>
    </row>
    <row r="27" spans="2:11" x14ac:dyDescent="0.25">
      <c r="B27">
        <v>26</v>
      </c>
      <c r="C27" t="str">
        <f>+'Sch 139 Eff 10-15-2020'!C27</f>
        <v>13902SW20</v>
      </c>
      <c r="D27" s="28">
        <f>+'Sch 139 Eff 10-15-2020'!F27</f>
        <v>1813580.6173252841</v>
      </c>
      <c r="E27" s="2">
        <f>+'Sch 139 Eff 10-15-2020'!G27</f>
        <v>4.4089999999999997E-2</v>
      </c>
      <c r="F27" s="2">
        <f>-'Sch 139 Credit Calculation'!$E$10</f>
        <v>-3.9618E-2</v>
      </c>
      <c r="G27" s="3">
        <f t="shared" si="9"/>
        <v>8110</v>
      </c>
      <c r="H27" s="30"/>
      <c r="J27" s="30">
        <f t="shared" si="10"/>
        <v>79960.769417871765</v>
      </c>
      <c r="K27" s="30">
        <f t="shared" si="11"/>
        <v>-71850.436897193111</v>
      </c>
    </row>
    <row r="28" spans="2:11" x14ac:dyDescent="0.25">
      <c r="B28">
        <v>26</v>
      </c>
      <c r="C28" t="str">
        <f>+'Sch 139 Eff 10-15-2020'!C28</f>
        <v>13903SW10</v>
      </c>
      <c r="D28" s="28">
        <f>+'Sch 139 Eff 10-15-2020'!F28</f>
        <v>19866303.878057025</v>
      </c>
      <c r="E28" s="2">
        <f>+'Sch 139 Eff 10-15-2020'!G28</f>
        <v>4.4540000000000003E-2</v>
      </c>
      <c r="F28" s="2">
        <f>-'Sch 139 Credit Calculation'!$E$10</f>
        <v>-3.9618E-2</v>
      </c>
      <c r="G28" s="3">
        <f t="shared" si="9"/>
        <v>97782</v>
      </c>
      <c r="H28" s="30"/>
      <c r="J28" s="30">
        <f t="shared" si="10"/>
        <v>884845.17472866003</v>
      </c>
      <c r="K28" s="30">
        <f t="shared" si="11"/>
        <v>-787063.22704086325</v>
      </c>
    </row>
    <row r="29" spans="2:11" x14ac:dyDescent="0.25">
      <c r="B29">
        <v>26</v>
      </c>
      <c r="C29" t="str">
        <f>+'Sch 139 Eff 10-15-2020'!C29</f>
        <v>13903SW15</v>
      </c>
      <c r="D29" s="28">
        <f>+'Sch 139 Eff 10-15-2020'!F29</f>
        <v>1132472.6209011718</v>
      </c>
      <c r="E29" s="2">
        <f>+'Sch 139 Eff 10-15-2020'!G29</f>
        <v>4.4269999999999997E-2</v>
      </c>
      <c r="F29" s="2">
        <f>-'Sch 139 Credit Calculation'!$E$10</f>
        <v>-3.9618E-2</v>
      </c>
      <c r="G29" s="3">
        <f t="shared" si="9"/>
        <v>5268</v>
      </c>
      <c r="H29" s="30"/>
      <c r="J29" s="30">
        <f t="shared" si="10"/>
        <v>50134.562927294872</v>
      </c>
      <c r="K29" s="30">
        <f t="shared" si="11"/>
        <v>-44866.300294862624</v>
      </c>
    </row>
    <row r="30" spans="2:11" x14ac:dyDescent="0.25">
      <c r="B30">
        <v>26</v>
      </c>
      <c r="C30" t="str">
        <f>+'Sch 139 Eff 10-15-2020'!C30</f>
        <v>13903SW18</v>
      </c>
      <c r="D30" s="28">
        <f>+'Sch 139 Eff 10-15-2020'!F30</f>
        <v>2496941.7631501178</v>
      </c>
      <c r="E30" s="2">
        <f>+'Sch 139 Eff 10-15-2020'!G30</f>
        <v>4.4089999999999997E-2</v>
      </c>
      <c r="F30" s="2">
        <f>-'Sch 139 Credit Calculation'!$E$10</f>
        <v>-3.9618E-2</v>
      </c>
      <c r="G30" s="3">
        <f t="shared" si="9"/>
        <v>11166</v>
      </c>
      <c r="H30" s="30"/>
      <c r="J30" s="30">
        <f t="shared" si="10"/>
        <v>110090.16233728868</v>
      </c>
      <c r="K30" s="30">
        <f t="shared" si="11"/>
        <v>-98923.838772481366</v>
      </c>
    </row>
    <row r="31" spans="2:11" x14ac:dyDescent="0.25">
      <c r="B31" t="s">
        <v>13</v>
      </c>
      <c r="D31" s="28">
        <f>SUM(D25:D30)</f>
        <v>84909105.683771968</v>
      </c>
      <c r="E31" s="2"/>
      <c r="F31" s="2"/>
      <c r="G31" s="3"/>
      <c r="H31" s="30">
        <f>SUM(G25:G30)</f>
        <v>412425</v>
      </c>
      <c r="J31" s="30"/>
      <c r="K31" s="30"/>
    </row>
    <row r="32" spans="2:11" x14ac:dyDescent="0.25">
      <c r="B32">
        <v>31</v>
      </c>
      <c r="C32" t="str">
        <f>+'Sch 139 Eff 10-15-2020'!C32</f>
        <v>13902SW10</v>
      </c>
      <c r="D32" s="28">
        <f>+'Sch 139 Eff 10-15-2020'!F32</f>
        <v>26135397.433671128</v>
      </c>
      <c r="E32" s="2">
        <f>+'Sch 139 Eff 10-15-2020'!G32</f>
        <v>4.4540000000000003E-2</v>
      </c>
      <c r="F32" s="2">
        <f>-'Sch 139 Credit Calculation'!$E$10</f>
        <v>-3.9618E-2</v>
      </c>
      <c r="G32" s="3">
        <f t="shared" ref="G32:G36" si="12">ROUND(SUM(E32:F32)*D32,0)</f>
        <v>128638</v>
      </c>
      <c r="H32" s="30"/>
      <c r="J32" s="30">
        <f t="shared" ref="J32:J36" si="13">D32*E32</f>
        <v>1164070.6016957122</v>
      </c>
      <c r="K32" s="30">
        <f t="shared" ref="K32:K36" si="14">D32*F32</f>
        <v>-1035432.1755271828</v>
      </c>
    </row>
    <row r="33" spans="2:11" x14ac:dyDescent="0.25">
      <c r="B33">
        <v>31</v>
      </c>
      <c r="C33" t="str">
        <f>+'Sch 139 Eff 10-15-2020'!C33</f>
        <v>13902SW20</v>
      </c>
      <c r="D33" s="28">
        <f>+'Sch 139 Eff 10-15-2020'!F33</f>
        <v>23363080.113653552</v>
      </c>
      <c r="E33" s="2">
        <f>+'Sch 139 Eff 10-15-2020'!G33</f>
        <v>4.4089999999999997E-2</v>
      </c>
      <c r="F33" s="2">
        <f>-'Sch 139 Credit Calculation'!$E$10</f>
        <v>-3.9618E-2</v>
      </c>
      <c r="G33" s="3">
        <f t="shared" si="12"/>
        <v>104480</v>
      </c>
      <c r="H33" s="30"/>
      <c r="J33" s="30">
        <f t="shared" si="13"/>
        <v>1030078.202210985</v>
      </c>
      <c r="K33" s="30">
        <f t="shared" si="14"/>
        <v>-925598.50794272637</v>
      </c>
    </row>
    <row r="34" spans="2:11" x14ac:dyDescent="0.25">
      <c r="B34">
        <v>31</v>
      </c>
      <c r="C34" t="str">
        <f>+'Sch 139 Eff 10-15-2020'!C34</f>
        <v>13903SW10</v>
      </c>
      <c r="D34" s="28">
        <f>+'Sch 139 Eff 10-15-2020'!F34</f>
        <v>20369198.875974793</v>
      </c>
      <c r="E34" s="2">
        <f>+'Sch 139 Eff 10-15-2020'!G34</f>
        <v>4.4540000000000003E-2</v>
      </c>
      <c r="F34" s="2">
        <f>-'Sch 139 Credit Calculation'!$E$10</f>
        <v>-3.9618E-2</v>
      </c>
      <c r="G34" s="3">
        <f t="shared" si="12"/>
        <v>100257</v>
      </c>
      <c r="H34" s="30"/>
      <c r="J34" s="30">
        <f t="shared" si="13"/>
        <v>907244.11793591734</v>
      </c>
      <c r="K34" s="30">
        <f t="shared" si="14"/>
        <v>-806986.92106836941</v>
      </c>
    </row>
    <row r="35" spans="2:11" x14ac:dyDescent="0.25">
      <c r="B35">
        <v>31</v>
      </c>
      <c r="C35" t="str">
        <f>+'Sch 139 Eff 10-15-2020'!C35</f>
        <v>13903SW15</v>
      </c>
      <c r="D35" s="28">
        <f>+'Sch 139 Eff 10-15-2020'!F35</f>
        <v>45283.355382940128</v>
      </c>
      <c r="E35" s="2">
        <f>+'Sch 139 Eff 10-15-2020'!G35</f>
        <v>4.4269999999999997E-2</v>
      </c>
      <c r="F35" s="2">
        <f>-'Sch 139 Credit Calculation'!$E$10</f>
        <v>-3.9618E-2</v>
      </c>
      <c r="G35" s="3">
        <f t="shared" si="12"/>
        <v>211</v>
      </c>
      <c r="H35" s="30"/>
      <c r="J35" s="30">
        <f t="shared" si="13"/>
        <v>2004.6941428027594</v>
      </c>
      <c r="K35" s="30">
        <f t="shared" si="14"/>
        <v>-1794.035973561322</v>
      </c>
    </row>
    <row r="36" spans="2:11" x14ac:dyDescent="0.25">
      <c r="B36">
        <v>31</v>
      </c>
      <c r="C36" t="str">
        <f>+'Sch 139 Eff 10-15-2020'!C36</f>
        <v>13903SW18</v>
      </c>
      <c r="D36" s="28">
        <f>+'Sch 139 Eff 10-15-2020'!F36</f>
        <v>502862.79361210339</v>
      </c>
      <c r="E36" s="2">
        <f>+'Sch 139 Eff 10-15-2020'!G36</f>
        <v>4.4089999999999997E-2</v>
      </c>
      <c r="F36" s="2">
        <f>-'Sch 139 Credit Calculation'!$E$10</f>
        <v>-3.9618E-2</v>
      </c>
      <c r="G36" s="3">
        <f t="shared" si="12"/>
        <v>2249</v>
      </c>
      <c r="H36" s="30"/>
      <c r="J36" s="30">
        <f t="shared" si="13"/>
        <v>22171.220570357636</v>
      </c>
      <c r="K36" s="30">
        <f t="shared" si="14"/>
        <v>-19922.418157324311</v>
      </c>
    </row>
    <row r="37" spans="2:11" x14ac:dyDescent="0.25">
      <c r="B37" t="s">
        <v>14</v>
      </c>
      <c r="D37" s="28">
        <f>SUM(D32:D36)</f>
        <v>70415822.572294518</v>
      </c>
      <c r="E37" s="2"/>
      <c r="F37" s="2"/>
      <c r="G37" s="3"/>
      <c r="H37" s="30">
        <f>SUM(G32:G36)</f>
        <v>335835</v>
      </c>
      <c r="J37" s="30"/>
      <c r="K37" s="30"/>
    </row>
    <row r="38" spans="2:11" x14ac:dyDescent="0.25">
      <c r="B38">
        <v>43</v>
      </c>
      <c r="C38" t="str">
        <f>+'Sch 139 Eff 10-15-2020'!C38</f>
        <v>13903SW10</v>
      </c>
      <c r="D38" s="28">
        <f>+'Sch 139 Eff 10-15-2020'!F38</f>
        <v>1495419.7737736609</v>
      </c>
      <c r="E38" s="2">
        <f>+'Sch 139 Eff 10-15-2020'!G38</f>
        <v>4.4540000000000003E-2</v>
      </c>
      <c r="F38" s="2">
        <f>-'Sch 139 Credit Calculation'!$E$10</f>
        <v>-3.9618E-2</v>
      </c>
      <c r="G38" s="3">
        <f t="shared" ref="G38" si="15">ROUND(SUM(E38:F38)*D38,0)</f>
        <v>7360</v>
      </c>
      <c r="H38" s="30"/>
      <c r="J38" s="30">
        <f>D38*E38</f>
        <v>66605.996723878867</v>
      </c>
      <c r="K38" s="30">
        <f>D38*F38</f>
        <v>-59245.540597364896</v>
      </c>
    </row>
    <row r="39" spans="2:11" x14ac:dyDescent="0.25">
      <c r="B39" t="s">
        <v>15</v>
      </c>
      <c r="D39" s="28">
        <f>SUM(D38)</f>
        <v>1495419.7737736609</v>
      </c>
      <c r="E39" s="2"/>
      <c r="F39" s="2"/>
      <c r="G39" s="3"/>
      <c r="H39" s="30">
        <f>SUM(G38)</f>
        <v>7360</v>
      </c>
      <c r="J39" s="30"/>
      <c r="K39" s="30"/>
    </row>
    <row r="40" spans="2:11" x14ac:dyDescent="0.25">
      <c r="B40">
        <v>46</v>
      </c>
      <c r="C40" t="str">
        <f>+'Sch 139 Eff 10-15-2020'!C40</f>
        <v>13902SW20</v>
      </c>
      <c r="D40" s="28">
        <f>+'Sch 139 Eff 10-15-2020'!F40</f>
        <v>13118192</v>
      </c>
      <c r="E40" s="2">
        <f>+'Sch 139 Eff 10-15-2020'!G40</f>
        <v>4.4089999999999997E-2</v>
      </c>
      <c r="F40" s="2">
        <f>-'Sch 139 Credit Calculation'!$E$10</f>
        <v>-3.9618E-2</v>
      </c>
      <c r="G40" s="3">
        <f t="shared" ref="G40" si="16">ROUND(SUM(E40:F40)*D40,0)</f>
        <v>58665</v>
      </c>
      <c r="H40" s="29"/>
      <c r="J40" s="30">
        <f>D40*E40</f>
        <v>578381.08528</v>
      </c>
      <c r="K40" s="30">
        <f>D40*F40</f>
        <v>-519716.53065600002</v>
      </c>
    </row>
    <row r="41" spans="2:11" x14ac:dyDescent="0.25">
      <c r="B41" t="s">
        <v>23</v>
      </c>
      <c r="D41" s="28">
        <f>SUM(D40)</f>
        <v>13118192</v>
      </c>
      <c r="E41" s="2"/>
      <c r="F41" s="2"/>
      <c r="G41" s="3"/>
      <c r="H41" s="30">
        <f>SUM(G40)</f>
        <v>58665</v>
      </c>
      <c r="J41" s="30"/>
      <c r="K41" s="30"/>
    </row>
    <row r="42" spans="2:11" x14ac:dyDescent="0.25">
      <c r="B42">
        <v>49</v>
      </c>
      <c r="C42" t="str">
        <f>+'Sch 139 Eff 10-15-2020'!C42</f>
        <v>13902SW10</v>
      </c>
      <c r="D42" s="28">
        <f>+'Sch 139 Eff 10-15-2020'!F42</f>
        <v>98878991</v>
      </c>
      <c r="E42" s="2">
        <f>+'Sch 139 Eff 10-15-2020'!G42</f>
        <v>4.4540000000000003E-2</v>
      </c>
      <c r="F42" s="2">
        <f>-'Sch 139 Credit Calculation'!$E$10</f>
        <v>-3.9618E-2</v>
      </c>
      <c r="G42" s="3">
        <f t="shared" ref="G42:G43" si="17">ROUND(SUM(E42:F42)*D42,0)</f>
        <v>486682</v>
      </c>
      <c r="H42" s="29"/>
      <c r="J42" s="30">
        <f t="shared" ref="J42:J43" si="18">D42*E42</f>
        <v>4404070.2591400007</v>
      </c>
      <c r="K42" s="30">
        <f t="shared" ref="K42:K43" si="19">D42*F42</f>
        <v>-3917387.8654379998</v>
      </c>
    </row>
    <row r="43" spans="2:11" x14ac:dyDescent="0.25">
      <c r="C43" t="str">
        <f>+'Sch 139 Eff 10-15-2020'!C43</f>
        <v>13902SW20</v>
      </c>
      <c r="D43" s="28">
        <f>+'Sch 139 Eff 10-15-2020'!F43</f>
        <v>27474183</v>
      </c>
      <c r="E43" s="2">
        <f>+'Sch 139 Eff 10-15-2020'!G43</f>
        <v>4.4089999999999997E-2</v>
      </c>
      <c r="F43" s="2">
        <f>-'Sch 139 Credit Calculation'!$E$10</f>
        <v>-3.9618E-2</v>
      </c>
      <c r="G43" s="3">
        <f t="shared" si="17"/>
        <v>122865</v>
      </c>
      <c r="H43" s="29"/>
      <c r="J43" s="30">
        <f t="shared" si="18"/>
        <v>1211336.72847</v>
      </c>
      <c r="K43" s="30">
        <f t="shared" si="19"/>
        <v>-1088472.182094</v>
      </c>
    </row>
    <row r="44" spans="2:11" x14ac:dyDescent="0.25">
      <c r="B44" t="s">
        <v>24</v>
      </c>
      <c r="D44" s="28">
        <f>SUM(D42:D43)</f>
        <v>126353174</v>
      </c>
      <c r="E44" s="2"/>
      <c r="F44" s="2"/>
      <c r="G44" s="3"/>
      <c r="H44" s="30">
        <f>SUM(G42:G43)</f>
        <v>609547</v>
      </c>
      <c r="J44" s="30"/>
      <c r="K44" s="30"/>
    </row>
    <row r="45" spans="2:11" x14ac:dyDescent="0.25">
      <c r="B45">
        <v>56</v>
      </c>
      <c r="C45" t="str">
        <f>+'Sch 139 Eff 10-15-2020'!C45</f>
        <v>13903SW10</v>
      </c>
      <c r="D45" s="28">
        <f>+'Sch 139 Eff 10-15-2020'!F45</f>
        <v>983.91199999999969</v>
      </c>
      <c r="E45" s="2">
        <f>+'Sch 139 Eff 10-15-2020'!G45</f>
        <v>4.4540000000000003E-2</v>
      </c>
      <c r="F45" s="2">
        <f>-'Sch 139 Credit Calculation'!$E$10</f>
        <v>-3.9618E-2</v>
      </c>
      <c r="G45" s="3">
        <f t="shared" ref="G45" si="20">ROUND(SUM(E45:F45)*D45,0)</f>
        <v>5</v>
      </c>
      <c r="H45" s="30"/>
      <c r="J45" s="30">
        <f>D45*E45</f>
        <v>43.823440479999988</v>
      </c>
      <c r="K45" s="30">
        <f>D45*F45</f>
        <v>-38.98062561599999</v>
      </c>
    </row>
    <row r="46" spans="2:11" x14ac:dyDescent="0.25">
      <c r="B46" t="s">
        <v>16</v>
      </c>
      <c r="D46" s="28">
        <f>SUM(D45)</f>
        <v>983.91199999999969</v>
      </c>
      <c r="E46" s="2"/>
      <c r="F46" s="2"/>
      <c r="G46" s="3"/>
      <c r="H46" s="30">
        <f>SUM(G45)</f>
        <v>5</v>
      </c>
      <c r="J46" s="30"/>
      <c r="K46" s="30"/>
    </row>
    <row r="47" spans="2:11" x14ac:dyDescent="0.25">
      <c r="B47" t="s">
        <v>17</v>
      </c>
      <c r="D47" s="28">
        <f>SUM(D46,D44,D41,D39,D37,D31,D24,D17,D10)</f>
        <v>680058011.62462139</v>
      </c>
      <c r="G47" s="4"/>
      <c r="H47" s="31">
        <f>SUM(H7:H46)</f>
        <v>3234186</v>
      </c>
      <c r="J47" s="30">
        <f>SUM(J7:J45)</f>
        <v>30176724.959542483</v>
      </c>
      <c r="K47" s="30">
        <f>SUM(K7:K45)</f>
        <v>-26942538.304544248</v>
      </c>
    </row>
    <row r="48" spans="2:11" x14ac:dyDescent="0.25">
      <c r="H48" s="4"/>
    </row>
    <row r="49" spans="8:8" x14ac:dyDescent="0.25">
      <c r="H49" s="4"/>
    </row>
  </sheetData>
  <mergeCells count="8">
    <mergeCell ref="A1:K1"/>
    <mergeCell ref="J5:J6"/>
    <mergeCell ref="K5:K6"/>
    <mergeCell ref="B3:H3"/>
    <mergeCell ref="F5:F6"/>
    <mergeCell ref="G5:G6"/>
    <mergeCell ref="H5:H6"/>
    <mergeCell ref="D5:D6"/>
  </mergeCells>
  <pageMargins left="0.7" right="0.7" top="0.75" bottom="0.75" header="0.3" footer="0.3"/>
  <pageSetup scale="71" orientation="landscape" r:id="rId1"/>
  <headerFooter>
    <oddFooter>&amp;L&amp;F&amp;R&amp;A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9"/>
  <sheetViews>
    <sheetView topLeftCell="A25" zoomScale="70" zoomScaleNormal="70" workbookViewId="0">
      <selection activeCell="H49" sqref="H49"/>
    </sheetView>
  </sheetViews>
  <sheetFormatPr defaultRowHeight="15" x14ac:dyDescent="0.25"/>
  <cols>
    <col min="2" max="2" width="15.42578125" bestFit="1" customWidth="1"/>
    <col min="3" max="3" width="12.85546875" bestFit="1" customWidth="1"/>
    <col min="4" max="4" width="14.85546875" bestFit="1" customWidth="1"/>
    <col min="5" max="5" width="13" bestFit="1" customWidth="1"/>
    <col min="6" max="6" width="13.5703125" bestFit="1" customWidth="1"/>
    <col min="7" max="8" width="12.42578125" bestFit="1" customWidth="1"/>
  </cols>
  <sheetData>
    <row r="2" spans="2:8" ht="15.75" thickBot="1" x14ac:dyDescent="0.3"/>
    <row r="3" spans="2:8" ht="15.75" thickBot="1" x14ac:dyDescent="0.3">
      <c r="B3" s="48" t="s">
        <v>19</v>
      </c>
      <c r="C3" s="49"/>
      <c r="D3" s="49"/>
      <c r="E3" s="49"/>
      <c r="F3" s="49"/>
      <c r="G3" s="49"/>
      <c r="H3" s="50"/>
    </row>
    <row r="5" spans="2:8" ht="15" customHeight="1" x14ac:dyDescent="0.25">
      <c r="B5" s="5" t="s">
        <v>0</v>
      </c>
      <c r="C5" s="5"/>
      <c r="D5" s="46" t="str">
        <f>'Sch 139 Eff 10-15-2020'!F5</f>
        <v>Total Weather Adj Load</v>
      </c>
      <c r="E5" s="5" t="s">
        <v>1</v>
      </c>
      <c r="F5" s="46" t="s">
        <v>2</v>
      </c>
      <c r="G5" s="51" t="s">
        <v>3</v>
      </c>
      <c r="H5" s="51" t="s">
        <v>3</v>
      </c>
    </row>
    <row r="6" spans="2:8" ht="30" customHeight="1" x14ac:dyDescent="0.25">
      <c r="B6" s="6" t="s">
        <v>4</v>
      </c>
      <c r="C6" s="6" t="s">
        <v>5</v>
      </c>
      <c r="D6" s="47"/>
      <c r="E6" s="6"/>
      <c r="F6" s="47"/>
      <c r="G6" s="47"/>
      <c r="H6" s="47"/>
    </row>
    <row r="7" spans="2:8" x14ac:dyDescent="0.25">
      <c r="B7">
        <v>7</v>
      </c>
      <c r="C7" t="str">
        <f>+'Sch 139 Eff 10-15-2020'!C7</f>
        <v>13902SW10</v>
      </c>
      <c r="D7" s="1">
        <f>+'Sch 139 Eff 10-15-2020'!F7</f>
        <v>12213.898547312883</v>
      </c>
      <c r="E7" s="2">
        <f>+'Sch 139 Eff 10-15-2020'!G7</f>
        <v>4.4540000000000003E-2</v>
      </c>
      <c r="F7" s="2">
        <f>-'Sch 139 Credit Calculation'!$D$10</f>
        <v>-4.4882999999999999E-2</v>
      </c>
      <c r="G7" s="3">
        <f>ROUND(SUM(E7:F7)*D7,0)</f>
        <v>-4</v>
      </c>
    </row>
    <row r="8" spans="2:8" x14ac:dyDescent="0.25">
      <c r="B8">
        <v>7</v>
      </c>
      <c r="C8" t="str">
        <f>+'Sch 139 Eff 10-15-2020'!C8</f>
        <v>13902SW20</v>
      </c>
      <c r="D8" s="1">
        <f>+'Sch 139 Eff 10-15-2020'!F8</f>
        <v>945.19416910616155</v>
      </c>
      <c r="E8" s="2">
        <f>+'Sch 139 Eff 10-15-2020'!G8</f>
        <v>4.4089999999999997E-2</v>
      </c>
      <c r="F8" s="2">
        <f>-'Sch 139 Credit Calculation'!$D$10</f>
        <v>-4.4882999999999999E-2</v>
      </c>
      <c r="G8" s="3">
        <f t="shared" ref="G8:G9" si="0">ROUND(SUM(E8:F8)*D8,0)</f>
        <v>-1</v>
      </c>
    </row>
    <row r="9" spans="2:8" x14ac:dyDescent="0.25">
      <c r="B9">
        <v>7</v>
      </c>
      <c r="C9" t="str">
        <f>+'Sch 139 Eff 10-15-2020'!C9</f>
        <v>13903SW10</v>
      </c>
      <c r="D9" s="1">
        <f>+'Sch 139 Eff 10-15-2020'!F9</f>
        <v>218045.35045925443</v>
      </c>
      <c r="E9" s="2">
        <f>+'Sch 139 Eff 10-15-2020'!G9</f>
        <v>4.4540000000000003E-2</v>
      </c>
      <c r="F9" s="2">
        <f>-'Sch 139 Credit Calculation'!$D$10</f>
        <v>-4.4882999999999999E-2</v>
      </c>
      <c r="G9" s="3">
        <f t="shared" si="0"/>
        <v>-75</v>
      </c>
    </row>
    <row r="10" spans="2:8" x14ac:dyDescent="0.25">
      <c r="B10" t="s">
        <v>8</v>
      </c>
      <c r="D10" s="1">
        <f>SUM(D7:D9)</f>
        <v>231204.44317567348</v>
      </c>
      <c r="E10" s="2"/>
      <c r="F10" s="2"/>
      <c r="G10" s="3"/>
      <c r="H10" s="3">
        <f>SUM(G7:G9)</f>
        <v>-80</v>
      </c>
    </row>
    <row r="11" spans="2:8" x14ac:dyDescent="0.25">
      <c r="B11">
        <v>24</v>
      </c>
      <c r="C11" t="str">
        <f>+'Sch 139 Eff 10-15-2020'!C11</f>
        <v>13902SW10</v>
      </c>
      <c r="D11" s="1">
        <f>+'Sch 139 Eff 10-15-2020'!F11</f>
        <v>19897131.167401478</v>
      </c>
      <c r="E11" s="2">
        <f>+'Sch 139 Eff 10-15-2020'!G11</f>
        <v>4.4540000000000003E-2</v>
      </c>
      <c r="F11" s="2">
        <f>-'Sch 139 Credit Calculation'!$D$10</f>
        <v>-4.4882999999999999E-2</v>
      </c>
      <c r="G11" s="3">
        <f t="shared" ref="G11:G16" si="1">ROUND(SUM(E11:F11)*D11,0)</f>
        <v>-6825</v>
      </c>
      <c r="H11" s="3"/>
    </row>
    <row r="12" spans="2:8" x14ac:dyDescent="0.25">
      <c r="B12">
        <v>24</v>
      </c>
      <c r="C12" t="str">
        <f>+'Sch 139 Eff 10-15-2020'!C12</f>
        <v>13902SW15</v>
      </c>
      <c r="D12" s="1">
        <f>+'Sch 139 Eff 10-15-2020'!F12</f>
        <v>1289609.4845312347</v>
      </c>
      <c r="E12" s="2">
        <f>+'Sch 139 Eff 10-15-2020'!G12</f>
        <v>4.4269999999999997E-2</v>
      </c>
      <c r="F12" s="2">
        <f>-'Sch 139 Credit Calculation'!$D$10</f>
        <v>-4.4882999999999999E-2</v>
      </c>
      <c r="G12" s="3">
        <f t="shared" si="1"/>
        <v>-791</v>
      </c>
      <c r="H12" s="3"/>
    </row>
    <row r="13" spans="2:8" x14ac:dyDescent="0.25">
      <c r="B13">
        <v>24</v>
      </c>
      <c r="C13" t="str">
        <f>+'Sch 139 Eff 10-15-2020'!C13</f>
        <v>13902SW20</v>
      </c>
      <c r="D13" s="1">
        <f>+'Sch 139 Eff 10-15-2020'!F13</f>
        <v>13971894.851888603</v>
      </c>
      <c r="E13" s="2">
        <f>+'Sch 139 Eff 10-15-2020'!G13</f>
        <v>4.4089999999999997E-2</v>
      </c>
      <c r="F13" s="2">
        <f>-'Sch 139 Credit Calculation'!$D$10</f>
        <v>-4.4882999999999999E-2</v>
      </c>
      <c r="G13" s="3">
        <f t="shared" si="1"/>
        <v>-11080</v>
      </c>
      <c r="H13" s="3"/>
    </row>
    <row r="14" spans="2:8" x14ac:dyDescent="0.25">
      <c r="B14">
        <v>24</v>
      </c>
      <c r="C14" t="str">
        <f>+'Sch 139 Eff 10-15-2020'!C14</f>
        <v>13903SW10</v>
      </c>
      <c r="D14" s="1">
        <f>+'Sch 139 Eff 10-15-2020'!F14</f>
        <v>129061021.89333151</v>
      </c>
      <c r="E14" s="2">
        <f>+'Sch 139 Eff 10-15-2020'!G14</f>
        <v>4.4540000000000003E-2</v>
      </c>
      <c r="F14" s="2">
        <f>-'Sch 139 Credit Calculation'!$D$10</f>
        <v>-4.4882999999999999E-2</v>
      </c>
      <c r="G14" s="3">
        <f t="shared" si="1"/>
        <v>-44268</v>
      </c>
      <c r="H14" s="3"/>
    </row>
    <row r="15" spans="2:8" x14ac:dyDescent="0.25">
      <c r="B15">
        <v>24</v>
      </c>
      <c r="C15" t="str">
        <f>+'Sch 139 Eff 10-15-2020'!C15</f>
        <v>13903SW15</v>
      </c>
      <c r="D15" s="1">
        <f>+'Sch 139 Eff 10-15-2020'!F15</f>
        <v>16772270.290319733</v>
      </c>
      <c r="E15" s="2">
        <f>+'Sch 139 Eff 10-15-2020'!G15</f>
        <v>4.4269999999999997E-2</v>
      </c>
      <c r="F15" s="2">
        <f>-'Sch 139 Credit Calculation'!$D$10</f>
        <v>-4.4882999999999999E-2</v>
      </c>
      <c r="G15" s="3">
        <f t="shared" si="1"/>
        <v>-10281</v>
      </c>
      <c r="H15" s="3"/>
    </row>
    <row r="16" spans="2:8" x14ac:dyDescent="0.25">
      <c r="B16">
        <v>24</v>
      </c>
      <c r="C16" t="str">
        <f>+'Sch 139 Eff 10-15-2020'!C16</f>
        <v>13903SW18</v>
      </c>
      <c r="D16" s="1">
        <f>+'Sch 139 Eff 10-15-2020'!F16</f>
        <v>119655524.76601914</v>
      </c>
      <c r="E16" s="2">
        <f>+'Sch 139 Eff 10-15-2020'!G16</f>
        <v>4.4089999999999997E-2</v>
      </c>
      <c r="F16" s="2">
        <f>-'Sch 139 Credit Calculation'!$D$10</f>
        <v>-4.4882999999999999E-2</v>
      </c>
      <c r="G16" s="3">
        <f t="shared" si="1"/>
        <v>-94887</v>
      </c>
      <c r="H16" s="3"/>
    </row>
    <row r="17" spans="2:8" x14ac:dyDescent="0.25">
      <c r="B17" t="s">
        <v>11</v>
      </c>
      <c r="D17" s="1">
        <f>SUM(D11:D16)</f>
        <v>300647452.45349169</v>
      </c>
      <c r="E17" s="2"/>
      <c r="F17" s="2"/>
      <c r="G17" s="3"/>
      <c r="H17" s="3">
        <f>SUM(G11:G16)</f>
        <v>-168132</v>
      </c>
    </row>
    <row r="18" spans="2:8" x14ac:dyDescent="0.25">
      <c r="B18">
        <v>25</v>
      </c>
      <c r="C18" t="str">
        <f>+'Sch 139 Eff 10-15-2020'!C18</f>
        <v>13902SW10</v>
      </c>
      <c r="D18" s="1">
        <f>+'Sch 139 Eff 10-15-2020'!F18</f>
        <v>34535296.39791093</v>
      </c>
      <c r="E18" s="2">
        <f>+'Sch 139 Eff 10-15-2020'!G18</f>
        <v>4.4540000000000003E-2</v>
      </c>
      <c r="F18" s="2">
        <f>-'Sch 139 Credit Calculation'!$D$10</f>
        <v>-4.4882999999999999E-2</v>
      </c>
      <c r="G18" s="3">
        <f t="shared" ref="G18:G23" si="2">ROUND(SUM(E18:F18)*D18,0)</f>
        <v>-11846</v>
      </c>
      <c r="H18" s="3"/>
    </row>
    <row r="19" spans="2:8" x14ac:dyDescent="0.25">
      <c r="B19">
        <v>25</v>
      </c>
      <c r="C19" t="str">
        <f>+'Sch 139 Eff 10-15-2020'!C19</f>
        <v>13902SW15</v>
      </c>
      <c r="D19" s="1">
        <f>+'Sch 139 Eff 10-15-2020'!F19</f>
        <v>2570748.3115762766</v>
      </c>
      <c r="E19" s="2">
        <f>+'Sch 139 Eff 10-15-2020'!G19</f>
        <v>4.4269999999999997E-2</v>
      </c>
      <c r="F19" s="2">
        <f>-'Sch 139 Credit Calculation'!$D$10</f>
        <v>-4.4882999999999999E-2</v>
      </c>
      <c r="G19" s="3">
        <f t="shared" si="2"/>
        <v>-1576</v>
      </c>
      <c r="H19" s="3"/>
    </row>
    <row r="20" spans="2:8" x14ac:dyDescent="0.25">
      <c r="B20">
        <v>25</v>
      </c>
      <c r="C20" t="str">
        <f>+'Sch 139 Eff 10-15-2020'!C20</f>
        <v>13902SW20</v>
      </c>
      <c r="D20" s="1">
        <f>+'Sch 139 Eff 10-15-2020'!F20</f>
        <v>22301264.633278791</v>
      </c>
      <c r="E20" s="2">
        <f>+'Sch 139 Eff 10-15-2020'!G20</f>
        <v>4.4089999999999997E-2</v>
      </c>
      <c r="F20" s="2">
        <f>-'Sch 139 Credit Calculation'!$D$10</f>
        <v>-4.4882999999999999E-2</v>
      </c>
      <c r="G20" s="3">
        <f t="shared" si="2"/>
        <v>-17685</v>
      </c>
      <c r="H20" s="3"/>
    </row>
    <row r="21" spans="2:8" x14ac:dyDescent="0.25">
      <c r="B21">
        <v>25</v>
      </c>
      <c r="C21" t="str">
        <f>+'Sch 139 Eff 10-15-2020'!C21</f>
        <v>13903SW10</v>
      </c>
      <c r="D21" s="1">
        <f>+'Sch 139 Eff 10-15-2020'!F21</f>
        <v>15166061.321066329</v>
      </c>
      <c r="E21" s="2">
        <f>+'Sch 139 Eff 10-15-2020'!G21</f>
        <v>4.4540000000000003E-2</v>
      </c>
      <c r="F21" s="2">
        <f>-'Sch 139 Credit Calculation'!$D$10</f>
        <v>-4.4882999999999999E-2</v>
      </c>
      <c r="G21" s="3">
        <f t="shared" si="2"/>
        <v>-5202</v>
      </c>
      <c r="H21" s="3"/>
    </row>
    <row r="22" spans="2:8" x14ac:dyDescent="0.25">
      <c r="B22">
        <v>25</v>
      </c>
      <c r="C22" t="str">
        <f>+'Sch 139 Eff 10-15-2020'!C22</f>
        <v>13903SW15</v>
      </c>
      <c r="D22" s="1">
        <f>+'Sch 139 Eff 10-15-2020'!F22</f>
        <v>5203925.9065338653</v>
      </c>
      <c r="E22" s="2">
        <f>+'Sch 139 Eff 10-15-2020'!G22</f>
        <v>4.4269999999999997E-2</v>
      </c>
      <c r="F22" s="2">
        <f>-'Sch 139 Credit Calculation'!$D$10</f>
        <v>-4.4882999999999999E-2</v>
      </c>
      <c r="G22" s="3">
        <f t="shared" si="2"/>
        <v>-3190</v>
      </c>
      <c r="H22" s="3"/>
    </row>
    <row r="23" spans="2:8" x14ac:dyDescent="0.25">
      <c r="B23">
        <v>25</v>
      </c>
      <c r="C23" t="str">
        <f>+'Sch 139 Eff 10-15-2020'!C23</f>
        <v>13903SW18</v>
      </c>
      <c r="D23" s="1">
        <f>+'Sch 139 Eff 10-15-2020'!F23</f>
        <v>3109360.2157476833</v>
      </c>
      <c r="E23" s="2">
        <f>+'Sch 139 Eff 10-15-2020'!G23</f>
        <v>4.4089999999999997E-2</v>
      </c>
      <c r="F23" s="2">
        <f>-'Sch 139 Credit Calculation'!$D$10</f>
        <v>-4.4882999999999999E-2</v>
      </c>
      <c r="G23" s="3">
        <f t="shared" si="2"/>
        <v>-2466</v>
      </c>
      <c r="H23" s="3"/>
    </row>
    <row r="24" spans="2:8" x14ac:dyDescent="0.25">
      <c r="B24" t="s">
        <v>12</v>
      </c>
      <c r="D24" s="1">
        <f>SUM(D18:D23)</f>
        <v>82886656.786113888</v>
      </c>
      <c r="E24" s="2"/>
      <c r="F24" s="2"/>
      <c r="G24" s="3"/>
      <c r="H24" s="3">
        <f>SUM(G18:G23)</f>
        <v>-41965</v>
      </c>
    </row>
    <row r="25" spans="2:8" x14ac:dyDescent="0.25">
      <c r="B25">
        <v>26</v>
      </c>
      <c r="C25" t="str">
        <f>+'Sch 139 Eff 10-15-2020'!C25</f>
        <v>13902SW10</v>
      </c>
      <c r="D25" s="1">
        <f>+'Sch 139 Eff 10-15-2020'!F25</f>
        <v>47557247.361794107</v>
      </c>
      <c r="E25" s="2">
        <f>+'Sch 139 Eff 10-15-2020'!G25</f>
        <v>4.4540000000000003E-2</v>
      </c>
      <c r="F25" s="2">
        <f>-'Sch 139 Credit Calculation'!$D$10</f>
        <v>-4.4882999999999999E-2</v>
      </c>
      <c r="G25" s="3">
        <f t="shared" ref="G25:G30" si="3">ROUND(SUM(E25:F25)*D25,0)</f>
        <v>-16312</v>
      </c>
      <c r="H25" s="3"/>
    </row>
    <row r="26" spans="2:8" x14ac:dyDescent="0.25">
      <c r="B26">
        <v>26</v>
      </c>
      <c r="C26" t="str">
        <f>+'Sch 139 Eff 10-15-2020'!C26</f>
        <v>13902SW15</v>
      </c>
      <c r="D26" s="1">
        <f>+'Sch 139 Eff 10-15-2020'!F26</f>
        <v>12042559.44254427</v>
      </c>
      <c r="E26" s="2">
        <f>+'Sch 139 Eff 10-15-2020'!G26</f>
        <v>4.4269999999999997E-2</v>
      </c>
      <c r="F26" s="2">
        <f>-'Sch 139 Credit Calculation'!$D$10</f>
        <v>-4.4882999999999999E-2</v>
      </c>
      <c r="G26" s="3">
        <f t="shared" si="3"/>
        <v>-7382</v>
      </c>
      <c r="H26" s="3"/>
    </row>
    <row r="27" spans="2:8" x14ac:dyDescent="0.25">
      <c r="B27">
        <v>26</v>
      </c>
      <c r="C27" t="str">
        <f>+'Sch 139 Eff 10-15-2020'!C27</f>
        <v>13902SW20</v>
      </c>
      <c r="D27" s="1">
        <f>+'Sch 139 Eff 10-15-2020'!F27</f>
        <v>1813580.6173252841</v>
      </c>
      <c r="E27" s="2">
        <f>+'Sch 139 Eff 10-15-2020'!G27</f>
        <v>4.4089999999999997E-2</v>
      </c>
      <c r="F27" s="2">
        <f>-'Sch 139 Credit Calculation'!$D$10</f>
        <v>-4.4882999999999999E-2</v>
      </c>
      <c r="G27" s="3">
        <f t="shared" si="3"/>
        <v>-1438</v>
      </c>
      <c r="H27" s="3"/>
    </row>
    <row r="28" spans="2:8" x14ac:dyDescent="0.25">
      <c r="B28">
        <v>26</v>
      </c>
      <c r="C28" t="str">
        <f>+'Sch 139 Eff 10-15-2020'!C28</f>
        <v>13903SW10</v>
      </c>
      <c r="D28" s="1">
        <f>+'Sch 139 Eff 10-15-2020'!F28</f>
        <v>19866303.878057025</v>
      </c>
      <c r="E28" s="2">
        <f>+'Sch 139 Eff 10-15-2020'!G28</f>
        <v>4.4540000000000003E-2</v>
      </c>
      <c r="F28" s="2">
        <f>-'Sch 139 Credit Calculation'!$D$10</f>
        <v>-4.4882999999999999E-2</v>
      </c>
      <c r="G28" s="3">
        <f t="shared" si="3"/>
        <v>-6814</v>
      </c>
      <c r="H28" s="3"/>
    </row>
    <row r="29" spans="2:8" x14ac:dyDescent="0.25">
      <c r="B29">
        <v>26</v>
      </c>
      <c r="C29" t="str">
        <f>+'Sch 139 Eff 10-15-2020'!C29</f>
        <v>13903SW15</v>
      </c>
      <c r="D29" s="1">
        <f>+'Sch 139 Eff 10-15-2020'!F29</f>
        <v>1132472.6209011718</v>
      </c>
      <c r="E29" s="2">
        <f>+'Sch 139 Eff 10-15-2020'!G29</f>
        <v>4.4269999999999997E-2</v>
      </c>
      <c r="F29" s="2">
        <f>-'Sch 139 Credit Calculation'!$D$10</f>
        <v>-4.4882999999999999E-2</v>
      </c>
      <c r="G29" s="3">
        <f t="shared" si="3"/>
        <v>-694</v>
      </c>
      <c r="H29" s="3"/>
    </row>
    <row r="30" spans="2:8" x14ac:dyDescent="0.25">
      <c r="B30">
        <v>26</v>
      </c>
      <c r="C30" t="str">
        <f>+'Sch 139 Eff 10-15-2020'!C30</f>
        <v>13903SW18</v>
      </c>
      <c r="D30" s="1">
        <f>+'Sch 139 Eff 10-15-2020'!F30</f>
        <v>2496941.7631501178</v>
      </c>
      <c r="E30" s="2">
        <f>+'Sch 139 Eff 10-15-2020'!G30</f>
        <v>4.4089999999999997E-2</v>
      </c>
      <c r="F30" s="2">
        <f>-'Sch 139 Credit Calculation'!$D$10</f>
        <v>-4.4882999999999999E-2</v>
      </c>
      <c r="G30" s="3">
        <f t="shared" si="3"/>
        <v>-1980</v>
      </c>
      <c r="H30" s="3"/>
    </row>
    <row r="31" spans="2:8" x14ac:dyDescent="0.25">
      <c r="B31" t="s">
        <v>13</v>
      </c>
      <c r="D31" s="1">
        <f>SUM(D25:D30)</f>
        <v>84909105.683771968</v>
      </c>
      <c r="E31" s="2"/>
      <c r="F31" s="2"/>
      <c r="G31" s="3"/>
      <c r="H31" s="3">
        <f>SUM(G25:G30)</f>
        <v>-34620</v>
      </c>
    </row>
    <row r="32" spans="2:8" x14ac:dyDescent="0.25">
      <c r="B32">
        <v>31</v>
      </c>
      <c r="C32" t="str">
        <f>+'Sch 139 Eff 10-15-2020'!C32</f>
        <v>13902SW10</v>
      </c>
      <c r="D32" s="1">
        <f>+'Sch 139 Eff 10-15-2020'!F32</f>
        <v>26135397.433671128</v>
      </c>
      <c r="E32" s="2">
        <f>+'Sch 139 Eff 10-15-2020'!G32</f>
        <v>4.4540000000000003E-2</v>
      </c>
      <c r="F32" s="2">
        <f>-'Sch 139 Credit Calculation'!$D$10</f>
        <v>-4.4882999999999999E-2</v>
      </c>
      <c r="G32" s="3">
        <f t="shared" ref="G32:G36" si="4">ROUND(SUM(E32:F32)*D32,0)</f>
        <v>-8964</v>
      </c>
      <c r="H32" s="3"/>
    </row>
    <row r="33" spans="2:8" x14ac:dyDescent="0.25">
      <c r="B33">
        <v>31</v>
      </c>
      <c r="C33" t="str">
        <f>+'Sch 139 Eff 10-15-2020'!C33</f>
        <v>13902SW20</v>
      </c>
      <c r="D33" s="1">
        <f>+'Sch 139 Eff 10-15-2020'!F33</f>
        <v>23363080.113653552</v>
      </c>
      <c r="E33" s="2">
        <f>+'Sch 139 Eff 10-15-2020'!G33</f>
        <v>4.4089999999999997E-2</v>
      </c>
      <c r="F33" s="2">
        <f>-'Sch 139 Credit Calculation'!$D$10</f>
        <v>-4.4882999999999999E-2</v>
      </c>
      <c r="G33" s="3">
        <f t="shared" si="4"/>
        <v>-18527</v>
      </c>
      <c r="H33" s="3"/>
    </row>
    <row r="34" spans="2:8" x14ac:dyDescent="0.25">
      <c r="B34">
        <v>31</v>
      </c>
      <c r="C34" t="str">
        <f>+'Sch 139 Eff 10-15-2020'!C34</f>
        <v>13903SW10</v>
      </c>
      <c r="D34" s="1">
        <f>+'Sch 139 Eff 10-15-2020'!F34</f>
        <v>20369198.875974793</v>
      </c>
      <c r="E34" s="2">
        <f>+'Sch 139 Eff 10-15-2020'!G34</f>
        <v>4.4540000000000003E-2</v>
      </c>
      <c r="F34" s="2">
        <f>-'Sch 139 Credit Calculation'!$D$10</f>
        <v>-4.4882999999999999E-2</v>
      </c>
      <c r="G34" s="3">
        <f t="shared" si="4"/>
        <v>-6987</v>
      </c>
      <c r="H34" s="3"/>
    </row>
    <row r="35" spans="2:8" x14ac:dyDescent="0.25">
      <c r="B35">
        <v>31</v>
      </c>
      <c r="C35" t="str">
        <f>+'Sch 139 Eff 10-15-2020'!C35</f>
        <v>13903SW15</v>
      </c>
      <c r="D35" s="1">
        <f>+'Sch 139 Eff 10-15-2020'!F35</f>
        <v>45283.355382940128</v>
      </c>
      <c r="E35" s="2">
        <f>+'Sch 139 Eff 10-15-2020'!G35</f>
        <v>4.4269999999999997E-2</v>
      </c>
      <c r="F35" s="2">
        <f>-'Sch 139 Credit Calculation'!$D$10</f>
        <v>-4.4882999999999999E-2</v>
      </c>
      <c r="G35" s="3">
        <f t="shared" si="4"/>
        <v>-28</v>
      </c>
      <c r="H35" s="3"/>
    </row>
    <row r="36" spans="2:8" x14ac:dyDescent="0.25">
      <c r="B36">
        <v>31</v>
      </c>
      <c r="C36" t="str">
        <f>+'Sch 139 Eff 10-15-2020'!C36</f>
        <v>13903SW18</v>
      </c>
      <c r="D36" s="1">
        <f>+'Sch 139 Eff 10-15-2020'!F36</f>
        <v>502862.79361210339</v>
      </c>
      <c r="E36" s="2">
        <f>+'Sch 139 Eff 10-15-2020'!G36</f>
        <v>4.4089999999999997E-2</v>
      </c>
      <c r="F36" s="2">
        <f>-'Sch 139 Credit Calculation'!$D$10</f>
        <v>-4.4882999999999999E-2</v>
      </c>
      <c r="G36" s="3">
        <f t="shared" si="4"/>
        <v>-399</v>
      </c>
      <c r="H36" s="3"/>
    </row>
    <row r="37" spans="2:8" x14ac:dyDescent="0.25">
      <c r="B37" t="s">
        <v>14</v>
      </c>
      <c r="D37" s="1">
        <f>SUM(D32:D36)</f>
        <v>70415822.572294518</v>
      </c>
      <c r="E37" s="2"/>
      <c r="F37" s="2"/>
      <c r="G37" s="3"/>
      <c r="H37" s="3">
        <f>SUM(G32:G36)</f>
        <v>-34905</v>
      </c>
    </row>
    <row r="38" spans="2:8" x14ac:dyDescent="0.25">
      <c r="B38">
        <v>43</v>
      </c>
      <c r="C38" t="str">
        <f>+'Sch 139 Eff 10-15-2020'!C38</f>
        <v>13903SW10</v>
      </c>
      <c r="D38" s="1">
        <f>+'Sch 139 Eff 10-15-2020'!F38</f>
        <v>1495419.7737736609</v>
      </c>
      <c r="E38" s="2">
        <f>+'Sch 139 Eff 10-15-2020'!G38</f>
        <v>4.4540000000000003E-2</v>
      </c>
      <c r="F38" s="2">
        <f>-'Sch 139 Credit Calculation'!$D$10</f>
        <v>-4.4882999999999999E-2</v>
      </c>
      <c r="G38" s="3">
        <f t="shared" ref="G38" si="5">ROUND(SUM(E38:F38)*D38,0)</f>
        <v>-513</v>
      </c>
      <c r="H38" s="3"/>
    </row>
    <row r="39" spans="2:8" x14ac:dyDescent="0.25">
      <c r="B39" t="s">
        <v>15</v>
      </c>
      <c r="D39" s="1">
        <f>SUM(D38)</f>
        <v>1495419.7737736609</v>
      </c>
      <c r="E39" s="2"/>
      <c r="F39" s="2"/>
      <c r="G39" s="3"/>
      <c r="H39" s="3">
        <f>SUM(G38)</f>
        <v>-513</v>
      </c>
    </row>
    <row r="40" spans="2:8" x14ac:dyDescent="0.25">
      <c r="B40">
        <v>46</v>
      </c>
      <c r="C40" t="str">
        <f>+'Sch 139 Eff 10-15-2020'!C40</f>
        <v>13902SW20</v>
      </c>
      <c r="D40" s="1">
        <f>+'Sch 139 Eff 10-15-2020'!F40</f>
        <v>13118192</v>
      </c>
      <c r="E40" s="2">
        <f>+'Sch 139 Eff 10-15-2020'!G40</f>
        <v>4.4089999999999997E-2</v>
      </c>
      <c r="F40" s="2">
        <f>-'Sch 139 Credit Calculation'!$D$10</f>
        <v>-4.4882999999999999E-2</v>
      </c>
      <c r="G40" s="3">
        <f t="shared" ref="G40" si="6">ROUND(SUM(E40:F40)*D40,0)</f>
        <v>-10403</v>
      </c>
    </row>
    <row r="41" spans="2:8" x14ac:dyDescent="0.25">
      <c r="B41" t="s">
        <v>23</v>
      </c>
      <c r="D41" s="1">
        <f>SUM(D40)</f>
        <v>13118192</v>
      </c>
      <c r="E41" s="2"/>
      <c r="F41" s="2"/>
      <c r="G41" s="3"/>
      <c r="H41" s="3">
        <f>SUM(G40)</f>
        <v>-10403</v>
      </c>
    </row>
    <row r="42" spans="2:8" x14ac:dyDescent="0.25">
      <c r="B42">
        <v>49</v>
      </c>
      <c r="C42" t="str">
        <f>+'Sch 139 Eff 10-15-2020'!C42</f>
        <v>13902SW10</v>
      </c>
      <c r="D42" s="1">
        <f>+'Sch 139 Eff 10-15-2020'!F42</f>
        <v>98878991</v>
      </c>
      <c r="E42" s="2">
        <f>+'Sch 139 Eff 10-15-2020'!G42</f>
        <v>4.4540000000000003E-2</v>
      </c>
      <c r="F42" s="2">
        <f>-'Sch 139 Credit Calculation'!$D$10</f>
        <v>-4.4882999999999999E-2</v>
      </c>
      <c r="G42" s="3">
        <f t="shared" ref="G42:G43" si="7">ROUND(SUM(E42:F42)*D42,0)</f>
        <v>-33915</v>
      </c>
    </row>
    <row r="43" spans="2:8" x14ac:dyDescent="0.25">
      <c r="C43" t="str">
        <f>+'Sch 139 Eff 10-15-2020'!C43</f>
        <v>13902SW20</v>
      </c>
      <c r="D43" s="1">
        <f>+'Sch 139 Eff 10-15-2020'!F43</f>
        <v>27474183</v>
      </c>
      <c r="E43" s="2">
        <f>+'Sch 139 Eff 10-15-2020'!G43</f>
        <v>4.4089999999999997E-2</v>
      </c>
      <c r="F43" s="2">
        <f>-'Sch 139 Credit Calculation'!$D$10</f>
        <v>-4.4882999999999999E-2</v>
      </c>
      <c r="G43" s="3">
        <f t="shared" si="7"/>
        <v>-21787</v>
      </c>
    </row>
    <row r="44" spans="2:8" x14ac:dyDescent="0.25">
      <c r="B44" t="s">
        <v>24</v>
      </c>
      <c r="D44" s="1">
        <f>SUM(D42:D43)</f>
        <v>126353174</v>
      </c>
      <c r="E44" s="2"/>
      <c r="F44" s="2"/>
      <c r="G44" s="3"/>
      <c r="H44" s="3">
        <f>SUM(G42:G43)</f>
        <v>-55702</v>
      </c>
    </row>
    <row r="45" spans="2:8" x14ac:dyDescent="0.25">
      <c r="B45">
        <v>56</v>
      </c>
      <c r="C45" t="str">
        <f>+'Sch 139 Eff 10-15-2020'!C45</f>
        <v>13903SW10</v>
      </c>
      <c r="D45" s="1">
        <f>+'Sch 139 Eff 10-15-2020'!F45</f>
        <v>983.91199999999969</v>
      </c>
      <c r="E45" s="2">
        <f>+'Sch 139 Eff 10-15-2020'!G45</f>
        <v>4.4540000000000003E-2</v>
      </c>
      <c r="F45" s="2">
        <f>-'Sch 139 Credit Calculation'!$D$10</f>
        <v>-4.4882999999999999E-2</v>
      </c>
      <c r="G45" s="3">
        <f t="shared" ref="G45" si="8">ROUND(SUM(E45:F45)*D45,0)</f>
        <v>0</v>
      </c>
      <c r="H45" s="3"/>
    </row>
    <row r="46" spans="2:8" x14ac:dyDescent="0.25">
      <c r="B46" t="s">
        <v>16</v>
      </c>
      <c r="D46" s="1">
        <f>SUM(D45)</f>
        <v>983.91199999999969</v>
      </c>
      <c r="E46" s="2"/>
      <c r="F46" s="2"/>
      <c r="G46" s="3"/>
      <c r="H46" s="3">
        <f>SUM(G45)</f>
        <v>0</v>
      </c>
    </row>
    <row r="47" spans="2:8" x14ac:dyDescent="0.25">
      <c r="B47" t="s">
        <v>17</v>
      </c>
      <c r="D47" s="1">
        <f>SUM(D46,D44,D41,D39,D37,D31,D24,D17,D10)</f>
        <v>680058011.62462139</v>
      </c>
      <c r="G47" s="4">
        <f>SUM(G7:G46)</f>
        <v>-346320</v>
      </c>
      <c r="H47" s="4">
        <f>SUM(H7:H46)</f>
        <v>-346320</v>
      </c>
    </row>
    <row r="48" spans="2:8" x14ac:dyDescent="0.25">
      <c r="H48" s="4">
        <f>+'Sch 139 Eff 10-15-2020'!J47</f>
        <v>-857043</v>
      </c>
    </row>
    <row r="49" spans="8:8" x14ac:dyDescent="0.25">
      <c r="H49" s="4">
        <f>+H47-H48</f>
        <v>510723</v>
      </c>
    </row>
  </sheetData>
  <mergeCells count="5">
    <mergeCell ref="B3:H3"/>
    <mergeCell ref="F5:F6"/>
    <mergeCell ref="G5:G6"/>
    <mergeCell ref="H5:H6"/>
    <mergeCell ref="D5:D6"/>
  </mergeCells>
  <pageMargins left="0.7" right="0.7" top="0.75" bottom="0.75" header="0.3" footer="0.3"/>
  <pageSetup scale="73" orientation="landscape" r:id="rId1"/>
  <headerFooter>
    <oddFooter>&amp;L&amp;F&amp;R&amp;A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T47"/>
  <sheetViews>
    <sheetView zoomScale="70" zoomScaleNormal="70" workbookViewId="0">
      <selection activeCell="J10" sqref="J10"/>
    </sheetView>
  </sheetViews>
  <sheetFormatPr defaultRowHeight="15" x14ac:dyDescent="0.25"/>
  <cols>
    <col min="2" max="2" width="24.85546875" bestFit="1" customWidth="1"/>
    <col min="3" max="3" width="12.85546875" bestFit="1" customWidth="1"/>
    <col min="4" max="4" width="14.85546875" bestFit="1" customWidth="1"/>
    <col min="5" max="5" width="12.85546875" customWidth="1"/>
    <col min="6" max="6" width="14.85546875" bestFit="1" customWidth="1"/>
    <col min="7" max="7" width="13" bestFit="1" customWidth="1"/>
    <col min="8" max="8" width="13.5703125" bestFit="1" customWidth="1"/>
    <col min="9" max="9" width="13.140625" bestFit="1" customWidth="1"/>
    <col min="10" max="10" width="14.85546875" bestFit="1" customWidth="1"/>
    <col min="12" max="12" width="15.42578125" bestFit="1" customWidth="1"/>
    <col min="13" max="13" width="12.85546875" bestFit="1" customWidth="1"/>
    <col min="14" max="14" width="14.42578125" bestFit="1" customWidth="1"/>
    <col min="15" max="15" width="13" bestFit="1" customWidth="1"/>
    <col min="17" max="17" width="15.42578125" bestFit="1" customWidth="1"/>
    <col min="18" max="18" width="12.5703125" bestFit="1" customWidth="1"/>
    <col min="19" max="19" width="14.85546875" bestFit="1" customWidth="1"/>
    <col min="20" max="20" width="13" bestFit="1" customWidth="1"/>
  </cols>
  <sheetData>
    <row r="2" spans="2:20" ht="15.75" thickBot="1" x14ac:dyDescent="0.3"/>
    <row r="3" spans="2:20" ht="15.75" thickBot="1" x14ac:dyDescent="0.3">
      <c r="B3" s="48" t="s">
        <v>19</v>
      </c>
      <c r="C3" s="49"/>
      <c r="D3" s="49"/>
      <c r="E3" s="49"/>
      <c r="F3" s="49"/>
      <c r="G3" s="49"/>
      <c r="H3" s="49"/>
      <c r="I3" s="49"/>
      <c r="J3" s="50"/>
      <c r="L3" s="53" t="s">
        <v>25</v>
      </c>
      <c r="M3" s="49"/>
      <c r="N3" s="49"/>
      <c r="O3" s="49"/>
      <c r="Q3" s="48" t="s">
        <v>18</v>
      </c>
      <c r="R3" s="49"/>
      <c r="S3" s="49"/>
      <c r="T3" s="49"/>
    </row>
    <row r="5" spans="2:20" ht="15" customHeight="1" x14ac:dyDescent="0.25">
      <c r="B5" s="5" t="s">
        <v>0</v>
      </c>
      <c r="C5" s="32" t="s">
        <v>5</v>
      </c>
      <c r="D5" s="46" t="s">
        <v>49</v>
      </c>
      <c r="E5" s="46" t="s">
        <v>48</v>
      </c>
      <c r="F5" s="51" t="s">
        <v>61</v>
      </c>
      <c r="G5" s="5" t="s">
        <v>1</v>
      </c>
      <c r="H5" s="46" t="s">
        <v>2</v>
      </c>
      <c r="I5" s="51" t="s">
        <v>3</v>
      </c>
      <c r="J5" s="51" t="s">
        <v>3</v>
      </c>
      <c r="L5" s="5" t="s">
        <v>0</v>
      </c>
      <c r="M5" s="5"/>
      <c r="N5" s="5"/>
      <c r="O5" s="46" t="s">
        <v>1</v>
      </c>
      <c r="Q5" s="5" t="s">
        <v>0</v>
      </c>
      <c r="R5" s="5"/>
      <c r="S5" s="5"/>
      <c r="T5" s="46" t="s">
        <v>1</v>
      </c>
    </row>
    <row r="6" spans="2:20" x14ac:dyDescent="0.25">
      <c r="B6" s="6" t="s">
        <v>4</v>
      </c>
      <c r="C6" s="33"/>
      <c r="D6" s="47"/>
      <c r="E6" s="47"/>
      <c r="F6" s="52"/>
      <c r="G6" s="6"/>
      <c r="H6" s="47"/>
      <c r="I6" s="47"/>
      <c r="J6" s="47"/>
      <c r="L6" s="6" t="s">
        <v>4</v>
      </c>
      <c r="M6" s="6" t="s">
        <v>5</v>
      </c>
      <c r="N6" s="6" t="s">
        <v>6</v>
      </c>
      <c r="O6" s="47"/>
      <c r="Q6" s="6" t="s">
        <v>4</v>
      </c>
      <c r="R6" s="6" t="s">
        <v>5</v>
      </c>
      <c r="S6" s="6" t="s">
        <v>6</v>
      </c>
      <c r="T6" s="47"/>
    </row>
    <row r="7" spans="2:20" x14ac:dyDescent="0.25">
      <c r="B7">
        <v>7</v>
      </c>
      <c r="C7" t="str">
        <f>+M7</f>
        <v>13902SW10</v>
      </c>
      <c r="D7" s="28">
        <f>N7+S7</f>
        <v>12276</v>
      </c>
      <c r="E7" s="34">
        <f>D7/SUM($D$7:$D$10)*'Temp Adj Diff'!$E$7</f>
        <v>-62.101452687117224</v>
      </c>
      <c r="F7" s="28">
        <f>SUM(D7:E7)</f>
        <v>12213.898547312883</v>
      </c>
      <c r="G7" s="2">
        <f t="shared" ref="G7:G8" si="0">+O7</f>
        <v>4.4540000000000003E-2</v>
      </c>
      <c r="H7" s="2">
        <f>-'Sch 139 Credit Calculation'!$C$10</f>
        <v>-4.5634000000000001E-2</v>
      </c>
      <c r="I7" s="3">
        <f>ROUND(SUM(G7:H7)*F7,0)</f>
        <v>-13</v>
      </c>
      <c r="L7">
        <v>7</v>
      </c>
      <c r="M7" t="s">
        <v>20</v>
      </c>
      <c r="N7" s="1">
        <v>12276</v>
      </c>
      <c r="O7" s="2">
        <v>4.4540000000000003E-2</v>
      </c>
    </row>
    <row r="8" spans="2:20" x14ac:dyDescent="0.25">
      <c r="B8">
        <v>7</v>
      </c>
      <c r="C8" t="str">
        <f t="shared" ref="C8" si="1">+M8</f>
        <v>13902SW20</v>
      </c>
      <c r="D8" s="28">
        <f t="shared" ref="D8:D45" si="2">N8+S8</f>
        <v>950</v>
      </c>
      <c r="E8" s="34">
        <f>D8/SUM($D$7:$D$10)*'Temp Adj Diff'!$E$7</f>
        <v>-4.805830893838495</v>
      </c>
      <c r="F8" s="28">
        <f t="shared" ref="F8:F9" si="3">SUM(D8:E8)</f>
        <v>945.19416910616155</v>
      </c>
      <c r="G8" s="2">
        <f t="shared" si="0"/>
        <v>4.4089999999999997E-2</v>
      </c>
      <c r="H8" s="2">
        <f>-'Sch 139 Credit Calculation'!$C$10</f>
        <v>-4.5634000000000001E-2</v>
      </c>
      <c r="I8" s="3">
        <f t="shared" ref="I8:I9" si="4">ROUND(SUM(G8:H8)*F8,0)</f>
        <v>-1</v>
      </c>
      <c r="M8" t="s">
        <v>21</v>
      </c>
      <c r="N8" s="1">
        <v>950</v>
      </c>
      <c r="O8" s="2">
        <v>4.4089999999999997E-2</v>
      </c>
    </row>
    <row r="9" spans="2:20" x14ac:dyDescent="0.25">
      <c r="B9">
        <v>7</v>
      </c>
      <c r="C9" t="str">
        <f>+R9</f>
        <v>13903SW10</v>
      </c>
      <c r="D9" s="28">
        <f t="shared" si="2"/>
        <v>219154</v>
      </c>
      <c r="E9" s="34">
        <f>D9/SUM($D$7:$D$10)*'Temp Adj Diff'!$E$7</f>
        <v>-1108.6495407455595</v>
      </c>
      <c r="F9" s="28">
        <f t="shared" si="3"/>
        <v>218045.35045925443</v>
      </c>
      <c r="G9" s="2">
        <f t="shared" ref="G9" si="5">+T9</f>
        <v>4.4540000000000003E-2</v>
      </c>
      <c r="H9" s="2">
        <f>-'Sch 139 Credit Calculation'!$C$10</f>
        <v>-4.5634000000000001E-2</v>
      </c>
      <c r="I9" s="3">
        <f t="shared" si="4"/>
        <v>-239</v>
      </c>
      <c r="Q9">
        <v>7</v>
      </c>
      <c r="R9" t="s">
        <v>7</v>
      </c>
      <c r="S9" s="1">
        <v>219154</v>
      </c>
      <c r="T9" s="2">
        <v>4.4540000000000003E-2</v>
      </c>
    </row>
    <row r="10" spans="2:20" x14ac:dyDescent="0.25">
      <c r="B10" t="s">
        <v>8</v>
      </c>
      <c r="D10" s="29"/>
      <c r="E10" s="29"/>
      <c r="F10" s="28">
        <f>SUM(F7:F9)</f>
        <v>231204.44317567348</v>
      </c>
      <c r="G10" s="2"/>
      <c r="H10" s="2"/>
      <c r="I10" s="3"/>
      <c r="J10" s="3">
        <f>SUM(I7:I9)</f>
        <v>-253</v>
      </c>
      <c r="L10" t="s">
        <v>8</v>
      </c>
      <c r="N10" s="1">
        <v>13226</v>
      </c>
      <c r="O10" s="2"/>
      <c r="Q10" t="s">
        <v>8</v>
      </c>
      <c r="S10" s="1">
        <v>219154</v>
      </c>
      <c r="T10" s="2"/>
    </row>
    <row r="11" spans="2:20" x14ac:dyDescent="0.25">
      <c r="B11">
        <v>24</v>
      </c>
      <c r="C11" t="str">
        <f>+M11</f>
        <v>13902SW10</v>
      </c>
      <c r="D11" s="28">
        <f t="shared" si="2"/>
        <v>19851115</v>
      </c>
      <c r="E11" s="34">
        <f>D11/SUM($D$11:$D$16)*'Temp Adj Diff'!$E$8</f>
        <v>46016.167401476654</v>
      </c>
      <c r="F11" s="28">
        <f t="shared" ref="F11:F16" si="6">SUM(D11:E11)</f>
        <v>19897131.167401478</v>
      </c>
      <c r="G11" s="2">
        <f t="shared" ref="G11:G13" si="7">+O11</f>
        <v>4.4540000000000003E-2</v>
      </c>
      <c r="H11" s="2">
        <f>-'Sch 139 Credit Calculation'!$C$10</f>
        <v>-4.5634000000000001E-2</v>
      </c>
      <c r="I11" s="3">
        <f t="shared" ref="I11:I16" si="8">ROUND(SUM(G11:H11)*F11,0)</f>
        <v>-21767</v>
      </c>
      <c r="J11" s="3"/>
      <c r="L11">
        <v>24</v>
      </c>
      <c r="M11" t="s">
        <v>20</v>
      </c>
      <c r="N11" s="1">
        <v>19851115</v>
      </c>
      <c r="O11" s="2">
        <v>4.4540000000000003E-2</v>
      </c>
    </row>
    <row r="12" spans="2:20" x14ac:dyDescent="0.25">
      <c r="B12">
        <v>24</v>
      </c>
      <c r="C12" t="str">
        <f t="shared" ref="C12:C13" si="9">+M12</f>
        <v>13902SW15</v>
      </c>
      <c r="D12" s="28">
        <f t="shared" si="2"/>
        <v>1286627</v>
      </c>
      <c r="E12" s="34">
        <f>D12/SUM($D$11:$D$16)*'Temp Adj Diff'!$E$8</f>
        <v>2982.4845312346283</v>
      </c>
      <c r="F12" s="28">
        <f t="shared" si="6"/>
        <v>1289609.4845312347</v>
      </c>
      <c r="G12" s="2">
        <f t="shared" si="7"/>
        <v>4.4269999999999997E-2</v>
      </c>
      <c r="H12" s="2">
        <f>-'Sch 139 Credit Calculation'!$C$10</f>
        <v>-4.5634000000000001E-2</v>
      </c>
      <c r="I12" s="3">
        <f t="shared" si="8"/>
        <v>-1759</v>
      </c>
      <c r="J12" s="3"/>
      <c r="M12" t="s">
        <v>22</v>
      </c>
      <c r="N12" s="1">
        <v>1286627</v>
      </c>
      <c r="O12" s="2">
        <v>4.4269999999999997E-2</v>
      </c>
    </row>
    <row r="13" spans="2:20" x14ac:dyDescent="0.25">
      <c r="B13">
        <v>24</v>
      </c>
      <c r="C13" t="str">
        <f t="shared" si="9"/>
        <v>13902SW20</v>
      </c>
      <c r="D13" s="28">
        <f t="shared" si="2"/>
        <v>13939582</v>
      </c>
      <c r="E13" s="34">
        <f>D13/SUM($D$11:$D$16)*'Temp Adj Diff'!$E$8</f>
        <v>32312.851888602265</v>
      </c>
      <c r="F13" s="28">
        <f t="shared" si="6"/>
        <v>13971894.851888603</v>
      </c>
      <c r="G13" s="2">
        <f t="shared" si="7"/>
        <v>4.4089999999999997E-2</v>
      </c>
      <c r="H13" s="2">
        <f>-'Sch 139 Credit Calculation'!$C$10</f>
        <v>-4.5634000000000001E-2</v>
      </c>
      <c r="I13" s="3">
        <f t="shared" si="8"/>
        <v>-21573</v>
      </c>
      <c r="J13" s="3"/>
      <c r="M13" t="s">
        <v>21</v>
      </c>
      <c r="N13" s="1">
        <v>13939582</v>
      </c>
      <c r="O13" s="2">
        <v>4.4089999999999997E-2</v>
      </c>
    </row>
    <row r="14" spans="2:20" x14ac:dyDescent="0.25">
      <c r="B14">
        <v>24</v>
      </c>
      <c r="C14" t="str">
        <f>+R14</f>
        <v>13903SW10</v>
      </c>
      <c r="D14" s="28">
        <f t="shared" si="2"/>
        <v>128762542</v>
      </c>
      <c r="E14" s="34">
        <f>D14/SUM($D$11:$D$16)*'Temp Adj Diff'!$E$8</f>
        <v>298479.89333151653</v>
      </c>
      <c r="F14" s="28">
        <f t="shared" si="6"/>
        <v>129061021.89333151</v>
      </c>
      <c r="G14" s="2">
        <f t="shared" ref="G14:G16" si="10">+T14</f>
        <v>4.4540000000000003E-2</v>
      </c>
      <c r="H14" s="2">
        <f>-'Sch 139 Credit Calculation'!$C$10</f>
        <v>-4.5634000000000001E-2</v>
      </c>
      <c r="I14" s="3">
        <f t="shared" si="8"/>
        <v>-141193</v>
      </c>
      <c r="J14" s="3"/>
      <c r="Q14">
        <v>24</v>
      </c>
      <c r="R14" t="s">
        <v>7</v>
      </c>
      <c r="S14" s="1">
        <v>128762542</v>
      </c>
      <c r="T14" s="2">
        <v>4.4540000000000003E-2</v>
      </c>
    </row>
    <row r="15" spans="2:20" x14ac:dyDescent="0.25">
      <c r="B15">
        <v>24</v>
      </c>
      <c r="C15" t="str">
        <f t="shared" ref="C15:C16" si="11">+R15</f>
        <v>13903SW15</v>
      </c>
      <c r="D15" s="28">
        <f t="shared" si="2"/>
        <v>16733481</v>
      </c>
      <c r="E15" s="34">
        <f>D15/SUM($D$11:$D$16)*'Temp Adj Diff'!$E$8</f>
        <v>38789.290319734129</v>
      </c>
      <c r="F15" s="28">
        <f t="shared" si="6"/>
        <v>16772270.290319733</v>
      </c>
      <c r="G15" s="2">
        <f t="shared" si="10"/>
        <v>4.4269999999999997E-2</v>
      </c>
      <c r="H15" s="2">
        <f>-'Sch 139 Credit Calculation'!$C$10</f>
        <v>-4.5634000000000001E-2</v>
      </c>
      <c r="I15" s="3">
        <f t="shared" si="8"/>
        <v>-22877</v>
      </c>
      <c r="J15" s="3"/>
      <c r="R15" t="s">
        <v>9</v>
      </c>
      <c r="S15" s="1">
        <v>16733481</v>
      </c>
      <c r="T15" s="2">
        <v>4.4269999999999997E-2</v>
      </c>
    </row>
    <row r="16" spans="2:20" x14ac:dyDescent="0.25">
      <c r="B16">
        <v>24</v>
      </c>
      <c r="C16" t="str">
        <f t="shared" si="11"/>
        <v>13903SW18</v>
      </c>
      <c r="D16" s="28">
        <f t="shared" si="2"/>
        <v>119378797</v>
      </c>
      <c r="E16" s="34">
        <f>D16/SUM($D$11:$D$16)*'Temp Adj Diff'!$E$8</f>
        <v>276727.76601913286</v>
      </c>
      <c r="F16" s="28">
        <f t="shared" si="6"/>
        <v>119655524.76601914</v>
      </c>
      <c r="G16" s="2">
        <f t="shared" si="10"/>
        <v>4.4089999999999997E-2</v>
      </c>
      <c r="H16" s="2">
        <f>-'Sch 139 Credit Calculation'!$C$10</f>
        <v>-4.5634000000000001E-2</v>
      </c>
      <c r="I16" s="3">
        <f t="shared" si="8"/>
        <v>-184748</v>
      </c>
      <c r="J16" s="3"/>
      <c r="R16" t="s">
        <v>10</v>
      </c>
      <c r="S16" s="1">
        <v>119378797</v>
      </c>
      <c r="T16" s="2">
        <v>4.4089999999999997E-2</v>
      </c>
    </row>
    <row r="17" spans="2:20" x14ac:dyDescent="0.25">
      <c r="B17" t="s">
        <v>11</v>
      </c>
      <c r="D17" s="29"/>
      <c r="E17" s="29"/>
      <c r="F17" s="28">
        <f>SUM(F11:F16)</f>
        <v>300647452.45349169</v>
      </c>
      <c r="G17" s="2"/>
      <c r="H17" s="2"/>
      <c r="I17" s="3"/>
      <c r="J17" s="3">
        <f>SUM(I11:I16)</f>
        <v>-393917</v>
      </c>
      <c r="L17" t="s">
        <v>11</v>
      </c>
      <c r="N17" s="1">
        <v>35077324</v>
      </c>
      <c r="O17" s="2"/>
      <c r="Q17" t="s">
        <v>11</v>
      </c>
      <c r="S17" s="1">
        <v>264874820</v>
      </c>
      <c r="T17" s="2"/>
    </row>
    <row r="18" spans="2:20" x14ac:dyDescent="0.25">
      <c r="B18">
        <v>25</v>
      </c>
      <c r="C18" t="str">
        <f>+M18</f>
        <v>13902SW10</v>
      </c>
      <c r="D18" s="28">
        <f t="shared" si="2"/>
        <v>34489778</v>
      </c>
      <c r="E18" s="34">
        <f>D18/SUM($D$18:$D$23)*'Temp Adj Diff'!$E$9</f>
        <v>45518.397910931541</v>
      </c>
      <c r="F18" s="28">
        <f t="shared" ref="F18:F23" si="12">SUM(D18:E18)</f>
        <v>34535296.39791093</v>
      </c>
      <c r="G18" s="2">
        <f t="shared" ref="G18:G20" si="13">+O18</f>
        <v>4.4540000000000003E-2</v>
      </c>
      <c r="H18" s="2">
        <f>-'Sch 139 Credit Calculation'!$C$10</f>
        <v>-4.5634000000000001E-2</v>
      </c>
      <c r="I18" s="3">
        <f t="shared" ref="I18:I23" si="14">ROUND(SUM(G18:H18)*F18,0)</f>
        <v>-37782</v>
      </c>
      <c r="J18" s="3"/>
      <c r="L18">
        <v>25</v>
      </c>
      <c r="M18" t="s">
        <v>20</v>
      </c>
      <c r="N18" s="1">
        <v>34489778</v>
      </c>
      <c r="O18" s="2">
        <v>4.4540000000000003E-2</v>
      </c>
    </row>
    <row r="19" spans="2:20" x14ac:dyDescent="0.25">
      <c r="B19">
        <v>25</v>
      </c>
      <c r="C19" t="str">
        <f t="shared" ref="C19:C20" si="15">+M19</f>
        <v>13902SW15</v>
      </c>
      <c r="D19" s="28">
        <f t="shared" si="2"/>
        <v>2567360</v>
      </c>
      <c r="E19" s="34">
        <f>D19/SUM($D$18:$D$23)*'Temp Adj Diff'!$E$9</f>
        <v>3388.3115762765769</v>
      </c>
      <c r="F19" s="28">
        <f t="shared" si="12"/>
        <v>2570748.3115762766</v>
      </c>
      <c r="G19" s="2">
        <f t="shared" si="13"/>
        <v>4.4269999999999997E-2</v>
      </c>
      <c r="H19" s="2">
        <f>-'Sch 139 Credit Calculation'!$C$10</f>
        <v>-4.5634000000000001E-2</v>
      </c>
      <c r="I19" s="3">
        <f t="shared" si="14"/>
        <v>-3507</v>
      </c>
      <c r="J19" s="3"/>
      <c r="M19" t="s">
        <v>22</v>
      </c>
      <c r="N19" s="1">
        <v>2567360</v>
      </c>
      <c r="O19" s="2">
        <v>4.4269999999999997E-2</v>
      </c>
    </row>
    <row r="20" spans="2:20" x14ac:dyDescent="0.25">
      <c r="B20">
        <v>25</v>
      </c>
      <c r="C20" t="str">
        <f t="shared" si="15"/>
        <v>13902SW20</v>
      </c>
      <c r="D20" s="28">
        <f t="shared" si="2"/>
        <v>22271871</v>
      </c>
      <c r="E20" s="34">
        <f>D20/SUM($D$18:$D$23)*'Temp Adj Diff'!$E$9</f>
        <v>29393.633278791669</v>
      </c>
      <c r="F20" s="28">
        <f t="shared" si="12"/>
        <v>22301264.633278791</v>
      </c>
      <c r="G20" s="2">
        <f t="shared" si="13"/>
        <v>4.4089999999999997E-2</v>
      </c>
      <c r="H20" s="2">
        <f>-'Sch 139 Credit Calculation'!$C$10</f>
        <v>-4.5634000000000001E-2</v>
      </c>
      <c r="I20" s="3">
        <f t="shared" si="14"/>
        <v>-34433</v>
      </c>
      <c r="J20" s="3"/>
      <c r="M20" t="s">
        <v>21</v>
      </c>
      <c r="N20" s="1">
        <v>22271871</v>
      </c>
      <c r="O20" s="2">
        <v>4.4089999999999997E-2</v>
      </c>
    </row>
    <row r="21" spans="2:20" x14ac:dyDescent="0.25">
      <c r="B21">
        <v>25</v>
      </c>
      <c r="C21" t="str">
        <f>+R21</f>
        <v>13903SW10</v>
      </c>
      <c r="D21" s="28">
        <f t="shared" si="2"/>
        <v>15146072.066999998</v>
      </c>
      <c r="E21" s="34">
        <f>D21/SUM($D$18:$D$23)*'Temp Adj Diff'!$E$9</f>
        <v>19989.254066330937</v>
      </c>
      <c r="F21" s="28">
        <f t="shared" si="12"/>
        <v>15166061.321066329</v>
      </c>
      <c r="G21" s="2">
        <f t="shared" ref="G21:G23" si="16">+T21</f>
        <v>4.4540000000000003E-2</v>
      </c>
      <c r="H21" s="2">
        <f>-'Sch 139 Credit Calculation'!$C$10</f>
        <v>-4.5634000000000001E-2</v>
      </c>
      <c r="I21" s="3">
        <f t="shared" si="14"/>
        <v>-16592</v>
      </c>
      <c r="J21" s="3"/>
      <c r="Q21">
        <v>25</v>
      </c>
      <c r="R21" t="s">
        <v>7</v>
      </c>
      <c r="S21" s="1">
        <v>15146072.066999998</v>
      </c>
      <c r="T21" s="2">
        <v>4.4540000000000003E-2</v>
      </c>
    </row>
    <row r="22" spans="2:20" x14ac:dyDescent="0.25">
      <c r="B22">
        <v>25</v>
      </c>
      <c r="C22" t="str">
        <f t="shared" ref="C22:C23" si="17">+R22</f>
        <v>13903SW15</v>
      </c>
      <c r="D22" s="28">
        <f t="shared" si="2"/>
        <v>5197067</v>
      </c>
      <c r="E22" s="34">
        <f>D22/SUM($D$18:$D$23)*'Temp Adj Diff'!$E$9</f>
        <v>6858.9065338655191</v>
      </c>
      <c r="F22" s="28">
        <f t="shared" si="12"/>
        <v>5203925.9065338653</v>
      </c>
      <c r="G22" s="2">
        <f t="shared" si="16"/>
        <v>4.4269999999999997E-2</v>
      </c>
      <c r="H22" s="2">
        <f>-'Sch 139 Credit Calculation'!$C$10</f>
        <v>-4.5634000000000001E-2</v>
      </c>
      <c r="I22" s="3">
        <f t="shared" si="14"/>
        <v>-7098</v>
      </c>
      <c r="J22" s="3"/>
      <c r="R22" t="s">
        <v>9</v>
      </c>
      <c r="S22" s="1">
        <v>5197067</v>
      </c>
      <c r="T22" s="2">
        <v>4.4269999999999997E-2</v>
      </c>
    </row>
    <row r="23" spans="2:20" x14ac:dyDescent="0.25">
      <c r="B23">
        <v>25</v>
      </c>
      <c r="C23" t="str">
        <f t="shared" si="17"/>
        <v>13903SW18</v>
      </c>
      <c r="D23" s="28">
        <f t="shared" si="2"/>
        <v>3105262</v>
      </c>
      <c r="E23" s="34">
        <f>D23/SUM($D$18:$D$23)*'Temp Adj Diff'!$E$9</f>
        <v>4098.215747683128</v>
      </c>
      <c r="F23" s="28">
        <f t="shared" si="12"/>
        <v>3109360.2157476833</v>
      </c>
      <c r="G23" s="2">
        <f t="shared" si="16"/>
        <v>4.4089999999999997E-2</v>
      </c>
      <c r="H23" s="2">
        <f>-'Sch 139 Credit Calculation'!$C$10</f>
        <v>-4.5634000000000001E-2</v>
      </c>
      <c r="I23" s="3">
        <f t="shared" si="14"/>
        <v>-4801</v>
      </c>
      <c r="J23" s="3"/>
      <c r="R23" t="s">
        <v>10</v>
      </c>
      <c r="S23" s="1">
        <v>3105262</v>
      </c>
      <c r="T23" s="2">
        <v>4.4089999999999997E-2</v>
      </c>
    </row>
    <row r="24" spans="2:20" x14ac:dyDescent="0.25">
      <c r="B24" t="s">
        <v>12</v>
      </c>
      <c r="D24" s="29"/>
      <c r="E24" s="29"/>
      <c r="F24" s="28">
        <f>SUM(F18:F23)</f>
        <v>82886656.786113888</v>
      </c>
      <c r="G24" s="2"/>
      <c r="H24" s="2"/>
      <c r="I24" s="3"/>
      <c r="J24" s="3">
        <f>SUM(I18:I23)</f>
        <v>-104213</v>
      </c>
      <c r="L24" t="s">
        <v>12</v>
      </c>
      <c r="N24" s="1">
        <v>59329009</v>
      </c>
      <c r="O24" s="2"/>
      <c r="Q24" t="s">
        <v>12</v>
      </c>
      <c r="S24" s="1">
        <v>23448401.066999998</v>
      </c>
      <c r="T24" s="2"/>
    </row>
    <row r="25" spans="2:20" x14ac:dyDescent="0.25">
      <c r="B25">
        <v>26</v>
      </c>
      <c r="C25" t="str">
        <f>+M25</f>
        <v>13902SW10</v>
      </c>
      <c r="D25" s="28">
        <f t="shared" si="2"/>
        <v>47638522</v>
      </c>
      <c r="E25" s="34">
        <f>D25/SUM($D$25:$D$30)*'Temp Adj Diff'!$E$10</f>
        <v>-81274.638205890486</v>
      </c>
      <c r="F25" s="28">
        <f t="shared" ref="F25:F30" si="18">SUM(D25:E25)</f>
        <v>47557247.361794107</v>
      </c>
      <c r="G25" s="2">
        <f t="shared" ref="G25:G27" si="19">+O25</f>
        <v>4.4540000000000003E-2</v>
      </c>
      <c r="H25" s="2">
        <f>-'Sch 139 Credit Calculation'!$C$10</f>
        <v>-4.5634000000000001E-2</v>
      </c>
      <c r="I25" s="3">
        <f t="shared" ref="I25:I30" si="20">ROUND(SUM(G25:H25)*F25,0)</f>
        <v>-52028</v>
      </c>
      <c r="J25" s="3"/>
      <c r="L25">
        <v>26</v>
      </c>
      <c r="M25" t="s">
        <v>20</v>
      </c>
      <c r="N25" s="1">
        <v>47638522</v>
      </c>
      <c r="O25" s="2">
        <v>4.4540000000000003E-2</v>
      </c>
    </row>
    <row r="26" spans="2:20" x14ac:dyDescent="0.25">
      <c r="B26">
        <v>26</v>
      </c>
      <c r="C26" t="str">
        <f t="shared" ref="C26:C27" si="21">+M26</f>
        <v>13902SW15</v>
      </c>
      <c r="D26" s="28">
        <f t="shared" si="2"/>
        <v>12063140</v>
      </c>
      <c r="E26" s="34">
        <f>D26/SUM($D$25:$D$30)*'Temp Adj Diff'!$E$10</f>
        <v>-20580.557455728907</v>
      </c>
      <c r="F26" s="28">
        <f t="shared" si="18"/>
        <v>12042559.44254427</v>
      </c>
      <c r="G26" s="2">
        <f t="shared" si="19"/>
        <v>4.4269999999999997E-2</v>
      </c>
      <c r="H26" s="2">
        <f>-'Sch 139 Credit Calculation'!$C$10</f>
        <v>-4.5634000000000001E-2</v>
      </c>
      <c r="I26" s="3">
        <f t="shared" si="20"/>
        <v>-16426</v>
      </c>
      <c r="J26" s="3"/>
      <c r="M26" t="s">
        <v>22</v>
      </c>
      <c r="N26" s="1">
        <v>12063140</v>
      </c>
      <c r="O26" s="2">
        <v>4.4269999999999997E-2</v>
      </c>
    </row>
    <row r="27" spans="2:20" x14ac:dyDescent="0.25">
      <c r="B27">
        <v>26</v>
      </c>
      <c r="C27" t="str">
        <f t="shared" si="21"/>
        <v>13902SW20</v>
      </c>
      <c r="D27" s="28">
        <f t="shared" si="2"/>
        <v>1816680</v>
      </c>
      <c r="E27" s="34">
        <f>D27/SUM($D$25:$D$30)*'Temp Adj Diff'!$E$10</f>
        <v>-3099.3826747160024</v>
      </c>
      <c r="F27" s="28">
        <f t="shared" si="18"/>
        <v>1813580.6173252841</v>
      </c>
      <c r="G27" s="2">
        <f t="shared" si="19"/>
        <v>4.4089999999999997E-2</v>
      </c>
      <c r="H27" s="2">
        <f>-'Sch 139 Credit Calculation'!$C$10</f>
        <v>-4.5634000000000001E-2</v>
      </c>
      <c r="I27" s="3">
        <f t="shared" si="20"/>
        <v>-2800</v>
      </c>
      <c r="J27" s="3"/>
      <c r="M27" t="s">
        <v>21</v>
      </c>
      <c r="N27" s="1">
        <v>1816680</v>
      </c>
      <c r="O27" s="2">
        <v>4.4089999999999997E-2</v>
      </c>
    </row>
    <row r="28" spans="2:20" x14ac:dyDescent="0.25">
      <c r="B28">
        <v>26</v>
      </c>
      <c r="C28" t="str">
        <f>+R28</f>
        <v>13903SW10</v>
      </c>
      <c r="D28" s="28">
        <f t="shared" si="2"/>
        <v>19900255.100000001</v>
      </c>
      <c r="E28" s="34">
        <f>D28/SUM($D$25:$D$30)*'Temp Adj Diff'!$E$10</f>
        <v>-33951.221942977718</v>
      </c>
      <c r="F28" s="28">
        <f t="shared" si="18"/>
        <v>19866303.878057025</v>
      </c>
      <c r="G28" s="2">
        <f t="shared" ref="G28:G30" si="22">+T28</f>
        <v>4.4540000000000003E-2</v>
      </c>
      <c r="H28" s="2">
        <f>-'Sch 139 Credit Calculation'!$C$10</f>
        <v>-4.5634000000000001E-2</v>
      </c>
      <c r="I28" s="3">
        <f t="shared" si="20"/>
        <v>-21734</v>
      </c>
      <c r="J28" s="3"/>
      <c r="Q28">
        <v>26</v>
      </c>
      <c r="R28" t="s">
        <v>7</v>
      </c>
      <c r="S28" s="1">
        <v>19900255.100000001</v>
      </c>
      <c r="T28" s="2">
        <v>4.4540000000000003E-2</v>
      </c>
    </row>
    <row r="29" spans="2:20" x14ac:dyDescent="0.25">
      <c r="B29">
        <v>26</v>
      </c>
      <c r="C29" t="str">
        <f t="shared" ref="C29:C30" si="23">+R29</f>
        <v>13903SW15</v>
      </c>
      <c r="D29" s="28">
        <f t="shared" si="2"/>
        <v>1134408</v>
      </c>
      <c r="E29" s="34">
        <f>D29/SUM($D$25:$D$30)*'Temp Adj Diff'!$E$10</f>
        <v>-1935.3790988282087</v>
      </c>
      <c r="F29" s="28">
        <f t="shared" si="18"/>
        <v>1132472.6209011718</v>
      </c>
      <c r="G29" s="2">
        <f t="shared" si="22"/>
        <v>4.4269999999999997E-2</v>
      </c>
      <c r="H29" s="2">
        <f>-'Sch 139 Credit Calculation'!$C$10</f>
        <v>-4.5634000000000001E-2</v>
      </c>
      <c r="I29" s="3">
        <f t="shared" si="20"/>
        <v>-1545</v>
      </c>
      <c r="J29" s="3"/>
      <c r="R29" t="s">
        <v>9</v>
      </c>
      <c r="S29" s="1">
        <v>1134408</v>
      </c>
      <c r="T29" s="2">
        <v>4.4269999999999997E-2</v>
      </c>
    </row>
    <row r="30" spans="2:20" x14ac:dyDescent="0.25">
      <c r="B30">
        <v>26</v>
      </c>
      <c r="C30" t="str">
        <f t="shared" si="23"/>
        <v>13903SW18</v>
      </c>
      <c r="D30" s="28">
        <f t="shared" si="2"/>
        <v>2501209</v>
      </c>
      <c r="E30" s="34">
        <f>D30/SUM($D$25:$D$30)*'Temp Adj Diff'!$E$10</f>
        <v>-4267.2368498820579</v>
      </c>
      <c r="F30" s="28">
        <f t="shared" si="18"/>
        <v>2496941.7631501178</v>
      </c>
      <c r="G30" s="2">
        <f t="shared" si="22"/>
        <v>4.4089999999999997E-2</v>
      </c>
      <c r="H30" s="2">
        <f>-'Sch 139 Credit Calculation'!$C$10</f>
        <v>-4.5634000000000001E-2</v>
      </c>
      <c r="I30" s="3">
        <f t="shared" si="20"/>
        <v>-3855</v>
      </c>
      <c r="J30" s="3"/>
      <c r="R30" t="s">
        <v>10</v>
      </c>
      <c r="S30" s="1">
        <v>2501209</v>
      </c>
      <c r="T30" s="2">
        <v>4.4089999999999997E-2</v>
      </c>
    </row>
    <row r="31" spans="2:20" x14ac:dyDescent="0.25">
      <c r="B31" t="s">
        <v>13</v>
      </c>
      <c r="D31" s="29"/>
      <c r="E31" s="29"/>
      <c r="F31" s="28">
        <f>SUM(F25:F30)</f>
        <v>84909105.683771968</v>
      </c>
      <c r="G31" s="2"/>
      <c r="H31" s="2"/>
      <c r="I31" s="3"/>
      <c r="J31" s="3">
        <f>SUM(I25:I30)</f>
        <v>-98388</v>
      </c>
      <c r="L31" t="s">
        <v>13</v>
      </c>
      <c r="N31" s="1">
        <v>61518342</v>
      </c>
      <c r="O31" s="2"/>
      <c r="Q31" t="s">
        <v>13</v>
      </c>
      <c r="S31" s="1">
        <v>23535872.100000001</v>
      </c>
      <c r="T31" s="2"/>
    </row>
    <row r="32" spans="2:20" x14ac:dyDescent="0.25">
      <c r="B32">
        <v>31</v>
      </c>
      <c r="C32" t="str">
        <f t="shared" ref="C32:C33" si="24">+M32</f>
        <v>13902SW10</v>
      </c>
      <c r="D32" s="28">
        <f t="shared" si="2"/>
        <v>26141541</v>
      </c>
      <c r="E32" s="34">
        <f>D32/SUM($D$32:$D$36)*'Temp Adj Diff'!$E$11</f>
        <v>-6143.5663288707956</v>
      </c>
      <c r="F32" s="28">
        <f t="shared" ref="F32:F36" si="25">SUM(D32:E32)</f>
        <v>26135397.433671128</v>
      </c>
      <c r="G32" s="2">
        <f t="shared" ref="G32:G33" si="26">+O32</f>
        <v>4.4540000000000003E-2</v>
      </c>
      <c r="H32" s="2">
        <f>-'Sch 139 Credit Calculation'!$C$10</f>
        <v>-4.5634000000000001E-2</v>
      </c>
      <c r="I32" s="3">
        <f t="shared" ref="I32:I36" si="27">ROUND(SUM(G32:H32)*F32,0)</f>
        <v>-28592</v>
      </c>
      <c r="J32" s="3"/>
      <c r="L32">
        <v>31</v>
      </c>
      <c r="M32" t="s">
        <v>20</v>
      </c>
      <c r="N32" s="1">
        <v>26141541</v>
      </c>
      <c r="O32" s="2">
        <v>4.4540000000000003E-2</v>
      </c>
    </row>
    <row r="33" spans="2:20" x14ac:dyDescent="0.25">
      <c r="B33">
        <v>31</v>
      </c>
      <c r="C33" t="str">
        <f t="shared" si="24"/>
        <v>13902SW20</v>
      </c>
      <c r="D33" s="28">
        <f t="shared" si="2"/>
        <v>23368572</v>
      </c>
      <c r="E33" s="34">
        <f>D33/SUM($D$32:$D$36)*'Temp Adj Diff'!$E$11</f>
        <v>-5491.8863464473216</v>
      </c>
      <c r="F33" s="28">
        <f t="shared" si="25"/>
        <v>23363080.113653552</v>
      </c>
      <c r="G33" s="2">
        <f t="shared" si="26"/>
        <v>4.4089999999999997E-2</v>
      </c>
      <c r="H33" s="2">
        <f>-'Sch 139 Credit Calculation'!$C$10</f>
        <v>-4.5634000000000001E-2</v>
      </c>
      <c r="I33" s="3">
        <f t="shared" si="27"/>
        <v>-36073</v>
      </c>
      <c r="J33" s="3"/>
      <c r="M33" t="s">
        <v>21</v>
      </c>
      <c r="N33" s="1">
        <v>23368572</v>
      </c>
      <c r="O33" s="2">
        <v>4.4089999999999997E-2</v>
      </c>
    </row>
    <row r="34" spans="2:20" x14ac:dyDescent="0.25">
      <c r="B34">
        <v>31</v>
      </c>
      <c r="C34" t="str">
        <f>+R34</f>
        <v>13903SW10</v>
      </c>
      <c r="D34" s="28">
        <f t="shared" si="2"/>
        <v>20373987</v>
      </c>
      <c r="E34" s="34">
        <f>D34/SUM($D$32:$D$36)*'Temp Adj Diff'!$E$11</f>
        <v>-4788.1240252076686</v>
      </c>
      <c r="F34" s="28">
        <f t="shared" si="25"/>
        <v>20369198.875974793</v>
      </c>
      <c r="G34" s="2">
        <f t="shared" ref="G34:G36" si="28">+T34</f>
        <v>4.4540000000000003E-2</v>
      </c>
      <c r="H34" s="2">
        <f>-'Sch 139 Credit Calculation'!$C$10</f>
        <v>-4.5634000000000001E-2</v>
      </c>
      <c r="I34" s="3">
        <f t="shared" si="27"/>
        <v>-22284</v>
      </c>
      <c r="J34" s="3"/>
      <c r="Q34">
        <v>31</v>
      </c>
      <c r="R34" t="s">
        <v>7</v>
      </c>
      <c r="S34" s="1">
        <v>20373987</v>
      </c>
      <c r="T34" s="2">
        <v>4.4540000000000003E-2</v>
      </c>
    </row>
    <row r="35" spans="2:20" x14ac:dyDescent="0.25">
      <c r="B35">
        <v>31</v>
      </c>
      <c r="C35" t="str">
        <f t="shared" ref="C35:C36" si="29">+R35</f>
        <v>13903SW15</v>
      </c>
      <c r="D35" s="28">
        <f t="shared" si="2"/>
        <v>45294</v>
      </c>
      <c r="E35" s="34">
        <f>D35/SUM($D$32:$D$36)*'Temp Adj Diff'!$E$11</f>
        <v>-10.64461705986934</v>
      </c>
      <c r="F35" s="28">
        <f t="shared" si="25"/>
        <v>45283.355382940128</v>
      </c>
      <c r="G35" s="2">
        <f t="shared" si="28"/>
        <v>4.4269999999999997E-2</v>
      </c>
      <c r="H35" s="2">
        <f>-'Sch 139 Credit Calculation'!$C$10</f>
        <v>-4.5634000000000001E-2</v>
      </c>
      <c r="I35" s="3">
        <f t="shared" si="27"/>
        <v>-62</v>
      </c>
      <c r="J35" s="3"/>
      <c r="R35" t="s">
        <v>9</v>
      </c>
      <c r="S35" s="1">
        <v>45294</v>
      </c>
      <c r="T35" s="2">
        <v>4.4269999999999997E-2</v>
      </c>
    </row>
    <row r="36" spans="2:20" x14ac:dyDescent="0.25">
      <c r="B36">
        <v>31</v>
      </c>
      <c r="C36" t="str">
        <f t="shared" si="29"/>
        <v>13903SW18</v>
      </c>
      <c r="D36" s="28">
        <f t="shared" si="2"/>
        <v>502981</v>
      </c>
      <c r="E36" s="34">
        <f>D36/SUM($D$32:$D$36)*'Temp Adj Diff'!$E$11</f>
        <v>-118.206387896634</v>
      </c>
      <c r="F36" s="28">
        <f t="shared" si="25"/>
        <v>502862.79361210339</v>
      </c>
      <c r="G36" s="2">
        <f t="shared" si="28"/>
        <v>4.4089999999999997E-2</v>
      </c>
      <c r="H36" s="2">
        <f>-'Sch 139 Credit Calculation'!$C$10</f>
        <v>-4.5634000000000001E-2</v>
      </c>
      <c r="I36" s="3">
        <f t="shared" si="27"/>
        <v>-776</v>
      </c>
      <c r="J36" s="3"/>
      <c r="R36" t="s">
        <v>10</v>
      </c>
      <c r="S36" s="1">
        <v>502981</v>
      </c>
      <c r="T36" s="2">
        <v>4.4089999999999997E-2</v>
      </c>
    </row>
    <row r="37" spans="2:20" x14ac:dyDescent="0.25">
      <c r="B37" t="s">
        <v>14</v>
      </c>
      <c r="D37" s="29"/>
      <c r="E37" s="29"/>
      <c r="F37" s="28">
        <f>SUM(F32:F36)</f>
        <v>70415822.572294518</v>
      </c>
      <c r="G37" s="2"/>
      <c r="H37" s="2"/>
      <c r="I37" s="3"/>
      <c r="J37" s="3">
        <f>SUM(I32:I36)</f>
        <v>-87787</v>
      </c>
      <c r="L37" t="s">
        <v>14</v>
      </c>
      <c r="N37" s="1">
        <v>49510113</v>
      </c>
      <c r="O37" s="2"/>
      <c r="Q37" t="s">
        <v>14</v>
      </c>
      <c r="S37" s="1">
        <v>20922262</v>
      </c>
      <c r="T37" s="2"/>
    </row>
    <row r="38" spans="2:20" x14ac:dyDescent="0.25">
      <c r="B38">
        <v>43</v>
      </c>
      <c r="C38" t="str">
        <f t="shared" ref="C38" si="30">+R38</f>
        <v>13903SW10</v>
      </c>
      <c r="D38" s="28">
        <f t="shared" si="2"/>
        <v>1472003</v>
      </c>
      <c r="E38" s="34">
        <f>'Temp Adj Diff'!E12</f>
        <v>23416.773773660883</v>
      </c>
      <c r="F38" s="28">
        <f>SUM(D38:E38)</f>
        <v>1495419.7737736609</v>
      </c>
      <c r="G38" s="2">
        <f t="shared" ref="G38" si="31">+T38</f>
        <v>4.4540000000000003E-2</v>
      </c>
      <c r="H38" s="2">
        <f>-'Sch 139 Credit Calculation'!$C$10</f>
        <v>-4.5634000000000001E-2</v>
      </c>
      <c r="I38" s="3">
        <f t="shared" ref="I38" si="32">ROUND(SUM(G38:H38)*F38,0)</f>
        <v>-1636</v>
      </c>
      <c r="J38" s="3"/>
      <c r="Q38">
        <v>43</v>
      </c>
      <c r="R38" t="s">
        <v>7</v>
      </c>
      <c r="S38" s="1">
        <v>1472003</v>
      </c>
      <c r="T38" s="2">
        <v>4.4540000000000003E-2</v>
      </c>
    </row>
    <row r="39" spans="2:20" x14ac:dyDescent="0.25">
      <c r="B39" t="s">
        <v>15</v>
      </c>
      <c r="D39" s="29"/>
      <c r="E39" s="29"/>
      <c r="F39" s="28">
        <f>SUM(F38)</f>
        <v>1495419.7737736609</v>
      </c>
      <c r="G39" s="2"/>
      <c r="H39" s="2"/>
      <c r="I39" s="3"/>
      <c r="J39" s="3">
        <f>SUM(I38)</f>
        <v>-1636</v>
      </c>
      <c r="Q39" t="s">
        <v>15</v>
      </c>
      <c r="S39" s="1">
        <v>1472003</v>
      </c>
      <c r="T39" s="2"/>
    </row>
    <row r="40" spans="2:20" x14ac:dyDescent="0.25">
      <c r="B40">
        <v>46</v>
      </c>
      <c r="C40" t="str">
        <f t="shared" ref="C40" si="33">+M40</f>
        <v>13902SW20</v>
      </c>
      <c r="D40" s="28">
        <f t="shared" si="2"/>
        <v>13118192</v>
      </c>
      <c r="E40" s="34">
        <v>0</v>
      </c>
      <c r="F40" s="28">
        <f>SUM(D40:E40)</f>
        <v>13118192</v>
      </c>
      <c r="G40" s="2">
        <f t="shared" ref="G40" si="34">+O40</f>
        <v>4.4089999999999997E-2</v>
      </c>
      <c r="H40" s="2">
        <f>-'Sch 139 Credit Calculation'!$C$10</f>
        <v>-4.5634000000000001E-2</v>
      </c>
      <c r="I40" s="3">
        <f t="shared" ref="I40" si="35">ROUND(SUM(G40:H40)*F40,0)</f>
        <v>-20254</v>
      </c>
      <c r="L40">
        <v>46</v>
      </c>
      <c r="M40" t="s">
        <v>21</v>
      </c>
      <c r="N40" s="1">
        <v>13118192</v>
      </c>
      <c r="O40" s="2">
        <v>4.4089999999999997E-2</v>
      </c>
    </row>
    <row r="41" spans="2:20" x14ac:dyDescent="0.25">
      <c r="B41" t="s">
        <v>23</v>
      </c>
      <c r="D41" s="29"/>
      <c r="E41" s="29"/>
      <c r="F41" s="28">
        <f>SUM(F40)</f>
        <v>13118192</v>
      </c>
      <c r="G41" s="2"/>
      <c r="H41" s="2"/>
      <c r="I41" s="3"/>
      <c r="J41" s="3">
        <f>SUM(I40)</f>
        <v>-20254</v>
      </c>
      <c r="L41" t="s">
        <v>23</v>
      </c>
      <c r="N41" s="1">
        <v>13118192</v>
      </c>
      <c r="O41" s="2"/>
    </row>
    <row r="42" spans="2:20" x14ac:dyDescent="0.25">
      <c r="B42">
        <v>49</v>
      </c>
      <c r="C42" t="str">
        <f t="shared" ref="C42:C43" si="36">+M42</f>
        <v>13902SW10</v>
      </c>
      <c r="D42" s="28">
        <f t="shared" si="2"/>
        <v>98878991</v>
      </c>
      <c r="E42" s="34">
        <v>0</v>
      </c>
      <c r="F42" s="28">
        <f t="shared" ref="F42:F43" si="37">SUM(D42:E42)</f>
        <v>98878991</v>
      </c>
      <c r="G42" s="2">
        <f t="shared" ref="G42:G43" si="38">+O42</f>
        <v>4.4540000000000003E-2</v>
      </c>
      <c r="H42" s="2">
        <f>-'Sch 139 Credit Calculation'!$C$10</f>
        <v>-4.5634000000000001E-2</v>
      </c>
      <c r="I42" s="3">
        <f t="shared" ref="I42:I43" si="39">ROUND(SUM(G42:H42)*F42,0)</f>
        <v>-108174</v>
      </c>
      <c r="L42">
        <v>49</v>
      </c>
      <c r="M42" t="s">
        <v>20</v>
      </c>
      <c r="N42" s="1">
        <v>98878991</v>
      </c>
      <c r="O42" s="2">
        <v>4.4540000000000003E-2</v>
      </c>
    </row>
    <row r="43" spans="2:20" x14ac:dyDescent="0.25">
      <c r="C43" t="str">
        <f t="shared" si="36"/>
        <v>13902SW20</v>
      </c>
      <c r="D43" s="28">
        <f t="shared" si="2"/>
        <v>27474183</v>
      </c>
      <c r="E43" s="34">
        <v>0</v>
      </c>
      <c r="F43" s="28">
        <f t="shared" si="37"/>
        <v>27474183</v>
      </c>
      <c r="G43" s="2">
        <f t="shared" si="38"/>
        <v>4.4089999999999997E-2</v>
      </c>
      <c r="H43" s="2">
        <f>-'Sch 139 Credit Calculation'!$C$10</f>
        <v>-4.5634000000000001E-2</v>
      </c>
      <c r="I43" s="3">
        <f t="shared" si="39"/>
        <v>-42420</v>
      </c>
      <c r="M43" t="s">
        <v>21</v>
      </c>
      <c r="N43" s="1">
        <v>27474183</v>
      </c>
      <c r="O43" s="2">
        <v>4.4089999999999997E-2</v>
      </c>
    </row>
    <row r="44" spans="2:20" x14ac:dyDescent="0.25">
      <c r="B44" t="s">
        <v>24</v>
      </c>
      <c r="D44" s="29"/>
      <c r="E44" s="29"/>
      <c r="F44" s="28">
        <f>SUM(F42:F43)</f>
        <v>126353174</v>
      </c>
      <c r="G44" s="2"/>
      <c r="H44" s="2"/>
      <c r="I44" s="3"/>
      <c r="J44" s="3">
        <f>SUM(I42:I43)</f>
        <v>-150594</v>
      </c>
      <c r="L44" t="s">
        <v>24</v>
      </c>
      <c r="N44" s="1">
        <v>126353174</v>
      </c>
    </row>
    <row r="45" spans="2:20" x14ac:dyDescent="0.25">
      <c r="B45">
        <v>56</v>
      </c>
      <c r="C45" t="str">
        <f t="shared" ref="C45" si="40">+R45</f>
        <v>13903SW10</v>
      </c>
      <c r="D45" s="28">
        <f t="shared" si="2"/>
        <v>983.91199999999969</v>
      </c>
      <c r="E45" s="34">
        <v>0</v>
      </c>
      <c r="F45" s="28">
        <f>SUM(D45:E45)</f>
        <v>983.91199999999969</v>
      </c>
      <c r="G45" s="2">
        <f t="shared" ref="G45" si="41">+T45</f>
        <v>4.4540000000000003E-2</v>
      </c>
      <c r="H45" s="2">
        <f>-'Sch 139 Credit Calculation'!$C$10</f>
        <v>-4.5634000000000001E-2</v>
      </c>
      <c r="I45" s="3">
        <f t="shared" ref="I45" si="42">ROUND(SUM(G45:H45)*F45,0)</f>
        <v>-1</v>
      </c>
      <c r="J45" s="3"/>
      <c r="Q45">
        <v>56</v>
      </c>
      <c r="R45" t="s">
        <v>7</v>
      </c>
      <c r="S45" s="1">
        <v>983.91199999999969</v>
      </c>
      <c r="T45" s="2">
        <v>4.4540000000000003E-2</v>
      </c>
    </row>
    <row r="46" spans="2:20" x14ac:dyDescent="0.25">
      <c r="B46" t="s">
        <v>16</v>
      </c>
      <c r="D46" s="29"/>
      <c r="E46" s="29"/>
      <c r="F46" s="28">
        <f>SUM(F45)</f>
        <v>983.91199999999969</v>
      </c>
      <c r="G46" s="2"/>
      <c r="H46" s="2"/>
      <c r="I46" s="3"/>
      <c r="J46" s="3">
        <f>SUM(I45)</f>
        <v>-1</v>
      </c>
      <c r="Q46" t="s">
        <v>16</v>
      </c>
      <c r="S46" s="1">
        <v>983.91199999999969</v>
      </c>
    </row>
    <row r="47" spans="2:20" x14ac:dyDescent="0.25">
      <c r="B47" t="s">
        <v>17</v>
      </c>
      <c r="D47" s="28">
        <f>SUM(D7:D46)</f>
        <v>679392876.079</v>
      </c>
      <c r="E47" s="28">
        <f>SUM(E7:E46)</f>
        <v>665135.54562140512</v>
      </c>
      <c r="F47" s="28">
        <f>SUM(F46,F44,F41,F39,F37,F31,F24,F17,F10)</f>
        <v>680058011.62462139</v>
      </c>
      <c r="I47" s="4"/>
      <c r="J47" s="4">
        <f>SUM(J7:J46)</f>
        <v>-857043</v>
      </c>
      <c r="L47" t="s">
        <v>17</v>
      </c>
      <c r="N47" s="1">
        <v>344919380</v>
      </c>
      <c r="Q47" t="s">
        <v>17</v>
      </c>
      <c r="S47" s="1">
        <v>334473496.079</v>
      </c>
    </row>
  </sheetData>
  <mergeCells count="11">
    <mergeCell ref="Q3:T3"/>
    <mergeCell ref="T5:T6"/>
    <mergeCell ref="H5:H6"/>
    <mergeCell ref="I5:I6"/>
    <mergeCell ref="J5:J6"/>
    <mergeCell ref="B3:J3"/>
    <mergeCell ref="L3:O3"/>
    <mergeCell ref="O5:O6"/>
    <mergeCell ref="F5:F6"/>
    <mergeCell ref="D5:D6"/>
    <mergeCell ref="E5:E6"/>
  </mergeCells>
  <pageMargins left="0.7" right="0.7" top="0.75" bottom="0.75" header="0.3" footer="0.3"/>
  <pageSetup scale="51" orientation="landscape" r:id="rId1"/>
  <headerFooter>
    <oddFooter>&amp;L&amp;F&amp;R&amp;A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15"/>
  <sheetViews>
    <sheetView workbookViewId="0">
      <selection activeCell="A4" sqref="A4:XFD4"/>
    </sheetView>
  </sheetViews>
  <sheetFormatPr defaultRowHeight="15" x14ac:dyDescent="0.25"/>
  <cols>
    <col min="1" max="1" width="36.85546875" bestFit="1" customWidth="1"/>
    <col min="2" max="2" width="11.28515625" bestFit="1" customWidth="1"/>
    <col min="3" max="3" width="16.140625" bestFit="1" customWidth="1"/>
    <col min="4" max="4" width="15.85546875" bestFit="1" customWidth="1"/>
    <col min="5" max="5" width="10.42578125" bestFit="1" customWidth="1"/>
  </cols>
  <sheetData>
    <row r="1" spans="1:5" x14ac:dyDescent="0.25">
      <c r="A1" s="54" t="s">
        <v>43</v>
      </c>
      <c r="B1" s="54"/>
      <c r="C1" s="54"/>
      <c r="D1" s="54"/>
      <c r="E1" s="54"/>
    </row>
    <row r="2" spans="1:5" x14ac:dyDescent="0.25">
      <c r="A2" s="54" t="s">
        <v>70</v>
      </c>
      <c r="B2" s="54"/>
      <c r="C2" s="54"/>
      <c r="D2" s="54"/>
      <c r="E2" s="54"/>
    </row>
    <row r="3" spans="1:5" x14ac:dyDescent="0.25">
      <c r="A3" s="54" t="s">
        <v>71</v>
      </c>
      <c r="B3" s="54"/>
      <c r="C3" s="54"/>
      <c r="D3" s="54"/>
      <c r="E3" s="54"/>
    </row>
    <row r="4" spans="1:5" x14ac:dyDescent="0.25">
      <c r="A4" s="8"/>
      <c r="B4" s="8"/>
      <c r="C4" s="8"/>
      <c r="D4" s="8"/>
      <c r="E4" s="8"/>
    </row>
    <row r="5" spans="1:5" x14ac:dyDescent="0.25">
      <c r="C5" s="35" t="s">
        <v>69</v>
      </c>
      <c r="D5" s="35" t="s">
        <v>69</v>
      </c>
      <c r="E5" s="36"/>
    </row>
    <row r="6" spans="1:5" x14ac:dyDescent="0.25">
      <c r="A6" s="37"/>
      <c r="B6" s="37"/>
      <c r="C6" s="38" t="s">
        <v>59</v>
      </c>
      <c r="D6" s="39" t="s">
        <v>60</v>
      </c>
      <c r="E6" s="39" t="s">
        <v>47</v>
      </c>
    </row>
    <row r="7" spans="1:5" x14ac:dyDescent="0.25">
      <c r="A7" s="22" t="s">
        <v>50</v>
      </c>
      <c r="B7" s="22" t="s">
        <v>51</v>
      </c>
      <c r="C7" s="23">
        <f>'[1]Exh BDJ-3 p2 (Temp Adj No 139)'!E26</f>
        <v>113614259.20292071</v>
      </c>
      <c r="D7" s="23">
        <f>'[1]Exh BDJ-3 p1 (Temp Adj)'!E26</f>
        <v>113613083.64609638</v>
      </c>
      <c r="E7" s="23">
        <f>D7-C7</f>
        <v>-1175.5568243265152</v>
      </c>
    </row>
    <row r="8" spans="1:5" x14ac:dyDescent="0.25">
      <c r="A8" s="24" t="s">
        <v>52</v>
      </c>
      <c r="B8" s="22" t="s">
        <v>53</v>
      </c>
      <c r="C8" s="23">
        <f>'[1]Exh BDJ-3 p2 (Temp Adj No 139)'!E27</f>
        <v>9697768.8027456533</v>
      </c>
      <c r="D8" s="23">
        <f>'[1]Exh BDJ-3 p1 (Temp Adj)'!E27</f>
        <v>10393077.25623735</v>
      </c>
      <c r="E8" s="23">
        <f t="shared" ref="E8:E13" si="0">D8-C8</f>
        <v>695308.45349169709</v>
      </c>
    </row>
    <row r="9" spans="1:5" x14ac:dyDescent="0.25">
      <c r="A9" s="22"/>
      <c r="B9" s="25" t="s">
        <v>54</v>
      </c>
      <c r="C9" s="23">
        <f>'[1]Exh BDJ-3 p2 (Temp Adj No 139)'!E28</f>
        <v>3448482.3386424747</v>
      </c>
      <c r="D9" s="23">
        <f>'[1]Exh BDJ-3 p1 (Temp Adj)'!E28</f>
        <v>3557729.0577563541</v>
      </c>
      <c r="E9" s="23">
        <f t="shared" si="0"/>
        <v>109246.71911387937</v>
      </c>
    </row>
    <row r="10" spans="1:5" x14ac:dyDescent="0.25">
      <c r="A10" s="26"/>
      <c r="B10" s="22" t="s">
        <v>55</v>
      </c>
      <c r="C10" s="23">
        <f>'[1]Exh BDJ-3 p2 (Temp Adj No 139)'!E29</f>
        <v>-3492565.1265775114</v>
      </c>
      <c r="D10" s="23">
        <f>'[1]Exh BDJ-3 p1 (Temp Adj)'!E29</f>
        <v>-3637673.5428055348</v>
      </c>
      <c r="E10" s="23">
        <f t="shared" si="0"/>
        <v>-145108.41622802336</v>
      </c>
    </row>
    <row r="11" spans="1:5" x14ac:dyDescent="0.25">
      <c r="A11" s="22"/>
      <c r="B11" s="25" t="s">
        <v>56</v>
      </c>
      <c r="C11" s="23">
        <f>'[1]Exh BDJ-3 p2 (Temp Adj No 139)'!E30</f>
        <v>-280369.8063891544</v>
      </c>
      <c r="D11" s="23">
        <f>'[1]Exh BDJ-3 p1 (Temp Adj)'!E30</f>
        <v>-296922.23409463669</v>
      </c>
      <c r="E11" s="23">
        <f t="shared" si="0"/>
        <v>-16552.427705482289</v>
      </c>
    </row>
    <row r="12" spans="1:5" x14ac:dyDescent="0.25">
      <c r="A12" s="22"/>
      <c r="B12" s="27" t="s">
        <v>57</v>
      </c>
      <c r="C12" s="23">
        <f>'[1]Exh BDJ-3 p2 (Temp Adj No 139)'!E31</f>
        <v>2699242.1108746068</v>
      </c>
      <c r="D12" s="23">
        <f>'[1]Exh BDJ-3 p1 (Temp Adj)'!E31</f>
        <v>2722658.8846482676</v>
      </c>
      <c r="E12" s="23">
        <f t="shared" si="0"/>
        <v>23416.773773660883</v>
      </c>
    </row>
    <row r="13" spans="1:5" x14ac:dyDescent="0.25">
      <c r="A13" s="22"/>
      <c r="B13" s="27" t="s">
        <v>58</v>
      </c>
      <c r="C13" s="23">
        <f>'[1]Exh BDJ-3 p2 (Temp Adj No 139)'!E32</f>
        <v>78673.221480658452</v>
      </c>
      <c r="D13" s="23">
        <f>'[1]Exh BDJ-3 p1 (Temp Adj)'!E32</f>
        <v>78673.221480658452</v>
      </c>
      <c r="E13" s="23">
        <f t="shared" si="0"/>
        <v>0</v>
      </c>
    </row>
    <row r="14" spans="1:5" ht="15.75" thickBot="1" x14ac:dyDescent="0.3">
      <c r="A14" s="22"/>
      <c r="B14" s="22" t="s">
        <v>6</v>
      </c>
      <c r="C14" s="40">
        <f t="shared" ref="C14:D14" si="1">SUM(C7:C13)</f>
        <v>125765490.74369743</v>
      </c>
      <c r="D14" s="40">
        <f t="shared" si="1"/>
        <v>126430626.28931883</v>
      </c>
      <c r="E14" s="40">
        <f>SUM(E7:E13)</f>
        <v>665135.54562140512</v>
      </c>
    </row>
    <row r="15" spans="1:5" ht="15.75" thickTop="1" x14ac:dyDescent="0.25"/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10"/>
  <sheetViews>
    <sheetView workbookViewId="0">
      <selection activeCell="E7" sqref="E7"/>
    </sheetView>
  </sheetViews>
  <sheetFormatPr defaultRowHeight="15" x14ac:dyDescent="0.25"/>
  <cols>
    <col min="1" max="1" width="8.28515625" bestFit="1" customWidth="1"/>
    <col min="2" max="2" width="43.7109375" bestFit="1" customWidth="1"/>
    <col min="3" max="5" width="11" bestFit="1" customWidth="1"/>
    <col min="6" max="6" width="38.5703125" bestFit="1" customWidth="1"/>
    <col min="7" max="7" width="12" bestFit="1" customWidth="1"/>
  </cols>
  <sheetData>
    <row r="1" spans="1:6" ht="18" x14ac:dyDescent="0.25">
      <c r="A1" s="55" t="s">
        <v>26</v>
      </c>
      <c r="B1" s="55"/>
      <c r="C1" s="55"/>
      <c r="D1" s="55"/>
      <c r="E1" s="55"/>
      <c r="F1" s="55"/>
    </row>
    <row r="2" spans="1:6" x14ac:dyDescent="0.25">
      <c r="A2" s="56" t="s">
        <v>27</v>
      </c>
      <c r="B2" s="56"/>
      <c r="C2" s="56"/>
      <c r="D2" s="56"/>
      <c r="E2" s="56"/>
      <c r="F2" s="56"/>
    </row>
    <row r="3" spans="1:6" x14ac:dyDescent="0.25">
      <c r="A3" s="56" t="s">
        <v>28</v>
      </c>
      <c r="B3" s="56"/>
      <c r="C3" s="56"/>
      <c r="D3" s="56"/>
      <c r="E3" s="56"/>
      <c r="F3" s="56"/>
    </row>
    <row r="4" spans="1:6" x14ac:dyDescent="0.25">
      <c r="A4" s="56" t="s">
        <v>29</v>
      </c>
      <c r="B4" s="56"/>
      <c r="C4" s="56"/>
      <c r="D4" s="56"/>
      <c r="E4" s="56"/>
      <c r="F4" s="56"/>
    </row>
    <row r="5" spans="1:6" x14ac:dyDescent="0.25">
      <c r="A5" s="58" t="s">
        <v>72</v>
      </c>
      <c r="B5" s="58"/>
      <c r="C5" s="58"/>
      <c r="D5" s="58"/>
      <c r="E5" s="58"/>
      <c r="F5" s="58"/>
    </row>
    <row r="6" spans="1:6" ht="75" x14ac:dyDescent="0.25">
      <c r="A6" s="7" t="s">
        <v>30</v>
      </c>
      <c r="B6" s="7" t="s">
        <v>31</v>
      </c>
      <c r="C6" s="14" t="s">
        <v>36</v>
      </c>
      <c r="D6" s="11" t="s">
        <v>38</v>
      </c>
      <c r="E6" s="41" t="s">
        <v>46</v>
      </c>
      <c r="F6" s="7" t="s">
        <v>32</v>
      </c>
    </row>
    <row r="7" spans="1:6" x14ac:dyDescent="0.25">
      <c r="A7" s="8">
        <v>1</v>
      </c>
      <c r="B7" t="s">
        <v>33</v>
      </c>
      <c r="C7" s="9">
        <v>60.845300000000002</v>
      </c>
      <c r="D7" s="12">
        <f>+'[2]2019 GRC A-1 UE-200907'!$D$47</f>
        <v>59.844000000000001</v>
      </c>
      <c r="E7" s="42">
        <f>'[2]SEF-16 2020 PCORC A-1'!$G$46</f>
        <v>39.617986180249666</v>
      </c>
      <c r="F7" s="10" t="s">
        <v>37</v>
      </c>
    </row>
    <row r="8" spans="1:6" x14ac:dyDescent="0.25">
      <c r="A8" s="8">
        <f>+A7+1</f>
        <v>2</v>
      </c>
      <c r="B8" t="s">
        <v>34</v>
      </c>
      <c r="C8" s="13">
        <v>0.75</v>
      </c>
      <c r="D8" s="13">
        <v>0.75</v>
      </c>
      <c r="E8" s="43">
        <v>1</v>
      </c>
      <c r="F8" s="10" t="s">
        <v>45</v>
      </c>
    </row>
    <row r="9" spans="1:6" x14ac:dyDescent="0.25">
      <c r="A9" s="8">
        <f>+A8+1</f>
        <v>3</v>
      </c>
      <c r="B9" s="10" t="s">
        <v>35</v>
      </c>
      <c r="C9" s="8">
        <f>ROUND(C7*C8/10,4)</f>
        <v>4.5633999999999997</v>
      </c>
      <c r="D9" s="8">
        <f>ROUND(D7*D8/10,4)</f>
        <v>4.4882999999999997</v>
      </c>
      <c r="E9" s="8">
        <f>ROUND(E7*E8/10,4)</f>
        <v>3.9618000000000002</v>
      </c>
    </row>
    <row r="10" spans="1:6" x14ac:dyDescent="0.25">
      <c r="A10" s="8">
        <f>+A9+1</f>
        <v>4</v>
      </c>
      <c r="B10" s="10" t="s">
        <v>39</v>
      </c>
      <c r="C10" s="2">
        <f t="shared" ref="C10" si="0">ROUND(+C9/100,6)</f>
        <v>4.5634000000000001E-2</v>
      </c>
      <c r="D10" s="2">
        <f t="shared" ref="D10:E10" si="1">ROUND(+D9/100,6)</f>
        <v>4.4882999999999999E-2</v>
      </c>
      <c r="E10" s="2">
        <f t="shared" si="1"/>
        <v>3.9618E-2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83" orientation="landscape" r:id="rId1"/>
  <headerFooter>
    <oddFooter>&amp;L&amp;F&amp;R&amp;A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EEEFE2-F8E6-4B49-B6A4-32F7CC2A9DC9}"/>
</file>

<file path=customXml/itemProps2.xml><?xml version="1.0" encoding="utf-8"?>
<ds:datastoreItem xmlns:ds="http://schemas.openxmlformats.org/officeDocument/2006/customXml" ds:itemID="{46DE86B8-2F18-4B34-9944-99FAF90D98E7}"/>
</file>

<file path=customXml/itemProps3.xml><?xml version="1.0" encoding="utf-8"?>
<ds:datastoreItem xmlns:ds="http://schemas.openxmlformats.org/officeDocument/2006/customXml" ds:itemID="{C19EAE75-D4F9-4FC5-A911-87E9CDB7E017}"/>
</file>

<file path=customXml/itemProps4.xml><?xml version="1.0" encoding="utf-8"?>
<ds:datastoreItem xmlns:ds="http://schemas.openxmlformats.org/officeDocument/2006/customXml" ds:itemID="{3044D8F8-9E13-464A-978B-AE4D6A81D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Exh BDJ-5 p1</vt:lpstr>
      <vt:lpstr>WP====&gt;</vt:lpstr>
      <vt:lpstr>Sch 139 Eff 7-1-2021</vt:lpstr>
      <vt:lpstr>Sch 139 Eff 1-1-2021</vt:lpstr>
      <vt:lpstr>Sch 139 Eff 10-15-2020</vt:lpstr>
      <vt:lpstr>Temp Adj Diff</vt:lpstr>
      <vt:lpstr>Sch 139 Credit Calculation</vt:lpstr>
      <vt:lpstr>'Sch 139 Credit Calculation'!Print_Area</vt:lpstr>
      <vt:lpstr>'Sch 139 Eff 10-15-2020'!Print_Area</vt:lpstr>
      <vt:lpstr>'Sch 139 Eff 1-1-2021'!Print_Area</vt:lpstr>
      <vt:lpstr>'Sch 139 Eff 7-1-2021'!Print_Area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2020-11-23T18:03:11Z</cp:lastPrinted>
  <dcterms:created xsi:type="dcterms:W3CDTF">2020-11-04T17:15:37Z</dcterms:created>
  <dcterms:modified xsi:type="dcterms:W3CDTF">2021-06-09T16:21:03Z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