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20 PCORC\Supplemental Filing\2020 PCORC Work Papers SUPP To File\"/>
    </mc:Choice>
  </mc:AlternateContent>
  <bookViews>
    <workbookView xWindow="135" yWindow="600" windowWidth="19830" windowHeight="8550"/>
  </bookViews>
  <sheets>
    <sheet name="Proforma kWh" sheetId="32" r:id="rId1"/>
    <sheet name="Proforma Revenue" sheetId="33" r:id="rId2"/>
    <sheet name="Sch 24 Sm Sec" sheetId="12" r:id="rId3"/>
    <sheet name="Sch 25 Med Sec" sheetId="14" r:id="rId4"/>
    <sheet name="Sch 26 Large Sec" sheetId="15" r:id="rId5"/>
    <sheet name="Sch 31 Pri Gen Svc" sheetId="19" r:id="rId6"/>
    <sheet name="Sch 40 Campus Svc" sheetId="23" r:id="rId7"/>
    <sheet name="Special Contract" sheetId="28" r:id="rId8"/>
  </sheets>
  <externalReferences>
    <externalReference r:id="rId9"/>
  </externalReferences>
  <definedNames>
    <definedName name="_xlnm.Print_Area" localSheetId="0">'Proforma kWh'!$A$1:$R$37</definedName>
    <definedName name="_xlnm.Print_Area" localSheetId="1">'Proforma Revenue'!$A$1:$R$37</definedName>
    <definedName name="_xlnm.Print_Area" localSheetId="2">'Sch 24 Sm Sec'!$A$1:$O$29</definedName>
    <definedName name="_xlnm.Print_Area" localSheetId="3">'Sch 25 Med Sec'!$A$1:$O$42</definedName>
    <definedName name="_xlnm.Print_Area" localSheetId="4">'Sch 26 Large Sec'!$A$1:$O$36</definedName>
    <definedName name="_xlnm.Print_Area" localSheetId="5">'Sch 31 Pri Gen Svc'!$A$1:$O$36</definedName>
    <definedName name="_xlnm.Print_Area" localSheetId="6">'Sch 40 Campus Svc'!$A$1:$O$63</definedName>
    <definedName name="_xlnm.Print_Area" localSheetId="7">'Special Contract'!$A$1:$O$23</definedName>
  </definedNames>
  <calcPr calcId="162913"/>
</workbook>
</file>

<file path=xl/calcChain.xml><?xml version="1.0" encoding="utf-8"?>
<calcChain xmlns="http://schemas.openxmlformats.org/spreadsheetml/2006/main">
  <c r="O17" i="28" l="1"/>
  <c r="N17" i="28"/>
  <c r="M17" i="28"/>
  <c r="L17" i="28"/>
  <c r="K17" i="28"/>
  <c r="J17" i="28"/>
  <c r="I17" i="28"/>
  <c r="H17" i="28"/>
  <c r="G17" i="28"/>
  <c r="F17" i="28"/>
  <c r="E17" i="28"/>
  <c r="D17" i="28"/>
  <c r="D13" i="28"/>
  <c r="O42" i="23"/>
  <c r="N42" i="23"/>
  <c r="M42" i="23"/>
  <c r="L42" i="23"/>
  <c r="K42" i="23"/>
  <c r="J42" i="23"/>
  <c r="I42" i="23"/>
  <c r="H42" i="23"/>
  <c r="G42" i="23"/>
  <c r="F42" i="23"/>
  <c r="E42" i="23"/>
  <c r="D42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D32" i="23"/>
  <c r="D31" i="23"/>
  <c r="D30" i="23"/>
  <c r="D29" i="23"/>
  <c r="D28" i="23"/>
  <c r="D27" i="23"/>
  <c r="D26" i="23"/>
  <c r="D25" i="23"/>
  <c r="D24" i="23"/>
  <c r="B23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O8" i="23"/>
  <c r="N8" i="23"/>
  <c r="M8" i="23"/>
  <c r="L8" i="23"/>
  <c r="K8" i="23"/>
  <c r="J8" i="23"/>
  <c r="I8" i="23"/>
  <c r="H8" i="23"/>
  <c r="G8" i="23"/>
  <c r="F8" i="23"/>
  <c r="E8" i="23"/>
  <c r="D8" i="23"/>
  <c r="O7" i="23"/>
  <c r="N7" i="23"/>
  <c r="M7" i="23"/>
  <c r="L7" i="23"/>
  <c r="K7" i="23"/>
  <c r="J7" i="23"/>
  <c r="I7" i="23"/>
  <c r="H7" i="23"/>
  <c r="G7" i="23"/>
  <c r="F7" i="23"/>
  <c r="E7" i="23"/>
  <c r="D7" i="23"/>
  <c r="O6" i="23"/>
  <c r="N6" i="23"/>
  <c r="M6" i="23"/>
  <c r="L6" i="23"/>
  <c r="K6" i="23"/>
  <c r="J6" i="23"/>
  <c r="I6" i="23"/>
  <c r="H6" i="23"/>
  <c r="G6" i="23"/>
  <c r="F6" i="23"/>
  <c r="E6" i="23"/>
  <c r="D6" i="23"/>
  <c r="D24" i="19"/>
  <c r="D23" i="19"/>
  <c r="D22" i="19"/>
  <c r="D21" i="19"/>
  <c r="D20" i="19"/>
  <c r="D24" i="15"/>
  <c r="D23" i="15"/>
  <c r="D22" i="15"/>
  <c r="D21" i="15"/>
  <c r="D20" i="15"/>
  <c r="D28" i="14"/>
  <c r="D27" i="14"/>
  <c r="D26" i="14"/>
  <c r="D25" i="14"/>
  <c r="D24" i="14"/>
  <c r="D23" i="14"/>
  <c r="D22" i="14"/>
  <c r="D18" i="12"/>
  <c r="D17" i="12"/>
  <c r="D16" i="12"/>
  <c r="D15" i="12"/>
  <c r="O10" i="28"/>
  <c r="N10" i="28"/>
  <c r="M10" i="28"/>
  <c r="L10" i="28"/>
  <c r="K10" i="28"/>
  <c r="J10" i="28"/>
  <c r="I10" i="28"/>
  <c r="H10" i="28"/>
  <c r="G10" i="28"/>
  <c r="F10" i="28"/>
  <c r="E10" i="28"/>
  <c r="D10" i="28"/>
  <c r="O8" i="28"/>
  <c r="N8" i="28"/>
  <c r="M8" i="28"/>
  <c r="L8" i="28"/>
  <c r="K8" i="28"/>
  <c r="J8" i="28"/>
  <c r="I8" i="28"/>
  <c r="H8" i="28"/>
  <c r="G8" i="28"/>
  <c r="F8" i="28"/>
  <c r="E8" i="28"/>
  <c r="D8" i="28"/>
  <c r="O6" i="28"/>
  <c r="N6" i="28"/>
  <c r="M6" i="28"/>
  <c r="L6" i="28"/>
  <c r="K6" i="28"/>
  <c r="J6" i="28"/>
  <c r="I6" i="28"/>
  <c r="H6" i="28"/>
  <c r="G6" i="28"/>
  <c r="F6" i="28"/>
  <c r="E6" i="28"/>
  <c r="D6" i="28"/>
  <c r="O53" i="23"/>
  <c r="N53" i="23"/>
  <c r="M53" i="23"/>
  <c r="L53" i="23"/>
  <c r="K53" i="23"/>
  <c r="J53" i="23"/>
  <c r="I53" i="23"/>
  <c r="H53" i="23"/>
  <c r="G53" i="23"/>
  <c r="F53" i="23"/>
  <c r="E53" i="23"/>
  <c r="D53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O16" i="19"/>
  <c r="N16" i="19"/>
  <c r="M16" i="19"/>
  <c r="L16" i="19"/>
  <c r="K16" i="19"/>
  <c r="J16" i="19"/>
  <c r="I16" i="19"/>
  <c r="H16" i="19"/>
  <c r="G16" i="19"/>
  <c r="F16" i="19"/>
  <c r="E16" i="19"/>
  <c r="D16" i="19"/>
  <c r="O13" i="19"/>
  <c r="N13" i="19"/>
  <c r="M13" i="19"/>
  <c r="F13" i="19"/>
  <c r="E13" i="19"/>
  <c r="D13" i="19"/>
  <c r="L12" i="19"/>
  <c r="K12" i="19"/>
  <c r="J12" i="19"/>
  <c r="I12" i="19"/>
  <c r="H12" i="19"/>
  <c r="G12" i="19"/>
  <c r="O9" i="19"/>
  <c r="N9" i="19"/>
  <c r="M9" i="19"/>
  <c r="L9" i="19"/>
  <c r="K9" i="19"/>
  <c r="J9" i="19"/>
  <c r="I9" i="19"/>
  <c r="H9" i="19"/>
  <c r="G9" i="19"/>
  <c r="F9" i="19"/>
  <c r="E9" i="19"/>
  <c r="D9" i="19"/>
  <c r="O6" i="19"/>
  <c r="N6" i="19"/>
  <c r="M6" i="19"/>
  <c r="L6" i="19"/>
  <c r="K6" i="19"/>
  <c r="J6" i="19"/>
  <c r="I6" i="19"/>
  <c r="H6" i="19"/>
  <c r="G6" i="19"/>
  <c r="F6" i="19"/>
  <c r="E6" i="19"/>
  <c r="D6" i="19"/>
  <c r="O16" i="15"/>
  <c r="N16" i="15"/>
  <c r="M16" i="15"/>
  <c r="L16" i="15"/>
  <c r="K16" i="15"/>
  <c r="J16" i="15"/>
  <c r="I16" i="15"/>
  <c r="H16" i="15"/>
  <c r="G16" i="15"/>
  <c r="F16" i="15"/>
  <c r="E16" i="15"/>
  <c r="D16" i="15"/>
  <c r="O13" i="15"/>
  <c r="N13" i="15"/>
  <c r="M13" i="15"/>
  <c r="F13" i="15"/>
  <c r="E13" i="15"/>
  <c r="D13" i="15"/>
  <c r="L12" i="15"/>
  <c r="K12" i="15"/>
  <c r="J12" i="15"/>
  <c r="I12" i="15"/>
  <c r="H12" i="15"/>
  <c r="G12" i="15"/>
  <c r="O9" i="15"/>
  <c r="N9" i="15"/>
  <c r="M9" i="15"/>
  <c r="L9" i="15"/>
  <c r="K9" i="15"/>
  <c r="J9" i="15"/>
  <c r="I9" i="15"/>
  <c r="H9" i="15"/>
  <c r="G9" i="15"/>
  <c r="F9" i="15"/>
  <c r="E9" i="15"/>
  <c r="D9" i="15"/>
  <c r="O6" i="15"/>
  <c r="N6" i="15"/>
  <c r="M6" i="15"/>
  <c r="L6" i="15"/>
  <c r="K6" i="15"/>
  <c r="J6" i="15"/>
  <c r="I6" i="15"/>
  <c r="H6" i="15"/>
  <c r="G6" i="15"/>
  <c r="F6" i="15"/>
  <c r="E6" i="15"/>
  <c r="D6" i="15"/>
  <c r="O18" i="14"/>
  <c r="N18" i="14"/>
  <c r="M18" i="14"/>
  <c r="L18" i="14"/>
  <c r="K18" i="14"/>
  <c r="J18" i="14"/>
  <c r="I18" i="14"/>
  <c r="H18" i="14"/>
  <c r="G18" i="14"/>
  <c r="F18" i="14"/>
  <c r="E18" i="14"/>
  <c r="D18" i="14"/>
  <c r="O6" i="14"/>
  <c r="O15" i="14" s="1"/>
  <c r="N6" i="14"/>
  <c r="N15" i="14" s="1"/>
  <c r="M6" i="14"/>
  <c r="M15" i="14" s="1"/>
  <c r="L6" i="14"/>
  <c r="L14" i="14" s="1"/>
  <c r="K6" i="14"/>
  <c r="K14" i="14" s="1"/>
  <c r="J6" i="14"/>
  <c r="J14" i="14" s="1"/>
  <c r="I6" i="14"/>
  <c r="I14" i="14" s="1"/>
  <c r="H6" i="14"/>
  <c r="H14" i="14" s="1"/>
  <c r="G6" i="14"/>
  <c r="G14" i="14" s="1"/>
  <c r="F6" i="14"/>
  <c r="F15" i="14" s="1"/>
  <c r="E6" i="14"/>
  <c r="E15" i="14" s="1"/>
  <c r="D6" i="14"/>
  <c r="D15" i="14" s="1"/>
  <c r="F11" i="12"/>
  <c r="E11" i="12"/>
  <c r="D11" i="12"/>
  <c r="O11" i="12"/>
  <c r="N11" i="12"/>
  <c r="M11" i="12"/>
  <c r="L10" i="12"/>
  <c r="K10" i="12"/>
  <c r="J10" i="12"/>
  <c r="I10" i="12"/>
  <c r="H10" i="12"/>
  <c r="G10" i="12"/>
  <c r="O6" i="12"/>
  <c r="N6" i="12"/>
  <c r="M6" i="12"/>
  <c r="L6" i="12"/>
  <c r="K6" i="12"/>
  <c r="J6" i="12"/>
  <c r="I6" i="12"/>
  <c r="H6" i="12"/>
  <c r="G6" i="12"/>
  <c r="F6" i="12"/>
  <c r="E6" i="12"/>
  <c r="D6" i="12"/>
  <c r="B19" i="19"/>
  <c r="B19" i="15"/>
  <c r="B21" i="14"/>
  <c r="B14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O5" i="28" l="1"/>
  <c r="N5" i="28"/>
  <c r="M5" i="28"/>
  <c r="L5" i="28"/>
  <c r="K5" i="28"/>
  <c r="J5" i="28"/>
  <c r="I5" i="28"/>
  <c r="H5" i="28"/>
  <c r="G5" i="28"/>
  <c r="F5" i="28"/>
  <c r="E5" i="28"/>
  <c r="D5" i="28"/>
  <c r="C5" i="28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A22" i="23"/>
  <c r="A23" i="23"/>
  <c r="A24" i="23"/>
  <c r="A25" i="23"/>
  <c r="A26" i="23" s="1"/>
  <c r="A27" i="23" s="1"/>
  <c r="D14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A19" i="19"/>
  <c r="A20" i="19"/>
  <c r="A21" i="19"/>
  <c r="A22" i="19"/>
  <c r="A23" i="19" s="1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23" i="14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22" i="14"/>
  <c r="A13" i="12"/>
  <c r="A14" i="12"/>
  <c r="A15" i="12"/>
  <c r="A20" i="14"/>
  <c r="A21" i="14"/>
  <c r="O5" i="15"/>
  <c r="N5" i="15"/>
  <c r="K5" i="15"/>
  <c r="J5" i="15"/>
  <c r="G5" i="15"/>
  <c r="F5" i="15"/>
  <c r="C5" i="15"/>
  <c r="L5" i="14"/>
  <c r="H5" i="14"/>
  <c r="D5" i="14"/>
  <c r="O5" i="14"/>
  <c r="N5" i="14"/>
  <c r="M5" i="15"/>
  <c r="L5" i="15"/>
  <c r="K5" i="14"/>
  <c r="J5" i="14"/>
  <c r="I5" i="15"/>
  <c r="H5" i="15"/>
  <c r="G5" i="14"/>
  <c r="F5" i="14"/>
  <c r="E5" i="15"/>
  <c r="D5" i="15"/>
  <c r="C5" i="14"/>
  <c r="E5" i="14" l="1"/>
  <c r="M5" i="14"/>
  <c r="I5" i="14"/>
  <c r="E18" i="28" l="1"/>
  <c r="F18" i="28" s="1"/>
  <c r="G18" i="28" s="1"/>
  <c r="H18" i="28" s="1"/>
  <c r="I18" i="28" s="1"/>
  <c r="J18" i="28" s="1"/>
  <c r="K18" i="28" s="1"/>
  <c r="L18" i="28" s="1"/>
  <c r="M18" i="28" s="1"/>
  <c r="N18" i="28" s="1"/>
  <c r="O18" i="28" s="1"/>
  <c r="J14" i="19"/>
  <c r="I14" i="19"/>
  <c r="H14" i="19"/>
  <c r="O17" i="19"/>
  <c r="N17" i="19"/>
  <c r="K17" i="19"/>
  <c r="J17" i="19"/>
  <c r="H17" i="19"/>
  <c r="G17" i="19"/>
  <c r="F17" i="19"/>
  <c r="O14" i="19"/>
  <c r="M14" i="19"/>
  <c r="F14" i="19"/>
  <c r="E14" i="19"/>
  <c r="O10" i="19"/>
  <c r="N10" i="19"/>
  <c r="L10" i="19"/>
  <c r="K10" i="19"/>
  <c r="H10" i="19"/>
  <c r="G10" i="19"/>
  <c r="F10" i="19"/>
  <c r="O7" i="19"/>
  <c r="N7" i="19"/>
  <c r="K7" i="19"/>
  <c r="J7" i="19"/>
  <c r="G7" i="19"/>
  <c r="F7" i="19"/>
  <c r="L14" i="15"/>
  <c r="H14" i="15"/>
  <c r="G14" i="15"/>
  <c r="M14" i="15"/>
  <c r="K14" i="15"/>
  <c r="F14" i="15"/>
  <c r="E14" i="15"/>
  <c r="N17" i="15"/>
  <c r="M17" i="15"/>
  <c r="J17" i="15"/>
  <c r="I17" i="15"/>
  <c r="F17" i="15"/>
  <c r="E17" i="15"/>
  <c r="N14" i="15"/>
  <c r="O10" i="15"/>
  <c r="R14" i="32" s="1"/>
  <c r="N10" i="15"/>
  <c r="Q14" i="32" s="1"/>
  <c r="L10" i="15"/>
  <c r="O14" i="32" s="1"/>
  <c r="I10" i="15"/>
  <c r="L14" i="32" s="1"/>
  <c r="H10" i="15"/>
  <c r="K14" i="32" s="1"/>
  <c r="G10" i="15"/>
  <c r="J14" i="32" s="1"/>
  <c r="F10" i="15"/>
  <c r="I14" i="32" s="1"/>
  <c r="N7" i="15"/>
  <c r="M7" i="15"/>
  <c r="K7" i="15"/>
  <c r="J7" i="15"/>
  <c r="I7" i="15"/>
  <c r="F7" i="15"/>
  <c r="E7" i="15"/>
  <c r="D14" i="15"/>
  <c r="E25" i="14"/>
  <c r="F25" i="14" s="1"/>
  <c r="G25" i="14" s="1"/>
  <c r="H25" i="14" s="1"/>
  <c r="I25" i="14" s="1"/>
  <c r="J25" i="14" s="1"/>
  <c r="K25" i="14" s="1"/>
  <c r="L25" i="14" s="1"/>
  <c r="M25" i="14" s="1"/>
  <c r="N25" i="14" s="1"/>
  <c r="O25" i="14" s="1"/>
  <c r="A7" i="12"/>
  <c r="A8" i="12" s="1"/>
  <c r="A9" i="12" s="1"/>
  <c r="A10" i="12" s="1"/>
  <c r="A11" i="12" s="1"/>
  <c r="A12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N13" i="23"/>
  <c r="I13" i="23"/>
  <c r="F13" i="23"/>
  <c r="E13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7" i="23"/>
  <c r="R7" i="33"/>
  <c r="R7" i="32" s="1"/>
  <c r="Q7" i="33"/>
  <c r="Q7" i="32" s="1"/>
  <c r="P7" i="33"/>
  <c r="P7" i="32" s="1"/>
  <c r="O7" i="33"/>
  <c r="O7" i="32" s="1"/>
  <c r="N7" i="33"/>
  <c r="N7" i="32" s="1"/>
  <c r="M7" i="33"/>
  <c r="M7" i="32" s="1"/>
  <c r="L7" i="33"/>
  <c r="L7" i="32" s="1"/>
  <c r="K7" i="33"/>
  <c r="K7" i="32" s="1"/>
  <c r="J7" i="33"/>
  <c r="J7" i="32" s="1"/>
  <c r="I7" i="33"/>
  <c r="I7" i="32" s="1"/>
  <c r="H7" i="33"/>
  <c r="H7" i="32" s="1"/>
  <c r="G7" i="33"/>
  <c r="G7" i="32" s="1"/>
  <c r="F7" i="33"/>
  <c r="F7" i="32" s="1"/>
  <c r="F35" i="32"/>
  <c r="F29" i="32"/>
  <c r="F26" i="32"/>
  <c r="F25" i="32"/>
  <c r="F20" i="32"/>
  <c r="F19" i="32"/>
  <c r="F8" i="32"/>
  <c r="F10" i="32"/>
  <c r="A3" i="28"/>
  <c r="A3" i="23"/>
  <c r="A3" i="19"/>
  <c r="A3" i="15"/>
  <c r="A3" i="14"/>
  <c r="A3" i="12"/>
  <c r="A4" i="33"/>
  <c r="D8" i="33"/>
  <c r="A9" i="33"/>
  <c r="A10" i="33"/>
  <c r="A11" i="33" s="1"/>
  <c r="A12" i="33" s="1"/>
  <c r="D10" i="33"/>
  <c r="E21" i="23" l="1"/>
  <c r="I21" i="23"/>
  <c r="M21" i="23"/>
  <c r="I17" i="23"/>
  <c r="K21" i="23"/>
  <c r="G21" i="23"/>
  <c r="O21" i="23"/>
  <c r="G9" i="23"/>
  <c r="K9" i="23"/>
  <c r="H21" i="23"/>
  <c r="L21" i="23"/>
  <c r="H17" i="23"/>
  <c r="L17" i="23"/>
  <c r="M13" i="23"/>
  <c r="E17" i="23"/>
  <c r="E54" i="23"/>
  <c r="E61" i="23" s="1"/>
  <c r="H17" i="15"/>
  <c r="L7" i="19"/>
  <c r="N14" i="19"/>
  <c r="E17" i="19"/>
  <c r="I17" i="19"/>
  <c r="M17" i="19"/>
  <c r="E9" i="23"/>
  <c r="I9" i="23"/>
  <c r="M9" i="23"/>
  <c r="J13" i="23"/>
  <c r="F17" i="23"/>
  <c r="J17" i="23"/>
  <c r="N17" i="23"/>
  <c r="L17" i="15"/>
  <c r="O14" i="15"/>
  <c r="J14" i="15"/>
  <c r="E7" i="19"/>
  <c r="I7" i="19"/>
  <c r="M7" i="19"/>
  <c r="H7" i="19"/>
  <c r="F9" i="23"/>
  <c r="J9" i="23"/>
  <c r="N9" i="23"/>
  <c r="G13" i="23"/>
  <c r="K13" i="23"/>
  <c r="O13" i="23"/>
  <c r="C49" i="23"/>
  <c r="D54" i="23"/>
  <c r="D61" i="23" s="1"/>
  <c r="H7" i="15"/>
  <c r="L7" i="15"/>
  <c r="J10" i="15"/>
  <c r="M14" i="32" s="1"/>
  <c r="O9" i="23"/>
  <c r="M17" i="23"/>
  <c r="C50" i="23"/>
  <c r="C51" i="23"/>
  <c r="K10" i="15"/>
  <c r="N14" i="32" s="1"/>
  <c r="I54" i="23"/>
  <c r="I61" i="23" s="1"/>
  <c r="M54" i="23"/>
  <c r="M61" i="23" s="1"/>
  <c r="K14" i="19"/>
  <c r="G17" i="23"/>
  <c r="K17" i="23"/>
  <c r="O17" i="23"/>
  <c r="F21" i="23"/>
  <c r="J21" i="23"/>
  <c r="N21" i="23"/>
  <c r="F54" i="23"/>
  <c r="J54" i="23"/>
  <c r="J61" i="23" s="1"/>
  <c r="N54" i="23"/>
  <c r="N61" i="23" s="1"/>
  <c r="G7" i="15"/>
  <c r="O7" i="15"/>
  <c r="G17" i="15"/>
  <c r="K17" i="15"/>
  <c r="O17" i="15"/>
  <c r="E10" i="19"/>
  <c r="I10" i="19"/>
  <c r="M10" i="19"/>
  <c r="L14" i="19"/>
  <c r="E10" i="15"/>
  <c r="H14" i="32" s="1"/>
  <c r="M10" i="15"/>
  <c r="P14" i="32" s="1"/>
  <c r="J10" i="19"/>
  <c r="L17" i="19"/>
  <c r="C8" i="28"/>
  <c r="C13" i="15"/>
  <c r="C10" i="28"/>
  <c r="G14" i="19"/>
  <c r="I14" i="15"/>
  <c r="L54" i="23"/>
  <c r="C52" i="23"/>
  <c r="K54" i="23"/>
  <c r="K61" i="23" s="1"/>
  <c r="O54" i="23"/>
  <c r="O61" i="23" s="1"/>
  <c r="G54" i="23"/>
  <c r="G61" i="23" s="1"/>
  <c r="H54" i="23"/>
  <c r="H61" i="23" s="1"/>
  <c r="C53" i="23"/>
  <c r="H9" i="23"/>
  <c r="L9" i="23"/>
  <c r="H13" i="23"/>
  <c r="L13" i="23"/>
  <c r="F55" i="23" l="1"/>
  <c r="F10" i="23" s="1"/>
  <c r="F61" i="23"/>
  <c r="L60" i="23"/>
  <c r="L61" i="23"/>
  <c r="H55" i="23"/>
  <c r="H10" i="23" s="1"/>
  <c r="G55" i="23"/>
  <c r="G10" i="23" s="1"/>
  <c r="L55" i="23"/>
  <c r="L7" i="28" s="1"/>
  <c r="J55" i="23"/>
  <c r="J7" i="28" s="1"/>
  <c r="I55" i="23"/>
  <c r="O55" i="23"/>
  <c r="O7" i="28" s="1"/>
  <c r="M55" i="23"/>
  <c r="M7" i="28" s="1"/>
  <c r="E55" i="23"/>
  <c r="K55" i="23"/>
  <c r="K7" i="28" s="1"/>
  <c r="N55" i="23"/>
  <c r="M10" i="23"/>
  <c r="C54" i="23"/>
  <c r="H7" i="28" l="1"/>
  <c r="F7" i="28"/>
  <c r="L10" i="23"/>
  <c r="K10" i="23"/>
  <c r="G7" i="28"/>
  <c r="O10" i="23"/>
  <c r="J10" i="23"/>
  <c r="N10" i="23"/>
  <c r="N7" i="28"/>
  <c r="E7" i="28"/>
  <c r="E10" i="23"/>
  <c r="I7" i="28"/>
  <c r="I10" i="23"/>
  <c r="A13" i="33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5" i="32"/>
  <c r="A3" i="32"/>
  <c r="R31" i="32" l="1"/>
  <c r="Q31" i="32"/>
  <c r="P31" i="32"/>
  <c r="O31" i="32"/>
  <c r="N31" i="32"/>
  <c r="M31" i="32"/>
  <c r="L31" i="32"/>
  <c r="K31" i="32"/>
  <c r="J31" i="32"/>
  <c r="I31" i="32"/>
  <c r="H31" i="32"/>
  <c r="G31" i="32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E13" i="28" l="1"/>
  <c r="D16" i="28"/>
  <c r="F31" i="32"/>
  <c r="C18" i="28"/>
  <c r="C6" i="28"/>
  <c r="L27" i="32"/>
  <c r="I27" i="32"/>
  <c r="M27" i="32"/>
  <c r="F13" i="28" l="1"/>
  <c r="E16" i="28"/>
  <c r="E19" i="28" s="1"/>
  <c r="A19" i="28"/>
  <c r="A20" i="28" s="1"/>
  <c r="A21" i="28" s="1"/>
  <c r="A22" i="28" s="1"/>
  <c r="A23" i="28" s="1"/>
  <c r="R27" i="32"/>
  <c r="H27" i="32"/>
  <c r="P27" i="32"/>
  <c r="J27" i="32"/>
  <c r="K27" i="32"/>
  <c r="N27" i="32"/>
  <c r="G27" i="32"/>
  <c r="Q27" i="32"/>
  <c r="D19" i="28"/>
  <c r="G13" i="28" l="1"/>
  <c r="F16" i="28"/>
  <c r="F19" i="28" s="1"/>
  <c r="F22" i="28" s="1"/>
  <c r="F27" i="32"/>
  <c r="O27" i="32"/>
  <c r="E22" i="28"/>
  <c r="H31" i="33"/>
  <c r="D22" i="28"/>
  <c r="G31" i="33"/>
  <c r="I31" i="33" l="1"/>
  <c r="H13" i="28"/>
  <c r="G16" i="28"/>
  <c r="G19" i="28" s="1"/>
  <c r="G27" i="33"/>
  <c r="I13" i="28" l="1"/>
  <c r="H16" i="28"/>
  <c r="H19" i="28" s="1"/>
  <c r="J31" i="33"/>
  <c r="G22" i="28"/>
  <c r="H27" i="33"/>
  <c r="I27" i="33"/>
  <c r="C17" i="28"/>
  <c r="J13" i="28" l="1"/>
  <c r="I16" i="28"/>
  <c r="I19" i="28" s="1"/>
  <c r="H22" i="28"/>
  <c r="K31" i="33"/>
  <c r="J27" i="33"/>
  <c r="K13" i="28" l="1"/>
  <c r="J16" i="28"/>
  <c r="J19" i="28" s="1"/>
  <c r="I22" i="28"/>
  <c r="L31" i="33"/>
  <c r="K27" i="33"/>
  <c r="L13" i="28" l="1"/>
  <c r="K16" i="28"/>
  <c r="J22" i="28"/>
  <c r="M31" i="33"/>
  <c r="L27" i="33"/>
  <c r="M13" i="28" l="1"/>
  <c r="L16" i="28"/>
  <c r="L19" i="28" s="1"/>
  <c r="K19" i="28"/>
  <c r="M27" i="33"/>
  <c r="N13" i="28" l="1"/>
  <c r="M16" i="28"/>
  <c r="M19" i="28" s="1"/>
  <c r="K22" i="28"/>
  <c r="N31" i="33"/>
  <c r="O31" i="33"/>
  <c r="N27" i="33"/>
  <c r="O13" i="28" l="1"/>
  <c r="O16" i="28" s="1"/>
  <c r="O19" i="28" s="1"/>
  <c r="N16" i="28"/>
  <c r="N19" i="28" s="1"/>
  <c r="P31" i="33"/>
  <c r="M22" i="28"/>
  <c r="O27" i="33"/>
  <c r="C16" i="28" l="1"/>
  <c r="C19" i="28" s="1"/>
  <c r="N22" i="28"/>
  <c r="Q31" i="33"/>
  <c r="O22" i="28"/>
  <c r="R31" i="33"/>
  <c r="P27" i="33"/>
  <c r="F31" i="33" l="1"/>
  <c r="Q27" i="33"/>
  <c r="R27" i="33" l="1"/>
  <c r="F27" i="33" l="1"/>
  <c r="K23" i="32"/>
  <c r="O23" i="32"/>
  <c r="I23" i="32"/>
  <c r="Q23" i="32"/>
  <c r="J23" i="32"/>
  <c r="N23" i="32"/>
  <c r="R23" i="32"/>
  <c r="M23" i="32"/>
  <c r="L23" i="32"/>
  <c r="C7" i="23"/>
  <c r="C8" i="23"/>
  <c r="C11" i="23"/>
  <c r="C12" i="23"/>
  <c r="C20" i="23"/>
  <c r="C15" i="23"/>
  <c r="C16" i="23"/>
  <c r="D9" i="23"/>
  <c r="C6" i="23"/>
  <c r="D17" i="23"/>
  <c r="D13" i="23"/>
  <c r="C19" i="23"/>
  <c r="D21" i="23"/>
  <c r="G23" i="32" l="1"/>
  <c r="D55" i="23"/>
  <c r="P23" i="32"/>
  <c r="H23" i="32"/>
  <c r="C9" i="23"/>
  <c r="C13" i="23"/>
  <c r="C17" i="23"/>
  <c r="C21" i="23"/>
  <c r="D10" i="23" l="1"/>
  <c r="D7" i="28"/>
  <c r="F23" i="32"/>
  <c r="N18" i="32" l="1"/>
  <c r="N21" i="32" s="1"/>
  <c r="E22" i="19" l="1"/>
  <c r="D29" i="19"/>
  <c r="C39" i="23"/>
  <c r="J18" i="32"/>
  <c r="J21" i="32" s="1"/>
  <c r="K18" i="32"/>
  <c r="K21" i="32" s="1"/>
  <c r="C12" i="19"/>
  <c r="L18" i="32"/>
  <c r="L21" i="32" s="1"/>
  <c r="M18" i="32"/>
  <c r="M21" i="32" s="1"/>
  <c r="R18" i="32"/>
  <c r="R21" i="32" s="1"/>
  <c r="P18" i="32"/>
  <c r="P21" i="32" s="1"/>
  <c r="Q18" i="32"/>
  <c r="Q21" i="32" s="1"/>
  <c r="O18" i="32"/>
  <c r="O21" i="32" s="1"/>
  <c r="I18" i="32"/>
  <c r="I21" i="32" s="1"/>
  <c r="H18" i="32"/>
  <c r="H21" i="32" s="1"/>
  <c r="A7" i="19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24" i="19" l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E24" i="19"/>
  <c r="D31" i="19"/>
  <c r="F22" i="19"/>
  <c r="E29" i="19"/>
  <c r="E20" i="19"/>
  <c r="D27" i="19"/>
  <c r="E21" i="19"/>
  <c r="D28" i="19"/>
  <c r="E22" i="15"/>
  <c r="D29" i="15"/>
  <c r="E23" i="19"/>
  <c r="D30" i="19"/>
  <c r="C9" i="19"/>
  <c r="D10" i="19"/>
  <c r="G18" i="32" s="1"/>
  <c r="C6" i="19"/>
  <c r="C13" i="19"/>
  <c r="D17" i="19"/>
  <c r="D7" i="19"/>
  <c r="C16" i="19"/>
  <c r="F22" i="15" l="1"/>
  <c r="E29" i="15"/>
  <c r="F24" i="19"/>
  <c r="E31" i="19"/>
  <c r="F23" i="19"/>
  <c r="E30" i="19"/>
  <c r="F21" i="19"/>
  <c r="E28" i="19"/>
  <c r="G22" i="19"/>
  <c r="F29" i="19"/>
  <c r="F20" i="19"/>
  <c r="E27" i="19"/>
  <c r="F18" i="32"/>
  <c r="F21" i="32" s="1"/>
  <c r="G21" i="32"/>
  <c r="C14" i="19"/>
  <c r="C7" i="19"/>
  <c r="C17" i="19"/>
  <c r="D32" i="19"/>
  <c r="G18" i="33" s="1"/>
  <c r="C10" i="19"/>
  <c r="E32" i="19" l="1"/>
  <c r="H22" i="19"/>
  <c r="G29" i="19"/>
  <c r="G20" i="19"/>
  <c r="F27" i="19"/>
  <c r="G21" i="19"/>
  <c r="F28" i="19"/>
  <c r="G24" i="19"/>
  <c r="F31" i="19"/>
  <c r="G23" i="19"/>
  <c r="F30" i="19"/>
  <c r="G22" i="15"/>
  <c r="F29" i="15"/>
  <c r="C12" i="15"/>
  <c r="G21" i="33"/>
  <c r="D35" i="19"/>
  <c r="H23" i="19" l="1"/>
  <c r="G30" i="19"/>
  <c r="H21" i="19"/>
  <c r="G28" i="19"/>
  <c r="I22" i="19"/>
  <c r="H29" i="19"/>
  <c r="H22" i="15"/>
  <c r="G29" i="15"/>
  <c r="H24" i="19"/>
  <c r="G31" i="19"/>
  <c r="H20" i="19"/>
  <c r="G27" i="19"/>
  <c r="F32" i="19"/>
  <c r="I18" i="33" s="1"/>
  <c r="E35" i="19"/>
  <c r="H18" i="33"/>
  <c r="F35" i="19" l="1"/>
  <c r="G32" i="19"/>
  <c r="G35" i="19" s="1"/>
  <c r="I20" i="19"/>
  <c r="H27" i="19"/>
  <c r="I22" i="15"/>
  <c r="H29" i="15"/>
  <c r="I21" i="19"/>
  <c r="H28" i="19"/>
  <c r="I24" i="19"/>
  <c r="H31" i="19"/>
  <c r="J22" i="19"/>
  <c r="I29" i="19"/>
  <c r="I23" i="19"/>
  <c r="H30" i="19"/>
  <c r="H21" i="33"/>
  <c r="I21" i="33"/>
  <c r="J18" i="33" l="1"/>
  <c r="J21" i="33" s="1"/>
  <c r="H32" i="19"/>
  <c r="H35" i="19" s="1"/>
  <c r="J21" i="19"/>
  <c r="I28" i="19"/>
  <c r="J23" i="19"/>
  <c r="I30" i="19"/>
  <c r="J24" i="19"/>
  <c r="I31" i="19"/>
  <c r="K22" i="19"/>
  <c r="J29" i="19"/>
  <c r="J22" i="15"/>
  <c r="I29" i="15"/>
  <c r="J20" i="19"/>
  <c r="I27" i="19"/>
  <c r="K18" i="33" l="1"/>
  <c r="K21" i="33" s="1"/>
  <c r="I32" i="19"/>
  <c r="K24" i="19"/>
  <c r="J31" i="19"/>
  <c r="K21" i="19"/>
  <c r="J28" i="19"/>
  <c r="K20" i="19"/>
  <c r="J27" i="19"/>
  <c r="K22" i="15"/>
  <c r="J29" i="15"/>
  <c r="L22" i="19"/>
  <c r="K29" i="19"/>
  <c r="K23" i="19"/>
  <c r="J30" i="19"/>
  <c r="M22" i="19" l="1"/>
  <c r="L29" i="19"/>
  <c r="L20" i="19"/>
  <c r="K27" i="19"/>
  <c r="L24" i="19"/>
  <c r="K31" i="19"/>
  <c r="J32" i="19"/>
  <c r="L23" i="19"/>
  <c r="K30" i="19"/>
  <c r="L22" i="15"/>
  <c r="K29" i="15"/>
  <c r="L21" i="19"/>
  <c r="K28" i="19"/>
  <c r="L18" i="33"/>
  <c r="L21" i="33" s="1"/>
  <c r="I35" i="19"/>
  <c r="K32" i="19" l="1"/>
  <c r="N18" i="33" s="1"/>
  <c r="N21" i="33" s="1"/>
  <c r="M21" i="19"/>
  <c r="L28" i="19"/>
  <c r="M23" i="19"/>
  <c r="L30" i="19"/>
  <c r="M22" i="15"/>
  <c r="L29" i="15"/>
  <c r="J35" i="19"/>
  <c r="M18" i="33"/>
  <c r="M21" i="33" s="1"/>
  <c r="M20" i="19"/>
  <c r="L27" i="19"/>
  <c r="M24" i="19"/>
  <c r="L31" i="19"/>
  <c r="N22" i="19"/>
  <c r="M29" i="19"/>
  <c r="K35" i="19" l="1"/>
  <c r="N22" i="15"/>
  <c r="M29" i="15"/>
  <c r="O22" i="19"/>
  <c r="O29" i="19" s="1"/>
  <c r="N29" i="19"/>
  <c r="N20" i="19"/>
  <c r="M27" i="19"/>
  <c r="N23" i="19"/>
  <c r="M30" i="19"/>
  <c r="N24" i="19"/>
  <c r="M31" i="19"/>
  <c r="N21" i="19"/>
  <c r="M28" i="19"/>
  <c r="L32" i="19"/>
  <c r="C29" i="19" l="1"/>
  <c r="O18" i="33"/>
  <c r="O21" i="33" s="1"/>
  <c r="L35" i="19"/>
  <c r="O24" i="19"/>
  <c r="O31" i="19" s="1"/>
  <c r="N31" i="19"/>
  <c r="O20" i="19"/>
  <c r="O27" i="19" s="1"/>
  <c r="N27" i="19"/>
  <c r="O22" i="15"/>
  <c r="O29" i="15" s="1"/>
  <c r="N29" i="15"/>
  <c r="O21" i="19"/>
  <c r="O28" i="19" s="1"/>
  <c r="N28" i="19"/>
  <c r="O23" i="19"/>
  <c r="O30" i="19" s="1"/>
  <c r="N30" i="19"/>
  <c r="M32" i="19"/>
  <c r="A7" i="15"/>
  <c r="A8" i="15" s="1"/>
  <c r="A9" i="15" s="1"/>
  <c r="A10" i="15" s="1"/>
  <c r="A11" i="15" s="1"/>
  <c r="A12" i="15" s="1"/>
  <c r="A7" i="14"/>
  <c r="A8" i="14" s="1"/>
  <c r="A13" i="15" l="1"/>
  <c r="C31" i="19"/>
  <c r="C28" i="19"/>
  <c r="E16" i="12"/>
  <c r="D22" i="12"/>
  <c r="E21" i="15"/>
  <c r="D28" i="15"/>
  <c r="O32" i="19"/>
  <c r="C27" i="19"/>
  <c r="E18" i="12"/>
  <c r="D24" i="12"/>
  <c r="E26" i="14"/>
  <c r="D35" i="14"/>
  <c r="E27" i="14"/>
  <c r="D36" i="14"/>
  <c r="E24" i="15"/>
  <c r="D31" i="15"/>
  <c r="C30" i="19"/>
  <c r="E23" i="15"/>
  <c r="D30" i="15"/>
  <c r="E17" i="12"/>
  <c r="D23" i="12"/>
  <c r="E15" i="12"/>
  <c r="D21" i="12"/>
  <c r="E28" i="14"/>
  <c r="D37" i="14"/>
  <c r="E20" i="15"/>
  <c r="D27" i="15"/>
  <c r="P18" i="33"/>
  <c r="P21" i="33" s="1"/>
  <c r="M35" i="19"/>
  <c r="N32" i="19"/>
  <c r="E24" i="14"/>
  <c r="E22" i="14"/>
  <c r="D31" i="14"/>
  <c r="A9" i="14"/>
  <c r="A10" i="14" s="1"/>
  <c r="A11" i="14" s="1"/>
  <c r="A12" i="14" s="1"/>
  <c r="A13" i="14" s="1"/>
  <c r="L19" i="14"/>
  <c r="D7" i="14"/>
  <c r="D10" i="14" s="1"/>
  <c r="D11" i="14" s="1"/>
  <c r="G7" i="14"/>
  <c r="G9" i="14" s="1"/>
  <c r="G11" i="14" s="1"/>
  <c r="K7" i="14"/>
  <c r="K9" i="14" s="1"/>
  <c r="K11" i="14" s="1"/>
  <c r="O7" i="14"/>
  <c r="O10" i="14" s="1"/>
  <c r="O11" i="14" s="1"/>
  <c r="F19" i="14"/>
  <c r="J19" i="14"/>
  <c r="N19" i="14"/>
  <c r="G19" i="14"/>
  <c r="K19" i="14"/>
  <c r="O19" i="14"/>
  <c r="H19" i="14"/>
  <c r="F16" i="14"/>
  <c r="N16" i="14"/>
  <c r="H16" i="14"/>
  <c r="L7" i="14"/>
  <c r="L9" i="14" s="1"/>
  <c r="L11" i="14" s="1"/>
  <c r="F8" i="12"/>
  <c r="J8" i="12"/>
  <c r="N8" i="12"/>
  <c r="H8" i="12"/>
  <c r="L8" i="12"/>
  <c r="E19" i="14"/>
  <c r="I19" i="14"/>
  <c r="M19" i="14"/>
  <c r="F7" i="14"/>
  <c r="F10" i="14" s="1"/>
  <c r="F11" i="14" s="1"/>
  <c r="J7" i="14"/>
  <c r="J9" i="14" s="1"/>
  <c r="J11" i="14" s="1"/>
  <c r="N7" i="14"/>
  <c r="N10" i="14" s="1"/>
  <c r="N11" i="14" s="1"/>
  <c r="J16" i="14"/>
  <c r="L16" i="14"/>
  <c r="H7" i="14"/>
  <c r="H9" i="14" s="1"/>
  <c r="H11" i="14" s="1"/>
  <c r="E8" i="12"/>
  <c r="I8" i="12"/>
  <c r="M8" i="12"/>
  <c r="G8" i="12"/>
  <c r="K8" i="12"/>
  <c r="O8" i="12"/>
  <c r="N12" i="12"/>
  <c r="G16" i="14"/>
  <c r="K16" i="14"/>
  <c r="O16" i="14"/>
  <c r="C14" i="14"/>
  <c r="I16" i="14"/>
  <c r="M16" i="14"/>
  <c r="E7" i="14"/>
  <c r="E10" i="14" s="1"/>
  <c r="E11" i="14" s="1"/>
  <c r="I7" i="14"/>
  <c r="I9" i="14" s="1"/>
  <c r="I11" i="14" s="1"/>
  <c r="M7" i="14"/>
  <c r="M10" i="14" s="1"/>
  <c r="M11" i="14" s="1"/>
  <c r="C16" i="15"/>
  <c r="C6" i="15"/>
  <c r="D7" i="15"/>
  <c r="C9" i="15"/>
  <c r="D10" i="15"/>
  <c r="G14" i="32" s="1"/>
  <c r="D17" i="15"/>
  <c r="E23" i="14"/>
  <c r="F23" i="14" s="1"/>
  <c r="G23" i="14" s="1"/>
  <c r="E16" i="14"/>
  <c r="C18" i="14"/>
  <c r="C6" i="14"/>
  <c r="D16" i="14"/>
  <c r="C15" i="14"/>
  <c r="D19" i="14"/>
  <c r="C10" i="12"/>
  <c r="F12" i="12"/>
  <c r="C6" i="12"/>
  <c r="H12" i="12"/>
  <c r="K12" i="32" s="1"/>
  <c r="C11" i="12"/>
  <c r="E12" i="12"/>
  <c r="H12" i="32" s="1"/>
  <c r="I12" i="12"/>
  <c r="L12" i="32" s="1"/>
  <c r="C7" i="12"/>
  <c r="M12" i="12"/>
  <c r="D8" i="12"/>
  <c r="D12" i="12"/>
  <c r="G12" i="32" s="1"/>
  <c r="G12" i="12"/>
  <c r="J12" i="32" s="1"/>
  <c r="K12" i="12"/>
  <c r="N12" i="32" s="1"/>
  <c r="O12" i="12"/>
  <c r="R12" i="32" s="1"/>
  <c r="J12" i="12"/>
  <c r="L12" i="12"/>
  <c r="O12" i="32" s="1"/>
  <c r="D33" i="14" l="1"/>
  <c r="C32" i="19"/>
  <c r="J34" i="14"/>
  <c r="F20" i="15"/>
  <c r="E27" i="15"/>
  <c r="F23" i="15"/>
  <c r="E30" i="15"/>
  <c r="F16" i="12"/>
  <c r="E22" i="12"/>
  <c r="F27" i="14"/>
  <c r="E36" i="14"/>
  <c r="F18" i="12"/>
  <c r="E24" i="12"/>
  <c r="H23" i="14"/>
  <c r="G32" i="14"/>
  <c r="L34" i="14"/>
  <c r="O34" i="14"/>
  <c r="F28" i="14"/>
  <c r="E37" i="14"/>
  <c r="F17" i="12"/>
  <c r="E23" i="12"/>
  <c r="F21" i="15"/>
  <c r="E28" i="15"/>
  <c r="I34" i="14"/>
  <c r="H34" i="14"/>
  <c r="G34" i="14"/>
  <c r="Q18" i="33"/>
  <c r="Q21" i="33" s="1"/>
  <c r="N35" i="19"/>
  <c r="F15" i="12"/>
  <c r="E21" i="12"/>
  <c r="E34" i="14"/>
  <c r="E32" i="14"/>
  <c r="F34" i="14"/>
  <c r="F32" i="14"/>
  <c r="F22" i="14"/>
  <c r="E31" i="14"/>
  <c r="M34" i="14"/>
  <c r="F24" i="14"/>
  <c r="E33" i="14"/>
  <c r="F24" i="15"/>
  <c r="E31" i="15"/>
  <c r="F26" i="14"/>
  <c r="E35" i="14"/>
  <c r="R18" i="33"/>
  <c r="O35" i="19"/>
  <c r="C10" i="14"/>
  <c r="D32" i="14"/>
  <c r="D34" i="14"/>
  <c r="C9" i="14"/>
  <c r="I12" i="14"/>
  <c r="L13" i="32" s="1"/>
  <c r="L16" i="32" s="1"/>
  <c r="A14" i="14"/>
  <c r="A15" i="14" s="1"/>
  <c r="A16" i="14" s="1"/>
  <c r="A17" i="14" s="1"/>
  <c r="A18" i="14" s="1"/>
  <c r="A19" i="14" s="1"/>
  <c r="F14" i="32"/>
  <c r="Q12" i="32"/>
  <c r="P12" i="32"/>
  <c r="M12" i="32"/>
  <c r="I12" i="32"/>
  <c r="C19" i="14"/>
  <c r="C7" i="15"/>
  <c r="C17" i="15"/>
  <c r="C10" i="15"/>
  <c r="D32" i="15"/>
  <c r="G14" i="33" s="1"/>
  <c r="C14" i="15"/>
  <c r="C16" i="14"/>
  <c r="C7" i="14"/>
  <c r="C12" i="12"/>
  <c r="C8" i="12"/>
  <c r="D25" i="12"/>
  <c r="H12" i="14" l="1"/>
  <c r="K13" i="32" s="1"/>
  <c r="K16" i="32" s="1"/>
  <c r="G12" i="14"/>
  <c r="J13" i="32" s="1"/>
  <c r="J16" i="32" s="1"/>
  <c r="M12" i="14"/>
  <c r="P13" i="32" s="1"/>
  <c r="P16" i="32" s="1"/>
  <c r="J12" i="14"/>
  <c r="M13" i="32" s="1"/>
  <c r="M16" i="32" s="1"/>
  <c r="O12" i="14"/>
  <c r="R13" i="32" s="1"/>
  <c r="R16" i="32" s="1"/>
  <c r="F12" i="14"/>
  <c r="I13" i="32" s="1"/>
  <c r="I16" i="32" s="1"/>
  <c r="E38" i="14"/>
  <c r="H13" i="33" s="1"/>
  <c r="L12" i="14"/>
  <c r="O13" i="32" s="1"/>
  <c r="O16" i="32" s="1"/>
  <c r="G26" i="14"/>
  <c r="F35" i="14"/>
  <c r="G24" i="14"/>
  <c r="F33" i="14"/>
  <c r="N34" i="14"/>
  <c r="N12" i="14"/>
  <c r="Q13" i="32" s="1"/>
  <c r="Q16" i="32" s="1"/>
  <c r="I23" i="14"/>
  <c r="H32" i="14"/>
  <c r="G27" i="14"/>
  <c r="F36" i="14"/>
  <c r="G23" i="15"/>
  <c r="F30" i="15"/>
  <c r="G22" i="14"/>
  <c r="F31" i="14"/>
  <c r="G28" i="14"/>
  <c r="F37" i="14"/>
  <c r="F18" i="33"/>
  <c r="F21" i="33" s="1"/>
  <c r="R21" i="33"/>
  <c r="G24" i="15"/>
  <c r="F31" i="15"/>
  <c r="K34" i="14"/>
  <c r="K12" i="14"/>
  <c r="N13" i="32" s="1"/>
  <c r="N16" i="32" s="1"/>
  <c r="E25" i="12"/>
  <c r="H12" i="33" s="1"/>
  <c r="G18" i="12"/>
  <c r="F24" i="12"/>
  <c r="G16" i="12"/>
  <c r="F22" i="12"/>
  <c r="G20" i="15"/>
  <c r="F27" i="15"/>
  <c r="G21" i="15"/>
  <c r="F28" i="15"/>
  <c r="E32" i="15"/>
  <c r="H14" i="33" s="1"/>
  <c r="E12" i="14"/>
  <c r="H13" i="32" s="1"/>
  <c r="H16" i="32" s="1"/>
  <c r="G15" i="12"/>
  <c r="F21" i="12"/>
  <c r="G17" i="12"/>
  <c r="F23" i="12"/>
  <c r="D38" i="14"/>
  <c r="G13" i="33" s="1"/>
  <c r="C11" i="14"/>
  <c r="C12" i="14" s="1"/>
  <c r="D12" i="14"/>
  <c r="G13" i="32" s="1"/>
  <c r="F12" i="32"/>
  <c r="D28" i="12"/>
  <c r="G12" i="33"/>
  <c r="D35" i="15"/>
  <c r="D19" i="32"/>
  <c r="D19" i="33"/>
  <c r="D15" i="32"/>
  <c r="D15" i="33"/>
  <c r="F13" i="32" l="1"/>
  <c r="F25" i="12"/>
  <c r="F32" i="15"/>
  <c r="I14" i="33" s="1"/>
  <c r="E41" i="14"/>
  <c r="E28" i="12"/>
  <c r="F38" i="14"/>
  <c r="F41" i="14" s="1"/>
  <c r="H17" i="12"/>
  <c r="G23" i="12"/>
  <c r="H20" i="15"/>
  <c r="G27" i="15"/>
  <c r="H18" i="12"/>
  <c r="G24" i="12"/>
  <c r="H22" i="14"/>
  <c r="G31" i="14"/>
  <c r="H27" i="14"/>
  <c r="G36" i="14"/>
  <c r="H26" i="14"/>
  <c r="G35" i="14"/>
  <c r="H15" i="12"/>
  <c r="G21" i="12"/>
  <c r="H21" i="15"/>
  <c r="G28" i="15"/>
  <c r="H16" i="12"/>
  <c r="G22" i="12"/>
  <c r="H24" i="15"/>
  <c r="G31" i="15"/>
  <c r="H28" i="14"/>
  <c r="G37" i="14"/>
  <c r="H23" i="15"/>
  <c r="G30" i="15"/>
  <c r="J23" i="14"/>
  <c r="I32" i="14"/>
  <c r="H24" i="14"/>
  <c r="G33" i="14"/>
  <c r="D41" i="14"/>
  <c r="G16" i="32"/>
  <c r="F16" i="32"/>
  <c r="E35" i="15"/>
  <c r="D26" i="32"/>
  <c r="D26" i="33"/>
  <c r="G16" i="33"/>
  <c r="D10" i="32"/>
  <c r="I13" i="33" l="1"/>
  <c r="F28" i="12"/>
  <c r="I12" i="33"/>
  <c r="G25" i="12"/>
  <c r="K23" i="14"/>
  <c r="J32" i="14"/>
  <c r="I28" i="14"/>
  <c r="H37" i="14"/>
  <c r="I16" i="12"/>
  <c r="H22" i="12"/>
  <c r="I15" i="12"/>
  <c r="H21" i="12"/>
  <c r="I27" i="14"/>
  <c r="H36" i="14"/>
  <c r="I18" i="12"/>
  <c r="H24" i="12"/>
  <c r="I17" i="12"/>
  <c r="H23" i="12"/>
  <c r="G38" i="14"/>
  <c r="J13" i="33" s="1"/>
  <c r="G32" i="15"/>
  <c r="J14" i="33" s="1"/>
  <c r="I24" i="14"/>
  <c r="H33" i="14"/>
  <c r="I23" i="15"/>
  <c r="H30" i="15"/>
  <c r="I24" i="15"/>
  <c r="H31" i="15"/>
  <c r="I21" i="15"/>
  <c r="H28" i="15"/>
  <c r="I26" i="14"/>
  <c r="H35" i="14"/>
  <c r="I22" i="14"/>
  <c r="H31" i="14"/>
  <c r="I20" i="15"/>
  <c r="H27" i="15"/>
  <c r="E27" i="32"/>
  <c r="D25" i="32"/>
  <c r="H16" i="33"/>
  <c r="E27" i="33"/>
  <c r="D25" i="33"/>
  <c r="D35" i="33"/>
  <c r="D35" i="32"/>
  <c r="F35" i="15"/>
  <c r="D20" i="32"/>
  <c r="G41" i="14" l="1"/>
  <c r="H38" i="14"/>
  <c r="H41" i="14" s="1"/>
  <c r="H32" i="15"/>
  <c r="K14" i="33" s="1"/>
  <c r="J26" i="14"/>
  <c r="I35" i="14"/>
  <c r="J24" i="15"/>
  <c r="I31" i="15"/>
  <c r="J17" i="12"/>
  <c r="I23" i="12"/>
  <c r="J16" i="12"/>
  <c r="I22" i="12"/>
  <c r="J22" i="14"/>
  <c r="I31" i="14"/>
  <c r="J18" i="12"/>
  <c r="I24" i="12"/>
  <c r="J15" i="12"/>
  <c r="I21" i="12"/>
  <c r="J28" i="14"/>
  <c r="I37" i="14"/>
  <c r="J20" i="15"/>
  <c r="I27" i="15"/>
  <c r="J24" i="14"/>
  <c r="I33" i="14"/>
  <c r="J27" i="14"/>
  <c r="I36" i="14"/>
  <c r="L23" i="14"/>
  <c r="K32" i="14"/>
  <c r="H25" i="12"/>
  <c r="J21" i="15"/>
  <c r="I28" i="15"/>
  <c r="J23" i="15"/>
  <c r="I30" i="15"/>
  <c r="G28" i="12"/>
  <c r="J12" i="33"/>
  <c r="D29" i="32"/>
  <c r="D27" i="32"/>
  <c r="I16" i="33"/>
  <c r="D27" i="33"/>
  <c r="G35" i="15"/>
  <c r="D20" i="33"/>
  <c r="K13" i="33" l="1"/>
  <c r="I25" i="12"/>
  <c r="I28" i="12" s="1"/>
  <c r="M23" i="14"/>
  <c r="L32" i="14"/>
  <c r="K24" i="14"/>
  <c r="J33" i="14"/>
  <c r="K28" i="14"/>
  <c r="J37" i="14"/>
  <c r="K18" i="12"/>
  <c r="J24" i="12"/>
  <c r="K16" i="12"/>
  <c r="J22" i="12"/>
  <c r="K24" i="15"/>
  <c r="J31" i="15"/>
  <c r="K21" i="15"/>
  <c r="J28" i="15"/>
  <c r="I32" i="15"/>
  <c r="L14" i="33" s="1"/>
  <c r="L12" i="33"/>
  <c r="I38" i="14"/>
  <c r="L13" i="33" s="1"/>
  <c r="H28" i="12"/>
  <c r="K12" i="33"/>
  <c r="K27" i="14"/>
  <c r="J36" i="14"/>
  <c r="K20" i="15"/>
  <c r="J27" i="15"/>
  <c r="K15" i="12"/>
  <c r="J21" i="12"/>
  <c r="K22" i="14"/>
  <c r="J31" i="14"/>
  <c r="K17" i="12"/>
  <c r="J23" i="12"/>
  <c r="K26" i="14"/>
  <c r="J35" i="14"/>
  <c r="K23" i="15"/>
  <c r="J30" i="15"/>
  <c r="J16" i="33"/>
  <c r="H35" i="15"/>
  <c r="I41" i="14" l="1"/>
  <c r="L21" i="15"/>
  <c r="K28" i="15"/>
  <c r="N23" i="14"/>
  <c r="M32" i="14"/>
  <c r="L20" i="15"/>
  <c r="K27" i="15"/>
  <c r="J38" i="14"/>
  <c r="J41" i="14" s="1"/>
  <c r="L16" i="12"/>
  <c r="K22" i="12"/>
  <c r="L28" i="14"/>
  <c r="K37" i="14"/>
  <c r="L26" i="14"/>
  <c r="K35" i="14"/>
  <c r="L22" i="14"/>
  <c r="K31" i="14"/>
  <c r="J25" i="12"/>
  <c r="L24" i="15"/>
  <c r="K31" i="15"/>
  <c r="L18" i="12"/>
  <c r="K24" i="12"/>
  <c r="L24" i="14"/>
  <c r="K33" i="14"/>
  <c r="L23" i="15"/>
  <c r="K30" i="15"/>
  <c r="L17" i="12"/>
  <c r="K23" i="12"/>
  <c r="L15" i="12"/>
  <c r="K21" i="12"/>
  <c r="L27" i="14"/>
  <c r="K36" i="14"/>
  <c r="J32" i="15"/>
  <c r="M14" i="33" s="1"/>
  <c r="K16" i="33"/>
  <c r="I35" i="15"/>
  <c r="M18" i="12" l="1"/>
  <c r="L24" i="12"/>
  <c r="K38" i="14"/>
  <c r="K41" i="14" s="1"/>
  <c r="M13" i="33"/>
  <c r="M27" i="14"/>
  <c r="L36" i="14"/>
  <c r="M17" i="12"/>
  <c r="L23" i="12"/>
  <c r="M22" i="14"/>
  <c r="L31" i="14"/>
  <c r="M28" i="14"/>
  <c r="L37" i="14"/>
  <c r="O23" i="14"/>
  <c r="O32" i="14" s="1"/>
  <c r="N32" i="14"/>
  <c r="K25" i="12"/>
  <c r="M24" i="14"/>
  <c r="L33" i="14"/>
  <c r="M24" i="15"/>
  <c r="L31" i="15"/>
  <c r="K32" i="15"/>
  <c r="N14" i="33" s="1"/>
  <c r="M15" i="12"/>
  <c r="L21" i="12"/>
  <c r="M23" i="15"/>
  <c r="L30" i="15"/>
  <c r="M12" i="33"/>
  <c r="J28" i="12"/>
  <c r="M26" i="14"/>
  <c r="L35" i="14"/>
  <c r="M16" i="12"/>
  <c r="L22" i="12"/>
  <c r="M20" i="15"/>
  <c r="L27" i="15"/>
  <c r="M21" i="15"/>
  <c r="L28" i="15"/>
  <c r="M33" i="32"/>
  <c r="M37" i="32" s="1"/>
  <c r="R33" i="32"/>
  <c r="R37" i="32" s="1"/>
  <c r="N33" i="32"/>
  <c r="N37" i="32" s="1"/>
  <c r="J33" i="32"/>
  <c r="J37" i="32" s="1"/>
  <c r="I33" i="32"/>
  <c r="I37" i="32" s="1"/>
  <c r="Q33" i="32"/>
  <c r="Q37" i="32" s="1"/>
  <c r="J35" i="15"/>
  <c r="L16" i="33"/>
  <c r="C34" i="14"/>
  <c r="N13" i="33" l="1"/>
  <c r="L32" i="15"/>
  <c r="O14" i="33" s="1"/>
  <c r="N26" i="14"/>
  <c r="M35" i="14"/>
  <c r="N22" i="14"/>
  <c r="M31" i="14"/>
  <c r="N27" i="14"/>
  <c r="M36" i="14"/>
  <c r="N18" i="12"/>
  <c r="M24" i="12"/>
  <c r="L25" i="12"/>
  <c r="N21" i="15"/>
  <c r="M28" i="15"/>
  <c r="N16" i="12"/>
  <c r="M22" i="12"/>
  <c r="N15" i="12"/>
  <c r="M21" i="12"/>
  <c r="N24" i="15"/>
  <c r="M31" i="15"/>
  <c r="N12" i="33"/>
  <c r="K28" i="12"/>
  <c r="N28" i="14"/>
  <c r="M37" i="14"/>
  <c r="N17" i="12"/>
  <c r="M23" i="12"/>
  <c r="N20" i="15"/>
  <c r="M27" i="15"/>
  <c r="N23" i="15"/>
  <c r="M30" i="15"/>
  <c r="N24" i="14"/>
  <c r="M33" i="14"/>
  <c r="L38" i="14"/>
  <c r="L41" i="14" s="1"/>
  <c r="K33" i="32"/>
  <c r="K37" i="32" s="1"/>
  <c r="L33" i="32"/>
  <c r="L37" i="32" s="1"/>
  <c r="O33" i="32"/>
  <c r="O37" i="32" s="1"/>
  <c r="G33" i="32"/>
  <c r="G37" i="32" s="1"/>
  <c r="P33" i="32"/>
  <c r="P37" i="32" s="1"/>
  <c r="H33" i="32"/>
  <c r="H37" i="32" s="1"/>
  <c r="K35" i="15"/>
  <c r="M16" i="33"/>
  <c r="O13" i="33" l="1"/>
  <c r="M32" i="15"/>
  <c r="P14" i="33" s="1"/>
  <c r="O23" i="15"/>
  <c r="O30" i="15" s="1"/>
  <c r="N30" i="15"/>
  <c r="O17" i="12"/>
  <c r="O23" i="12" s="1"/>
  <c r="N23" i="12"/>
  <c r="O15" i="12"/>
  <c r="O21" i="12" s="1"/>
  <c r="N21" i="12"/>
  <c r="O21" i="15"/>
  <c r="O28" i="15" s="1"/>
  <c r="N28" i="15"/>
  <c r="L28" i="12"/>
  <c r="O12" i="33"/>
  <c r="O27" i="14"/>
  <c r="O36" i="14" s="1"/>
  <c r="N36" i="14"/>
  <c r="O26" i="14"/>
  <c r="O35" i="14" s="1"/>
  <c r="N35" i="14"/>
  <c r="O24" i="14"/>
  <c r="O33" i="14" s="1"/>
  <c r="N33" i="14"/>
  <c r="O20" i="15"/>
  <c r="O27" i="15" s="1"/>
  <c r="N27" i="15"/>
  <c r="O28" i="14"/>
  <c r="O37" i="14" s="1"/>
  <c r="N37" i="14"/>
  <c r="O24" i="15"/>
  <c r="O31" i="15" s="1"/>
  <c r="N31" i="15"/>
  <c r="O16" i="12"/>
  <c r="O22" i="12" s="1"/>
  <c r="N22" i="12"/>
  <c r="M38" i="14"/>
  <c r="M41" i="14" s="1"/>
  <c r="M25" i="12"/>
  <c r="O18" i="12"/>
  <c r="O24" i="12" s="1"/>
  <c r="N24" i="12"/>
  <c r="O22" i="14"/>
  <c r="O31" i="14" s="1"/>
  <c r="N31" i="14"/>
  <c r="L35" i="15"/>
  <c r="N16" i="33"/>
  <c r="C32" i="14"/>
  <c r="O38" i="14" l="1"/>
  <c r="R13" i="33" s="1"/>
  <c r="C35" i="14"/>
  <c r="C36" i="14"/>
  <c r="P13" i="33"/>
  <c r="C37" i="14"/>
  <c r="C33" i="14"/>
  <c r="N32" i="15"/>
  <c r="Q14" i="33" s="1"/>
  <c r="C23" i="12"/>
  <c r="O32" i="15"/>
  <c r="R14" i="33" s="1"/>
  <c r="O25" i="12"/>
  <c r="C21" i="12"/>
  <c r="C24" i="12"/>
  <c r="C22" i="12"/>
  <c r="N38" i="14"/>
  <c r="N41" i="14" s="1"/>
  <c r="C31" i="14"/>
  <c r="M28" i="12"/>
  <c r="P12" i="33"/>
  <c r="N25" i="12"/>
  <c r="F33" i="32"/>
  <c r="F37" i="32" s="1"/>
  <c r="D8" i="32"/>
  <c r="M35" i="15"/>
  <c r="O16" i="33"/>
  <c r="C27" i="15"/>
  <c r="C30" i="15"/>
  <c r="C31" i="15"/>
  <c r="C29" i="15"/>
  <c r="O41" i="14" l="1"/>
  <c r="C38" i="14"/>
  <c r="Q13" i="33"/>
  <c r="F13" i="33" s="1"/>
  <c r="N28" i="12"/>
  <c r="Q12" i="33"/>
  <c r="C25" i="12"/>
  <c r="R12" i="33"/>
  <c r="O28" i="12"/>
  <c r="P16" i="33"/>
  <c r="N35" i="15"/>
  <c r="C28" i="15"/>
  <c r="C32" i="15" s="1"/>
  <c r="F12" i="33" l="1"/>
  <c r="Q16" i="33"/>
  <c r="O35" i="15"/>
  <c r="F14" i="33" l="1"/>
  <c r="R16" i="33"/>
  <c r="F16" i="33" l="1"/>
  <c r="D29" i="33" l="1"/>
  <c r="D57" i="23" l="1"/>
  <c r="D58" i="23"/>
  <c r="D60" i="23"/>
  <c r="D59" i="23"/>
  <c r="C42" i="23" l="1"/>
  <c r="E23" i="32" s="1"/>
  <c r="D23" i="32" s="1"/>
  <c r="D62" i="23"/>
  <c r="D63" i="23" s="1"/>
  <c r="D27" i="12"/>
  <c r="G57" i="23"/>
  <c r="G60" i="23"/>
  <c r="G34" i="19" s="1"/>
  <c r="G36" i="19" s="1"/>
  <c r="G59" i="23"/>
  <c r="G34" i="15" s="1"/>
  <c r="G36" i="15" s="1"/>
  <c r="G58" i="23"/>
  <c r="G40" i="14" s="1"/>
  <c r="G42" i="14" s="1"/>
  <c r="G21" i="28"/>
  <c r="G23" i="28" s="1"/>
  <c r="H60" i="23"/>
  <c r="H34" i="19" s="1"/>
  <c r="H36" i="19" s="1"/>
  <c r="H21" i="28"/>
  <c r="H23" i="28" s="1"/>
  <c r="H57" i="23"/>
  <c r="H59" i="23"/>
  <c r="H34" i="15" s="1"/>
  <c r="H36" i="15" s="1"/>
  <c r="H58" i="23"/>
  <c r="H40" i="14" s="1"/>
  <c r="H42" i="14" s="1"/>
  <c r="O60" i="23"/>
  <c r="O34" i="19" s="1"/>
  <c r="O36" i="19" s="1"/>
  <c r="O59" i="23"/>
  <c r="O34" i="15" s="1"/>
  <c r="O36" i="15" s="1"/>
  <c r="O58" i="23"/>
  <c r="O40" i="14" s="1"/>
  <c r="O42" i="14" s="1"/>
  <c r="O57" i="23"/>
  <c r="O21" i="28"/>
  <c r="O23" i="28" s="1"/>
  <c r="E57" i="23"/>
  <c r="E59" i="23"/>
  <c r="E34" i="15" s="1"/>
  <c r="E36" i="15" s="1"/>
  <c r="E58" i="23"/>
  <c r="E40" i="14" s="1"/>
  <c r="E42" i="14" s="1"/>
  <c r="E21" i="28"/>
  <c r="E23" i="28" s="1"/>
  <c r="E60" i="23"/>
  <c r="E34" i="19" s="1"/>
  <c r="E36" i="19" s="1"/>
  <c r="D34" i="15"/>
  <c r="D21" i="28"/>
  <c r="D34" i="19"/>
  <c r="L57" i="23"/>
  <c r="L21" i="28"/>
  <c r="L23" i="28" s="1"/>
  <c r="L59" i="23"/>
  <c r="L34" i="15" s="1"/>
  <c r="L36" i="15" s="1"/>
  <c r="L34" i="19"/>
  <c r="L36" i="19" s="1"/>
  <c r="L58" i="23"/>
  <c r="L40" i="14" s="1"/>
  <c r="L42" i="14" s="1"/>
  <c r="N57" i="23"/>
  <c r="N59" i="23"/>
  <c r="N34" i="15" s="1"/>
  <c r="N36" i="15" s="1"/>
  <c r="N60" i="23"/>
  <c r="N34" i="19" s="1"/>
  <c r="N36" i="19" s="1"/>
  <c r="N58" i="23"/>
  <c r="N40" i="14" s="1"/>
  <c r="N42" i="14" s="1"/>
  <c r="N21" i="28"/>
  <c r="N23" i="28" s="1"/>
  <c r="I21" i="28"/>
  <c r="I23" i="28" s="1"/>
  <c r="I58" i="23"/>
  <c r="I40" i="14" s="1"/>
  <c r="I42" i="14" s="1"/>
  <c r="I57" i="23"/>
  <c r="I60" i="23"/>
  <c r="I34" i="19" s="1"/>
  <c r="I36" i="19" s="1"/>
  <c r="I59" i="23"/>
  <c r="I34" i="15" s="1"/>
  <c r="I36" i="15" s="1"/>
  <c r="K60" i="23"/>
  <c r="K34" i="19" s="1"/>
  <c r="K36" i="19" s="1"/>
  <c r="K59" i="23"/>
  <c r="K34" i="15" s="1"/>
  <c r="K36" i="15" s="1"/>
  <c r="K58" i="23"/>
  <c r="K40" i="14" s="1"/>
  <c r="K42" i="14" s="1"/>
  <c r="K57" i="23"/>
  <c r="K21" i="28"/>
  <c r="K23" i="28" s="1"/>
  <c r="M21" i="28"/>
  <c r="M23" i="28" s="1"/>
  <c r="M58" i="23"/>
  <c r="M40" i="14" s="1"/>
  <c r="M42" i="14" s="1"/>
  <c r="M57" i="23"/>
  <c r="M59" i="23"/>
  <c r="M34" i="15" s="1"/>
  <c r="M36" i="15" s="1"/>
  <c r="M60" i="23"/>
  <c r="M34" i="19" s="1"/>
  <c r="M36" i="19" s="1"/>
  <c r="F21" i="28"/>
  <c r="F23" i="28" s="1"/>
  <c r="F57" i="23"/>
  <c r="F58" i="23"/>
  <c r="F40" i="14" s="1"/>
  <c r="F42" i="14" s="1"/>
  <c r="F60" i="23"/>
  <c r="F34" i="19" s="1"/>
  <c r="F36" i="19" s="1"/>
  <c r="F59" i="23"/>
  <c r="F34" i="15" s="1"/>
  <c r="F36" i="15" s="1"/>
  <c r="J57" i="23"/>
  <c r="J58" i="23"/>
  <c r="J40" i="14" s="1"/>
  <c r="J42" i="14" s="1"/>
  <c r="J59" i="23"/>
  <c r="J34" i="15" s="1"/>
  <c r="J36" i="15" s="1"/>
  <c r="J21" i="28"/>
  <c r="J23" i="28" s="1"/>
  <c r="J60" i="23"/>
  <c r="J34" i="19" s="1"/>
  <c r="J36" i="19" s="1"/>
  <c r="D40" i="14"/>
  <c r="C57" i="23" l="1"/>
  <c r="K62" i="23"/>
  <c r="K63" i="23" s="1"/>
  <c r="K27" i="12"/>
  <c r="K29" i="12" s="1"/>
  <c r="I27" i="12"/>
  <c r="I29" i="12" s="1"/>
  <c r="I62" i="23"/>
  <c r="I63" i="23" s="1"/>
  <c r="N27" i="12"/>
  <c r="N29" i="12" s="1"/>
  <c r="N62" i="23"/>
  <c r="N63" i="23" s="1"/>
  <c r="C34" i="19"/>
  <c r="E18" i="32" s="1"/>
  <c r="D36" i="19"/>
  <c r="C36" i="19" s="1"/>
  <c r="E18" i="33" s="1"/>
  <c r="C34" i="15"/>
  <c r="E14" i="32" s="1"/>
  <c r="D14" i="32" s="1"/>
  <c r="D36" i="15"/>
  <c r="C36" i="15" s="1"/>
  <c r="E14" i="33" s="1"/>
  <c r="D14" i="33" s="1"/>
  <c r="O62" i="23"/>
  <c r="O63" i="23" s="1"/>
  <c r="O27" i="12"/>
  <c r="O29" i="12" s="1"/>
  <c r="C58" i="23"/>
  <c r="J27" i="12"/>
  <c r="J29" i="12" s="1"/>
  <c r="J62" i="23"/>
  <c r="J63" i="23" s="1"/>
  <c r="C61" i="23"/>
  <c r="D29" i="12"/>
  <c r="C40" i="14"/>
  <c r="E13" i="32" s="1"/>
  <c r="D13" i="32" s="1"/>
  <c r="D42" i="14"/>
  <c r="C42" i="14" s="1"/>
  <c r="E13" i="33" s="1"/>
  <c r="D13" i="33" s="1"/>
  <c r="F62" i="23"/>
  <c r="F63" i="23" s="1"/>
  <c r="F27" i="12"/>
  <c r="F29" i="12" s="1"/>
  <c r="L27" i="12"/>
  <c r="L29" i="12" s="1"/>
  <c r="L62" i="23"/>
  <c r="L63" i="23" s="1"/>
  <c r="C21" i="28"/>
  <c r="E31" i="32" s="1"/>
  <c r="D31" i="32" s="1"/>
  <c r="D23" i="28"/>
  <c r="C23" i="28" s="1"/>
  <c r="E31" i="33" s="1"/>
  <c r="D31" i="33" s="1"/>
  <c r="E27" i="12"/>
  <c r="E29" i="12" s="1"/>
  <c r="E62" i="23"/>
  <c r="E63" i="23" s="1"/>
  <c r="M27" i="12"/>
  <c r="M29" i="12" s="1"/>
  <c r="M62" i="23"/>
  <c r="M63" i="23" s="1"/>
  <c r="C60" i="23"/>
  <c r="C59" i="23"/>
  <c r="H62" i="23"/>
  <c r="H63" i="23" s="1"/>
  <c r="H27" i="12"/>
  <c r="H29" i="12" s="1"/>
  <c r="G27" i="12"/>
  <c r="G29" i="12" s="1"/>
  <c r="G62" i="23"/>
  <c r="G63" i="23" s="1"/>
  <c r="C62" i="23" l="1"/>
  <c r="C29" i="12"/>
  <c r="E12" i="33" s="1"/>
  <c r="C27" i="12"/>
  <c r="E12" i="32" s="1"/>
  <c r="D18" i="33"/>
  <c r="E21" i="33"/>
  <c r="D18" i="32"/>
  <c r="E21" i="32"/>
  <c r="E16" i="32" l="1"/>
  <c r="E33" i="32" s="1"/>
  <c r="E37" i="32" s="1"/>
  <c r="D12" i="32"/>
  <c r="D12" i="33"/>
  <c r="E16" i="33"/>
  <c r="D21" i="32"/>
  <c r="D21" i="33"/>
  <c r="D16" i="33" l="1"/>
  <c r="D16" i="32"/>
  <c r="D33" i="32" s="1"/>
  <c r="D37" i="32" s="1"/>
  <c r="E26" i="23" l="1"/>
  <c r="F26" i="23" s="1"/>
  <c r="G26" i="23" s="1"/>
  <c r="H26" i="23" s="1"/>
  <c r="I26" i="23" s="1"/>
  <c r="J26" i="23" s="1"/>
  <c r="K26" i="23" s="1"/>
  <c r="L26" i="23" s="1"/>
  <c r="M26" i="23" s="1"/>
  <c r="N26" i="23" s="1"/>
  <c r="O26" i="23" s="1"/>
  <c r="E32" i="23"/>
  <c r="F32" i="23" s="1"/>
  <c r="G32" i="23" s="1"/>
  <c r="H32" i="23" s="1"/>
  <c r="I32" i="23" s="1"/>
  <c r="J32" i="23" s="1"/>
  <c r="K32" i="23" s="1"/>
  <c r="L32" i="23" s="1"/>
  <c r="M32" i="23" s="1"/>
  <c r="N32" i="23" s="1"/>
  <c r="O32" i="23" s="1"/>
  <c r="E28" i="23"/>
  <c r="F28" i="23" s="1"/>
  <c r="G28" i="23" s="1"/>
  <c r="H28" i="23" s="1"/>
  <c r="I28" i="23" s="1"/>
  <c r="J28" i="23" s="1"/>
  <c r="K28" i="23" s="1"/>
  <c r="L28" i="23" s="1"/>
  <c r="M28" i="23" s="1"/>
  <c r="N28" i="23" s="1"/>
  <c r="O28" i="23" s="1"/>
  <c r="E24" i="23" l="1"/>
  <c r="E30" i="23"/>
  <c r="F30" i="23" s="1"/>
  <c r="G30" i="23" s="1"/>
  <c r="H30" i="23" s="1"/>
  <c r="I30" i="23" s="1"/>
  <c r="J30" i="23" s="1"/>
  <c r="K30" i="23" s="1"/>
  <c r="L30" i="23" s="1"/>
  <c r="M30" i="23" s="1"/>
  <c r="N30" i="23" s="1"/>
  <c r="O30" i="23" s="1"/>
  <c r="E25" i="23"/>
  <c r="F25" i="23" s="1"/>
  <c r="G25" i="23" s="1"/>
  <c r="H25" i="23" s="1"/>
  <c r="I25" i="23" s="1"/>
  <c r="J25" i="23" s="1"/>
  <c r="K25" i="23" s="1"/>
  <c r="L25" i="23" s="1"/>
  <c r="M25" i="23" s="1"/>
  <c r="N25" i="23" s="1"/>
  <c r="O25" i="23" s="1"/>
  <c r="E35" i="23" l="1"/>
  <c r="F24" i="23"/>
  <c r="E27" i="23"/>
  <c r="D36" i="23"/>
  <c r="E31" i="23"/>
  <c r="D38" i="23"/>
  <c r="D37" i="23"/>
  <c r="E29" i="23"/>
  <c r="D35" i="23"/>
  <c r="E37" i="23" l="1"/>
  <c r="F29" i="23"/>
  <c r="E36" i="23"/>
  <c r="F27" i="23"/>
  <c r="D40" i="23"/>
  <c r="G24" i="23"/>
  <c r="F35" i="23"/>
  <c r="F31" i="23"/>
  <c r="E38" i="23"/>
  <c r="G35" i="23" l="1"/>
  <c r="H24" i="23"/>
  <c r="E40" i="23"/>
  <c r="F38" i="23"/>
  <c r="G31" i="23"/>
  <c r="G23" i="33"/>
  <c r="D43" i="23"/>
  <c r="D44" i="23" s="1"/>
  <c r="G29" i="23"/>
  <c r="F37" i="23"/>
  <c r="G27" i="23"/>
  <c r="F36" i="23"/>
  <c r="F40" i="23" l="1"/>
  <c r="F43" i="23" s="1"/>
  <c r="F44" i="23" s="1"/>
  <c r="H23" i="33"/>
  <c r="H33" i="33" s="1"/>
  <c r="H37" i="33" s="1"/>
  <c r="E43" i="23"/>
  <c r="E44" i="23" s="1"/>
  <c r="G37" i="23"/>
  <c r="H29" i="23"/>
  <c r="G38" i="23"/>
  <c r="H31" i="23"/>
  <c r="G33" i="33"/>
  <c r="G37" i="33" s="1"/>
  <c r="I24" i="23"/>
  <c r="H35" i="23"/>
  <c r="G36" i="23"/>
  <c r="H27" i="23"/>
  <c r="I23" i="33" l="1"/>
  <c r="I33" i="33" s="1"/>
  <c r="I37" i="33" s="1"/>
  <c r="H37" i="23"/>
  <c r="I29" i="23"/>
  <c r="J24" i="23"/>
  <c r="I35" i="23"/>
  <c r="G40" i="23"/>
  <c r="I27" i="23"/>
  <c r="H36" i="23"/>
  <c r="H38" i="23"/>
  <c r="I31" i="23"/>
  <c r="H40" i="23" l="1"/>
  <c r="K23" i="33" s="1"/>
  <c r="K33" i="33" s="1"/>
  <c r="K37" i="33" s="1"/>
  <c r="G43" i="23"/>
  <c r="G44" i="23" s="1"/>
  <c r="J23" i="33"/>
  <c r="J35" i="23"/>
  <c r="K24" i="23"/>
  <c r="I38" i="23"/>
  <c r="J31" i="23"/>
  <c r="J27" i="23"/>
  <c r="I36" i="23"/>
  <c r="J29" i="23"/>
  <c r="I37" i="23"/>
  <c r="H43" i="23" l="1"/>
  <c r="H44" i="23" s="1"/>
  <c r="J36" i="23"/>
  <c r="K27" i="23"/>
  <c r="K31" i="23"/>
  <c r="J38" i="23"/>
  <c r="J33" i="33"/>
  <c r="J37" i="33" s="1"/>
  <c r="J37" i="23"/>
  <c r="K29" i="23"/>
  <c r="I40" i="23"/>
  <c r="K35" i="23"/>
  <c r="L24" i="23"/>
  <c r="J40" i="23" l="1"/>
  <c r="J43" i="23" s="1"/>
  <c r="J44" i="23" s="1"/>
  <c r="I43" i="23"/>
  <c r="I44" i="23" s="1"/>
  <c r="L23" i="33"/>
  <c r="L35" i="23"/>
  <c r="M24" i="23"/>
  <c r="L31" i="23"/>
  <c r="K38" i="23"/>
  <c r="L27" i="23"/>
  <c r="K36" i="23"/>
  <c r="L29" i="23"/>
  <c r="K37" i="23"/>
  <c r="M23" i="33" l="1"/>
  <c r="M33" i="33" s="1"/>
  <c r="M37" i="33" s="1"/>
  <c r="K40" i="23"/>
  <c r="K43" i="23" s="1"/>
  <c r="K44" i="23" s="1"/>
  <c r="M29" i="23"/>
  <c r="L37" i="23"/>
  <c r="L33" i="33"/>
  <c r="L37" i="33" s="1"/>
  <c r="M31" i="23"/>
  <c r="L38" i="23"/>
  <c r="L36" i="23"/>
  <c r="M27" i="23"/>
  <c r="M35" i="23"/>
  <c r="N24" i="23"/>
  <c r="N23" i="33" l="1"/>
  <c r="N33" i="33" s="1"/>
  <c r="N37" i="33" s="1"/>
  <c r="L40" i="23"/>
  <c r="O23" i="33" s="1"/>
  <c r="O24" i="23"/>
  <c r="O35" i="23" s="1"/>
  <c r="N35" i="23"/>
  <c r="M38" i="23"/>
  <c r="N31" i="23"/>
  <c r="N29" i="23"/>
  <c r="M37" i="23"/>
  <c r="M36" i="23"/>
  <c r="N27" i="23"/>
  <c r="L43" i="23" l="1"/>
  <c r="L44" i="23" s="1"/>
  <c r="M40" i="23"/>
  <c r="M43" i="23" s="1"/>
  <c r="M44" i="23" s="1"/>
  <c r="N37" i="23"/>
  <c r="O29" i="23"/>
  <c r="O37" i="23" s="1"/>
  <c r="N36" i="23"/>
  <c r="O27" i="23"/>
  <c r="O36" i="23" s="1"/>
  <c r="O33" i="33"/>
  <c r="O37" i="33" s="1"/>
  <c r="O31" i="23"/>
  <c r="O38" i="23" s="1"/>
  <c r="N38" i="23"/>
  <c r="C35" i="23"/>
  <c r="C36" i="23" l="1"/>
  <c r="P23" i="33"/>
  <c r="P33" i="33" s="1"/>
  <c r="P37" i="33" s="1"/>
  <c r="C37" i="23"/>
  <c r="O40" i="23"/>
  <c r="O43" i="23" s="1"/>
  <c r="O44" i="23" s="1"/>
  <c r="C38" i="23"/>
  <c r="N40" i="23"/>
  <c r="Q23" i="33" s="1"/>
  <c r="Q33" i="33" s="1"/>
  <c r="Q37" i="33" s="1"/>
  <c r="R23" i="33" l="1"/>
  <c r="F23" i="33" s="1"/>
  <c r="F33" i="33" s="1"/>
  <c r="F37" i="33" s="1"/>
  <c r="C40" i="23"/>
  <c r="N43" i="23"/>
  <c r="N44" i="23" s="1"/>
  <c r="C44" i="23" s="1"/>
  <c r="E23" i="33" s="1"/>
  <c r="E33" i="33" s="1"/>
  <c r="E37" i="33" s="1"/>
  <c r="R33" i="33" l="1"/>
  <c r="R37" i="33" s="1"/>
  <c r="D23" i="33"/>
  <c r="D33" i="33" l="1"/>
  <c r="D37" i="33" s="1"/>
</calcChain>
</file>

<file path=xl/sharedStrings.xml><?xml version="1.0" encoding="utf-8"?>
<sst xmlns="http://schemas.openxmlformats.org/spreadsheetml/2006/main" count="285" uniqueCount="144">
  <si>
    <t>Tariff</t>
  </si>
  <si>
    <t>Firm Resale</t>
  </si>
  <si>
    <t>7A</t>
  </si>
  <si>
    <t>Puget Sound Energy</t>
  </si>
  <si>
    <t>Line No.</t>
  </si>
  <si>
    <t>Description</t>
  </si>
  <si>
    <t>Check</t>
  </si>
  <si>
    <t>SAP</t>
  </si>
  <si>
    <t>Summary less Sch 129</t>
  </si>
  <si>
    <t>Summary</t>
  </si>
  <si>
    <t>Base</t>
  </si>
  <si>
    <t>Sch 129</t>
  </si>
  <si>
    <t>Sch 140</t>
  </si>
  <si>
    <t>Sch 141</t>
  </si>
  <si>
    <t>Sch 142</t>
  </si>
  <si>
    <t>Total Basic Charge Count</t>
  </si>
  <si>
    <t>Total kWh</t>
  </si>
  <si>
    <t>Estimated Proforma Base Revenue</t>
  </si>
  <si>
    <t>Basic Charge Revenue - 1 Phase</t>
  </si>
  <si>
    <t>Basic Charge Revenue - 3 Phase</t>
  </si>
  <si>
    <t>Change in Unbilled kWh</t>
  </si>
  <si>
    <t>$ / kwh</t>
  </si>
  <si>
    <t>Change in Unbilled Rev</t>
  </si>
  <si>
    <t>Residential</t>
  </si>
  <si>
    <t>Total Secondary Voltage</t>
  </si>
  <si>
    <t>Total Primary Voltage</t>
  </si>
  <si>
    <t>Total High Voltage</t>
  </si>
  <si>
    <t>50-59</t>
  </si>
  <si>
    <t>Basic Charge Count - 1 Phase Eff 5-1-18</t>
  </si>
  <si>
    <t>Basic Charge Count - 3 Phase Eff 5-1-18</t>
  </si>
  <si>
    <t>kWh - Summer (Apr-Sep) kWh Eff 5-1-18</t>
  </si>
  <si>
    <t>Basic Charge - 1 Phase Eff 5-1-18</t>
  </si>
  <si>
    <t>Basic Charge - 3 Phase Eff 5-1-18</t>
  </si>
  <si>
    <t>kWh Charge - Summer (Apr-Sep) kWh Eff 5-1-18</t>
  </si>
  <si>
    <t>Energy Revenue - Winter kWh</t>
  </si>
  <si>
    <t>Energy Revenue - Summer kWh</t>
  </si>
  <si>
    <t>Total Sch 24 Estimated Proformed Revenue</t>
  </si>
  <si>
    <t>Winter</t>
  </si>
  <si>
    <t>kWh Charge - Winter (Oct-Mar) kWh Eff 5-1-18</t>
  </si>
  <si>
    <t>kWh - Winter (Oct-Mar) kWh Eff 5-1-18</t>
  </si>
  <si>
    <t>Total Basic Charge Count Eff 5-1-18</t>
  </si>
  <si>
    <t>kWh - Summer (Apr-Sep) First 20,000 kWh Eff 5-1-18</t>
  </si>
  <si>
    <t>kWh - All over 20,000 kWh Eff 7-1-13</t>
  </si>
  <si>
    <t>kW - Summer (Apr-Sep) Over 50 kW Eff 5-1-18</t>
  </si>
  <si>
    <t>Total kW</t>
  </si>
  <si>
    <t>Total kVarh Eff 5-1-18</t>
  </si>
  <si>
    <t>Total kVarh</t>
  </si>
  <si>
    <t>Basic Charge Eff 5-1-18</t>
  </si>
  <si>
    <t>Energy- Summer (Apr-Sep) First 20,000 kWh Eff 5-1-18</t>
  </si>
  <si>
    <t>Energy- All Over 20,000 kWh Eff 7-1-13</t>
  </si>
  <si>
    <t>Demand - Summer over 50 kW Eff 5-1-18</t>
  </si>
  <si>
    <t>Reactive Power Eff 5-1-18</t>
  </si>
  <si>
    <t xml:space="preserve">Basic Charge Revenue </t>
  </si>
  <si>
    <t>Energy Revenue - Winter First 20,000 kWh</t>
  </si>
  <si>
    <t>Energy Revenue - Summer First 20,000 kWh</t>
  </si>
  <si>
    <t>Energy Revenue -All Over 20,000 kWh</t>
  </si>
  <si>
    <t>Demand Revenue - Winter over 50 kW</t>
  </si>
  <si>
    <t>Demand Revenue - Summer over 50 kW</t>
  </si>
  <si>
    <t>Reactive Power Revenue</t>
  </si>
  <si>
    <t>Demand - Winter over 50 kW Eff 5-1-18</t>
  </si>
  <si>
    <t>kWh - Winter (Oct-Mar) First 20,000 kWh Eff 5-1-18</t>
  </si>
  <si>
    <t>kW - Winter (Oct-Mar) Over 50 kW Eff 5-1-18</t>
  </si>
  <si>
    <t>Energy - Winter (Oct-Mar) First 20,000 kWh Eff 5-1-18</t>
  </si>
  <si>
    <t>Total Sch 25 Estimated Proformed Revenue</t>
  </si>
  <si>
    <t>kWh Eff 5-1-18</t>
  </si>
  <si>
    <t>kWh - Secondary Service</t>
  </si>
  <si>
    <t>kW - Summer (Apr-Sep) - Secondary Eff 5-1-18</t>
  </si>
  <si>
    <t>Energy Eff 5-1-18</t>
  </si>
  <si>
    <t>Demand - Summer Eff 5-1-18</t>
  </si>
  <si>
    <t>Basic Charge Revenue  - Secondary Voltage</t>
  </si>
  <si>
    <t>Energy Revenue - Secondary Voltage</t>
  </si>
  <si>
    <t>Demand Revenue - Winter  - Secondary Voltage</t>
  </si>
  <si>
    <t>Demand Revenue - Summer - Secondary Voltage</t>
  </si>
  <si>
    <t>Total Sch 26 Estimated Proformed Revenue</t>
  </si>
  <si>
    <t>Prim Adj</t>
  </si>
  <si>
    <t>Basic Charge Revenue  - Primary Voltage</t>
  </si>
  <si>
    <t>Energy Revenue - Primary Voltage</t>
  </si>
  <si>
    <t>Demand Revenue - Winter  - Primary Voltage</t>
  </si>
  <si>
    <t>Demand Revenue - Summer - Primary Voltage</t>
  </si>
  <si>
    <t>Demand - Winter Eff 5-1-18</t>
  </si>
  <si>
    <t>kW - Winter (Oct-Mar) - Secondary Eff 5-1-18</t>
  </si>
  <si>
    <t>kWh - Primary Service</t>
  </si>
  <si>
    <t>kW - Summer (Apr-Sep) - Primary Eff 5-1-18</t>
  </si>
  <si>
    <t>Total Sch 31 Estimated Proformed Revenue</t>
  </si>
  <si>
    <t>kW - Winter (Oct-Mar) - Primary Eff 5-1-18</t>
  </si>
  <si>
    <t xml:space="preserve">Basic Charge Revenue  </t>
  </si>
  <si>
    <t xml:space="preserve">Energy Revenue </t>
  </si>
  <si>
    <t>Basic Charge Count - SV &lt; 350 kW Eff 5-1-18</t>
  </si>
  <si>
    <t>Basic Charge Count - SV &gt; 350 kW Eff 5-1-18</t>
  </si>
  <si>
    <t>Basic Charge Count - PV Eff 5-1-18</t>
  </si>
  <si>
    <t>Secondary kWh Eff 5-1-18</t>
  </si>
  <si>
    <t>Primary kWh Eff 5-1-18</t>
  </si>
  <si>
    <t>kW - Sec Voltage 12-19-17</t>
  </si>
  <si>
    <t>kW - Pri Voltage 12-1-17</t>
  </si>
  <si>
    <t>Secondary kVarh Eff 5-1-18</t>
  </si>
  <si>
    <t>Primary kVarh Eff 5-1-18</t>
  </si>
  <si>
    <t>Basic Charge - SV - kW &lt; 350 Eff 5-1-18</t>
  </si>
  <si>
    <t>Basic Charge - SV - kW &gt; 350 Eff 5-1-18</t>
  </si>
  <si>
    <t>Basic Charge - PV Eff 5-1-18</t>
  </si>
  <si>
    <t>Energy Charge - Sec Voltage Eff 5-1-18</t>
  </si>
  <si>
    <t>Energy Charge - Pri Voltage Eff 5-1-18</t>
  </si>
  <si>
    <t>Demand - SV Eff 12-19-17</t>
  </si>
  <si>
    <t>Demand - PV Eff 12-19-17</t>
  </si>
  <si>
    <t>Reactive Power - SV Eff 5-1-18</t>
  </si>
  <si>
    <t>Reactive Power - PV Eff 5-1-18</t>
  </si>
  <si>
    <t xml:space="preserve">Demand Revenue </t>
  </si>
  <si>
    <t>Distribution Revenue</t>
  </si>
  <si>
    <t>Total Sch 40 Estimated Proformed Revenue</t>
  </si>
  <si>
    <t>Campus</t>
  </si>
  <si>
    <t>Basic Charge Revenue</t>
  </si>
  <si>
    <t>OATT Revenue</t>
  </si>
  <si>
    <t>8 &amp; 24</t>
  </si>
  <si>
    <t>11 &amp; 25</t>
  </si>
  <si>
    <t>12, 26 &amp; 26P</t>
  </si>
  <si>
    <t>10 &amp; 31</t>
  </si>
  <si>
    <t>Total</t>
  </si>
  <si>
    <t>Estimated Proforma kWh</t>
  </si>
  <si>
    <t>Annual Total</t>
  </si>
  <si>
    <t>Change in Unbilled</t>
  </si>
  <si>
    <t>Residential - Master Meter</t>
  </si>
  <si>
    <t>Base Tariff Rates</t>
  </si>
  <si>
    <t>Total Delivered Sales</t>
  </si>
  <si>
    <t>Change in Unbilled Revenue</t>
  </si>
  <si>
    <t>Estimated Annualized Revenue</t>
  </si>
  <si>
    <t>449-459-MS-SC</t>
  </si>
  <si>
    <t>Schedule 40 Migration</t>
  </si>
  <si>
    <t>Tariff 24</t>
  </si>
  <si>
    <t>Tariff 25</t>
  </si>
  <si>
    <t>Tariff 26</t>
  </si>
  <si>
    <t>Tariff 40</t>
  </si>
  <si>
    <t>Tariff 31</t>
  </si>
  <si>
    <t>Unbilled kWh Allocation</t>
  </si>
  <si>
    <t>Migration kWh</t>
  </si>
  <si>
    <t>Schedule 24</t>
  </si>
  <si>
    <t>Schedule 25</t>
  </si>
  <si>
    <t>Schedule 26</t>
  </si>
  <si>
    <t>Schedule 31</t>
  </si>
  <si>
    <t>Schedule MSSC</t>
  </si>
  <si>
    <t>Total Distribution kW</t>
  </si>
  <si>
    <t>449-459-SC</t>
  </si>
  <si>
    <t>Base Rates Eff 6-1-2018</t>
  </si>
  <si>
    <t>Twelve Months ended June 2020</t>
  </si>
  <si>
    <t>Tariff Special Contract</t>
  </si>
  <si>
    <t>Total Special Contract Estimated Proformed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</si>
</sst>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ECECEC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/>
    <xf numFmtId="44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2" borderId="0"/>
  </cellStyleXfs>
  <cellXfs count="34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 applyAlignment="1">
      <alignment horizontal="center"/>
    </xf>
    <xf numFmtId="0" fontId="2" fillId="0" borderId="0" xfId="0" applyFont="1" applyFill="1" applyAlignment="1">
      <alignment horizontal="left" indent="2"/>
    </xf>
    <xf numFmtId="0" fontId="3" fillId="0" borderId="0" xfId="1" quotePrefix="1" applyFont="1" applyFill="1" applyAlignment="1"/>
    <xf numFmtId="0" fontId="3" fillId="0" borderId="0" xfId="1" applyFont="1" applyFill="1" applyAlignment="1">
      <alignment horizontal="center" wrapText="1"/>
    </xf>
    <xf numFmtId="0" fontId="4" fillId="0" borderId="0" xfId="1" applyFont="1" applyFill="1"/>
    <xf numFmtId="17" fontId="4" fillId="0" borderId="1" xfId="1" applyNumberFormat="1" applyFont="1" applyFill="1" applyBorder="1" applyAlignment="1">
      <alignment horizontal="center" wrapText="1"/>
    </xf>
    <xf numFmtId="165" fontId="4" fillId="0" borderId="0" xfId="1" applyNumberFormat="1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0" fontId="4" fillId="0" borderId="0" xfId="0" applyNumberFormat="1" applyFont="1" applyFill="1"/>
    <xf numFmtId="0" fontId="4" fillId="0" borderId="0" xfId="0" quotePrefix="1" applyFont="1" applyFill="1" applyAlignment="1">
      <alignment horizontal="left" indent="1"/>
    </xf>
    <xf numFmtId="166" fontId="4" fillId="0" borderId="0" xfId="0" applyNumberFormat="1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41" fontId="4" fillId="0" borderId="0" xfId="0" applyNumberFormat="1" applyFont="1" applyFill="1"/>
    <xf numFmtId="0" fontId="4" fillId="0" borderId="0" xfId="0" quotePrefix="1" applyFont="1" applyFill="1" applyAlignment="1">
      <alignment horizontal="left" indent="2"/>
    </xf>
    <xf numFmtId="165" fontId="4" fillId="0" borderId="0" xfId="4" applyNumberFormat="1" applyFont="1" applyFill="1"/>
    <xf numFmtId="44" fontId="4" fillId="0" borderId="0" xfId="0" applyNumberFormat="1" applyFont="1" applyFill="1"/>
    <xf numFmtId="14" fontId="4" fillId="0" borderId="0" xfId="0" applyNumberFormat="1" applyFont="1" applyFill="1"/>
    <xf numFmtId="166" fontId="4" fillId="0" borderId="0" xfId="1" applyNumberFormat="1" applyFont="1" applyFill="1"/>
    <xf numFmtId="0" fontId="4" fillId="0" borderId="0" xfId="0" applyFont="1" applyFill="1" applyAlignment="1">
      <alignment horizontal="center"/>
    </xf>
    <xf numFmtId="0" fontId="5" fillId="2" borderId="0" xfId="0" applyFont="1" applyFill="1"/>
    <xf numFmtId="0" fontId="3" fillId="0" borderId="0" xfId="1" applyFont="1" applyFill="1" applyAlignment="1">
      <alignment horizontal="center"/>
    </xf>
    <xf numFmtId="0" fontId="3" fillId="0" borderId="0" xfId="1" quotePrefix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</cellXfs>
  <cellStyles count="6">
    <cellStyle name="Comma" xfId="4" builtinId="3"/>
    <cellStyle name="Comma 2" xfId="3"/>
    <cellStyle name="Currency 2" xfId="2"/>
    <cellStyle name="Normal" xfId="0" builtinId="0"/>
    <cellStyle name="Normal 2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3.03-PROFORMA-REVENUE-20PCORC-12-20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=====&gt;"/>
      <sheetName val="Rev Req Summary"/>
      <sheetName val="Proforma kWh &amp; Revenue"/>
      <sheetName val="Proforma kWh Excl Sch 139"/>
      <sheetName val="Average Cost"/>
      <sheetName val="Summary - Delivered kWh"/>
      <sheetName val="Sum - Delivered Restated Rev"/>
      <sheetName val="Temperature Adjust Bill Impacts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0 Campus Svc"/>
      <sheetName val="Sch 43 Pri Int Svc"/>
      <sheetName val="Sch 46 HV Int Svc"/>
      <sheetName val="Sch 49 HV Gen Svc"/>
      <sheetName val="Sch 449 - Transportation"/>
      <sheetName val="MS SC - Transportation"/>
      <sheetName val="Lighting 50-59"/>
      <sheetName val="Firm Resale"/>
      <sheetName val="Financial Support Data=====&gt;"/>
      <sheetName val="Unbilled Rev Adj"/>
      <sheetName val="2020 SOE"/>
      <sheetName val="BPA Res Exch Load"/>
      <sheetName val="Delivered kWh"/>
      <sheetName val="Unbilled Change kWh"/>
      <sheetName val="Billed kWh"/>
      <sheetName val="Delivered Revenue"/>
      <sheetName val="Unbilled Change - $"/>
      <sheetName val="Billed Revenue - $"/>
      <sheetName val="SAP Billed kWh"/>
      <sheetName val="SAP BW 95-135-136"/>
      <sheetName val="SAP Sch 142 Decoupling"/>
      <sheetName val="UE-190529 Exh No.__(JAP-Tariff)"/>
      <sheetName val="UE-190529 Exh No.__(JAP-Lights)"/>
      <sheetName val="MSSC Dist Rates (C)"/>
      <sheetName val="SAP Data (Do Not Print) ====&gt;"/>
      <sheetName val="Tie Revenue back to SOE"/>
      <sheetName val="Franchise Fees"/>
      <sheetName val="Non-Lighting Data"/>
      <sheetName val="Light Inventory (Annual)"/>
      <sheetName val="Lighting Data"/>
      <sheetName val="Schedule 10 Demand Data"/>
      <sheetName val="Sch 40 Dist Demand Rev (C)"/>
      <sheetName val="Sch 40 Migration (C)"/>
      <sheetName val="Schedule 40 Energy (C)"/>
      <sheetName val="Sch 40 Migration Data (C)"/>
      <sheetName val="Sch 26P Data (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C5" t="str">
            <v>Total
July 2019 to
June 2020</v>
          </cell>
          <cell r="D5">
            <v>43647</v>
          </cell>
          <cell r="E5">
            <v>43678</v>
          </cell>
          <cell r="F5">
            <v>43709</v>
          </cell>
          <cell r="G5">
            <v>43739</v>
          </cell>
          <cell r="H5">
            <v>43770</v>
          </cell>
          <cell r="I5">
            <v>43800</v>
          </cell>
          <cell r="J5">
            <v>43831</v>
          </cell>
          <cell r="K5">
            <v>43862</v>
          </cell>
          <cell r="L5">
            <v>43891</v>
          </cell>
          <cell r="M5">
            <v>43922</v>
          </cell>
          <cell r="N5">
            <v>43952</v>
          </cell>
          <cell r="O5">
            <v>43983</v>
          </cell>
        </row>
        <row r="20">
          <cell r="B20" t="str">
            <v>Rates Effective 10-15-2020</v>
          </cell>
        </row>
      </sheetData>
      <sheetData sheetId="10">
        <row r="25">
          <cell r="D25">
            <v>10.39</v>
          </cell>
        </row>
        <row r="28">
          <cell r="D28">
            <v>26.4</v>
          </cell>
        </row>
        <row r="31">
          <cell r="D31">
            <v>9.6174999999999997E-2</v>
          </cell>
        </row>
        <row r="35">
          <cell r="D35">
            <v>9.2849000000000001E-2</v>
          </cell>
        </row>
      </sheetData>
      <sheetData sheetId="11"/>
      <sheetData sheetId="12">
        <row r="28">
          <cell r="D28">
            <v>54.66</v>
          </cell>
        </row>
        <row r="31">
          <cell r="D31">
            <v>9.3585030630112268E-2</v>
          </cell>
        </row>
        <row r="34">
          <cell r="D34">
            <v>8.4158030630112263E-2</v>
          </cell>
        </row>
        <row r="37">
          <cell r="D37">
            <v>6.6963999999999996E-2</v>
          </cell>
        </row>
        <row r="38">
          <cell r="D38">
            <v>10.41</v>
          </cell>
        </row>
        <row r="39">
          <cell r="D39">
            <v>6.95</v>
          </cell>
        </row>
        <row r="40">
          <cell r="D40">
            <v>3.2699999999999999E-3</v>
          </cell>
        </row>
      </sheetData>
      <sheetData sheetId="13">
        <row r="20">
          <cell r="D20">
            <v>110.51</v>
          </cell>
        </row>
        <row r="21">
          <cell r="D21">
            <v>5.9748999999999997E-2</v>
          </cell>
        </row>
        <row r="22">
          <cell r="D22">
            <v>12.45</v>
          </cell>
        </row>
        <row r="23">
          <cell r="D23">
            <v>8.3000000000000007</v>
          </cell>
        </row>
        <row r="24">
          <cell r="D24">
            <v>1.32E-3</v>
          </cell>
        </row>
      </sheetData>
      <sheetData sheetId="14"/>
      <sheetData sheetId="15"/>
      <sheetData sheetId="16">
        <row r="20">
          <cell r="D20">
            <v>364.34</v>
          </cell>
        </row>
        <row r="21">
          <cell r="D21">
            <v>5.8326856838929048E-2</v>
          </cell>
        </row>
        <row r="22">
          <cell r="D22">
            <v>12.15</v>
          </cell>
        </row>
        <row r="23">
          <cell r="D23">
            <v>8.1</v>
          </cell>
        </row>
        <row r="24">
          <cell r="D24">
            <v>1.1299999999999999E-3</v>
          </cell>
        </row>
      </sheetData>
      <sheetData sheetId="17"/>
      <sheetData sheetId="18">
        <row r="6">
          <cell r="D6">
            <v>20</v>
          </cell>
          <cell r="E6">
            <v>19</v>
          </cell>
          <cell r="F6">
            <v>19</v>
          </cell>
          <cell r="G6">
            <v>21</v>
          </cell>
          <cell r="H6">
            <v>29</v>
          </cell>
          <cell r="I6">
            <v>25</v>
          </cell>
          <cell r="J6">
            <v>19</v>
          </cell>
          <cell r="K6">
            <v>18</v>
          </cell>
          <cell r="L6">
            <v>12</v>
          </cell>
          <cell r="M6">
            <v>25</v>
          </cell>
          <cell r="N6">
            <v>21</v>
          </cell>
          <cell r="O6">
            <v>19</v>
          </cell>
        </row>
        <row r="7">
          <cell r="D7">
            <v>10</v>
          </cell>
          <cell r="E7">
            <v>12</v>
          </cell>
          <cell r="F7">
            <v>10</v>
          </cell>
          <cell r="G7">
            <v>9</v>
          </cell>
          <cell r="H7">
            <v>-3</v>
          </cell>
          <cell r="I7">
            <v>15</v>
          </cell>
          <cell r="J7">
            <v>12</v>
          </cell>
          <cell r="K7">
            <v>9</v>
          </cell>
          <cell r="L7">
            <v>8</v>
          </cell>
          <cell r="M7">
            <v>15</v>
          </cell>
          <cell r="N7">
            <v>16</v>
          </cell>
          <cell r="O7">
            <v>12</v>
          </cell>
        </row>
        <row r="8">
          <cell r="D8">
            <v>6</v>
          </cell>
          <cell r="E8">
            <v>7</v>
          </cell>
          <cell r="F8">
            <v>8</v>
          </cell>
          <cell r="G8">
            <v>6</v>
          </cell>
          <cell r="H8">
            <v>5</v>
          </cell>
          <cell r="I8">
            <v>10</v>
          </cell>
          <cell r="J8">
            <v>6</v>
          </cell>
          <cell r="K8">
            <v>11</v>
          </cell>
          <cell r="L8">
            <v>2</v>
          </cell>
          <cell r="M8">
            <v>9</v>
          </cell>
          <cell r="N8">
            <v>8</v>
          </cell>
          <cell r="O8">
            <v>7</v>
          </cell>
        </row>
        <row r="11">
          <cell r="D11">
            <v>3942627</v>
          </cell>
          <cell r="E11">
            <v>4787444</v>
          </cell>
          <cell r="F11">
            <v>4042867</v>
          </cell>
          <cell r="G11">
            <v>3570381</v>
          </cell>
          <cell r="H11">
            <v>1164459</v>
          </cell>
          <cell r="I11">
            <v>5664170</v>
          </cell>
          <cell r="J11">
            <v>4259530</v>
          </cell>
          <cell r="K11">
            <v>3035300</v>
          </cell>
          <cell r="L11">
            <v>2718362</v>
          </cell>
          <cell r="M11">
            <v>5205170</v>
          </cell>
          <cell r="N11">
            <v>4079231</v>
          </cell>
          <cell r="O11">
            <v>3638119</v>
          </cell>
        </row>
        <row r="12">
          <cell r="D12">
            <v>7104835</v>
          </cell>
          <cell r="E12">
            <v>9408000</v>
          </cell>
          <cell r="F12">
            <v>11642400</v>
          </cell>
          <cell r="G12">
            <v>7053600</v>
          </cell>
          <cell r="H12">
            <v>7152001</v>
          </cell>
          <cell r="I12">
            <v>14904000</v>
          </cell>
          <cell r="J12">
            <v>7802400</v>
          </cell>
          <cell r="K12">
            <v>12573600</v>
          </cell>
          <cell r="L12">
            <v>3633600</v>
          </cell>
          <cell r="M12">
            <v>11199979</v>
          </cell>
          <cell r="N12">
            <v>8858700</v>
          </cell>
          <cell r="O12">
            <v>8758023</v>
          </cell>
        </row>
        <row r="15">
          <cell r="D15">
            <v>8662</v>
          </cell>
          <cell r="E15">
            <v>10370</v>
          </cell>
          <cell r="F15">
            <v>8466</v>
          </cell>
          <cell r="G15">
            <v>7275</v>
          </cell>
          <cell r="H15">
            <v>2056</v>
          </cell>
          <cell r="I15">
            <v>10780</v>
          </cell>
          <cell r="J15">
            <v>8234</v>
          </cell>
          <cell r="K15">
            <v>6062</v>
          </cell>
          <cell r="L15">
            <v>5326</v>
          </cell>
          <cell r="M15">
            <v>10425</v>
          </cell>
          <cell r="N15">
            <v>9367</v>
          </cell>
          <cell r="O15">
            <v>8142</v>
          </cell>
        </row>
        <row r="16">
          <cell r="D16">
            <v>15251</v>
          </cell>
          <cell r="E16">
            <v>18523</v>
          </cell>
          <cell r="F16">
            <v>22034</v>
          </cell>
          <cell r="G16">
            <v>14587</v>
          </cell>
          <cell r="H16">
            <v>17667</v>
          </cell>
          <cell r="I16">
            <v>32983</v>
          </cell>
          <cell r="J16">
            <v>15005</v>
          </cell>
          <cell r="K16">
            <v>24281</v>
          </cell>
          <cell r="L16">
            <v>6461</v>
          </cell>
          <cell r="M16">
            <v>23511</v>
          </cell>
          <cell r="N16">
            <v>14629</v>
          </cell>
          <cell r="O16">
            <v>17581</v>
          </cell>
        </row>
        <row r="19">
          <cell r="D19">
            <v>1480611</v>
          </cell>
          <cell r="E19">
            <v>1982738</v>
          </cell>
          <cell r="F19">
            <v>1629444</v>
          </cell>
          <cell r="G19">
            <v>1307183</v>
          </cell>
          <cell r="H19">
            <v>-266855</v>
          </cell>
          <cell r="I19">
            <v>1571635</v>
          </cell>
          <cell r="J19">
            <v>1207373</v>
          </cell>
          <cell r="K19">
            <v>861659</v>
          </cell>
          <cell r="L19">
            <v>923492</v>
          </cell>
          <cell r="M19">
            <v>1499690</v>
          </cell>
          <cell r="N19">
            <v>1227627</v>
          </cell>
          <cell r="O19">
            <v>1370262</v>
          </cell>
        </row>
        <row r="20">
          <cell r="D20">
            <v>2133365</v>
          </cell>
          <cell r="E20">
            <v>3904804</v>
          </cell>
          <cell r="F20">
            <v>5916000</v>
          </cell>
          <cell r="G20">
            <v>3242402</v>
          </cell>
          <cell r="H20">
            <v>2448000</v>
          </cell>
          <cell r="I20">
            <v>5462392</v>
          </cell>
          <cell r="J20">
            <v>2983197</v>
          </cell>
          <cell r="K20">
            <v>4238402</v>
          </cell>
          <cell r="L20">
            <v>2239196</v>
          </cell>
          <cell r="M20">
            <v>4609608</v>
          </cell>
          <cell r="N20">
            <v>1750140</v>
          </cell>
          <cell r="O20">
            <v>3779262</v>
          </cell>
        </row>
        <row r="23">
          <cell r="B23" t="str">
            <v>Rates Effective 5-1-18</v>
          </cell>
        </row>
        <row r="24">
          <cell r="D24">
            <v>52.3</v>
          </cell>
        </row>
        <row r="25">
          <cell r="D25">
            <v>105.74</v>
          </cell>
        </row>
        <row r="26">
          <cell r="D26">
            <v>343.66</v>
          </cell>
        </row>
        <row r="27">
          <cell r="D27">
            <v>5.3848E-2</v>
          </cell>
        </row>
        <row r="28">
          <cell r="D28">
            <v>5.1728999999999997E-2</v>
          </cell>
        </row>
        <row r="29">
          <cell r="D29">
            <v>6.13</v>
          </cell>
        </row>
        <row r="30">
          <cell r="D30">
            <v>5.88</v>
          </cell>
        </row>
        <row r="31">
          <cell r="D31">
            <v>1.2600000000000001E-3</v>
          </cell>
        </row>
        <row r="32">
          <cell r="D32">
            <v>1.07E-3</v>
          </cell>
        </row>
        <row r="39">
          <cell r="D39">
            <v>38687.1</v>
          </cell>
          <cell r="E39">
            <v>42464.99</v>
          </cell>
          <cell r="F39">
            <v>53901.429999999993</v>
          </cell>
          <cell r="G39">
            <v>39788.28</v>
          </cell>
          <cell r="H39">
            <v>-8091.5800000000017</v>
          </cell>
          <cell r="I39">
            <v>65626.76999999999</v>
          </cell>
          <cell r="J39">
            <v>35360.589999999997</v>
          </cell>
          <cell r="K39">
            <v>47968.369999999995</v>
          </cell>
          <cell r="L39">
            <v>18754.89</v>
          </cell>
          <cell r="M39">
            <v>42887.89</v>
          </cell>
          <cell r="N39">
            <v>37748.42</v>
          </cell>
          <cell r="O39">
            <v>38946.890000000007</v>
          </cell>
        </row>
        <row r="42">
          <cell r="D42">
            <v>3410969.0909090899</v>
          </cell>
          <cell r="E42">
            <v>-2614390.7272727266</v>
          </cell>
          <cell r="F42">
            <v>1633268.9999999981</v>
          </cell>
          <cell r="G42">
            <v>1258875.3939393926</v>
          </cell>
          <cell r="H42">
            <v>-2559852.303030299</v>
          </cell>
          <cell r="I42">
            <v>-844179.00000000093</v>
          </cell>
          <cell r="J42">
            <v>940335.63636363577</v>
          </cell>
          <cell r="K42">
            <v>-4509665.1111111119</v>
          </cell>
          <cell r="L42">
            <v>6804834.1111111119</v>
          </cell>
          <cell r="M42">
            <v>-6024250.9127272721</v>
          </cell>
          <cell r="N42">
            <v>-675378.90545454621</v>
          </cell>
          <cell r="O42">
            <v>265078.18181818258</v>
          </cell>
        </row>
      </sheetData>
      <sheetData sheetId="19"/>
      <sheetData sheetId="20"/>
      <sheetData sheetId="21"/>
      <sheetData sheetId="22"/>
      <sheetData sheetId="23">
        <row r="21">
          <cell r="D21">
            <v>236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53">
          <cell r="D53">
            <v>256</v>
          </cell>
          <cell r="E53">
            <v>256</v>
          </cell>
          <cell r="F53">
            <v>515</v>
          </cell>
          <cell r="G53">
            <v>1365</v>
          </cell>
          <cell r="H53">
            <v>-35718</v>
          </cell>
          <cell r="I53">
            <v>363</v>
          </cell>
          <cell r="J53">
            <v>183</v>
          </cell>
          <cell r="K53">
            <v>152</v>
          </cell>
          <cell r="L53">
            <v>0</v>
          </cell>
          <cell r="M53">
            <v>335</v>
          </cell>
          <cell r="N53">
            <v>436</v>
          </cell>
          <cell r="O53">
            <v>218</v>
          </cell>
        </row>
      </sheetData>
      <sheetData sheetId="50">
        <row r="9">
          <cell r="C9">
            <v>8</v>
          </cell>
          <cell r="D9">
            <v>8</v>
          </cell>
          <cell r="E9">
            <v>8</v>
          </cell>
          <cell r="F9">
            <v>8</v>
          </cell>
          <cell r="G9">
            <v>4</v>
          </cell>
          <cell r="H9">
            <v>12</v>
          </cell>
          <cell r="I9">
            <v>8</v>
          </cell>
          <cell r="J9">
            <v>8</v>
          </cell>
          <cell r="K9">
            <v>6</v>
          </cell>
          <cell r="L9">
            <v>10</v>
          </cell>
          <cell r="M9">
            <v>8</v>
          </cell>
          <cell r="N9">
            <v>8</v>
          </cell>
        </row>
        <row r="11">
          <cell r="C11">
            <v>73647</v>
          </cell>
          <cell r="D11">
            <v>70304</v>
          </cell>
          <cell r="E11">
            <v>67167</v>
          </cell>
          <cell r="F11">
            <v>74951</v>
          </cell>
          <cell r="G11">
            <v>26091</v>
          </cell>
          <cell r="H11">
            <v>137520</v>
          </cell>
          <cell r="I11">
            <v>81430</v>
          </cell>
          <cell r="J11">
            <v>82420</v>
          </cell>
          <cell r="K11">
            <v>69942</v>
          </cell>
          <cell r="L11">
            <v>70753</v>
          </cell>
          <cell r="M11">
            <v>60533</v>
          </cell>
          <cell r="N11">
            <v>65227</v>
          </cell>
        </row>
        <row r="14">
          <cell r="C14">
            <v>12</v>
          </cell>
          <cell r="D14">
            <v>11</v>
          </cell>
          <cell r="E14">
            <v>11</v>
          </cell>
          <cell r="F14">
            <v>13</v>
          </cell>
          <cell r="G14">
            <v>11</v>
          </cell>
          <cell r="H14">
            <v>14</v>
          </cell>
          <cell r="I14">
            <v>12</v>
          </cell>
          <cell r="J14">
            <v>11</v>
          </cell>
          <cell r="K14">
            <v>7</v>
          </cell>
          <cell r="L14">
            <v>16</v>
          </cell>
          <cell r="M14">
            <v>14</v>
          </cell>
          <cell r="N14">
            <v>12</v>
          </cell>
        </row>
        <row r="15">
          <cell r="C15">
            <v>1280</v>
          </cell>
          <cell r="D15">
            <v>1176</v>
          </cell>
          <cell r="E15">
            <v>1244</v>
          </cell>
          <cell r="F15">
            <v>1343</v>
          </cell>
          <cell r="G15">
            <v>1416</v>
          </cell>
          <cell r="H15">
            <v>1497</v>
          </cell>
          <cell r="I15">
            <v>1400</v>
          </cell>
          <cell r="J15">
            <v>1341</v>
          </cell>
          <cell r="K15">
            <v>984</v>
          </cell>
          <cell r="L15">
            <v>1663</v>
          </cell>
          <cell r="M15">
            <v>1265</v>
          </cell>
          <cell r="N15">
            <v>1263</v>
          </cell>
        </row>
        <row r="16">
          <cell r="C16">
            <v>486600</v>
          </cell>
          <cell r="D16">
            <v>459720</v>
          </cell>
          <cell r="E16">
            <v>472600</v>
          </cell>
          <cell r="F16">
            <v>519550</v>
          </cell>
          <cell r="G16">
            <v>503580</v>
          </cell>
          <cell r="H16">
            <v>610010</v>
          </cell>
          <cell r="I16">
            <v>574140</v>
          </cell>
          <cell r="J16">
            <v>555400</v>
          </cell>
          <cell r="K16">
            <v>401720</v>
          </cell>
          <cell r="L16">
            <v>740437</v>
          </cell>
          <cell r="M16">
            <v>452898</v>
          </cell>
          <cell r="N16">
            <v>475451</v>
          </cell>
        </row>
        <row r="17">
          <cell r="C17">
            <v>146810</v>
          </cell>
          <cell r="D17">
            <v>151071</v>
          </cell>
          <cell r="E17">
            <v>149357</v>
          </cell>
          <cell r="F17">
            <v>144072</v>
          </cell>
          <cell r="G17">
            <v>121984</v>
          </cell>
          <cell r="H17">
            <v>135301</v>
          </cell>
          <cell r="I17">
            <v>124435</v>
          </cell>
          <cell r="J17">
            <v>124190</v>
          </cell>
          <cell r="K17">
            <v>113483</v>
          </cell>
          <cell r="L17">
            <v>133594</v>
          </cell>
          <cell r="M17">
            <v>117277</v>
          </cell>
          <cell r="N17">
            <v>139263</v>
          </cell>
        </row>
        <row r="19">
          <cell r="D19">
            <v>12</v>
          </cell>
          <cell r="E19">
            <v>10</v>
          </cell>
          <cell r="F19">
            <v>9</v>
          </cell>
          <cell r="G19">
            <v>11</v>
          </cell>
          <cell r="H19">
            <v>14</v>
          </cell>
          <cell r="I19">
            <v>11</v>
          </cell>
          <cell r="J19">
            <v>8</v>
          </cell>
          <cell r="K19">
            <v>7</v>
          </cell>
          <cell r="L19">
            <v>14</v>
          </cell>
          <cell r="M19">
            <v>15</v>
          </cell>
          <cell r="N19">
            <v>11</v>
          </cell>
          <cell r="O19">
            <v>132</v>
          </cell>
        </row>
        <row r="20">
          <cell r="C20">
            <v>7187</v>
          </cell>
          <cell r="D20">
            <v>8991</v>
          </cell>
          <cell r="E20">
            <v>7038</v>
          </cell>
          <cell r="F20">
            <v>5731</v>
          </cell>
          <cell r="G20">
            <v>6651</v>
          </cell>
          <cell r="H20">
            <v>8938</v>
          </cell>
          <cell r="I20">
            <v>6629</v>
          </cell>
          <cell r="J20">
            <v>4514</v>
          </cell>
          <cell r="K20">
            <v>4128</v>
          </cell>
          <cell r="L20">
            <v>8562</v>
          </cell>
          <cell r="M20">
            <v>7928</v>
          </cell>
          <cell r="N20">
            <v>6696</v>
          </cell>
        </row>
        <row r="21">
          <cell r="C21">
            <v>3382380</v>
          </cell>
          <cell r="D21">
            <v>4257420</v>
          </cell>
          <cell r="E21">
            <v>3503100</v>
          </cell>
          <cell r="F21">
            <v>2975880</v>
          </cell>
          <cell r="G21">
            <v>3468180</v>
          </cell>
          <cell r="H21">
            <v>4916640</v>
          </cell>
          <cell r="I21">
            <v>3603960</v>
          </cell>
          <cell r="J21">
            <v>2397480</v>
          </cell>
          <cell r="K21">
            <v>2246700</v>
          </cell>
          <cell r="L21">
            <v>4393980</v>
          </cell>
          <cell r="M21">
            <v>3565799</v>
          </cell>
          <cell r="N21">
            <v>3097441</v>
          </cell>
        </row>
        <row r="22">
          <cell r="C22">
            <v>1333802</v>
          </cell>
          <cell r="D22">
            <v>1820507</v>
          </cell>
          <cell r="E22">
            <v>1480086</v>
          </cell>
          <cell r="F22">
            <v>1163110</v>
          </cell>
          <cell r="G22">
            <v>1219033</v>
          </cell>
          <cell r="H22">
            <v>1436333</v>
          </cell>
          <cell r="I22">
            <v>1082936</v>
          </cell>
          <cell r="J22">
            <v>737468</v>
          </cell>
          <cell r="K22">
            <v>810007</v>
          </cell>
          <cell r="L22">
            <v>1366095</v>
          </cell>
          <cell r="M22">
            <v>1110349</v>
          </cell>
          <cell r="N22">
            <v>1231001</v>
          </cell>
        </row>
        <row r="24">
          <cell r="C24">
            <v>5</v>
          </cell>
          <cell r="D24">
            <v>6</v>
          </cell>
          <cell r="E24">
            <v>7</v>
          </cell>
          <cell r="F24">
            <v>5</v>
          </cell>
          <cell r="G24">
            <v>4</v>
          </cell>
          <cell r="H24">
            <v>9</v>
          </cell>
          <cell r="I24">
            <v>5</v>
          </cell>
          <cell r="J24">
            <v>10</v>
          </cell>
          <cell r="K24">
            <v>2</v>
          </cell>
          <cell r="L24">
            <v>8</v>
          </cell>
          <cell r="M24">
            <v>6</v>
          </cell>
          <cell r="N24">
            <v>6</v>
          </cell>
        </row>
        <row r="25">
          <cell r="C25">
            <v>15171</v>
          </cell>
          <cell r="D25">
            <v>18441</v>
          </cell>
          <cell r="E25">
            <v>21870</v>
          </cell>
          <cell r="F25">
            <v>14155</v>
          </cell>
          <cell r="G25">
            <v>17580</v>
          </cell>
          <cell r="H25">
            <v>32868</v>
          </cell>
          <cell r="I25">
            <v>14947</v>
          </cell>
          <cell r="J25">
            <v>24233</v>
          </cell>
          <cell r="K25">
            <v>6461</v>
          </cell>
          <cell r="L25">
            <v>23405</v>
          </cell>
          <cell r="M25">
            <v>14491</v>
          </cell>
          <cell r="N25">
            <v>17512</v>
          </cell>
        </row>
        <row r="26">
          <cell r="C26">
            <v>7080835</v>
          </cell>
          <cell r="D26">
            <v>9384000</v>
          </cell>
          <cell r="E26">
            <v>11616000</v>
          </cell>
          <cell r="F26">
            <v>7022400</v>
          </cell>
          <cell r="G26">
            <v>7128000</v>
          </cell>
          <cell r="H26">
            <v>14872800</v>
          </cell>
          <cell r="I26">
            <v>7776000</v>
          </cell>
          <cell r="J26">
            <v>12556800</v>
          </cell>
          <cell r="K26">
            <v>3633600</v>
          </cell>
          <cell r="L26">
            <v>11151679</v>
          </cell>
          <cell r="M26">
            <v>8773949</v>
          </cell>
          <cell r="N26">
            <v>8704501</v>
          </cell>
        </row>
        <row r="27">
          <cell r="C27">
            <v>2123767</v>
          </cell>
          <cell r="D27">
            <v>3895206</v>
          </cell>
          <cell r="E27">
            <v>5906401</v>
          </cell>
          <cell r="F27">
            <v>3228000</v>
          </cell>
          <cell r="G27">
            <v>2438402</v>
          </cell>
          <cell r="H27">
            <v>5457588</v>
          </cell>
          <cell r="I27">
            <v>2980794</v>
          </cell>
          <cell r="J27">
            <v>4238402</v>
          </cell>
          <cell r="K27">
            <v>2239196</v>
          </cell>
          <cell r="L27">
            <v>4594010</v>
          </cell>
          <cell r="M27">
            <v>1750141</v>
          </cell>
          <cell r="N27">
            <v>3779262</v>
          </cell>
        </row>
        <row r="29">
          <cell r="C29">
            <v>1</v>
          </cell>
          <cell r="D29">
            <v>1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L29">
            <v>1</v>
          </cell>
          <cell r="M29">
            <v>2</v>
          </cell>
          <cell r="N29">
            <v>1</v>
          </cell>
        </row>
        <row r="30">
          <cell r="C30">
            <v>81</v>
          </cell>
          <cell r="D30">
            <v>81</v>
          </cell>
          <cell r="E30">
            <v>163</v>
          </cell>
          <cell r="F30">
            <v>432</v>
          </cell>
          <cell r="G30">
            <v>-6014</v>
          </cell>
          <cell r="H30">
            <v>115</v>
          </cell>
          <cell r="I30">
            <v>58</v>
          </cell>
          <cell r="J30">
            <v>48</v>
          </cell>
          <cell r="L30">
            <v>106</v>
          </cell>
          <cell r="M30">
            <v>138</v>
          </cell>
          <cell r="N30">
            <v>69</v>
          </cell>
        </row>
        <row r="31">
          <cell r="C31">
            <v>24000</v>
          </cell>
          <cell r="D31">
            <v>24000</v>
          </cell>
          <cell r="E31">
            <v>26400</v>
          </cell>
          <cell r="F31">
            <v>31200</v>
          </cell>
          <cell r="G31">
            <v>-2809392</v>
          </cell>
          <cell r="H31">
            <v>31200</v>
          </cell>
          <cell r="I31">
            <v>26400</v>
          </cell>
          <cell r="J31">
            <v>16800</v>
          </cell>
          <cell r="L31">
            <v>48300</v>
          </cell>
          <cell r="M31">
            <v>84751</v>
          </cell>
          <cell r="N31">
            <v>53522</v>
          </cell>
        </row>
      </sheetData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workbookViewId="0">
      <pane xSplit="3" ySplit="7" topLeftCell="D20" activePane="bottomRight" state="frozen"/>
      <selection sqref="A1:XFD1048576"/>
      <selection pane="topRight" sqref="A1:XFD1048576"/>
      <selection pane="bottomLeft" sqref="A1:XFD1048576"/>
      <selection pane="bottomRight" sqref="A1:R37"/>
    </sheetView>
  </sheetViews>
  <sheetFormatPr defaultColWidth="8.85546875" defaultRowHeight="15" x14ac:dyDescent="0.25"/>
  <cols>
    <col min="1" max="1" width="4.7109375" style="8" bestFit="1" customWidth="1"/>
    <col min="2" max="2" width="11.85546875" style="8" bestFit="1" customWidth="1"/>
    <col min="3" max="3" width="23.28515625" style="8" bestFit="1" customWidth="1"/>
    <col min="4" max="4" width="13.42578125" style="8" bestFit="1" customWidth="1"/>
    <col min="5" max="5" width="12.28515625" style="8" bestFit="1" customWidth="1"/>
    <col min="6" max="6" width="13.42578125" style="8" bestFit="1" customWidth="1"/>
    <col min="7" max="18" width="12.28515625" style="8" bestFit="1" customWidth="1"/>
    <col min="19" max="16384" width="8.85546875" style="8"/>
  </cols>
  <sheetData>
    <row r="1" spans="1:18" x14ac:dyDescent="0.25">
      <c r="A1" s="30" t="s">
        <v>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0" t="s">
        <v>116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30" t="str">
        <f>+'Proforma Revenue'!A3</f>
        <v>Twelve Months ended June 2020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x14ac:dyDescent="0.25">
      <c r="A4" s="30" t="s">
        <v>125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x14ac:dyDescent="0.25">
      <c r="A5" s="30" t="str">
        <f>+'Proforma Revenue'!A5</f>
        <v>Base Tariff Rates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45" x14ac:dyDescent="0.25">
      <c r="A7" s="9" t="s">
        <v>4</v>
      </c>
      <c r="B7" s="9" t="s">
        <v>0</v>
      </c>
      <c r="C7" s="9" t="s">
        <v>5</v>
      </c>
      <c r="D7" s="9" t="s">
        <v>117</v>
      </c>
      <c r="E7" s="9" t="s">
        <v>118</v>
      </c>
      <c r="F7" s="9" t="str">
        <f>+'Proforma Revenue'!F7</f>
        <v>Total
July 2019 to
June 2020</v>
      </c>
      <c r="G7" s="9">
        <f>+'Proforma Revenue'!G7</f>
        <v>43647</v>
      </c>
      <c r="H7" s="9">
        <f>+'Proforma Revenue'!H7</f>
        <v>43678</v>
      </c>
      <c r="I7" s="9">
        <f>+'Proforma Revenue'!I7</f>
        <v>43709</v>
      </c>
      <c r="J7" s="9">
        <f>+'Proforma Revenue'!J7</f>
        <v>43739</v>
      </c>
      <c r="K7" s="9">
        <f>+'Proforma Revenue'!K7</f>
        <v>43770</v>
      </c>
      <c r="L7" s="9">
        <f>+'Proforma Revenue'!L7</f>
        <v>43800</v>
      </c>
      <c r="M7" s="9">
        <f>+'Proforma Revenue'!M7</f>
        <v>43831</v>
      </c>
      <c r="N7" s="9">
        <f>+'Proforma Revenue'!N7</f>
        <v>43862</v>
      </c>
      <c r="O7" s="9">
        <f>+'Proforma Revenue'!O7</f>
        <v>43891</v>
      </c>
      <c r="P7" s="9">
        <f>+'Proforma Revenue'!P7</f>
        <v>43922</v>
      </c>
      <c r="Q7" s="9">
        <f>+'Proforma Revenue'!Q7</f>
        <v>43952</v>
      </c>
      <c r="R7" s="9">
        <f>+'Proforma Revenue'!R7</f>
        <v>43983</v>
      </c>
    </row>
    <row r="8" spans="1:18" x14ac:dyDescent="0.25">
      <c r="A8" s="2">
        <v>1</v>
      </c>
      <c r="B8" s="2">
        <v>7</v>
      </c>
      <c r="C8" s="1" t="s">
        <v>23</v>
      </c>
      <c r="D8" s="10">
        <f>SUM(E8:F8)</f>
        <v>0</v>
      </c>
      <c r="E8" s="10">
        <v>0</v>
      </c>
      <c r="F8" s="10">
        <f t="shared" ref="F8:F14" si="0">SUM(G8:R8)</f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</row>
    <row r="9" spans="1:18" x14ac:dyDescent="0.25">
      <c r="A9" s="2">
        <f>+A8+1</f>
        <v>2</v>
      </c>
      <c r="B9" s="2"/>
      <c r="C9" s="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5">
      <c r="A10" s="2">
        <f t="shared" ref="A10:A37" si="1">+A9+1</f>
        <v>3</v>
      </c>
      <c r="B10" s="2" t="s">
        <v>2</v>
      </c>
      <c r="C10" s="3" t="s">
        <v>119</v>
      </c>
      <c r="D10" s="10">
        <f>SUM(E10:F10)</f>
        <v>0</v>
      </c>
      <c r="E10" s="10">
        <v>0</v>
      </c>
      <c r="F10" s="10">
        <f t="shared" si="0"/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2">
        <f t="shared" si="1"/>
        <v>4</v>
      </c>
      <c r="B11" s="2"/>
      <c r="C11" s="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25">
      <c r="A12" s="2">
        <f t="shared" si="1"/>
        <v>5</v>
      </c>
      <c r="B12" s="2" t="s">
        <v>111</v>
      </c>
      <c r="C12" s="1"/>
      <c r="D12" s="10">
        <f t="shared" ref="D12:D15" si="2">SUM(E12:F12)</f>
        <v>921694</v>
      </c>
      <c r="E12" s="10">
        <f>+'Sch 24 Sm Sec'!C27</f>
        <v>41709</v>
      </c>
      <c r="F12" s="10">
        <f t="shared" si="0"/>
        <v>879985</v>
      </c>
      <c r="G12" s="10">
        <f>+'Sch 24 Sm Sec'!D12</f>
        <v>73647</v>
      </c>
      <c r="H12" s="10">
        <f>+'Sch 24 Sm Sec'!E12</f>
        <v>70304</v>
      </c>
      <c r="I12" s="10">
        <f>+'Sch 24 Sm Sec'!F12</f>
        <v>67167</v>
      </c>
      <c r="J12" s="10">
        <f>+'Sch 24 Sm Sec'!G12</f>
        <v>74951</v>
      </c>
      <c r="K12" s="10">
        <f>+'Sch 24 Sm Sec'!H12</f>
        <v>26091</v>
      </c>
      <c r="L12" s="10">
        <f>+'Sch 24 Sm Sec'!I12</f>
        <v>137520</v>
      </c>
      <c r="M12" s="10">
        <f>+'Sch 24 Sm Sec'!J12</f>
        <v>81430</v>
      </c>
      <c r="N12" s="10">
        <f>+'Sch 24 Sm Sec'!K12</f>
        <v>82420</v>
      </c>
      <c r="O12" s="10">
        <f>+'Sch 24 Sm Sec'!L12</f>
        <v>69942</v>
      </c>
      <c r="P12" s="10">
        <f>+'Sch 24 Sm Sec'!M12</f>
        <v>70753</v>
      </c>
      <c r="Q12" s="10">
        <f>+'Sch 24 Sm Sec'!N12</f>
        <v>60533</v>
      </c>
      <c r="R12" s="10">
        <f>+'Sch 24 Sm Sec'!O12</f>
        <v>65227</v>
      </c>
    </row>
    <row r="13" spans="1:18" x14ac:dyDescent="0.25">
      <c r="A13" s="2">
        <f t="shared" si="1"/>
        <v>6</v>
      </c>
      <c r="B13" s="4" t="s">
        <v>112</v>
      </c>
      <c r="C13" s="1"/>
      <c r="D13" s="10">
        <f t="shared" si="2"/>
        <v>6277692</v>
      </c>
      <c r="E13" s="10">
        <f>+'Sch 25 Med Sec'!C40</f>
        <v>25586</v>
      </c>
      <c r="F13" s="10">
        <f t="shared" si="0"/>
        <v>6252106</v>
      </c>
      <c r="G13" s="10">
        <f>+'Sch 25 Med Sec'!D12</f>
        <v>486600</v>
      </c>
      <c r="H13" s="10">
        <f>+'Sch 25 Med Sec'!E12</f>
        <v>459720</v>
      </c>
      <c r="I13" s="10">
        <f>+'Sch 25 Med Sec'!F12</f>
        <v>472600</v>
      </c>
      <c r="J13" s="10">
        <f>+'Sch 25 Med Sec'!G12</f>
        <v>519550</v>
      </c>
      <c r="K13" s="10">
        <f>+'Sch 25 Med Sec'!H12</f>
        <v>503580</v>
      </c>
      <c r="L13" s="10">
        <f>+'Sch 25 Med Sec'!I12</f>
        <v>610010</v>
      </c>
      <c r="M13" s="10">
        <f>+'Sch 25 Med Sec'!J12</f>
        <v>574140</v>
      </c>
      <c r="N13" s="10">
        <f>+'Sch 25 Med Sec'!K12</f>
        <v>555400</v>
      </c>
      <c r="O13" s="10">
        <f>+'Sch 25 Med Sec'!L12</f>
        <v>401720</v>
      </c>
      <c r="P13" s="10">
        <f>+'Sch 25 Med Sec'!M12</f>
        <v>740437</v>
      </c>
      <c r="Q13" s="10">
        <f>+'Sch 25 Med Sec'!N12</f>
        <v>452898</v>
      </c>
      <c r="R13" s="10">
        <f>+'Sch 25 Med Sec'!O12</f>
        <v>475451</v>
      </c>
    </row>
    <row r="14" spans="1:18" x14ac:dyDescent="0.25">
      <c r="A14" s="2">
        <f t="shared" si="1"/>
        <v>7</v>
      </c>
      <c r="B14" s="2" t="s">
        <v>113</v>
      </c>
      <c r="C14" s="1"/>
      <c r="D14" s="10">
        <f t="shared" si="2"/>
        <v>41778991</v>
      </c>
      <c r="E14" s="10">
        <f>+'Sch 26 Large Sec'!C34</f>
        <v>-29969</v>
      </c>
      <c r="F14" s="10">
        <f t="shared" si="0"/>
        <v>41808960</v>
      </c>
      <c r="G14" s="10">
        <f>+'Sch 26 Large Sec'!D10</f>
        <v>3382380</v>
      </c>
      <c r="H14" s="10">
        <f>+'Sch 26 Large Sec'!E10</f>
        <v>4257420</v>
      </c>
      <c r="I14" s="10">
        <f>+'Sch 26 Large Sec'!F10</f>
        <v>3503100</v>
      </c>
      <c r="J14" s="10">
        <f>+'Sch 26 Large Sec'!G10</f>
        <v>2975880</v>
      </c>
      <c r="K14" s="10">
        <f>+'Sch 26 Large Sec'!H10</f>
        <v>3468180</v>
      </c>
      <c r="L14" s="10">
        <f>+'Sch 26 Large Sec'!I10</f>
        <v>4916640</v>
      </c>
      <c r="M14" s="10">
        <f>+'Sch 26 Large Sec'!J10</f>
        <v>3603960</v>
      </c>
      <c r="N14" s="10">
        <f>+'Sch 26 Large Sec'!K10</f>
        <v>2397480</v>
      </c>
      <c r="O14" s="10">
        <f>+'Sch 26 Large Sec'!L10</f>
        <v>2246700</v>
      </c>
      <c r="P14" s="10">
        <f>+'Sch 26 Large Sec'!M10</f>
        <v>4393980</v>
      </c>
      <c r="Q14" s="10">
        <f>+'Sch 26 Large Sec'!N10</f>
        <v>3565799</v>
      </c>
      <c r="R14" s="10">
        <f>+'Sch 26 Large Sec'!O10</f>
        <v>3097441</v>
      </c>
    </row>
    <row r="15" spans="1:18" x14ac:dyDescent="0.25">
      <c r="A15" s="2">
        <f t="shared" si="1"/>
        <v>8</v>
      </c>
      <c r="B15" s="2">
        <v>29</v>
      </c>
      <c r="C15" s="1"/>
      <c r="D15" s="10">
        <f t="shared" si="2"/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2">
        <f t="shared" si="1"/>
        <v>9</v>
      </c>
      <c r="B16" s="2"/>
      <c r="C16" s="3" t="s">
        <v>24</v>
      </c>
      <c r="D16" s="10">
        <f t="shared" ref="D16:R16" si="3">SUM(D12:D15)</f>
        <v>48978377</v>
      </c>
      <c r="E16" s="10">
        <f t="shared" ref="E16" si="4">SUM(E12:E15)</f>
        <v>37326</v>
      </c>
      <c r="F16" s="10">
        <f t="shared" si="3"/>
        <v>48941051</v>
      </c>
      <c r="G16" s="10">
        <f t="shared" si="3"/>
        <v>3942627</v>
      </c>
      <c r="H16" s="10">
        <f t="shared" si="3"/>
        <v>4787444</v>
      </c>
      <c r="I16" s="10">
        <f t="shared" si="3"/>
        <v>4042867</v>
      </c>
      <c r="J16" s="10">
        <f t="shared" si="3"/>
        <v>3570381</v>
      </c>
      <c r="K16" s="10">
        <f t="shared" si="3"/>
        <v>3997851</v>
      </c>
      <c r="L16" s="10">
        <f t="shared" si="3"/>
        <v>5664170</v>
      </c>
      <c r="M16" s="10">
        <f t="shared" si="3"/>
        <v>4259530</v>
      </c>
      <c r="N16" s="10">
        <f t="shared" si="3"/>
        <v>3035300</v>
      </c>
      <c r="O16" s="10">
        <f t="shared" si="3"/>
        <v>2718362</v>
      </c>
      <c r="P16" s="10">
        <f t="shared" si="3"/>
        <v>5205170</v>
      </c>
      <c r="Q16" s="10">
        <f t="shared" si="3"/>
        <v>4079230</v>
      </c>
      <c r="R16" s="10">
        <f t="shared" si="3"/>
        <v>3638119</v>
      </c>
    </row>
    <row r="17" spans="1:18" x14ac:dyDescent="0.25">
      <c r="A17" s="2">
        <f t="shared" si="1"/>
        <v>10</v>
      </c>
      <c r="B17" s="2"/>
      <c r="C17" s="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5">
      <c r="A18" s="2">
        <f t="shared" si="1"/>
        <v>11</v>
      </c>
      <c r="B18" s="2" t="s">
        <v>114</v>
      </c>
      <c r="C18" s="1"/>
      <c r="D18" s="10">
        <f t="shared" ref="D18:D20" si="5">SUM(E18:F18)</f>
        <v>105899790</v>
      </c>
      <c r="E18" s="10">
        <f>+'Sch 31 Pri Gen Svc'!C34</f>
        <v>-3800774</v>
      </c>
      <c r="F18" s="10">
        <f>SUM(G18:R18)</f>
        <v>109700564</v>
      </c>
      <c r="G18" s="10">
        <f>+'Sch 31 Pri Gen Svc'!D10</f>
        <v>7080835</v>
      </c>
      <c r="H18" s="10">
        <f>+'Sch 31 Pri Gen Svc'!E10</f>
        <v>9384000</v>
      </c>
      <c r="I18" s="10">
        <f>+'Sch 31 Pri Gen Svc'!F10</f>
        <v>11616000</v>
      </c>
      <c r="J18" s="10">
        <f>+'Sch 31 Pri Gen Svc'!G10</f>
        <v>7022400</v>
      </c>
      <c r="K18" s="10">
        <f>+'Sch 31 Pri Gen Svc'!H10</f>
        <v>7128000</v>
      </c>
      <c r="L18" s="10">
        <f>+'Sch 31 Pri Gen Svc'!I10</f>
        <v>14872800</v>
      </c>
      <c r="M18" s="10">
        <f>+'Sch 31 Pri Gen Svc'!J10</f>
        <v>7776000</v>
      </c>
      <c r="N18" s="10">
        <f>+'Sch 31 Pri Gen Svc'!K10</f>
        <v>12556800</v>
      </c>
      <c r="O18" s="10">
        <f>+'Sch 31 Pri Gen Svc'!L10</f>
        <v>3633600</v>
      </c>
      <c r="P18" s="10">
        <f>+'Sch 31 Pri Gen Svc'!M10</f>
        <v>11151679</v>
      </c>
      <c r="Q18" s="10">
        <f>+'Sch 31 Pri Gen Svc'!N10</f>
        <v>8773949</v>
      </c>
      <c r="R18" s="10">
        <f>+'Sch 31 Pri Gen Svc'!O10</f>
        <v>8704501</v>
      </c>
    </row>
    <row r="19" spans="1:18" x14ac:dyDescent="0.25">
      <c r="A19" s="2">
        <f t="shared" si="1"/>
        <v>12</v>
      </c>
      <c r="B19" s="2">
        <v>35</v>
      </c>
      <c r="C19" s="1"/>
      <c r="D19" s="10">
        <f t="shared" si="5"/>
        <v>0</v>
      </c>
      <c r="E19" s="10">
        <v>0</v>
      </c>
      <c r="F19" s="10">
        <f t="shared" ref="F19:F20" si="6">SUM(G19:R19)</f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2">
        <f t="shared" si="1"/>
        <v>13</v>
      </c>
      <c r="B20" s="2">
        <v>43</v>
      </c>
      <c r="C20" s="1"/>
      <c r="D20" s="10">
        <f t="shared" si="5"/>
        <v>0</v>
      </c>
      <c r="E20" s="10">
        <v>0</v>
      </c>
      <c r="F20" s="10">
        <f t="shared" si="6"/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2">
        <f t="shared" si="1"/>
        <v>14</v>
      </c>
      <c r="B21" s="2"/>
      <c r="C21" s="1" t="s">
        <v>25</v>
      </c>
      <c r="D21" s="10">
        <f t="shared" ref="D21:R21" si="7">SUM(D18:D20)</f>
        <v>105899790</v>
      </c>
      <c r="E21" s="10">
        <f t="shared" si="7"/>
        <v>-3800774</v>
      </c>
      <c r="F21" s="10">
        <f t="shared" si="7"/>
        <v>109700564</v>
      </c>
      <c r="G21" s="10">
        <f t="shared" si="7"/>
        <v>7080835</v>
      </c>
      <c r="H21" s="10">
        <f t="shared" si="7"/>
        <v>9384000</v>
      </c>
      <c r="I21" s="10">
        <f t="shared" si="7"/>
        <v>11616000</v>
      </c>
      <c r="J21" s="10">
        <f t="shared" si="7"/>
        <v>7022400</v>
      </c>
      <c r="K21" s="10">
        <f t="shared" si="7"/>
        <v>7128000</v>
      </c>
      <c r="L21" s="10">
        <f t="shared" si="7"/>
        <v>14872800</v>
      </c>
      <c r="M21" s="10">
        <f t="shared" si="7"/>
        <v>7776000</v>
      </c>
      <c r="N21" s="10">
        <f t="shared" si="7"/>
        <v>12556800</v>
      </c>
      <c r="O21" s="10">
        <f t="shared" si="7"/>
        <v>3633600</v>
      </c>
      <c r="P21" s="10">
        <f t="shared" si="7"/>
        <v>11151679</v>
      </c>
      <c r="Q21" s="10">
        <f t="shared" si="7"/>
        <v>8773949</v>
      </c>
      <c r="R21" s="10">
        <f t="shared" si="7"/>
        <v>8704501</v>
      </c>
    </row>
    <row r="22" spans="1:18" x14ac:dyDescent="0.25">
      <c r="A22" s="2">
        <f t="shared" si="1"/>
        <v>15</v>
      </c>
      <c r="B22" s="2"/>
      <c r="C22" s="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5">
      <c r="A23" s="2">
        <f t="shared" si="1"/>
        <v>16</v>
      </c>
      <c r="B23" s="2">
        <v>40</v>
      </c>
      <c r="C23" s="1" t="s">
        <v>108</v>
      </c>
      <c r="D23" s="10">
        <f>SUM(E23:F23)</f>
        <v>-153284442.45454547</v>
      </c>
      <c r="E23" s="10">
        <f>+'Sch 40 Campus Svc'!C42</f>
        <v>2914355.5454545459</v>
      </c>
      <c r="F23" s="10">
        <f>SUM(G23:R23)</f>
        <v>-156198798</v>
      </c>
      <c r="G23" s="10">
        <f>+'Sch 40 Campus Svc'!D13</f>
        <v>-11047462</v>
      </c>
      <c r="H23" s="10">
        <f>+'Sch 40 Campus Svc'!E13</f>
        <v>-14195444</v>
      </c>
      <c r="I23" s="10">
        <f>+'Sch 40 Campus Svc'!F13</f>
        <v>-15685267</v>
      </c>
      <c r="J23" s="10">
        <f>+'Sch 40 Campus Svc'!G13</f>
        <v>-10623981</v>
      </c>
      <c r="K23" s="10">
        <f>+'Sch 40 Campus Svc'!H13</f>
        <v>-8316460</v>
      </c>
      <c r="L23" s="10">
        <f>+'Sch 40 Campus Svc'!I13</f>
        <v>-20568170</v>
      </c>
      <c r="M23" s="10">
        <f>+'Sch 40 Campus Svc'!J13</f>
        <v>-12061930</v>
      </c>
      <c r="N23" s="10">
        <f>+'Sch 40 Campus Svc'!K13</f>
        <v>-15608900</v>
      </c>
      <c r="O23" s="10">
        <f>+'Sch 40 Campus Svc'!L13</f>
        <v>-6351962</v>
      </c>
      <c r="P23" s="10">
        <f>+'Sch 40 Campus Svc'!M13</f>
        <v>-16405149</v>
      </c>
      <c r="Q23" s="10">
        <f>+'Sch 40 Campus Svc'!N13</f>
        <v>-12937931</v>
      </c>
      <c r="R23" s="10">
        <f>+'Sch 40 Campus Svc'!O13</f>
        <v>-12396142</v>
      </c>
    </row>
    <row r="24" spans="1:18" x14ac:dyDescent="0.25">
      <c r="A24" s="2">
        <f t="shared" si="1"/>
        <v>17</v>
      </c>
      <c r="B24" s="2"/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25">
      <c r="A25" s="2">
        <f t="shared" si="1"/>
        <v>18</v>
      </c>
      <c r="B25" s="2">
        <v>46</v>
      </c>
      <c r="C25" s="1"/>
      <c r="D25" s="10">
        <f t="shared" ref="D25:D26" si="8">SUM(E25:F25)</f>
        <v>0</v>
      </c>
      <c r="E25" s="10">
        <v>0</v>
      </c>
      <c r="F25" s="10">
        <f t="shared" ref="F25:F26" si="9">SUM(G25:R25)</f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2">
        <f t="shared" si="1"/>
        <v>19</v>
      </c>
      <c r="B26" s="2">
        <v>49</v>
      </c>
      <c r="C26" s="1"/>
      <c r="D26" s="10">
        <f t="shared" si="8"/>
        <v>0</v>
      </c>
      <c r="E26" s="10">
        <v>0</v>
      </c>
      <c r="F26" s="10">
        <f t="shared" si="9"/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2">
        <f t="shared" si="1"/>
        <v>20</v>
      </c>
      <c r="B27" s="2"/>
      <c r="C27" s="1" t="s">
        <v>26</v>
      </c>
      <c r="D27" s="10">
        <f t="shared" ref="D27:R27" si="10">SUM(D25:D26)</f>
        <v>0</v>
      </c>
      <c r="E27" s="10">
        <f t="shared" si="10"/>
        <v>0</v>
      </c>
      <c r="F27" s="10">
        <f t="shared" si="10"/>
        <v>0</v>
      </c>
      <c r="G27" s="10">
        <f t="shared" si="10"/>
        <v>0</v>
      </c>
      <c r="H27" s="10">
        <f t="shared" si="10"/>
        <v>0</v>
      </c>
      <c r="I27" s="10">
        <f t="shared" si="10"/>
        <v>0</v>
      </c>
      <c r="J27" s="10">
        <f t="shared" si="10"/>
        <v>0</v>
      </c>
      <c r="K27" s="10">
        <f t="shared" si="10"/>
        <v>0</v>
      </c>
      <c r="L27" s="10">
        <f t="shared" si="10"/>
        <v>0</v>
      </c>
      <c r="M27" s="10">
        <f t="shared" si="10"/>
        <v>0</v>
      </c>
      <c r="N27" s="10">
        <f t="shared" si="10"/>
        <v>0</v>
      </c>
      <c r="O27" s="10">
        <f t="shared" si="10"/>
        <v>0</v>
      </c>
      <c r="P27" s="10">
        <f t="shared" si="10"/>
        <v>0</v>
      </c>
      <c r="Q27" s="10">
        <f t="shared" si="10"/>
        <v>0</v>
      </c>
      <c r="R27" s="10">
        <f t="shared" si="10"/>
        <v>0</v>
      </c>
    </row>
    <row r="28" spans="1:18" x14ac:dyDescent="0.25">
      <c r="A28" s="2">
        <f t="shared" si="1"/>
        <v>21</v>
      </c>
      <c r="B28" s="2"/>
      <c r="C28" s="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5">
      <c r="A29" s="2">
        <f t="shared" si="1"/>
        <v>22</v>
      </c>
      <c r="B29" s="2" t="s">
        <v>27</v>
      </c>
      <c r="C29" s="1"/>
      <c r="D29" s="10">
        <f>SUM(E29:F29)</f>
        <v>0</v>
      </c>
      <c r="E29" s="10">
        <v>0</v>
      </c>
      <c r="F29" s="10">
        <f t="shared" ref="F29" si="11">SUM(G29:R29)</f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2">
        <f t="shared" si="1"/>
        <v>23</v>
      </c>
      <c r="B30" s="2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5">
      <c r="A31" s="2">
        <f t="shared" si="1"/>
        <v>24</v>
      </c>
      <c r="B31" s="4" t="s">
        <v>139</v>
      </c>
      <c r="C31" s="1"/>
      <c r="D31" s="10">
        <f>SUM(E31:F31)</f>
        <v>-1593727</v>
      </c>
      <c r="E31" s="10">
        <f>+'Special Contract'!C21</f>
        <v>849092</v>
      </c>
      <c r="F31" s="10">
        <f>SUM(G31:R31)</f>
        <v>-2442819</v>
      </c>
      <c r="G31" s="10">
        <f>+'Special Contract'!D6</f>
        <v>24000</v>
      </c>
      <c r="H31" s="10">
        <f>+'Special Contract'!E6</f>
        <v>24000</v>
      </c>
      <c r="I31" s="10">
        <f>+'Special Contract'!F6</f>
        <v>26400</v>
      </c>
      <c r="J31" s="10">
        <f>+'Special Contract'!G6</f>
        <v>31200</v>
      </c>
      <c r="K31" s="10">
        <f>+'Special Contract'!H6</f>
        <v>-2809392</v>
      </c>
      <c r="L31" s="10">
        <f>+'Special Contract'!I6</f>
        <v>31200</v>
      </c>
      <c r="M31" s="10">
        <f>+'Special Contract'!J6</f>
        <v>26400</v>
      </c>
      <c r="N31" s="10">
        <f>+'Special Contract'!K6</f>
        <v>16800</v>
      </c>
      <c r="O31" s="10">
        <f>+'Special Contract'!L6</f>
        <v>0</v>
      </c>
      <c r="P31" s="10">
        <f>+'Special Contract'!M6</f>
        <v>48300</v>
      </c>
      <c r="Q31" s="10">
        <f>+'Special Contract'!N6</f>
        <v>84751</v>
      </c>
      <c r="R31" s="10">
        <f>+'Special Contract'!O6</f>
        <v>53522</v>
      </c>
    </row>
    <row r="32" spans="1:18" x14ac:dyDescent="0.25">
      <c r="A32" s="2">
        <f t="shared" si="1"/>
        <v>25</v>
      </c>
      <c r="B32" s="2"/>
      <c r="C32" s="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5">
      <c r="A33" s="2">
        <f t="shared" si="1"/>
        <v>26</v>
      </c>
      <c r="B33" s="2"/>
      <c r="C33" s="1" t="s">
        <v>115</v>
      </c>
      <c r="D33" s="10">
        <f t="shared" ref="D33:R33" si="12">SUM(D8,D10,D16,D21,D23,D27,D29,D31)</f>
        <v>-2.4545454680919647</v>
      </c>
      <c r="E33" s="10">
        <f t="shared" si="12"/>
        <v>-0.4545454541221261</v>
      </c>
      <c r="F33" s="10">
        <f t="shared" si="12"/>
        <v>-2</v>
      </c>
      <c r="G33" s="10">
        <f t="shared" si="12"/>
        <v>0</v>
      </c>
      <c r="H33" s="10">
        <f t="shared" si="12"/>
        <v>0</v>
      </c>
      <c r="I33" s="10">
        <f t="shared" si="12"/>
        <v>0</v>
      </c>
      <c r="J33" s="10">
        <f t="shared" si="12"/>
        <v>0</v>
      </c>
      <c r="K33" s="10">
        <f t="shared" si="12"/>
        <v>-1</v>
      </c>
      <c r="L33" s="10">
        <f t="shared" si="12"/>
        <v>0</v>
      </c>
      <c r="M33" s="10">
        <f t="shared" si="12"/>
        <v>0</v>
      </c>
      <c r="N33" s="10">
        <f t="shared" si="12"/>
        <v>0</v>
      </c>
      <c r="O33" s="10">
        <f t="shared" si="12"/>
        <v>0</v>
      </c>
      <c r="P33" s="10">
        <f t="shared" si="12"/>
        <v>0</v>
      </c>
      <c r="Q33" s="10">
        <f t="shared" si="12"/>
        <v>-1</v>
      </c>
      <c r="R33" s="10">
        <f t="shared" si="12"/>
        <v>0</v>
      </c>
    </row>
    <row r="34" spans="1:18" x14ac:dyDescent="0.25">
      <c r="A34" s="2">
        <f t="shared" si="1"/>
        <v>27</v>
      </c>
      <c r="B34" s="2"/>
      <c r="C34" s="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5">
      <c r="A35" s="2">
        <f t="shared" si="1"/>
        <v>28</v>
      </c>
      <c r="B35" s="2">
        <v>5</v>
      </c>
      <c r="C35" s="1" t="s">
        <v>1</v>
      </c>
      <c r="D35" s="10">
        <f>SUM(E35:F35)</f>
        <v>0</v>
      </c>
      <c r="E35" s="10">
        <v>0</v>
      </c>
      <c r="F35" s="10">
        <f t="shared" ref="F35" si="13">SUM(G35:R35)</f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</row>
    <row r="36" spans="1:18" x14ac:dyDescent="0.25">
      <c r="A36" s="2">
        <f t="shared" si="1"/>
        <v>29</v>
      </c>
      <c r="B36" s="1"/>
      <c r="C36" s="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5">
      <c r="A37" s="2">
        <f t="shared" si="1"/>
        <v>30</v>
      </c>
      <c r="B37" s="1"/>
      <c r="C37" s="1" t="s">
        <v>115</v>
      </c>
      <c r="D37" s="10">
        <f t="shared" ref="D37:R37" si="14">SUM(D33,D35)</f>
        <v>-2.4545454680919647</v>
      </c>
      <c r="E37" s="10">
        <f t="shared" si="14"/>
        <v>-0.4545454541221261</v>
      </c>
      <c r="F37" s="10">
        <f t="shared" si="14"/>
        <v>-2</v>
      </c>
      <c r="G37" s="10">
        <f t="shared" si="14"/>
        <v>0</v>
      </c>
      <c r="H37" s="10">
        <f t="shared" si="14"/>
        <v>0</v>
      </c>
      <c r="I37" s="10">
        <f t="shared" si="14"/>
        <v>0</v>
      </c>
      <c r="J37" s="10">
        <f t="shared" si="14"/>
        <v>0</v>
      </c>
      <c r="K37" s="10">
        <f t="shared" si="14"/>
        <v>-1</v>
      </c>
      <c r="L37" s="10">
        <f t="shared" si="14"/>
        <v>0</v>
      </c>
      <c r="M37" s="10">
        <f t="shared" si="14"/>
        <v>0</v>
      </c>
      <c r="N37" s="10">
        <f t="shared" si="14"/>
        <v>0</v>
      </c>
      <c r="O37" s="10">
        <f t="shared" si="14"/>
        <v>0</v>
      </c>
      <c r="P37" s="10">
        <f t="shared" si="14"/>
        <v>0</v>
      </c>
      <c r="Q37" s="10">
        <f t="shared" si="14"/>
        <v>-1</v>
      </c>
      <c r="R37" s="10">
        <f t="shared" si="14"/>
        <v>0</v>
      </c>
    </row>
    <row r="38" spans="1:18" x14ac:dyDescent="0.25">
      <c r="G38" s="10"/>
      <c r="H38" s="10"/>
      <c r="I38" s="10"/>
    </row>
    <row r="39" spans="1:18" x14ac:dyDescent="0.25">
      <c r="G39" s="10"/>
      <c r="H39" s="10"/>
      <c r="I39" s="10"/>
    </row>
    <row r="40" spans="1:18" x14ac:dyDescent="0.25">
      <c r="G40" s="10"/>
      <c r="H40" s="10"/>
      <c r="I40" s="10"/>
    </row>
    <row r="41" spans="1:18" x14ac:dyDescent="0.25">
      <c r="G41" s="10"/>
      <c r="H41" s="10"/>
      <c r="I41" s="10"/>
    </row>
    <row r="42" spans="1:18" x14ac:dyDescent="0.25">
      <c r="G42" s="10"/>
      <c r="H42" s="10"/>
      <c r="I42" s="10"/>
    </row>
    <row r="43" spans="1:18" x14ac:dyDescent="0.25">
      <c r="G43" s="10"/>
      <c r="H43" s="10"/>
      <c r="I43" s="10"/>
    </row>
    <row r="44" spans="1:18" x14ac:dyDescent="0.25">
      <c r="G44" s="10"/>
      <c r="H44" s="10"/>
      <c r="I44" s="10"/>
    </row>
    <row r="45" spans="1:18" x14ac:dyDescent="0.25">
      <c r="G45" s="10"/>
      <c r="H45" s="10"/>
      <c r="I45" s="10"/>
    </row>
    <row r="46" spans="1:18" x14ac:dyDescent="0.25">
      <c r="G46" s="10"/>
      <c r="H46" s="10"/>
      <c r="I46" s="10"/>
    </row>
  </sheetData>
  <mergeCells count="5">
    <mergeCell ref="A1:R1"/>
    <mergeCell ref="A2:R2"/>
    <mergeCell ref="A3:R3"/>
    <mergeCell ref="A4:R4"/>
    <mergeCell ref="A5:R5"/>
  </mergeCells>
  <printOptions horizontalCentered="1"/>
  <pageMargins left="0.7" right="0.7" top="0.75" bottom="0.75" header="0.3" footer="0.3"/>
  <pageSetup scale="54" orientation="landscape" r:id="rId1"/>
  <headerFooter>
    <oddFooter>&amp;L&amp;F&amp;R&amp;A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pane xSplit="6" ySplit="7" topLeftCell="G8" activePane="bottomRight" state="frozen"/>
      <selection sqref="A1:XFD1048576"/>
      <selection pane="topRight" sqref="A1:XFD1048576"/>
      <selection pane="bottomLeft" sqref="A1:XFD1048576"/>
      <selection pane="bottomRight" sqref="A1:R37"/>
    </sheetView>
  </sheetViews>
  <sheetFormatPr defaultColWidth="8.85546875" defaultRowHeight="15" x14ac:dyDescent="0.25"/>
  <cols>
    <col min="1" max="1" width="4.42578125" style="8" bestFit="1" customWidth="1"/>
    <col min="2" max="2" width="14.28515625" style="8" bestFit="1" customWidth="1"/>
    <col min="3" max="3" width="23.28515625" style="8" bestFit="1" customWidth="1"/>
    <col min="4" max="4" width="13.42578125" style="8" bestFit="1" customWidth="1"/>
    <col min="5" max="5" width="11.5703125" style="8" bestFit="1" customWidth="1"/>
    <col min="6" max="6" width="13.42578125" style="8" bestFit="1" customWidth="1"/>
    <col min="7" max="18" width="12.28515625" style="8" bestFit="1" customWidth="1"/>
    <col min="19" max="16384" width="8.85546875" style="8"/>
  </cols>
  <sheetData>
    <row r="1" spans="1:18" x14ac:dyDescent="0.25">
      <c r="A1" s="30" t="s">
        <v>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123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31" t="s">
        <v>141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x14ac:dyDescent="0.25">
      <c r="A4" s="31" t="str">
        <f>+'Proforma kWh'!$A$4</f>
        <v>Schedule 40 Migration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x14ac:dyDescent="0.25">
      <c r="A5" s="31" t="s">
        <v>120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45" x14ac:dyDescent="0.25">
      <c r="A7" s="7" t="s">
        <v>4</v>
      </c>
      <c r="B7" s="7" t="s">
        <v>0</v>
      </c>
      <c r="C7" s="7" t="s">
        <v>5</v>
      </c>
      <c r="D7" s="9" t="s">
        <v>121</v>
      </c>
      <c r="E7" s="9" t="s">
        <v>122</v>
      </c>
      <c r="F7" s="9" t="str">
        <f>+'Sch 24 Sm Sec'!C5</f>
        <v>Total
July 2019 to
June 2020</v>
      </c>
      <c r="G7" s="9">
        <f>+'Sch 24 Sm Sec'!D5</f>
        <v>43647</v>
      </c>
      <c r="H7" s="9">
        <f>+'Sch 24 Sm Sec'!E5</f>
        <v>43678</v>
      </c>
      <c r="I7" s="9">
        <f>+'Sch 24 Sm Sec'!F5</f>
        <v>43709</v>
      </c>
      <c r="J7" s="9">
        <f>+'Sch 24 Sm Sec'!G5</f>
        <v>43739</v>
      </c>
      <c r="K7" s="9">
        <f>+'Sch 24 Sm Sec'!H5</f>
        <v>43770</v>
      </c>
      <c r="L7" s="9">
        <f>+'Sch 24 Sm Sec'!I5</f>
        <v>43800</v>
      </c>
      <c r="M7" s="9">
        <f>+'Sch 24 Sm Sec'!J5</f>
        <v>43831</v>
      </c>
      <c r="N7" s="9">
        <f>+'Sch 24 Sm Sec'!K5</f>
        <v>43862</v>
      </c>
      <c r="O7" s="9">
        <f>+'Sch 24 Sm Sec'!L5</f>
        <v>43891</v>
      </c>
      <c r="P7" s="9">
        <f>+'Sch 24 Sm Sec'!M5</f>
        <v>43922</v>
      </c>
      <c r="Q7" s="9">
        <f>+'Sch 24 Sm Sec'!N5</f>
        <v>43952</v>
      </c>
      <c r="R7" s="9">
        <f>+'Sch 24 Sm Sec'!O5</f>
        <v>43983</v>
      </c>
    </row>
    <row r="8" spans="1:18" x14ac:dyDescent="0.25">
      <c r="A8" s="2">
        <v>1</v>
      </c>
      <c r="B8" s="2">
        <v>7</v>
      </c>
      <c r="C8" s="1" t="s">
        <v>23</v>
      </c>
      <c r="D8" s="27">
        <f>SUM(E8:F8)</f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</row>
    <row r="9" spans="1:18" x14ac:dyDescent="0.25">
      <c r="A9" s="2">
        <f>+A8+1</f>
        <v>2</v>
      </c>
      <c r="B9" s="2"/>
      <c r="C9" s="1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x14ac:dyDescent="0.25">
      <c r="A10" s="2">
        <f t="shared" ref="A10:A37" si="0">+A9+1</f>
        <v>3</v>
      </c>
      <c r="B10" s="2" t="s">
        <v>2</v>
      </c>
      <c r="C10" s="3" t="s">
        <v>119</v>
      </c>
      <c r="D10" s="27">
        <f>SUM(E10:F10)</f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</row>
    <row r="11" spans="1:18" x14ac:dyDescent="0.25">
      <c r="A11" s="2">
        <f t="shared" si="0"/>
        <v>4</v>
      </c>
      <c r="B11" s="2"/>
      <c r="C11" s="1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x14ac:dyDescent="0.25">
      <c r="A12" s="2">
        <f>+A11+1</f>
        <v>5</v>
      </c>
      <c r="B12" s="2" t="s">
        <v>111</v>
      </c>
      <c r="C12" s="1"/>
      <c r="D12" s="27">
        <f t="shared" ref="D12:D15" si="1">SUM(E12:F12)</f>
        <v>88340</v>
      </c>
      <c r="E12" s="27">
        <f>+'Sch 24 Sm Sec'!C29</f>
        <v>4067</v>
      </c>
      <c r="F12" s="27">
        <f>SUM(G12:R12)</f>
        <v>84273</v>
      </c>
      <c r="G12" s="27">
        <f>+'Sch 24 Sm Sec'!D25</f>
        <v>6921</v>
      </c>
      <c r="H12" s="27">
        <f>+'Sch 24 Sm Sec'!E25</f>
        <v>6611</v>
      </c>
      <c r="I12" s="27">
        <f>+'Sch 24 Sm Sec'!F25</f>
        <v>6319</v>
      </c>
      <c r="J12" s="27">
        <f>+'Sch 24 Sm Sec'!G25</f>
        <v>7291</v>
      </c>
      <c r="K12" s="27">
        <f>+'Sch 24 Sm Sec'!H25</f>
        <v>2551</v>
      </c>
      <c r="L12" s="27">
        <f>+'Sch 24 Sm Sec'!I25</f>
        <v>13351</v>
      </c>
      <c r="M12" s="27">
        <f>+'Sch 24 Sm Sec'!J25</f>
        <v>7915</v>
      </c>
      <c r="N12" s="27">
        <f>+'Sch 24 Sm Sec'!K25</f>
        <v>8010</v>
      </c>
      <c r="O12" s="27">
        <f>+'Sch 24 Sm Sec'!L25</f>
        <v>6789</v>
      </c>
      <c r="P12" s="27">
        <f>+'Sch 24 Sm Sec'!M25</f>
        <v>6673</v>
      </c>
      <c r="Q12" s="27">
        <f>+'Sch 24 Sm Sec'!N25</f>
        <v>5703</v>
      </c>
      <c r="R12" s="27">
        <f>+'Sch 24 Sm Sec'!O25</f>
        <v>6139</v>
      </c>
    </row>
    <row r="13" spans="1:18" x14ac:dyDescent="0.25">
      <c r="A13" s="2">
        <f t="shared" si="0"/>
        <v>6</v>
      </c>
      <c r="B13" s="4" t="s">
        <v>112</v>
      </c>
      <c r="C13" s="1"/>
      <c r="D13" s="27">
        <f t="shared" si="1"/>
        <v>574303</v>
      </c>
      <c r="E13" s="27">
        <f>+'Sch 25 Med Sec'!C42</f>
        <v>4070</v>
      </c>
      <c r="F13" s="27">
        <f>SUM(G13:R13)</f>
        <v>570233</v>
      </c>
      <c r="G13" s="27">
        <f>+'Sch 25 Med Sec'!D38</f>
        <v>42573</v>
      </c>
      <c r="H13" s="27">
        <f>+'Sch 25 Med Sec'!E38</f>
        <v>40014</v>
      </c>
      <c r="I13" s="27">
        <f>+'Sch 25 Med Sec'!F38</f>
        <v>41342</v>
      </c>
      <c r="J13" s="27">
        <f>+'Sch 25 Med Sec'!G38</f>
        <v>50109</v>
      </c>
      <c r="K13" s="27">
        <f>+'Sch 25 Med Sec'!H38</f>
        <v>49594</v>
      </c>
      <c r="L13" s="27">
        <f>+'Sch 25 Med Sec'!I38</f>
        <v>57807</v>
      </c>
      <c r="M13" s="27">
        <f>+'Sch 25 Med Sec'!J38</f>
        <v>54226</v>
      </c>
      <c r="N13" s="27">
        <f>+'Sch 25 Med Sec'!K38</f>
        <v>52290</v>
      </c>
      <c r="O13" s="27">
        <f>+'Sch 25 Med Sec'!L38</f>
        <v>37982</v>
      </c>
      <c r="P13" s="27">
        <f>+'Sch 25 Med Sec'!M38</f>
        <v>62395</v>
      </c>
      <c r="Q13" s="27">
        <f>+'Sch 25 Med Sec'!N38</f>
        <v>40217</v>
      </c>
      <c r="R13" s="27">
        <f>+'Sch 25 Med Sec'!O38</f>
        <v>41684</v>
      </c>
    </row>
    <row r="14" spans="1:18" x14ac:dyDescent="0.25">
      <c r="A14" s="2">
        <f t="shared" si="0"/>
        <v>7</v>
      </c>
      <c r="B14" s="2" t="s">
        <v>113</v>
      </c>
      <c r="C14" s="1"/>
      <c r="D14" s="27">
        <f t="shared" si="1"/>
        <v>3391864</v>
      </c>
      <c r="E14" s="27">
        <f>+'Sch 26 Large Sec'!C36</f>
        <v>5532</v>
      </c>
      <c r="F14" s="27">
        <f>SUM(G14:R14)</f>
        <v>3386332</v>
      </c>
      <c r="G14" s="27">
        <f>+'Sch 26 Large Sec'!D32</f>
        <v>264833</v>
      </c>
      <c r="H14" s="27">
        <f>+'Sch 26 Large Sec'!E32</f>
        <v>332510</v>
      </c>
      <c r="I14" s="27">
        <f>+'Sch 26 Large Sec'!F32</f>
        <v>270671</v>
      </c>
      <c r="J14" s="27">
        <f>+'Sch 26 Large Sec'!G32</f>
        <v>251908</v>
      </c>
      <c r="K14" s="27">
        <f>+'Sch 26 Large Sec'!H32</f>
        <v>293181</v>
      </c>
      <c r="L14" s="27">
        <f>+'Sch 26 Large Sec'!I32</f>
        <v>408154</v>
      </c>
      <c r="M14" s="27">
        <f>+'Sch 26 Large Sec'!J32</f>
        <v>300177</v>
      </c>
      <c r="N14" s="27">
        <f>+'Sch 26 Large Sec'!K32</f>
        <v>201193</v>
      </c>
      <c r="O14" s="27">
        <f>+'Sch 26 Large Sec'!L32</f>
        <v>188248</v>
      </c>
      <c r="P14" s="27">
        <f>+'Sch 26 Large Sec'!M32</f>
        <v>337062</v>
      </c>
      <c r="Q14" s="27">
        <f>+'Sch 26 Large Sec'!N32</f>
        <v>281537</v>
      </c>
      <c r="R14" s="27">
        <f>+'Sch 26 Large Sec'!O32</f>
        <v>256858</v>
      </c>
    </row>
    <row r="15" spans="1:18" x14ac:dyDescent="0.25">
      <c r="A15" s="2">
        <f t="shared" si="0"/>
        <v>8</v>
      </c>
      <c r="B15" s="2">
        <v>29</v>
      </c>
      <c r="C15" s="1"/>
      <c r="D15" s="27">
        <f t="shared" si="1"/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</row>
    <row r="16" spans="1:18" x14ac:dyDescent="0.25">
      <c r="A16" s="2">
        <f t="shared" si="0"/>
        <v>9</v>
      </c>
      <c r="B16" s="2"/>
      <c r="C16" s="3" t="s">
        <v>24</v>
      </c>
      <c r="D16" s="27">
        <f t="shared" ref="D16:R16" si="2">SUM(D12:D15)</f>
        <v>4054507</v>
      </c>
      <c r="E16" s="27">
        <f t="shared" si="2"/>
        <v>13669</v>
      </c>
      <c r="F16" s="27">
        <f t="shared" si="2"/>
        <v>4040838</v>
      </c>
      <c r="G16" s="27">
        <f t="shared" si="2"/>
        <v>314327</v>
      </c>
      <c r="H16" s="27">
        <f t="shared" si="2"/>
        <v>379135</v>
      </c>
      <c r="I16" s="27">
        <f t="shared" si="2"/>
        <v>318332</v>
      </c>
      <c r="J16" s="27">
        <f t="shared" si="2"/>
        <v>309308</v>
      </c>
      <c r="K16" s="27">
        <f t="shared" si="2"/>
        <v>345326</v>
      </c>
      <c r="L16" s="27">
        <f t="shared" si="2"/>
        <v>479312</v>
      </c>
      <c r="M16" s="27">
        <f t="shared" si="2"/>
        <v>362318</v>
      </c>
      <c r="N16" s="27">
        <f t="shared" si="2"/>
        <v>261493</v>
      </c>
      <c r="O16" s="27">
        <f t="shared" si="2"/>
        <v>233019</v>
      </c>
      <c r="P16" s="27">
        <f t="shared" si="2"/>
        <v>406130</v>
      </c>
      <c r="Q16" s="27">
        <f t="shared" si="2"/>
        <v>327457</v>
      </c>
      <c r="R16" s="27">
        <f t="shared" si="2"/>
        <v>304681</v>
      </c>
    </row>
    <row r="17" spans="1:18" x14ac:dyDescent="0.25">
      <c r="A17" s="2">
        <f t="shared" si="0"/>
        <v>10</v>
      </c>
      <c r="B17" s="2"/>
      <c r="C17" s="1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x14ac:dyDescent="0.25">
      <c r="A18" s="2">
        <f t="shared" si="0"/>
        <v>11</v>
      </c>
      <c r="B18" s="2" t="s">
        <v>114</v>
      </c>
      <c r="C18" s="1"/>
      <c r="D18" s="27">
        <f t="shared" ref="D18:D20" si="3">SUM(E18:F18)</f>
        <v>8395263</v>
      </c>
      <c r="E18" s="27">
        <f>+'Sch 31 Pri Gen Svc'!C36</f>
        <v>-315670</v>
      </c>
      <c r="F18" s="27">
        <f>SUM(G18:R18)</f>
        <v>8710933</v>
      </c>
      <c r="G18" s="27">
        <f>+'Sch 31 Pri Gen Svc'!D32</f>
        <v>540110</v>
      </c>
      <c r="H18" s="27">
        <f>+'Sch 31 Pri Gen Svc'!E32</f>
        <v>703299</v>
      </c>
      <c r="I18" s="27">
        <f>+'Sch 31 Pri Gen Svc'!F32</f>
        <v>863896</v>
      </c>
      <c r="J18" s="27">
        <f>+'Sch 31 Pri Gen Svc'!G32</f>
        <v>587048</v>
      </c>
      <c r="K18" s="27">
        <f>+'Sch 31 Pri Gen Svc'!H32</f>
        <v>633563</v>
      </c>
      <c r="L18" s="27">
        <f>+'Sch 31 Pri Gen Svc'!I32</f>
        <v>1276276</v>
      </c>
      <c r="M18" s="27">
        <f>+'Sch 31 Pri Gen Svc'!J32</f>
        <v>640346</v>
      </c>
      <c r="N18" s="27">
        <f>+'Sch 31 Pri Gen Svc'!K32</f>
        <v>1035262</v>
      </c>
      <c r="O18" s="27">
        <f>+'Sch 31 Pri Gen Svc'!L32</f>
        <v>293696</v>
      </c>
      <c r="P18" s="27">
        <f>+'Sch 31 Pri Gen Svc'!M32</f>
        <v>848129</v>
      </c>
      <c r="Q18" s="27">
        <f>+'Sch 31 Pri Gen Svc'!N32</f>
        <v>633298</v>
      </c>
      <c r="R18" s="27">
        <f>+'Sch 31 Pri Gen Svc'!O32</f>
        <v>656010</v>
      </c>
    </row>
    <row r="19" spans="1:18" x14ac:dyDescent="0.25">
      <c r="A19" s="2">
        <f t="shared" si="0"/>
        <v>12</v>
      </c>
      <c r="B19" s="2">
        <v>35</v>
      </c>
      <c r="C19" s="1"/>
      <c r="D19" s="27">
        <f t="shared" si="3"/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</row>
    <row r="20" spans="1:18" x14ac:dyDescent="0.25">
      <c r="A20" s="2">
        <f t="shared" si="0"/>
        <v>13</v>
      </c>
      <c r="B20" s="2">
        <v>43</v>
      </c>
      <c r="C20" s="1"/>
      <c r="D20" s="27">
        <f t="shared" si="3"/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</row>
    <row r="21" spans="1:18" x14ac:dyDescent="0.25">
      <c r="A21" s="2">
        <f t="shared" si="0"/>
        <v>14</v>
      </c>
      <c r="B21" s="2"/>
      <c r="C21" s="1" t="s">
        <v>25</v>
      </c>
      <c r="D21" s="27">
        <f t="shared" ref="D21:R21" si="4">SUM(D18:D20)</f>
        <v>8395263</v>
      </c>
      <c r="E21" s="27">
        <f t="shared" si="4"/>
        <v>-315670</v>
      </c>
      <c r="F21" s="27">
        <f t="shared" si="4"/>
        <v>8710933</v>
      </c>
      <c r="G21" s="27">
        <f t="shared" si="4"/>
        <v>540110</v>
      </c>
      <c r="H21" s="27">
        <f t="shared" si="4"/>
        <v>703299</v>
      </c>
      <c r="I21" s="27">
        <f t="shared" si="4"/>
        <v>863896</v>
      </c>
      <c r="J21" s="27">
        <f t="shared" si="4"/>
        <v>587048</v>
      </c>
      <c r="K21" s="27">
        <f t="shared" si="4"/>
        <v>633563</v>
      </c>
      <c r="L21" s="27">
        <f t="shared" si="4"/>
        <v>1276276</v>
      </c>
      <c r="M21" s="27">
        <f t="shared" si="4"/>
        <v>640346</v>
      </c>
      <c r="N21" s="27">
        <f t="shared" si="4"/>
        <v>1035262</v>
      </c>
      <c r="O21" s="27">
        <f t="shared" si="4"/>
        <v>293696</v>
      </c>
      <c r="P21" s="27">
        <f t="shared" si="4"/>
        <v>848129</v>
      </c>
      <c r="Q21" s="27">
        <f t="shared" si="4"/>
        <v>633298</v>
      </c>
      <c r="R21" s="27">
        <f t="shared" si="4"/>
        <v>656010</v>
      </c>
    </row>
    <row r="22" spans="1:18" x14ac:dyDescent="0.25">
      <c r="A22" s="2">
        <f t="shared" si="0"/>
        <v>15</v>
      </c>
      <c r="B22" s="2"/>
      <c r="C22" s="1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5">
      <c r="A23" s="2">
        <f t="shared" si="0"/>
        <v>16</v>
      </c>
      <c r="B23" s="2">
        <v>40</v>
      </c>
      <c r="C23" s="1" t="s">
        <v>108</v>
      </c>
      <c r="D23" s="27">
        <f>SUM(E23:F23)</f>
        <v>-10456272.040000001</v>
      </c>
      <c r="E23" s="27">
        <f>+'Sch 40 Campus Svc'!C44</f>
        <v>186903</v>
      </c>
      <c r="F23" s="27">
        <f>SUM(G23:R23)</f>
        <v>-10643175.040000001</v>
      </c>
      <c r="G23" s="27">
        <f>+'Sch 40 Campus Svc'!D40</f>
        <v>-769603.1</v>
      </c>
      <c r="H23" s="27">
        <f>+'Sch 40 Campus Svc'!E40</f>
        <v>-970752.99</v>
      </c>
      <c r="I23" s="27">
        <f>+'Sch 40 Campus Svc'!F40</f>
        <v>-1068491.43</v>
      </c>
      <c r="J23" s="27">
        <f>+'Sch 40 Campus Svc'!G40</f>
        <v>-736517.28</v>
      </c>
      <c r="K23" s="27">
        <f>+'Sch 40 Campus Svc'!H40</f>
        <v>-546264.42000000004</v>
      </c>
      <c r="L23" s="27">
        <f>+'Sch 40 Campus Svc'!I40</f>
        <v>-1415775.77</v>
      </c>
      <c r="M23" s="27">
        <f>+'Sch 40 Campus Svc'!J40</f>
        <v>-816080.59</v>
      </c>
      <c r="N23" s="27">
        <f>+'Sch 40 Campus Svc'!K40</f>
        <v>-1053059.3700000001</v>
      </c>
      <c r="O23" s="27">
        <f>+'Sch 40 Campus Svc'!L40</f>
        <v>-429455.89</v>
      </c>
      <c r="P23" s="27">
        <f>+'Sch 40 Campus Svc'!M40</f>
        <v>-1117498.8899999999</v>
      </c>
      <c r="Q23" s="27">
        <f>+'Sch 40 Campus Svc'!N40</f>
        <v>-868054.42</v>
      </c>
      <c r="R23" s="27">
        <f>+'Sch 40 Campus Svc'!O40</f>
        <v>-851620.89</v>
      </c>
    </row>
    <row r="24" spans="1:18" x14ac:dyDescent="0.25">
      <c r="A24" s="2">
        <f t="shared" si="0"/>
        <v>17</v>
      </c>
      <c r="B24" s="2"/>
      <c r="C24" s="1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5">
      <c r="A25" s="2">
        <f t="shared" si="0"/>
        <v>18</v>
      </c>
      <c r="B25" s="2">
        <v>46</v>
      </c>
      <c r="C25" s="1"/>
      <c r="D25" s="27">
        <f t="shared" ref="D25:D26" si="5">SUM(E25:F25)</f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</row>
    <row r="26" spans="1:18" x14ac:dyDescent="0.25">
      <c r="A26" s="2">
        <f t="shared" si="0"/>
        <v>19</v>
      </c>
      <c r="B26" s="2">
        <v>49</v>
      </c>
      <c r="C26" s="1"/>
      <c r="D26" s="27">
        <f t="shared" si="5"/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</row>
    <row r="27" spans="1:18" x14ac:dyDescent="0.25">
      <c r="A27" s="2">
        <f t="shared" si="0"/>
        <v>20</v>
      </c>
      <c r="B27" s="2"/>
      <c r="C27" s="1" t="s">
        <v>26</v>
      </c>
      <c r="D27" s="27">
        <f t="shared" ref="D27:R27" si="6">SUM(D25:D26)</f>
        <v>0</v>
      </c>
      <c r="E27" s="27">
        <f t="shared" si="6"/>
        <v>0</v>
      </c>
      <c r="F27" s="27">
        <f t="shared" si="6"/>
        <v>0</v>
      </c>
      <c r="G27" s="27">
        <f t="shared" si="6"/>
        <v>0</v>
      </c>
      <c r="H27" s="27">
        <f t="shared" si="6"/>
        <v>0</v>
      </c>
      <c r="I27" s="27">
        <f t="shared" si="6"/>
        <v>0</v>
      </c>
      <c r="J27" s="27">
        <f t="shared" si="6"/>
        <v>0</v>
      </c>
      <c r="K27" s="27">
        <f t="shared" si="6"/>
        <v>0</v>
      </c>
      <c r="L27" s="27">
        <f t="shared" si="6"/>
        <v>0</v>
      </c>
      <c r="M27" s="27">
        <f t="shared" si="6"/>
        <v>0</v>
      </c>
      <c r="N27" s="27">
        <f t="shared" si="6"/>
        <v>0</v>
      </c>
      <c r="O27" s="27">
        <f t="shared" si="6"/>
        <v>0</v>
      </c>
      <c r="P27" s="27">
        <f t="shared" si="6"/>
        <v>0</v>
      </c>
      <c r="Q27" s="27">
        <f t="shared" si="6"/>
        <v>0</v>
      </c>
      <c r="R27" s="27">
        <f t="shared" si="6"/>
        <v>0</v>
      </c>
    </row>
    <row r="28" spans="1:18" x14ac:dyDescent="0.25">
      <c r="A28" s="2">
        <f t="shared" si="0"/>
        <v>21</v>
      </c>
      <c r="B28" s="2"/>
      <c r="C28" s="1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x14ac:dyDescent="0.25">
      <c r="A29" s="2">
        <f t="shared" si="0"/>
        <v>22</v>
      </c>
      <c r="B29" s="2" t="s">
        <v>27</v>
      </c>
      <c r="C29" s="1"/>
      <c r="D29" s="27">
        <f>SUM(E29:F29)</f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</row>
    <row r="30" spans="1:18" x14ac:dyDescent="0.25">
      <c r="A30" s="2">
        <f t="shared" si="0"/>
        <v>23</v>
      </c>
      <c r="B30" s="2"/>
      <c r="C30" s="1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5">
      <c r="A31" s="2">
        <f t="shared" si="0"/>
        <v>24</v>
      </c>
      <c r="B31" s="4" t="s">
        <v>124</v>
      </c>
      <c r="C31" s="1"/>
      <c r="D31" s="27">
        <f>SUM(E31:F31)</f>
        <v>-17907</v>
      </c>
      <c r="E31" s="27">
        <f>+'Special Contract'!C23</f>
        <v>10900</v>
      </c>
      <c r="F31" s="27">
        <f>SUM(G31:R31)</f>
        <v>-28807</v>
      </c>
      <c r="G31" s="27">
        <f>+'Special Contract'!D19</f>
        <v>492</v>
      </c>
      <c r="H31" s="27">
        <f>+'Special Contract'!E19</f>
        <v>492</v>
      </c>
      <c r="I31" s="27">
        <f>+'Special Contract'!F19</f>
        <v>751</v>
      </c>
      <c r="J31" s="27">
        <f>+'Special Contract'!G19</f>
        <v>1601</v>
      </c>
      <c r="K31" s="27">
        <f>+'Special Contract'!H19</f>
        <v>-35482</v>
      </c>
      <c r="L31" s="27">
        <f>+'Special Contract'!I19</f>
        <v>599</v>
      </c>
      <c r="M31" s="27">
        <f>+'Special Contract'!J19</f>
        <v>419</v>
      </c>
      <c r="N31" s="27">
        <f>+'Special Contract'!K19</f>
        <v>388</v>
      </c>
      <c r="O31" s="27">
        <f>+'Special Contract'!L19</f>
        <v>0</v>
      </c>
      <c r="P31" s="27">
        <f>+'Special Contract'!M19</f>
        <v>571</v>
      </c>
      <c r="Q31" s="27">
        <f>+'Special Contract'!N19</f>
        <v>908</v>
      </c>
      <c r="R31" s="27">
        <f>+'Special Contract'!O19</f>
        <v>454</v>
      </c>
    </row>
    <row r="32" spans="1:18" x14ac:dyDescent="0.25">
      <c r="A32" s="2">
        <f t="shared" si="0"/>
        <v>25</v>
      </c>
      <c r="B32" s="2"/>
      <c r="C32" s="1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x14ac:dyDescent="0.25">
      <c r="A33" s="2">
        <f t="shared" si="0"/>
        <v>26</v>
      </c>
      <c r="B33" s="2"/>
      <c r="C33" s="1" t="s">
        <v>115</v>
      </c>
      <c r="D33" s="27">
        <f t="shared" ref="D33:R33" si="7">SUM(D8,D10,D16,D21,D23,D27,D29,D31)</f>
        <v>1975590.959999999</v>
      </c>
      <c r="E33" s="27">
        <f t="shared" si="7"/>
        <v>-104198</v>
      </c>
      <c r="F33" s="27">
        <f t="shared" si="7"/>
        <v>2079788.959999999</v>
      </c>
      <c r="G33" s="27">
        <f t="shared" si="7"/>
        <v>85325.900000000023</v>
      </c>
      <c r="H33" s="27">
        <f t="shared" si="7"/>
        <v>112173.01000000001</v>
      </c>
      <c r="I33" s="27">
        <f t="shared" si="7"/>
        <v>114487.57000000007</v>
      </c>
      <c r="J33" s="27">
        <f t="shared" si="7"/>
        <v>161439.71999999997</v>
      </c>
      <c r="K33" s="27">
        <f t="shared" si="7"/>
        <v>397142.57999999996</v>
      </c>
      <c r="L33" s="27">
        <f t="shared" si="7"/>
        <v>340411.23</v>
      </c>
      <c r="M33" s="27">
        <f t="shared" si="7"/>
        <v>187002.41000000003</v>
      </c>
      <c r="N33" s="27">
        <f t="shared" si="7"/>
        <v>244083.62999999989</v>
      </c>
      <c r="O33" s="27">
        <f t="shared" si="7"/>
        <v>97259.109999999986</v>
      </c>
      <c r="P33" s="27">
        <f t="shared" si="7"/>
        <v>137331.1100000001</v>
      </c>
      <c r="Q33" s="27">
        <f t="shared" si="7"/>
        <v>93608.579999999958</v>
      </c>
      <c r="R33" s="27">
        <f t="shared" si="7"/>
        <v>109524.10999999999</v>
      </c>
    </row>
    <row r="34" spans="1:18" x14ac:dyDescent="0.25">
      <c r="A34" s="2">
        <f t="shared" si="0"/>
        <v>27</v>
      </c>
      <c r="B34" s="2"/>
      <c r="C34" s="1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x14ac:dyDescent="0.25">
      <c r="A35" s="2">
        <f t="shared" si="0"/>
        <v>28</v>
      </c>
      <c r="B35" s="2">
        <v>5</v>
      </c>
      <c r="C35" s="1" t="s">
        <v>1</v>
      </c>
      <c r="D35" s="27">
        <f>SUM(E35:F35)</f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</row>
    <row r="36" spans="1:18" x14ac:dyDescent="0.25">
      <c r="A36" s="2">
        <f t="shared" si="0"/>
        <v>29</v>
      </c>
      <c r="B36" s="2"/>
      <c r="C36" s="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x14ac:dyDescent="0.25">
      <c r="A37" s="2">
        <f t="shared" si="0"/>
        <v>30</v>
      </c>
      <c r="B37" s="1"/>
      <c r="C37" s="1" t="s">
        <v>115</v>
      </c>
      <c r="D37" s="27">
        <f t="shared" ref="D37:R37" si="8">SUM(D33,D35)</f>
        <v>1975590.959999999</v>
      </c>
      <c r="E37" s="27">
        <f t="shared" si="8"/>
        <v>-104198</v>
      </c>
      <c r="F37" s="27">
        <f t="shared" si="8"/>
        <v>2079788.959999999</v>
      </c>
      <c r="G37" s="27">
        <f t="shared" si="8"/>
        <v>85325.900000000023</v>
      </c>
      <c r="H37" s="27">
        <f t="shared" si="8"/>
        <v>112173.01000000001</v>
      </c>
      <c r="I37" s="27">
        <f t="shared" si="8"/>
        <v>114487.57000000007</v>
      </c>
      <c r="J37" s="27">
        <f t="shared" si="8"/>
        <v>161439.71999999997</v>
      </c>
      <c r="K37" s="27">
        <f t="shared" si="8"/>
        <v>397142.57999999996</v>
      </c>
      <c r="L37" s="27">
        <f t="shared" si="8"/>
        <v>340411.23</v>
      </c>
      <c r="M37" s="27">
        <f t="shared" si="8"/>
        <v>187002.41000000003</v>
      </c>
      <c r="N37" s="27">
        <f t="shared" si="8"/>
        <v>244083.62999999989</v>
      </c>
      <c r="O37" s="27">
        <f t="shared" si="8"/>
        <v>97259.109999999986</v>
      </c>
      <c r="P37" s="27">
        <f t="shared" si="8"/>
        <v>137331.1100000001</v>
      </c>
      <c r="Q37" s="27">
        <f t="shared" si="8"/>
        <v>93608.579999999958</v>
      </c>
      <c r="R37" s="27">
        <f t="shared" si="8"/>
        <v>109524.10999999999</v>
      </c>
    </row>
    <row r="39" spans="1:18" x14ac:dyDescent="0.25"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1:18" x14ac:dyDescent="0.25"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2" spans="1:18" x14ac:dyDescent="0.25">
      <c r="F42" s="27"/>
    </row>
    <row r="43" spans="1:18" x14ac:dyDescent="0.25">
      <c r="F43" s="27"/>
    </row>
  </sheetData>
  <mergeCells count="5">
    <mergeCell ref="A1:R1"/>
    <mergeCell ref="A2:R2"/>
    <mergeCell ref="A3:R3"/>
    <mergeCell ref="A4:R4"/>
    <mergeCell ref="A5:R5"/>
  </mergeCells>
  <printOptions horizontalCentered="1"/>
  <pageMargins left="0.7" right="0.7" top="0.75" bottom="0.75" header="0.3" footer="0.3"/>
  <pageSetup scale="53" orientation="landscape" r:id="rId1"/>
  <headerFooter>
    <oddFooter>&amp;L&amp;F&amp;R&amp;A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O29"/>
    </sheetView>
  </sheetViews>
  <sheetFormatPr defaultRowHeight="15" x14ac:dyDescent="0.25"/>
  <cols>
    <col min="1" max="1" width="4.42578125" style="11" bestFit="1" customWidth="1"/>
    <col min="2" max="2" width="45.140625" style="11" bestFit="1" customWidth="1"/>
    <col min="3" max="3" width="14.140625" style="11" bestFit="1" customWidth="1"/>
    <col min="4" max="15" width="12" style="11" bestFit="1" customWidth="1"/>
    <col min="16" max="16" width="14.140625" style="11" customWidth="1"/>
    <col min="17" max="17" width="15.140625" style="11" bestFit="1" customWidth="1"/>
    <col min="18" max="18" width="10.5703125" style="11" bestFit="1" customWidth="1"/>
    <col min="19" max="19" width="9.5703125" style="11" bestFit="1" customWidth="1"/>
    <col min="20" max="20" width="5.85546875" style="11" bestFit="1" customWidth="1"/>
    <col min="21" max="21" width="4" style="11" bestFit="1" customWidth="1"/>
    <col min="22" max="22" width="19" style="11" bestFit="1" customWidth="1"/>
    <col min="23" max="23" width="8.5703125" style="11" bestFit="1" customWidth="1"/>
    <col min="24" max="24" width="11" style="11" bestFit="1" customWidth="1"/>
    <col min="25" max="28" width="7.28515625" style="11" bestFit="1" customWidth="1"/>
    <col min="29" max="16384" width="9.140625" style="11"/>
  </cols>
  <sheetData>
    <row r="1" spans="1:28" x14ac:dyDescent="0.25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8" x14ac:dyDescent="0.25">
      <c r="A2" s="32" t="s">
        <v>126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8" x14ac:dyDescent="0.25">
      <c r="A3" s="31" t="str">
        <f>+'Proforma kWh'!$A$4</f>
        <v>Schedule 40 Migration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6"/>
      <c r="Q3" s="6"/>
      <c r="R3" s="6"/>
      <c r="S3" s="6"/>
      <c r="T3" s="6"/>
    </row>
    <row r="5" spans="1:28" ht="45" x14ac:dyDescent="0.25">
      <c r="A5" s="12" t="s">
        <v>4</v>
      </c>
      <c r="B5" s="12" t="s">
        <v>5</v>
      </c>
      <c r="C5" s="9" t="str">
        <f>+'[1]Sch 7 Res'!C5</f>
        <v>Total
July 2019 to
June 2020</v>
      </c>
      <c r="D5" s="9">
        <f>+'[1]Sch 7 Res'!D5</f>
        <v>43647</v>
      </c>
      <c r="E5" s="9">
        <f>+'[1]Sch 7 Res'!E5</f>
        <v>43678</v>
      </c>
      <c r="F5" s="9">
        <f>+'[1]Sch 7 Res'!F5</f>
        <v>43709</v>
      </c>
      <c r="G5" s="9">
        <f>+'[1]Sch 7 Res'!G5</f>
        <v>43739</v>
      </c>
      <c r="H5" s="9">
        <f>+'[1]Sch 7 Res'!H5</f>
        <v>43770</v>
      </c>
      <c r="I5" s="9">
        <f>+'[1]Sch 7 Res'!I5</f>
        <v>43800</v>
      </c>
      <c r="J5" s="9">
        <f>+'[1]Sch 7 Res'!J5</f>
        <v>43831</v>
      </c>
      <c r="K5" s="9">
        <f>+'[1]Sch 7 Res'!K5</f>
        <v>43862</v>
      </c>
      <c r="L5" s="9">
        <f>+'[1]Sch 7 Res'!L5</f>
        <v>43891</v>
      </c>
      <c r="M5" s="9">
        <f>+'[1]Sch 7 Res'!M5</f>
        <v>43922</v>
      </c>
      <c r="N5" s="9">
        <f>+'[1]Sch 7 Res'!N5</f>
        <v>43952</v>
      </c>
      <c r="O5" s="9">
        <f>+'[1]Sch 7 Res'!O5</f>
        <v>43983</v>
      </c>
      <c r="T5" s="13" t="s">
        <v>6</v>
      </c>
      <c r="U5" s="13" t="s">
        <v>7</v>
      </c>
      <c r="V5" s="13" t="s">
        <v>8</v>
      </c>
      <c r="W5" s="13" t="s">
        <v>9</v>
      </c>
      <c r="X5" s="13" t="s">
        <v>10</v>
      </c>
      <c r="Y5" s="13" t="s">
        <v>11</v>
      </c>
      <c r="Z5" s="13" t="s">
        <v>12</v>
      </c>
      <c r="AA5" s="13" t="s">
        <v>13</v>
      </c>
      <c r="AB5" s="13" t="s">
        <v>14</v>
      </c>
    </row>
    <row r="6" spans="1:28" x14ac:dyDescent="0.25">
      <c r="A6" s="14">
        <v>1</v>
      </c>
      <c r="B6" s="16" t="s">
        <v>28</v>
      </c>
      <c r="C6" s="15">
        <f t="shared" ref="C6" si="0">SUM(D6:O6)</f>
        <v>96</v>
      </c>
      <c r="D6" s="15">
        <f>+'[1]Sch 40 Migration (C)'!C9</f>
        <v>8</v>
      </c>
      <c r="E6" s="15">
        <f>+'[1]Sch 40 Migration (C)'!D9</f>
        <v>8</v>
      </c>
      <c r="F6" s="15">
        <f>+'[1]Sch 40 Migration (C)'!E9</f>
        <v>8</v>
      </c>
      <c r="G6" s="15">
        <f>+'[1]Sch 40 Migration (C)'!F9</f>
        <v>8</v>
      </c>
      <c r="H6" s="15">
        <f>+'[1]Sch 40 Migration (C)'!G9</f>
        <v>4</v>
      </c>
      <c r="I6" s="15">
        <f>+'[1]Sch 40 Migration (C)'!H9</f>
        <v>12</v>
      </c>
      <c r="J6" s="15">
        <f>+'[1]Sch 40 Migration (C)'!I9</f>
        <v>8</v>
      </c>
      <c r="K6" s="15">
        <f>+'[1]Sch 40 Migration (C)'!J9</f>
        <v>8</v>
      </c>
      <c r="L6" s="15">
        <f>+'[1]Sch 40 Migration (C)'!K9</f>
        <v>6</v>
      </c>
      <c r="M6" s="15">
        <f>+'[1]Sch 40 Migration (C)'!L9</f>
        <v>10</v>
      </c>
      <c r="N6" s="15">
        <f>+'[1]Sch 40 Migration (C)'!M9</f>
        <v>8</v>
      </c>
      <c r="O6" s="15">
        <f>+'[1]Sch 40 Migration (C)'!N9</f>
        <v>8</v>
      </c>
    </row>
    <row r="7" spans="1:28" x14ac:dyDescent="0.25">
      <c r="A7" s="14">
        <f>+A6+1</f>
        <v>2</v>
      </c>
      <c r="B7" s="16" t="s">
        <v>29</v>
      </c>
      <c r="C7" s="15">
        <f t="shared" ref="C7" si="1">SUM(D7:O7)</f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</row>
    <row r="8" spans="1:28" x14ac:dyDescent="0.25">
      <c r="A8" s="14">
        <f t="shared" ref="A8:A29" si="2">+A7+1</f>
        <v>3</v>
      </c>
      <c r="B8" s="11" t="s">
        <v>15</v>
      </c>
      <c r="C8" s="15">
        <f t="shared" ref="C8:O8" si="3">SUM(C6:C7)</f>
        <v>96</v>
      </c>
      <c r="D8" s="15">
        <f t="shared" si="3"/>
        <v>8</v>
      </c>
      <c r="E8" s="15">
        <f t="shared" si="3"/>
        <v>8</v>
      </c>
      <c r="F8" s="15">
        <f t="shared" si="3"/>
        <v>8</v>
      </c>
      <c r="G8" s="15">
        <f t="shared" si="3"/>
        <v>8</v>
      </c>
      <c r="H8" s="15">
        <f t="shared" si="3"/>
        <v>4</v>
      </c>
      <c r="I8" s="15">
        <f t="shared" si="3"/>
        <v>12</v>
      </c>
      <c r="J8" s="15">
        <f t="shared" si="3"/>
        <v>8</v>
      </c>
      <c r="K8" s="15">
        <f t="shared" si="3"/>
        <v>8</v>
      </c>
      <c r="L8" s="15">
        <f t="shared" si="3"/>
        <v>6</v>
      </c>
      <c r="M8" s="15">
        <f t="shared" si="3"/>
        <v>10</v>
      </c>
      <c r="N8" s="15">
        <f t="shared" si="3"/>
        <v>8</v>
      </c>
      <c r="O8" s="15">
        <f t="shared" si="3"/>
        <v>8</v>
      </c>
    </row>
    <row r="9" spans="1:28" x14ac:dyDescent="0.25">
      <c r="A9" s="14">
        <f t="shared" si="2"/>
        <v>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28" x14ac:dyDescent="0.25">
      <c r="A10" s="14">
        <f t="shared" si="2"/>
        <v>5</v>
      </c>
      <c r="B10" s="16" t="s">
        <v>39</v>
      </c>
      <c r="C10" s="15">
        <f t="shared" ref="C10" si="4">SUM(D10:O10)</f>
        <v>472354</v>
      </c>
      <c r="D10" s="15">
        <v>0</v>
      </c>
      <c r="E10" s="15">
        <v>0</v>
      </c>
      <c r="F10" s="15">
        <v>0</v>
      </c>
      <c r="G10" s="15">
        <f>+'[1]Sch 40 Migration (C)'!F11</f>
        <v>74951</v>
      </c>
      <c r="H10" s="15">
        <f>+'[1]Sch 40 Migration (C)'!G11</f>
        <v>26091</v>
      </c>
      <c r="I10" s="15">
        <f>+'[1]Sch 40 Migration (C)'!H11</f>
        <v>137520</v>
      </c>
      <c r="J10" s="15">
        <f>+'[1]Sch 40 Migration (C)'!I11</f>
        <v>81430</v>
      </c>
      <c r="K10" s="15">
        <f>+'[1]Sch 40 Migration (C)'!J11</f>
        <v>82420</v>
      </c>
      <c r="L10" s="15">
        <f>+'[1]Sch 40 Migration (C)'!K11</f>
        <v>69942</v>
      </c>
      <c r="M10" s="15">
        <v>0</v>
      </c>
      <c r="N10" s="15">
        <v>0</v>
      </c>
      <c r="O10" s="15">
        <v>0</v>
      </c>
    </row>
    <row r="11" spans="1:28" x14ac:dyDescent="0.25">
      <c r="A11" s="14">
        <f t="shared" si="2"/>
        <v>6</v>
      </c>
      <c r="B11" s="16" t="s">
        <v>30</v>
      </c>
      <c r="C11" s="15">
        <f t="shared" ref="C11" si="5">SUM(D11:O11)</f>
        <v>407631</v>
      </c>
      <c r="D11" s="15">
        <f>+'[1]Sch 40 Migration (C)'!C11</f>
        <v>73647</v>
      </c>
      <c r="E11" s="15">
        <f>+'[1]Sch 40 Migration (C)'!D11</f>
        <v>70304</v>
      </c>
      <c r="F11" s="15">
        <f>+'[1]Sch 40 Migration (C)'!E11</f>
        <v>67167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f>+'[1]Sch 40 Migration (C)'!L11</f>
        <v>70753</v>
      </c>
      <c r="N11" s="15">
        <f>+'[1]Sch 40 Migration (C)'!M11</f>
        <v>60533</v>
      </c>
      <c r="O11" s="15">
        <f>+'[1]Sch 40 Migration (C)'!N11</f>
        <v>65227</v>
      </c>
    </row>
    <row r="12" spans="1:28" x14ac:dyDescent="0.25">
      <c r="A12" s="14">
        <f t="shared" si="2"/>
        <v>7</v>
      </c>
      <c r="B12" s="11" t="s">
        <v>16</v>
      </c>
      <c r="C12" s="15">
        <f t="shared" ref="C12:O12" si="6">SUM(C10:C11)</f>
        <v>879985</v>
      </c>
      <c r="D12" s="15">
        <f t="shared" si="6"/>
        <v>73647</v>
      </c>
      <c r="E12" s="15">
        <f t="shared" si="6"/>
        <v>70304</v>
      </c>
      <c r="F12" s="15">
        <f t="shared" si="6"/>
        <v>67167</v>
      </c>
      <c r="G12" s="15">
        <f t="shared" si="6"/>
        <v>74951</v>
      </c>
      <c r="H12" s="15">
        <f t="shared" si="6"/>
        <v>26091</v>
      </c>
      <c r="I12" s="15">
        <f t="shared" si="6"/>
        <v>137520</v>
      </c>
      <c r="J12" s="15">
        <f t="shared" si="6"/>
        <v>81430</v>
      </c>
      <c r="K12" s="15">
        <f t="shared" si="6"/>
        <v>82420</v>
      </c>
      <c r="L12" s="15">
        <f t="shared" si="6"/>
        <v>69942</v>
      </c>
      <c r="M12" s="15">
        <f t="shared" si="6"/>
        <v>70753</v>
      </c>
      <c r="N12" s="15">
        <f t="shared" si="6"/>
        <v>60533</v>
      </c>
      <c r="O12" s="15">
        <f t="shared" si="6"/>
        <v>65227</v>
      </c>
    </row>
    <row r="13" spans="1:28" x14ac:dyDescent="0.25">
      <c r="A13" s="28">
        <f t="shared" si="2"/>
        <v>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28" x14ac:dyDescent="0.25">
      <c r="A14" s="28">
        <f t="shared" si="2"/>
        <v>9</v>
      </c>
      <c r="B14" s="29" t="str">
        <f>+'[1]Sch 7 Res'!$B$20</f>
        <v>Rates Effective 10-15-2020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8" x14ac:dyDescent="0.25">
      <c r="A15" s="28">
        <f t="shared" si="2"/>
        <v>10</v>
      </c>
      <c r="B15" s="18" t="s">
        <v>31</v>
      </c>
      <c r="D15" s="21">
        <f>+'[1]Sch 24 Sm Sec'!$D$25</f>
        <v>10.39</v>
      </c>
      <c r="E15" s="21">
        <f t="shared" ref="E15:O18" si="7">+D15</f>
        <v>10.39</v>
      </c>
      <c r="F15" s="21">
        <f t="shared" si="7"/>
        <v>10.39</v>
      </c>
      <c r="G15" s="21">
        <f t="shared" si="7"/>
        <v>10.39</v>
      </c>
      <c r="H15" s="21">
        <f t="shared" si="7"/>
        <v>10.39</v>
      </c>
      <c r="I15" s="21">
        <f t="shared" si="7"/>
        <v>10.39</v>
      </c>
      <c r="J15" s="21">
        <f t="shared" si="7"/>
        <v>10.39</v>
      </c>
      <c r="K15" s="21">
        <f t="shared" si="7"/>
        <v>10.39</v>
      </c>
      <c r="L15" s="21">
        <f t="shared" si="7"/>
        <v>10.39</v>
      </c>
      <c r="M15" s="21">
        <f t="shared" si="7"/>
        <v>10.39</v>
      </c>
      <c r="N15" s="21">
        <f t="shared" si="7"/>
        <v>10.39</v>
      </c>
      <c r="O15" s="21">
        <f t="shared" si="7"/>
        <v>10.39</v>
      </c>
    </row>
    <row r="16" spans="1:28" x14ac:dyDescent="0.25">
      <c r="A16" s="14">
        <f t="shared" si="2"/>
        <v>11</v>
      </c>
      <c r="B16" s="18" t="s">
        <v>32</v>
      </c>
      <c r="D16" s="21">
        <f>+'[1]Sch 24 Sm Sec'!$D$28</f>
        <v>26.4</v>
      </c>
      <c r="E16" s="21">
        <f t="shared" si="7"/>
        <v>26.4</v>
      </c>
      <c r="F16" s="21">
        <f t="shared" si="7"/>
        <v>26.4</v>
      </c>
      <c r="G16" s="21">
        <f t="shared" si="7"/>
        <v>26.4</v>
      </c>
      <c r="H16" s="21">
        <f t="shared" si="7"/>
        <v>26.4</v>
      </c>
      <c r="I16" s="21">
        <f t="shared" si="7"/>
        <v>26.4</v>
      </c>
      <c r="J16" s="21">
        <f t="shared" si="7"/>
        <v>26.4</v>
      </c>
      <c r="K16" s="21">
        <f t="shared" si="7"/>
        <v>26.4</v>
      </c>
      <c r="L16" s="21">
        <f t="shared" si="7"/>
        <v>26.4</v>
      </c>
      <c r="M16" s="21">
        <f t="shared" si="7"/>
        <v>26.4</v>
      </c>
      <c r="N16" s="21">
        <f t="shared" si="7"/>
        <v>26.4</v>
      </c>
      <c r="O16" s="21">
        <f t="shared" si="7"/>
        <v>26.4</v>
      </c>
    </row>
    <row r="17" spans="1:24" x14ac:dyDescent="0.25">
      <c r="A17" s="14">
        <f t="shared" si="2"/>
        <v>12</v>
      </c>
      <c r="B17" s="18" t="s">
        <v>38</v>
      </c>
      <c r="D17" s="21">
        <f>+'[1]Sch 24 Sm Sec'!$D$31</f>
        <v>9.6174999999999997E-2</v>
      </c>
      <c r="E17" s="21">
        <f t="shared" ref="E17" si="8">+D17</f>
        <v>9.6174999999999997E-2</v>
      </c>
      <c r="F17" s="21">
        <f t="shared" ref="F17" si="9">+E17</f>
        <v>9.6174999999999997E-2</v>
      </c>
      <c r="G17" s="21">
        <f t="shared" ref="G17" si="10">+F17</f>
        <v>9.6174999999999997E-2</v>
      </c>
      <c r="H17" s="21">
        <f t="shared" ref="H17" si="11">+G17</f>
        <v>9.6174999999999997E-2</v>
      </c>
      <c r="I17" s="21">
        <f t="shared" ref="I17" si="12">+H17</f>
        <v>9.6174999999999997E-2</v>
      </c>
      <c r="J17" s="21">
        <f t="shared" ref="J17" si="13">+I17</f>
        <v>9.6174999999999997E-2</v>
      </c>
      <c r="K17" s="21">
        <f t="shared" ref="K17" si="14">+J17</f>
        <v>9.6174999999999997E-2</v>
      </c>
      <c r="L17" s="21">
        <f t="shared" ref="L17" si="15">+K17</f>
        <v>9.6174999999999997E-2</v>
      </c>
      <c r="M17" s="21">
        <f t="shared" ref="M17" si="16">+L17</f>
        <v>9.6174999999999997E-2</v>
      </c>
      <c r="N17" s="21">
        <f t="shared" ref="N17" si="17">+M17</f>
        <v>9.6174999999999997E-2</v>
      </c>
      <c r="O17" s="21">
        <f t="shared" ref="O17" si="18">+N17</f>
        <v>9.6174999999999997E-2</v>
      </c>
    </row>
    <row r="18" spans="1:24" x14ac:dyDescent="0.25">
      <c r="A18" s="14">
        <f t="shared" si="2"/>
        <v>13</v>
      </c>
      <c r="B18" s="18" t="s">
        <v>33</v>
      </c>
      <c r="D18" s="21">
        <f>+'[1]Sch 24 Sm Sec'!$D$35</f>
        <v>9.2849000000000001E-2</v>
      </c>
      <c r="E18" s="21">
        <f t="shared" si="7"/>
        <v>9.2849000000000001E-2</v>
      </c>
      <c r="F18" s="21">
        <f t="shared" si="7"/>
        <v>9.2849000000000001E-2</v>
      </c>
      <c r="G18" s="21">
        <f t="shared" si="7"/>
        <v>9.2849000000000001E-2</v>
      </c>
      <c r="H18" s="21">
        <f t="shared" si="7"/>
        <v>9.2849000000000001E-2</v>
      </c>
      <c r="I18" s="21">
        <f t="shared" si="7"/>
        <v>9.2849000000000001E-2</v>
      </c>
      <c r="J18" s="21">
        <f t="shared" si="7"/>
        <v>9.2849000000000001E-2</v>
      </c>
      <c r="K18" s="21">
        <f t="shared" si="7"/>
        <v>9.2849000000000001E-2</v>
      </c>
      <c r="L18" s="21">
        <f t="shared" si="7"/>
        <v>9.2849000000000001E-2</v>
      </c>
      <c r="M18" s="21">
        <f t="shared" si="7"/>
        <v>9.2849000000000001E-2</v>
      </c>
      <c r="N18" s="21">
        <f t="shared" si="7"/>
        <v>9.2849000000000001E-2</v>
      </c>
      <c r="O18" s="21">
        <f t="shared" si="7"/>
        <v>9.2849000000000001E-2</v>
      </c>
    </row>
    <row r="19" spans="1:24" x14ac:dyDescent="0.25">
      <c r="A19" s="14">
        <f t="shared" si="2"/>
        <v>14</v>
      </c>
      <c r="D19" s="25"/>
      <c r="E19" s="21"/>
    </row>
    <row r="20" spans="1:24" x14ac:dyDescent="0.25">
      <c r="A20" s="14">
        <f t="shared" si="2"/>
        <v>15</v>
      </c>
      <c r="B20" s="20" t="s">
        <v>17</v>
      </c>
    </row>
    <row r="21" spans="1:24" x14ac:dyDescent="0.25">
      <c r="A21" s="14">
        <f t="shared" si="2"/>
        <v>16</v>
      </c>
      <c r="B21" s="18" t="s">
        <v>18</v>
      </c>
      <c r="C21" s="19">
        <f>SUM(D21:O21)</f>
        <v>997</v>
      </c>
      <c r="D21" s="19">
        <f>ROUND(+D6*D15,0)</f>
        <v>83</v>
      </c>
      <c r="E21" s="19">
        <f t="shared" ref="E21:O21" si="19">ROUND(+E6*E15,0)</f>
        <v>83</v>
      </c>
      <c r="F21" s="19">
        <f t="shared" si="19"/>
        <v>83</v>
      </c>
      <c r="G21" s="19">
        <f t="shared" si="19"/>
        <v>83</v>
      </c>
      <c r="H21" s="19">
        <f t="shared" si="19"/>
        <v>42</v>
      </c>
      <c r="I21" s="19">
        <f t="shared" si="19"/>
        <v>125</v>
      </c>
      <c r="J21" s="19">
        <f t="shared" si="19"/>
        <v>83</v>
      </c>
      <c r="K21" s="19">
        <f t="shared" si="19"/>
        <v>83</v>
      </c>
      <c r="L21" s="19">
        <f t="shared" si="19"/>
        <v>62</v>
      </c>
      <c r="M21" s="19">
        <f t="shared" si="19"/>
        <v>104</v>
      </c>
      <c r="N21" s="19">
        <f t="shared" si="19"/>
        <v>83</v>
      </c>
      <c r="O21" s="19">
        <f t="shared" si="19"/>
        <v>83</v>
      </c>
    </row>
    <row r="22" spans="1:24" x14ac:dyDescent="0.25">
      <c r="A22" s="14">
        <f t="shared" si="2"/>
        <v>17</v>
      </c>
      <c r="B22" s="18" t="s">
        <v>19</v>
      </c>
      <c r="C22" s="19">
        <f t="shared" ref="C22:C25" si="20">SUM(D22:O22)</f>
        <v>0</v>
      </c>
      <c r="D22" s="19">
        <f>ROUND(+D7*D16,0)</f>
        <v>0</v>
      </c>
      <c r="E22" s="19">
        <f t="shared" ref="E22:O22" si="21">ROUND(+E7*E16,0)</f>
        <v>0</v>
      </c>
      <c r="F22" s="19">
        <f t="shared" si="21"/>
        <v>0</v>
      </c>
      <c r="G22" s="19">
        <f t="shared" si="21"/>
        <v>0</v>
      </c>
      <c r="H22" s="19">
        <f t="shared" si="21"/>
        <v>0</v>
      </c>
      <c r="I22" s="19">
        <f t="shared" si="21"/>
        <v>0</v>
      </c>
      <c r="J22" s="19">
        <f t="shared" si="21"/>
        <v>0</v>
      </c>
      <c r="K22" s="19">
        <f t="shared" si="21"/>
        <v>0</v>
      </c>
      <c r="L22" s="19">
        <f t="shared" si="21"/>
        <v>0</v>
      </c>
      <c r="M22" s="19">
        <f t="shared" si="21"/>
        <v>0</v>
      </c>
      <c r="N22" s="19">
        <f t="shared" si="21"/>
        <v>0</v>
      </c>
      <c r="O22" s="19">
        <f t="shared" si="21"/>
        <v>0</v>
      </c>
    </row>
    <row r="23" spans="1:24" x14ac:dyDescent="0.25">
      <c r="A23" s="14">
        <f t="shared" si="2"/>
        <v>18</v>
      </c>
      <c r="B23" s="18" t="s">
        <v>34</v>
      </c>
      <c r="C23" s="19">
        <f t="shared" si="20"/>
        <v>45429</v>
      </c>
      <c r="D23" s="19">
        <f>ROUND(+D10*D17,0)</f>
        <v>0</v>
      </c>
      <c r="E23" s="19">
        <f t="shared" ref="E23:O23" si="22">ROUND(+E10*E17,0)</f>
        <v>0</v>
      </c>
      <c r="F23" s="19">
        <f t="shared" si="22"/>
        <v>0</v>
      </c>
      <c r="G23" s="19">
        <f t="shared" si="22"/>
        <v>7208</v>
      </c>
      <c r="H23" s="19">
        <f t="shared" si="22"/>
        <v>2509</v>
      </c>
      <c r="I23" s="19">
        <f t="shared" si="22"/>
        <v>13226</v>
      </c>
      <c r="J23" s="19">
        <f t="shared" si="22"/>
        <v>7832</v>
      </c>
      <c r="K23" s="19">
        <f t="shared" si="22"/>
        <v>7927</v>
      </c>
      <c r="L23" s="19">
        <f t="shared" si="22"/>
        <v>6727</v>
      </c>
      <c r="M23" s="19">
        <f t="shared" si="22"/>
        <v>0</v>
      </c>
      <c r="N23" s="19">
        <f t="shared" si="22"/>
        <v>0</v>
      </c>
      <c r="O23" s="19">
        <f t="shared" si="22"/>
        <v>0</v>
      </c>
    </row>
    <row r="24" spans="1:24" x14ac:dyDescent="0.25">
      <c r="A24" s="14">
        <f t="shared" si="2"/>
        <v>19</v>
      </c>
      <c r="B24" s="18" t="s">
        <v>35</v>
      </c>
      <c r="C24" s="19">
        <f t="shared" si="20"/>
        <v>37847</v>
      </c>
      <c r="D24" s="19">
        <f>ROUND(+D11*D18,0)</f>
        <v>6838</v>
      </c>
      <c r="E24" s="19">
        <f t="shared" ref="E24:O24" si="23">ROUND(+E11*E18,0)</f>
        <v>6528</v>
      </c>
      <c r="F24" s="19">
        <f t="shared" si="23"/>
        <v>6236</v>
      </c>
      <c r="G24" s="19">
        <f t="shared" si="23"/>
        <v>0</v>
      </c>
      <c r="H24" s="19">
        <f t="shared" si="23"/>
        <v>0</v>
      </c>
      <c r="I24" s="19">
        <f t="shared" si="23"/>
        <v>0</v>
      </c>
      <c r="J24" s="19">
        <f t="shared" si="23"/>
        <v>0</v>
      </c>
      <c r="K24" s="19">
        <f t="shared" si="23"/>
        <v>0</v>
      </c>
      <c r="L24" s="19">
        <f t="shared" si="23"/>
        <v>0</v>
      </c>
      <c r="M24" s="19">
        <f t="shared" si="23"/>
        <v>6569</v>
      </c>
      <c r="N24" s="19">
        <f t="shared" si="23"/>
        <v>5620</v>
      </c>
      <c r="O24" s="19">
        <f t="shared" si="23"/>
        <v>6056</v>
      </c>
    </row>
    <row r="25" spans="1:24" x14ac:dyDescent="0.25">
      <c r="A25" s="14">
        <f t="shared" si="2"/>
        <v>20</v>
      </c>
      <c r="B25" s="16" t="s">
        <v>36</v>
      </c>
      <c r="C25" s="19">
        <f t="shared" si="20"/>
        <v>84273</v>
      </c>
      <c r="D25" s="19">
        <f t="shared" ref="D25:O25" si="24">SUM(D21:D24)</f>
        <v>6921</v>
      </c>
      <c r="E25" s="19">
        <f t="shared" si="24"/>
        <v>6611</v>
      </c>
      <c r="F25" s="19">
        <f t="shared" si="24"/>
        <v>6319</v>
      </c>
      <c r="G25" s="19">
        <f t="shared" si="24"/>
        <v>7291</v>
      </c>
      <c r="H25" s="19">
        <f t="shared" si="24"/>
        <v>2551</v>
      </c>
      <c r="I25" s="19">
        <f t="shared" si="24"/>
        <v>13351</v>
      </c>
      <c r="J25" s="19">
        <f t="shared" si="24"/>
        <v>7915</v>
      </c>
      <c r="K25" s="19">
        <f t="shared" si="24"/>
        <v>8010</v>
      </c>
      <c r="L25" s="19">
        <f t="shared" si="24"/>
        <v>6789</v>
      </c>
      <c r="M25" s="19">
        <f t="shared" si="24"/>
        <v>6673</v>
      </c>
      <c r="N25" s="19">
        <f t="shared" si="24"/>
        <v>5703</v>
      </c>
      <c r="O25" s="19">
        <f t="shared" si="24"/>
        <v>6139</v>
      </c>
    </row>
    <row r="26" spans="1:24" x14ac:dyDescent="0.25">
      <c r="A26" s="14">
        <f t="shared" si="2"/>
        <v>21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24" x14ac:dyDescent="0.25">
      <c r="A27" s="14">
        <f t="shared" si="2"/>
        <v>22</v>
      </c>
      <c r="B27" s="5" t="s">
        <v>20</v>
      </c>
      <c r="C27" s="15">
        <f>SUM(D27:O27)</f>
        <v>41709</v>
      </c>
      <c r="D27" s="15">
        <f>+'Sch 40 Campus Svc'!D57</f>
        <v>22739</v>
      </c>
      <c r="E27" s="15">
        <f>+'Sch 40 Campus Svc'!E57</f>
        <v>-12948</v>
      </c>
      <c r="F27" s="15">
        <f>+'Sch 40 Campus Svc'!F57</f>
        <v>6994</v>
      </c>
      <c r="G27" s="15">
        <f>+'Sch 40 Campus Svc'!G57</f>
        <v>8881</v>
      </c>
      <c r="H27" s="15">
        <f>+'Sch 40 Campus Svc'!H57</f>
        <v>-8031</v>
      </c>
      <c r="I27" s="15">
        <f>+'Sch 40 Campus Svc'!I57</f>
        <v>-5644</v>
      </c>
      <c r="J27" s="15">
        <f>+'Sch 40 Campus Svc'!J57</f>
        <v>6348</v>
      </c>
      <c r="K27" s="15">
        <f>+'Sch 40 Campus Svc'!K57</f>
        <v>-23812</v>
      </c>
      <c r="L27" s="15">
        <f>+'Sch 40 Campus Svc'!L57</f>
        <v>74929</v>
      </c>
      <c r="M27" s="15">
        <f>+'Sch 40 Campus Svc'!M57</f>
        <v>-25982</v>
      </c>
      <c r="N27" s="15">
        <f>+'Sch 40 Campus Svc'!N57</f>
        <v>-3160</v>
      </c>
      <c r="O27" s="15">
        <f>+'Sch 40 Campus Svc'!O57</f>
        <v>1395</v>
      </c>
    </row>
    <row r="28" spans="1:24" x14ac:dyDescent="0.25">
      <c r="A28" s="14">
        <f t="shared" si="2"/>
        <v>23</v>
      </c>
      <c r="B28" s="5" t="s">
        <v>21</v>
      </c>
      <c r="D28" s="21">
        <f t="shared" ref="D28:O28" si="25">+D25/D12</f>
        <v>9.3975314676768909E-2</v>
      </c>
      <c r="E28" s="21">
        <f t="shared" si="25"/>
        <v>9.4034478834774698E-2</v>
      </c>
      <c r="F28" s="21">
        <f t="shared" si="25"/>
        <v>9.4078937573510796E-2</v>
      </c>
      <c r="G28" s="21">
        <f t="shared" si="25"/>
        <v>9.7276887566543471E-2</v>
      </c>
      <c r="H28" s="21">
        <f t="shared" si="25"/>
        <v>9.7773178490667287E-2</v>
      </c>
      <c r="I28" s="21">
        <f t="shared" si="25"/>
        <v>9.7084060500290864E-2</v>
      </c>
      <c r="J28" s="21">
        <f t="shared" si="25"/>
        <v>9.7200049121945228E-2</v>
      </c>
      <c r="K28" s="21">
        <f t="shared" si="25"/>
        <v>9.7185149235622423E-2</v>
      </c>
      <c r="L28" s="21">
        <f t="shared" si="25"/>
        <v>9.7066140516427896E-2</v>
      </c>
      <c r="M28" s="21">
        <f t="shared" si="25"/>
        <v>9.4314022020267688E-2</v>
      </c>
      <c r="N28" s="21">
        <f t="shared" si="25"/>
        <v>9.4213073860538885E-2</v>
      </c>
      <c r="O28" s="21">
        <f t="shared" si="25"/>
        <v>9.4117466693240531E-2</v>
      </c>
    </row>
    <row r="29" spans="1:24" x14ac:dyDescent="0.25">
      <c r="A29" s="14">
        <f t="shared" si="2"/>
        <v>24</v>
      </c>
      <c r="B29" s="5" t="s">
        <v>22</v>
      </c>
      <c r="C29" s="19">
        <f>SUM(D29:O29)</f>
        <v>4067</v>
      </c>
      <c r="D29" s="15">
        <f>ROUND(+D27*D28,0)</f>
        <v>2137</v>
      </c>
      <c r="E29" s="15">
        <f t="shared" ref="E29:O29" si="26">ROUND(+E27*E28,0)</f>
        <v>-1218</v>
      </c>
      <c r="F29" s="15">
        <f t="shared" si="26"/>
        <v>658</v>
      </c>
      <c r="G29" s="15">
        <f t="shared" si="26"/>
        <v>864</v>
      </c>
      <c r="H29" s="15">
        <f t="shared" si="26"/>
        <v>-785</v>
      </c>
      <c r="I29" s="15">
        <f t="shared" si="26"/>
        <v>-548</v>
      </c>
      <c r="J29" s="15">
        <f t="shared" si="26"/>
        <v>617</v>
      </c>
      <c r="K29" s="15">
        <f t="shared" si="26"/>
        <v>-2314</v>
      </c>
      <c r="L29" s="15">
        <f t="shared" si="26"/>
        <v>7273</v>
      </c>
      <c r="M29" s="15">
        <f t="shared" si="26"/>
        <v>-2450</v>
      </c>
      <c r="N29" s="15">
        <f t="shared" si="26"/>
        <v>-298</v>
      </c>
      <c r="O29" s="15">
        <f t="shared" si="26"/>
        <v>131</v>
      </c>
    </row>
    <row r="30" spans="1:24" x14ac:dyDescent="0.25">
      <c r="V30" s="26">
        <v>43088</v>
      </c>
      <c r="W30" s="21" t="s">
        <v>37</v>
      </c>
      <c r="X30" s="21">
        <v>9.071499999999999E-2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8" fitToHeight="0" orientation="landscape" r:id="rId1"/>
  <headerFooter>
    <oddFooter>&amp;L&amp;F&amp;R&amp;A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O42"/>
    </sheetView>
  </sheetViews>
  <sheetFormatPr defaultRowHeight="15" x14ac:dyDescent="0.25"/>
  <cols>
    <col min="1" max="1" width="4.42578125" style="11" bestFit="1" customWidth="1"/>
    <col min="2" max="2" width="46.85546875" style="11" bestFit="1" customWidth="1"/>
    <col min="3" max="3" width="14.140625" style="11" bestFit="1" customWidth="1"/>
    <col min="4" max="15" width="12" style="11" bestFit="1" customWidth="1"/>
    <col min="16" max="16" width="14.140625" style="11" customWidth="1"/>
    <col min="17" max="17" width="11.7109375" style="11" bestFit="1" customWidth="1"/>
    <col min="18" max="18" width="10.5703125" style="11" bestFit="1" customWidth="1"/>
    <col min="19" max="19" width="12.5703125" style="11" customWidth="1"/>
    <col min="20" max="20" width="5.85546875" style="11" bestFit="1" customWidth="1"/>
    <col min="21" max="21" width="4" style="11" bestFit="1" customWidth="1"/>
    <col min="22" max="22" width="18.85546875" style="11" bestFit="1" customWidth="1"/>
    <col min="23" max="23" width="8.5703125" style="11" bestFit="1" customWidth="1"/>
    <col min="24" max="24" width="4.85546875" style="11" bestFit="1" customWidth="1"/>
    <col min="25" max="28" width="7.28515625" style="11" bestFit="1" customWidth="1"/>
    <col min="29" max="16384" width="9.140625" style="11"/>
  </cols>
  <sheetData>
    <row r="1" spans="1:28" x14ac:dyDescent="0.25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8" x14ac:dyDescent="0.25">
      <c r="A2" s="33" t="s">
        <v>127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8" x14ac:dyDescent="0.25">
      <c r="A3" s="31" t="str">
        <f>+'Proforma kWh'!$A$4</f>
        <v>Schedule 40 Migration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5" spans="1:28" ht="45" x14ac:dyDescent="0.25">
      <c r="A5" s="12" t="s">
        <v>4</v>
      </c>
      <c r="B5" s="12" t="s">
        <v>5</v>
      </c>
      <c r="C5" s="9" t="str">
        <f>+'Sch 24 Sm Sec'!C5</f>
        <v>Total
July 2019 to
June 2020</v>
      </c>
      <c r="D5" s="9">
        <f>+'Sch 24 Sm Sec'!D5</f>
        <v>43647</v>
      </c>
      <c r="E5" s="9">
        <f>+'Sch 24 Sm Sec'!E5</f>
        <v>43678</v>
      </c>
      <c r="F5" s="9">
        <f>+'Sch 24 Sm Sec'!F5</f>
        <v>43709</v>
      </c>
      <c r="G5" s="9">
        <f>+'Sch 24 Sm Sec'!G5</f>
        <v>43739</v>
      </c>
      <c r="H5" s="9">
        <f>+'Sch 24 Sm Sec'!H5</f>
        <v>43770</v>
      </c>
      <c r="I5" s="9">
        <f>+'Sch 24 Sm Sec'!I5</f>
        <v>43800</v>
      </c>
      <c r="J5" s="9">
        <f>+'Sch 24 Sm Sec'!J5</f>
        <v>43831</v>
      </c>
      <c r="K5" s="9">
        <f>+'Sch 24 Sm Sec'!K5</f>
        <v>43862</v>
      </c>
      <c r="L5" s="9">
        <f>+'Sch 24 Sm Sec'!L5</f>
        <v>43891</v>
      </c>
      <c r="M5" s="9">
        <f>+'Sch 24 Sm Sec'!M5</f>
        <v>43922</v>
      </c>
      <c r="N5" s="9">
        <f>+'Sch 24 Sm Sec'!N5</f>
        <v>43952</v>
      </c>
      <c r="O5" s="9">
        <f>+'Sch 24 Sm Sec'!O5</f>
        <v>43983</v>
      </c>
      <c r="T5" s="13" t="s">
        <v>6</v>
      </c>
      <c r="U5" s="13" t="s">
        <v>7</v>
      </c>
      <c r="V5" s="13" t="s">
        <v>8</v>
      </c>
      <c r="W5" s="13" t="s">
        <v>9</v>
      </c>
      <c r="X5" s="13" t="s">
        <v>10</v>
      </c>
      <c r="Y5" s="13" t="s">
        <v>11</v>
      </c>
      <c r="Z5" s="13" t="s">
        <v>12</v>
      </c>
      <c r="AA5" s="13" t="s">
        <v>13</v>
      </c>
      <c r="AB5" s="13" t="s">
        <v>14</v>
      </c>
    </row>
    <row r="6" spans="1:28" x14ac:dyDescent="0.25">
      <c r="A6" s="14">
        <v>1</v>
      </c>
      <c r="B6" s="16" t="s">
        <v>40</v>
      </c>
      <c r="C6" s="15">
        <f t="shared" ref="C6" si="0">SUM(D6:O6)</f>
        <v>144</v>
      </c>
      <c r="D6" s="15">
        <f>+'[1]Sch 40 Migration (C)'!C14</f>
        <v>12</v>
      </c>
      <c r="E6" s="15">
        <f>+'[1]Sch 40 Migration (C)'!D14</f>
        <v>11</v>
      </c>
      <c r="F6" s="15">
        <f>+'[1]Sch 40 Migration (C)'!E14</f>
        <v>11</v>
      </c>
      <c r="G6" s="15">
        <f>+'[1]Sch 40 Migration (C)'!F14</f>
        <v>13</v>
      </c>
      <c r="H6" s="15">
        <f>+'[1]Sch 40 Migration (C)'!G14</f>
        <v>11</v>
      </c>
      <c r="I6" s="15">
        <f>+'[1]Sch 40 Migration (C)'!H14</f>
        <v>14</v>
      </c>
      <c r="J6" s="15">
        <f>+'[1]Sch 40 Migration (C)'!I14</f>
        <v>12</v>
      </c>
      <c r="K6" s="15">
        <f>+'[1]Sch 40 Migration (C)'!J14</f>
        <v>11</v>
      </c>
      <c r="L6" s="15">
        <f>+'[1]Sch 40 Migration (C)'!K14</f>
        <v>7</v>
      </c>
      <c r="M6" s="15">
        <f>+'[1]Sch 40 Migration (C)'!L14</f>
        <v>16</v>
      </c>
      <c r="N6" s="15">
        <f>+'[1]Sch 40 Migration (C)'!M14</f>
        <v>14</v>
      </c>
      <c r="O6" s="15">
        <f>+'[1]Sch 40 Migration (C)'!N14</f>
        <v>12</v>
      </c>
      <c r="T6" s="13"/>
      <c r="U6" s="13"/>
      <c r="V6" s="13"/>
      <c r="W6" s="13"/>
      <c r="X6" s="13"/>
      <c r="Y6" s="13"/>
      <c r="Z6" s="13"/>
      <c r="AA6" s="13"/>
      <c r="AB6" s="13"/>
    </row>
    <row r="7" spans="1:28" x14ac:dyDescent="0.25">
      <c r="A7" s="14">
        <f t="shared" ref="A7:A42" si="1">+A6+1</f>
        <v>2</v>
      </c>
      <c r="B7" s="11" t="s">
        <v>15</v>
      </c>
      <c r="C7" s="15">
        <f t="shared" ref="C7:O7" si="2">SUM(C6:C6)</f>
        <v>144</v>
      </c>
      <c r="D7" s="15">
        <f t="shared" si="2"/>
        <v>12</v>
      </c>
      <c r="E7" s="15">
        <f t="shared" si="2"/>
        <v>11</v>
      </c>
      <c r="F7" s="15">
        <f t="shared" si="2"/>
        <v>11</v>
      </c>
      <c r="G7" s="15">
        <f t="shared" si="2"/>
        <v>13</v>
      </c>
      <c r="H7" s="15">
        <f t="shared" si="2"/>
        <v>11</v>
      </c>
      <c r="I7" s="15">
        <f t="shared" si="2"/>
        <v>14</v>
      </c>
      <c r="J7" s="15">
        <f t="shared" si="2"/>
        <v>12</v>
      </c>
      <c r="K7" s="15">
        <f t="shared" si="2"/>
        <v>11</v>
      </c>
      <c r="L7" s="15">
        <f t="shared" si="2"/>
        <v>7</v>
      </c>
      <c r="M7" s="15">
        <f t="shared" si="2"/>
        <v>16</v>
      </c>
      <c r="N7" s="15">
        <f t="shared" si="2"/>
        <v>14</v>
      </c>
      <c r="O7" s="15">
        <f t="shared" si="2"/>
        <v>12</v>
      </c>
    </row>
    <row r="8" spans="1:28" x14ac:dyDescent="0.25">
      <c r="A8" s="14">
        <f t="shared" si="1"/>
        <v>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28" x14ac:dyDescent="0.25">
      <c r="A9" s="14">
        <f t="shared" si="1"/>
        <v>4</v>
      </c>
      <c r="B9" s="16" t="s">
        <v>60</v>
      </c>
      <c r="C9" s="15">
        <f t="shared" ref="C9" si="3">SUM(D9:O9)</f>
        <v>1360000</v>
      </c>
      <c r="D9" s="15">
        <v>0</v>
      </c>
      <c r="E9" s="15">
        <v>0</v>
      </c>
      <c r="F9" s="15">
        <v>0</v>
      </c>
      <c r="G9" s="15">
        <f t="shared" ref="G9:L9" si="4">G7*20000</f>
        <v>260000</v>
      </c>
      <c r="H9" s="15">
        <f t="shared" si="4"/>
        <v>220000</v>
      </c>
      <c r="I9" s="15">
        <f t="shared" si="4"/>
        <v>280000</v>
      </c>
      <c r="J9" s="15">
        <f t="shared" si="4"/>
        <v>240000</v>
      </c>
      <c r="K9" s="15">
        <f t="shared" si="4"/>
        <v>220000</v>
      </c>
      <c r="L9" s="15">
        <f t="shared" si="4"/>
        <v>140000</v>
      </c>
      <c r="M9" s="15">
        <v>0</v>
      </c>
      <c r="N9" s="15">
        <v>0</v>
      </c>
      <c r="O9" s="15">
        <v>0</v>
      </c>
    </row>
    <row r="10" spans="1:28" x14ac:dyDescent="0.25">
      <c r="A10" s="14">
        <f t="shared" si="1"/>
        <v>5</v>
      </c>
      <c r="B10" s="16" t="s">
        <v>41</v>
      </c>
      <c r="C10" s="15">
        <f t="shared" ref="C10:C11" si="5">SUM(D10:O10)</f>
        <v>1520000</v>
      </c>
      <c r="D10" s="15">
        <f>D7*20000</f>
        <v>240000</v>
      </c>
      <c r="E10" s="15">
        <f t="shared" ref="E10:O10" si="6">E7*20000</f>
        <v>220000</v>
      </c>
      <c r="F10" s="15">
        <f t="shared" si="6"/>
        <v>220000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f t="shared" si="6"/>
        <v>320000</v>
      </c>
      <c r="N10" s="15">
        <f t="shared" si="6"/>
        <v>280000</v>
      </c>
      <c r="O10" s="15">
        <f t="shared" si="6"/>
        <v>240000</v>
      </c>
    </row>
    <row r="11" spans="1:28" x14ac:dyDescent="0.25">
      <c r="A11" s="14">
        <f t="shared" si="1"/>
        <v>6</v>
      </c>
      <c r="B11" s="16" t="s">
        <v>42</v>
      </c>
      <c r="C11" s="15">
        <f t="shared" si="5"/>
        <v>3372106</v>
      </c>
      <c r="D11" s="15">
        <f>+'[1]Sch 40 Migration (C)'!C16-SUM(D9:D10)</f>
        <v>246600</v>
      </c>
      <c r="E11" s="15">
        <f>+'[1]Sch 40 Migration (C)'!D16-SUM(E9:E10)</f>
        <v>239720</v>
      </c>
      <c r="F11" s="15">
        <f>+'[1]Sch 40 Migration (C)'!E16-SUM(F9:F10)</f>
        <v>252600</v>
      </c>
      <c r="G11" s="15">
        <f>+'[1]Sch 40 Migration (C)'!F16-SUM(G9:G10)</f>
        <v>259550</v>
      </c>
      <c r="H11" s="15">
        <f>+'[1]Sch 40 Migration (C)'!G16-SUM(H9:H10)</f>
        <v>283580</v>
      </c>
      <c r="I11" s="15">
        <f>+'[1]Sch 40 Migration (C)'!H16-SUM(I9:I10)</f>
        <v>330010</v>
      </c>
      <c r="J11" s="15">
        <f>+'[1]Sch 40 Migration (C)'!I16-SUM(J9:J10)</f>
        <v>334140</v>
      </c>
      <c r="K11" s="15">
        <f>+'[1]Sch 40 Migration (C)'!J16-SUM(K9:K10)</f>
        <v>335400</v>
      </c>
      <c r="L11" s="15">
        <f>+'[1]Sch 40 Migration (C)'!K16-SUM(L9:L10)</f>
        <v>261720</v>
      </c>
      <c r="M11" s="15">
        <f>+'[1]Sch 40 Migration (C)'!L16-SUM(M9:M10)</f>
        <v>420437</v>
      </c>
      <c r="N11" s="15">
        <f>+'[1]Sch 40 Migration (C)'!M16-SUM(N9:N10)</f>
        <v>172898</v>
      </c>
      <c r="O11" s="15">
        <f>+'[1]Sch 40 Migration (C)'!N16-SUM(O9:O10)</f>
        <v>235451</v>
      </c>
    </row>
    <row r="12" spans="1:28" x14ac:dyDescent="0.25">
      <c r="A12" s="14">
        <f t="shared" si="1"/>
        <v>7</v>
      </c>
      <c r="B12" s="11" t="s">
        <v>16</v>
      </c>
      <c r="C12" s="15">
        <f t="shared" ref="C12:O12" si="7">SUM(C9:C11)</f>
        <v>6252106</v>
      </c>
      <c r="D12" s="15">
        <f t="shared" si="7"/>
        <v>486600</v>
      </c>
      <c r="E12" s="15">
        <f t="shared" si="7"/>
        <v>459720</v>
      </c>
      <c r="F12" s="15">
        <f t="shared" si="7"/>
        <v>472600</v>
      </c>
      <c r="G12" s="15">
        <f t="shared" si="7"/>
        <v>519550</v>
      </c>
      <c r="H12" s="15">
        <f t="shared" si="7"/>
        <v>503580</v>
      </c>
      <c r="I12" s="15">
        <f t="shared" si="7"/>
        <v>610010</v>
      </c>
      <c r="J12" s="15">
        <f t="shared" si="7"/>
        <v>574140</v>
      </c>
      <c r="K12" s="15">
        <f t="shared" si="7"/>
        <v>555400</v>
      </c>
      <c r="L12" s="15">
        <f t="shared" si="7"/>
        <v>401720</v>
      </c>
      <c r="M12" s="15">
        <f t="shared" si="7"/>
        <v>740437</v>
      </c>
      <c r="N12" s="15">
        <f t="shared" si="7"/>
        <v>452898</v>
      </c>
      <c r="O12" s="15">
        <f t="shared" si="7"/>
        <v>475451</v>
      </c>
    </row>
    <row r="13" spans="1:28" x14ac:dyDescent="0.25">
      <c r="A13" s="14">
        <f t="shared" si="1"/>
        <v>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28" x14ac:dyDescent="0.25">
      <c r="A14" s="14">
        <f t="shared" si="1"/>
        <v>9</v>
      </c>
      <c r="B14" s="16" t="s">
        <v>61</v>
      </c>
      <c r="C14" s="15">
        <f t="shared" ref="C14" si="8">SUM(D14:O14)</f>
        <v>4581</v>
      </c>
      <c r="D14" s="15">
        <v>0</v>
      </c>
      <c r="E14" s="15">
        <v>0</v>
      </c>
      <c r="F14" s="15">
        <v>0</v>
      </c>
      <c r="G14" s="15">
        <f>+'[1]Sch 40 Migration (C)'!F15-50*G6</f>
        <v>693</v>
      </c>
      <c r="H14" s="15">
        <f>+'[1]Sch 40 Migration (C)'!G15-50*H6</f>
        <v>866</v>
      </c>
      <c r="I14" s="15">
        <f>+'[1]Sch 40 Migration (C)'!H15-50*I6</f>
        <v>797</v>
      </c>
      <c r="J14" s="15">
        <f>+'[1]Sch 40 Migration (C)'!I15-50*J6</f>
        <v>800</v>
      </c>
      <c r="K14" s="15">
        <f>+'[1]Sch 40 Migration (C)'!J15-50*K6</f>
        <v>791</v>
      </c>
      <c r="L14" s="15">
        <f>+'[1]Sch 40 Migration (C)'!K15-50*L6</f>
        <v>634</v>
      </c>
      <c r="M14" s="15">
        <v>0</v>
      </c>
      <c r="N14" s="15">
        <v>0</v>
      </c>
      <c r="O14" s="15">
        <v>0</v>
      </c>
    </row>
    <row r="15" spans="1:28" x14ac:dyDescent="0.25">
      <c r="A15" s="14">
        <f t="shared" si="1"/>
        <v>10</v>
      </c>
      <c r="B15" s="16" t="s">
        <v>43</v>
      </c>
      <c r="C15" s="15">
        <f t="shared" ref="C15" si="9">SUM(D15:O15)</f>
        <v>4091</v>
      </c>
      <c r="D15" s="15">
        <f>+'[1]Sch 40 Migration (C)'!C15-50*D6</f>
        <v>680</v>
      </c>
      <c r="E15" s="15">
        <f>+'[1]Sch 40 Migration (C)'!D15-50*E6</f>
        <v>626</v>
      </c>
      <c r="F15" s="15">
        <f>+'[1]Sch 40 Migration (C)'!E15-50*F6</f>
        <v>694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+'[1]Sch 40 Migration (C)'!L15-50*M6</f>
        <v>863</v>
      </c>
      <c r="N15" s="15">
        <f>+'[1]Sch 40 Migration (C)'!M15-50*N6</f>
        <v>565</v>
      </c>
      <c r="O15" s="15">
        <f>+'[1]Sch 40 Migration (C)'!N15-50*O6</f>
        <v>663</v>
      </c>
    </row>
    <row r="16" spans="1:28" x14ac:dyDescent="0.25">
      <c r="A16" s="14">
        <f t="shared" si="1"/>
        <v>11</v>
      </c>
      <c r="B16" s="16" t="s">
        <v>44</v>
      </c>
      <c r="C16" s="15">
        <f t="shared" ref="C16:O16" si="10">SUM(C14:C15)</f>
        <v>8672</v>
      </c>
      <c r="D16" s="15">
        <f t="shared" si="10"/>
        <v>680</v>
      </c>
      <c r="E16" s="15">
        <f t="shared" si="10"/>
        <v>626</v>
      </c>
      <c r="F16" s="15">
        <f t="shared" si="10"/>
        <v>694</v>
      </c>
      <c r="G16" s="15">
        <f t="shared" si="10"/>
        <v>693</v>
      </c>
      <c r="H16" s="15">
        <f t="shared" si="10"/>
        <v>866</v>
      </c>
      <c r="I16" s="15">
        <f t="shared" si="10"/>
        <v>797</v>
      </c>
      <c r="J16" s="15">
        <f t="shared" si="10"/>
        <v>800</v>
      </c>
      <c r="K16" s="15">
        <f t="shared" si="10"/>
        <v>791</v>
      </c>
      <c r="L16" s="15">
        <f t="shared" si="10"/>
        <v>634</v>
      </c>
      <c r="M16" s="15">
        <f t="shared" si="10"/>
        <v>863</v>
      </c>
      <c r="N16" s="15">
        <f t="shared" si="10"/>
        <v>565</v>
      </c>
      <c r="O16" s="15">
        <f t="shared" si="10"/>
        <v>663</v>
      </c>
    </row>
    <row r="17" spans="1:15" x14ac:dyDescent="0.25">
      <c r="A17" s="14">
        <f t="shared" si="1"/>
        <v>12</v>
      </c>
      <c r="C17" s="15"/>
      <c r="D17" s="15"/>
    </row>
    <row r="18" spans="1:15" x14ac:dyDescent="0.25">
      <c r="A18" s="14">
        <f t="shared" si="1"/>
        <v>13</v>
      </c>
      <c r="B18" s="16" t="s">
        <v>45</v>
      </c>
      <c r="C18" s="15">
        <f t="shared" ref="C18" si="11">SUM(D18:O18)</f>
        <v>1600837</v>
      </c>
      <c r="D18" s="15">
        <f>+'[1]Sch 40 Migration (C)'!C17</f>
        <v>146810</v>
      </c>
      <c r="E18" s="15">
        <f>+'[1]Sch 40 Migration (C)'!D17</f>
        <v>151071</v>
      </c>
      <c r="F18" s="15">
        <f>+'[1]Sch 40 Migration (C)'!E17</f>
        <v>149357</v>
      </c>
      <c r="G18" s="15">
        <f>+'[1]Sch 40 Migration (C)'!F17</f>
        <v>144072</v>
      </c>
      <c r="H18" s="15">
        <f>+'[1]Sch 40 Migration (C)'!G17</f>
        <v>121984</v>
      </c>
      <c r="I18" s="15">
        <f>+'[1]Sch 40 Migration (C)'!H17</f>
        <v>135301</v>
      </c>
      <c r="J18" s="15">
        <f>+'[1]Sch 40 Migration (C)'!I17</f>
        <v>124435</v>
      </c>
      <c r="K18" s="15">
        <f>+'[1]Sch 40 Migration (C)'!J17</f>
        <v>124190</v>
      </c>
      <c r="L18" s="15">
        <f>+'[1]Sch 40 Migration (C)'!K17</f>
        <v>113483</v>
      </c>
      <c r="M18" s="15">
        <f>+'[1]Sch 40 Migration (C)'!L17</f>
        <v>133594</v>
      </c>
      <c r="N18" s="15">
        <f>+'[1]Sch 40 Migration (C)'!M17</f>
        <v>117277</v>
      </c>
      <c r="O18" s="15">
        <f>+'[1]Sch 40 Migration (C)'!N17</f>
        <v>139263</v>
      </c>
    </row>
    <row r="19" spans="1:15" x14ac:dyDescent="0.25">
      <c r="A19" s="14">
        <f t="shared" si="1"/>
        <v>14</v>
      </c>
      <c r="B19" s="16" t="s">
        <v>46</v>
      </c>
      <c r="C19" s="15">
        <f t="shared" ref="C19:O19" si="12">SUM(C18:C18)</f>
        <v>1600837</v>
      </c>
      <c r="D19" s="15">
        <f t="shared" si="12"/>
        <v>146810</v>
      </c>
      <c r="E19" s="15">
        <f t="shared" si="12"/>
        <v>151071</v>
      </c>
      <c r="F19" s="15">
        <f t="shared" si="12"/>
        <v>149357</v>
      </c>
      <c r="G19" s="15">
        <f t="shared" si="12"/>
        <v>144072</v>
      </c>
      <c r="H19" s="15">
        <f t="shared" si="12"/>
        <v>121984</v>
      </c>
      <c r="I19" s="15">
        <f t="shared" si="12"/>
        <v>135301</v>
      </c>
      <c r="J19" s="15">
        <f t="shared" si="12"/>
        <v>124435</v>
      </c>
      <c r="K19" s="15">
        <f t="shared" si="12"/>
        <v>124190</v>
      </c>
      <c r="L19" s="15">
        <f t="shared" si="12"/>
        <v>113483</v>
      </c>
      <c r="M19" s="15">
        <f t="shared" si="12"/>
        <v>133594</v>
      </c>
      <c r="N19" s="15">
        <f t="shared" si="12"/>
        <v>117277</v>
      </c>
      <c r="O19" s="15">
        <f t="shared" si="12"/>
        <v>139263</v>
      </c>
    </row>
    <row r="20" spans="1:15" x14ac:dyDescent="0.25">
      <c r="A20" s="28">
        <f t="shared" si="1"/>
        <v>15</v>
      </c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5">
      <c r="A21" s="28">
        <f t="shared" si="1"/>
        <v>16</v>
      </c>
      <c r="B21" s="29" t="str">
        <f>+'[1]Sch 7 Res'!$B$20</f>
        <v>Rates Effective 10-15-2020</v>
      </c>
    </row>
    <row r="22" spans="1:15" x14ac:dyDescent="0.25">
      <c r="A22" s="28">
        <f t="shared" si="1"/>
        <v>17</v>
      </c>
      <c r="B22" s="18" t="s">
        <v>47</v>
      </c>
      <c r="D22" s="21">
        <f>+'[1]Sch 25 Med Sec'!$D$28</f>
        <v>54.66</v>
      </c>
      <c r="E22" s="21">
        <f t="shared" ref="E22:E27" si="13">+D22</f>
        <v>54.66</v>
      </c>
      <c r="F22" s="21">
        <f t="shared" ref="F22:O27" si="14">+E22</f>
        <v>54.66</v>
      </c>
      <c r="G22" s="21">
        <f t="shared" si="14"/>
        <v>54.66</v>
      </c>
      <c r="H22" s="21">
        <f t="shared" si="14"/>
        <v>54.66</v>
      </c>
      <c r="I22" s="21">
        <f t="shared" si="14"/>
        <v>54.66</v>
      </c>
      <c r="J22" s="21">
        <f t="shared" si="14"/>
        <v>54.66</v>
      </c>
      <c r="K22" s="21">
        <f t="shared" si="14"/>
        <v>54.66</v>
      </c>
      <c r="L22" s="21">
        <f t="shared" si="14"/>
        <v>54.66</v>
      </c>
      <c r="M22" s="21">
        <f t="shared" si="14"/>
        <v>54.66</v>
      </c>
      <c r="N22" s="21">
        <f t="shared" si="14"/>
        <v>54.66</v>
      </c>
      <c r="O22" s="21">
        <f t="shared" si="14"/>
        <v>54.66</v>
      </c>
    </row>
    <row r="23" spans="1:15" x14ac:dyDescent="0.25">
      <c r="A23" s="28">
        <f t="shared" si="1"/>
        <v>18</v>
      </c>
      <c r="B23" s="18" t="s">
        <v>62</v>
      </c>
      <c r="D23" s="21">
        <f>+'[1]Sch 25 Med Sec'!$D$31</f>
        <v>9.3585030630112268E-2</v>
      </c>
      <c r="E23" s="21">
        <f t="shared" ref="E23" si="15">+D23</f>
        <v>9.3585030630112268E-2</v>
      </c>
      <c r="F23" s="21">
        <f t="shared" ref="F23" si="16">+E23</f>
        <v>9.3585030630112268E-2</v>
      </c>
      <c r="G23" s="21">
        <f t="shared" ref="G23" si="17">+F23</f>
        <v>9.3585030630112268E-2</v>
      </c>
      <c r="H23" s="21">
        <f t="shared" ref="H23" si="18">+G23</f>
        <v>9.3585030630112268E-2</v>
      </c>
      <c r="I23" s="21">
        <f t="shared" ref="I23" si="19">+H23</f>
        <v>9.3585030630112268E-2</v>
      </c>
      <c r="J23" s="21">
        <f t="shared" ref="J23" si="20">+I23</f>
        <v>9.3585030630112268E-2</v>
      </c>
      <c r="K23" s="21">
        <f t="shared" ref="K23" si="21">+J23</f>
        <v>9.3585030630112268E-2</v>
      </c>
      <c r="L23" s="21">
        <f t="shared" ref="L23" si="22">+K23</f>
        <v>9.3585030630112268E-2</v>
      </c>
      <c r="M23" s="21">
        <f t="shared" ref="M23" si="23">+L23</f>
        <v>9.3585030630112268E-2</v>
      </c>
      <c r="N23" s="21">
        <f t="shared" ref="N23" si="24">+M23</f>
        <v>9.3585030630112268E-2</v>
      </c>
      <c r="O23" s="21">
        <f t="shared" ref="O23" si="25">+N23</f>
        <v>9.3585030630112268E-2</v>
      </c>
    </row>
    <row r="24" spans="1:15" x14ac:dyDescent="0.25">
      <c r="A24" s="28">
        <f t="shared" si="1"/>
        <v>19</v>
      </c>
      <c r="B24" s="18" t="s">
        <v>48</v>
      </c>
      <c r="D24" s="21">
        <f>+'[1]Sch 25 Med Sec'!$D$34</f>
        <v>8.4158030630112263E-2</v>
      </c>
      <c r="E24" s="21">
        <f t="shared" si="13"/>
        <v>8.4158030630112263E-2</v>
      </c>
      <c r="F24" s="21">
        <f t="shared" si="14"/>
        <v>8.4158030630112263E-2</v>
      </c>
      <c r="G24" s="21">
        <f t="shared" si="14"/>
        <v>8.4158030630112263E-2</v>
      </c>
      <c r="H24" s="21">
        <f t="shared" si="14"/>
        <v>8.4158030630112263E-2</v>
      </c>
      <c r="I24" s="21">
        <f t="shared" si="14"/>
        <v>8.4158030630112263E-2</v>
      </c>
      <c r="J24" s="21">
        <f t="shared" si="14"/>
        <v>8.4158030630112263E-2</v>
      </c>
      <c r="K24" s="21">
        <f t="shared" si="14"/>
        <v>8.4158030630112263E-2</v>
      </c>
      <c r="L24" s="21">
        <f t="shared" si="14"/>
        <v>8.4158030630112263E-2</v>
      </c>
      <c r="M24" s="21">
        <f t="shared" si="14"/>
        <v>8.4158030630112263E-2</v>
      </c>
      <c r="N24" s="21">
        <f t="shared" si="14"/>
        <v>8.4158030630112263E-2</v>
      </c>
      <c r="O24" s="21">
        <f t="shared" si="14"/>
        <v>8.4158030630112263E-2</v>
      </c>
    </row>
    <row r="25" spans="1:15" x14ac:dyDescent="0.25">
      <c r="A25" s="28">
        <f t="shared" si="1"/>
        <v>20</v>
      </c>
      <c r="B25" s="18" t="s">
        <v>49</v>
      </c>
      <c r="D25" s="21">
        <f>+'[1]Sch 25 Med Sec'!$D$37</f>
        <v>6.6963999999999996E-2</v>
      </c>
      <c r="E25" s="21">
        <f t="shared" ref="E25" si="26">+D25</f>
        <v>6.6963999999999996E-2</v>
      </c>
      <c r="F25" s="21">
        <f t="shared" ref="F25" si="27">+E25</f>
        <v>6.6963999999999996E-2</v>
      </c>
      <c r="G25" s="21">
        <f t="shared" ref="G25" si="28">+F25</f>
        <v>6.6963999999999996E-2</v>
      </c>
      <c r="H25" s="21">
        <f t="shared" ref="H25" si="29">+G25</f>
        <v>6.6963999999999996E-2</v>
      </c>
      <c r="I25" s="21">
        <f t="shared" ref="I25" si="30">+H25</f>
        <v>6.6963999999999996E-2</v>
      </c>
      <c r="J25" s="21">
        <f t="shared" ref="J25" si="31">+I25</f>
        <v>6.6963999999999996E-2</v>
      </c>
      <c r="K25" s="21">
        <f t="shared" ref="K25" si="32">+J25</f>
        <v>6.6963999999999996E-2</v>
      </c>
      <c r="L25" s="21">
        <f t="shared" ref="L25" si="33">+K25</f>
        <v>6.6963999999999996E-2</v>
      </c>
      <c r="M25" s="21">
        <f t="shared" ref="M25" si="34">+L25</f>
        <v>6.6963999999999996E-2</v>
      </c>
      <c r="N25" s="21">
        <f t="shared" ref="N25" si="35">+M25</f>
        <v>6.6963999999999996E-2</v>
      </c>
      <c r="O25" s="21">
        <f t="shared" ref="O25" si="36">+N25</f>
        <v>6.6963999999999996E-2</v>
      </c>
    </row>
    <row r="26" spans="1:15" x14ac:dyDescent="0.25">
      <c r="A26" s="28">
        <f t="shared" si="1"/>
        <v>21</v>
      </c>
      <c r="B26" s="18" t="s">
        <v>59</v>
      </c>
      <c r="D26" s="21">
        <f>+'[1]Sch 25 Med Sec'!D38</f>
        <v>10.41</v>
      </c>
      <c r="E26" s="21">
        <f t="shared" ref="E26" si="37">+D26</f>
        <v>10.41</v>
      </c>
      <c r="F26" s="21">
        <f t="shared" ref="F26" si="38">+E26</f>
        <v>10.41</v>
      </c>
      <c r="G26" s="21">
        <f t="shared" ref="G26" si="39">+F26</f>
        <v>10.41</v>
      </c>
      <c r="H26" s="21">
        <f t="shared" ref="H26" si="40">+G26</f>
        <v>10.41</v>
      </c>
      <c r="I26" s="21">
        <f t="shared" ref="I26" si="41">+H26</f>
        <v>10.41</v>
      </c>
      <c r="J26" s="21">
        <f t="shared" ref="J26" si="42">+I26</f>
        <v>10.41</v>
      </c>
      <c r="K26" s="21">
        <f t="shared" ref="K26" si="43">+J26</f>
        <v>10.41</v>
      </c>
      <c r="L26" s="21">
        <f t="shared" ref="L26" si="44">+K26</f>
        <v>10.41</v>
      </c>
      <c r="M26" s="21">
        <f t="shared" ref="M26" si="45">+L26</f>
        <v>10.41</v>
      </c>
      <c r="N26" s="21">
        <f t="shared" ref="N26" si="46">+M26</f>
        <v>10.41</v>
      </c>
      <c r="O26" s="21">
        <f t="shared" ref="O26" si="47">+N26</f>
        <v>10.41</v>
      </c>
    </row>
    <row r="27" spans="1:15" x14ac:dyDescent="0.25">
      <c r="A27" s="28">
        <f t="shared" si="1"/>
        <v>22</v>
      </c>
      <c r="B27" s="18" t="s">
        <v>50</v>
      </c>
      <c r="D27" s="21">
        <f>+'[1]Sch 25 Med Sec'!D39</f>
        <v>6.95</v>
      </c>
      <c r="E27" s="21">
        <f t="shared" si="13"/>
        <v>6.95</v>
      </c>
      <c r="F27" s="21">
        <f t="shared" si="14"/>
        <v>6.95</v>
      </c>
      <c r="G27" s="21">
        <f t="shared" si="14"/>
        <v>6.95</v>
      </c>
      <c r="H27" s="21">
        <f t="shared" si="14"/>
        <v>6.95</v>
      </c>
      <c r="I27" s="21">
        <f t="shared" si="14"/>
        <v>6.95</v>
      </c>
      <c r="J27" s="21">
        <f t="shared" si="14"/>
        <v>6.95</v>
      </c>
      <c r="K27" s="21">
        <f t="shared" si="14"/>
        <v>6.95</v>
      </c>
      <c r="L27" s="21">
        <f t="shared" si="14"/>
        <v>6.95</v>
      </c>
      <c r="M27" s="21">
        <f t="shared" si="14"/>
        <v>6.95</v>
      </c>
      <c r="N27" s="21">
        <f t="shared" si="14"/>
        <v>6.95</v>
      </c>
      <c r="O27" s="21">
        <f t="shared" si="14"/>
        <v>6.95</v>
      </c>
    </row>
    <row r="28" spans="1:15" x14ac:dyDescent="0.25">
      <c r="A28" s="28">
        <f t="shared" si="1"/>
        <v>23</v>
      </c>
      <c r="B28" s="18" t="s">
        <v>51</v>
      </c>
      <c r="D28" s="21">
        <f>+'[1]Sch 25 Med Sec'!D40</f>
        <v>3.2699999999999999E-3</v>
      </c>
      <c r="E28" s="21">
        <f t="shared" ref="E28:O28" si="48">+D28</f>
        <v>3.2699999999999999E-3</v>
      </c>
      <c r="F28" s="21">
        <f t="shared" si="48"/>
        <v>3.2699999999999999E-3</v>
      </c>
      <c r="G28" s="21">
        <f t="shared" si="48"/>
        <v>3.2699999999999999E-3</v>
      </c>
      <c r="H28" s="21">
        <f t="shared" si="48"/>
        <v>3.2699999999999999E-3</v>
      </c>
      <c r="I28" s="21">
        <f t="shared" si="48"/>
        <v>3.2699999999999999E-3</v>
      </c>
      <c r="J28" s="21">
        <f t="shared" si="48"/>
        <v>3.2699999999999999E-3</v>
      </c>
      <c r="K28" s="21">
        <f t="shared" si="48"/>
        <v>3.2699999999999999E-3</v>
      </c>
      <c r="L28" s="21">
        <f t="shared" si="48"/>
        <v>3.2699999999999999E-3</v>
      </c>
      <c r="M28" s="21">
        <f t="shared" si="48"/>
        <v>3.2699999999999999E-3</v>
      </c>
      <c r="N28" s="21">
        <f t="shared" si="48"/>
        <v>3.2699999999999999E-3</v>
      </c>
      <c r="O28" s="21">
        <f t="shared" si="48"/>
        <v>3.2699999999999999E-3</v>
      </c>
    </row>
    <row r="29" spans="1:15" x14ac:dyDescent="0.25">
      <c r="A29" s="28">
        <f t="shared" si="1"/>
        <v>24</v>
      </c>
      <c r="B29" s="18"/>
      <c r="D29" s="25"/>
      <c r="E29" s="21"/>
    </row>
    <row r="30" spans="1:15" x14ac:dyDescent="0.25">
      <c r="A30" s="28">
        <f t="shared" si="1"/>
        <v>25</v>
      </c>
      <c r="B30" s="20" t="s">
        <v>17</v>
      </c>
    </row>
    <row r="31" spans="1:15" x14ac:dyDescent="0.25">
      <c r="A31" s="28">
        <f t="shared" si="1"/>
        <v>26</v>
      </c>
      <c r="B31" s="18" t="s">
        <v>52</v>
      </c>
      <c r="C31" s="19">
        <f>SUM(D31:O31)</f>
        <v>7871</v>
      </c>
      <c r="D31" s="19">
        <f>ROUND(D6*D22,0)</f>
        <v>656</v>
      </c>
      <c r="E31" s="19">
        <f t="shared" ref="E31:O31" si="49">ROUND(E6*E22,0)</f>
        <v>601</v>
      </c>
      <c r="F31" s="19">
        <f t="shared" si="49"/>
        <v>601</v>
      </c>
      <c r="G31" s="19">
        <f t="shared" si="49"/>
        <v>711</v>
      </c>
      <c r="H31" s="19">
        <f t="shared" si="49"/>
        <v>601</v>
      </c>
      <c r="I31" s="19">
        <f t="shared" si="49"/>
        <v>765</v>
      </c>
      <c r="J31" s="19">
        <f t="shared" si="49"/>
        <v>656</v>
      </c>
      <c r="K31" s="19">
        <f t="shared" si="49"/>
        <v>601</v>
      </c>
      <c r="L31" s="19">
        <f t="shared" si="49"/>
        <v>383</v>
      </c>
      <c r="M31" s="19">
        <f t="shared" si="49"/>
        <v>875</v>
      </c>
      <c r="N31" s="19">
        <f t="shared" si="49"/>
        <v>765</v>
      </c>
      <c r="O31" s="19">
        <f t="shared" si="49"/>
        <v>656</v>
      </c>
    </row>
    <row r="32" spans="1:15" x14ac:dyDescent="0.25">
      <c r="A32" s="28">
        <f t="shared" si="1"/>
        <v>27</v>
      </c>
      <c r="B32" s="18" t="s">
        <v>53</v>
      </c>
      <c r="C32" s="19">
        <f t="shared" ref="C32:C37" si="50">SUM(D32:O32)</f>
        <v>127276</v>
      </c>
      <c r="D32" s="19">
        <f>ROUND(+D9*D23,0)</f>
        <v>0</v>
      </c>
      <c r="E32" s="19">
        <f t="shared" ref="E32:O32" si="51">ROUND(+E9*E23,0)</f>
        <v>0</v>
      </c>
      <c r="F32" s="19">
        <f t="shared" si="51"/>
        <v>0</v>
      </c>
      <c r="G32" s="19">
        <f t="shared" si="51"/>
        <v>24332</v>
      </c>
      <c r="H32" s="19">
        <f t="shared" si="51"/>
        <v>20589</v>
      </c>
      <c r="I32" s="19">
        <f t="shared" si="51"/>
        <v>26204</v>
      </c>
      <c r="J32" s="19">
        <f t="shared" si="51"/>
        <v>22460</v>
      </c>
      <c r="K32" s="19">
        <f t="shared" si="51"/>
        <v>20589</v>
      </c>
      <c r="L32" s="19">
        <f t="shared" si="51"/>
        <v>13102</v>
      </c>
      <c r="M32" s="19">
        <f t="shared" si="51"/>
        <v>0</v>
      </c>
      <c r="N32" s="19">
        <f t="shared" si="51"/>
        <v>0</v>
      </c>
      <c r="O32" s="19">
        <f t="shared" si="51"/>
        <v>0</v>
      </c>
    </row>
    <row r="33" spans="1:15" x14ac:dyDescent="0.25">
      <c r="A33" s="28">
        <f t="shared" si="1"/>
        <v>28</v>
      </c>
      <c r="B33" s="18" t="s">
        <v>54</v>
      </c>
      <c r="C33" s="19">
        <f t="shared" si="50"/>
        <v>127921</v>
      </c>
      <c r="D33" s="19">
        <f>ROUND(+D10*D24,0)</f>
        <v>20198</v>
      </c>
      <c r="E33" s="19">
        <f t="shared" ref="E33:O33" si="52">ROUND(+E10*E24,0)</f>
        <v>18515</v>
      </c>
      <c r="F33" s="19">
        <f t="shared" si="52"/>
        <v>18515</v>
      </c>
      <c r="G33" s="19">
        <f t="shared" si="52"/>
        <v>0</v>
      </c>
      <c r="H33" s="19">
        <f t="shared" si="52"/>
        <v>0</v>
      </c>
      <c r="I33" s="19">
        <f t="shared" si="52"/>
        <v>0</v>
      </c>
      <c r="J33" s="19">
        <f t="shared" si="52"/>
        <v>0</v>
      </c>
      <c r="K33" s="19">
        <f t="shared" si="52"/>
        <v>0</v>
      </c>
      <c r="L33" s="19">
        <f t="shared" si="52"/>
        <v>0</v>
      </c>
      <c r="M33" s="19">
        <f t="shared" si="52"/>
        <v>26931</v>
      </c>
      <c r="N33" s="19">
        <f t="shared" si="52"/>
        <v>23564</v>
      </c>
      <c r="O33" s="19">
        <f t="shared" si="52"/>
        <v>20198</v>
      </c>
    </row>
    <row r="34" spans="1:15" x14ac:dyDescent="0.25">
      <c r="A34" s="28">
        <f t="shared" si="1"/>
        <v>29</v>
      </c>
      <c r="B34" s="18" t="s">
        <v>55</v>
      </c>
      <c r="C34" s="19">
        <f t="shared" si="50"/>
        <v>225811</v>
      </c>
      <c r="D34" s="19">
        <f>ROUND(+D11*D25,0)</f>
        <v>16513</v>
      </c>
      <c r="E34" s="19">
        <f t="shared" ref="E34:O34" si="53">ROUND(+E11*E25,0)</f>
        <v>16053</v>
      </c>
      <c r="F34" s="19">
        <f t="shared" si="53"/>
        <v>16915</v>
      </c>
      <c r="G34" s="19">
        <f t="shared" si="53"/>
        <v>17381</v>
      </c>
      <c r="H34" s="19">
        <f t="shared" si="53"/>
        <v>18990</v>
      </c>
      <c r="I34" s="19">
        <f t="shared" si="53"/>
        <v>22099</v>
      </c>
      <c r="J34" s="19">
        <f t="shared" si="53"/>
        <v>22375</v>
      </c>
      <c r="K34" s="19">
        <f t="shared" si="53"/>
        <v>22460</v>
      </c>
      <c r="L34" s="19">
        <f t="shared" si="53"/>
        <v>17526</v>
      </c>
      <c r="M34" s="19">
        <f t="shared" si="53"/>
        <v>28154</v>
      </c>
      <c r="N34" s="19">
        <f t="shared" si="53"/>
        <v>11578</v>
      </c>
      <c r="O34" s="19">
        <f t="shared" si="53"/>
        <v>15767</v>
      </c>
    </row>
    <row r="35" spans="1:15" x14ac:dyDescent="0.25">
      <c r="A35" s="28">
        <f t="shared" si="1"/>
        <v>30</v>
      </c>
      <c r="B35" s="18" t="s">
        <v>56</v>
      </c>
      <c r="C35" s="19">
        <f t="shared" si="50"/>
        <v>47688</v>
      </c>
      <c r="D35" s="19">
        <f>ROUND(+D14*D26,0)</f>
        <v>0</v>
      </c>
      <c r="E35" s="19">
        <f t="shared" ref="E35:O35" si="54">ROUND(+E14*E26,0)</f>
        <v>0</v>
      </c>
      <c r="F35" s="19">
        <f t="shared" si="54"/>
        <v>0</v>
      </c>
      <c r="G35" s="19">
        <f t="shared" si="54"/>
        <v>7214</v>
      </c>
      <c r="H35" s="19">
        <f t="shared" si="54"/>
        <v>9015</v>
      </c>
      <c r="I35" s="19">
        <f t="shared" si="54"/>
        <v>8297</v>
      </c>
      <c r="J35" s="19">
        <f t="shared" si="54"/>
        <v>8328</v>
      </c>
      <c r="K35" s="19">
        <f t="shared" si="54"/>
        <v>8234</v>
      </c>
      <c r="L35" s="19">
        <f t="shared" si="54"/>
        <v>6600</v>
      </c>
      <c r="M35" s="19">
        <f t="shared" si="54"/>
        <v>0</v>
      </c>
      <c r="N35" s="19">
        <f t="shared" si="54"/>
        <v>0</v>
      </c>
      <c r="O35" s="19">
        <f t="shared" si="54"/>
        <v>0</v>
      </c>
    </row>
    <row r="36" spans="1:15" x14ac:dyDescent="0.25">
      <c r="A36" s="28">
        <f t="shared" si="1"/>
        <v>31</v>
      </c>
      <c r="B36" s="18" t="s">
        <v>57</v>
      </c>
      <c r="C36" s="19">
        <f t="shared" si="50"/>
        <v>28433</v>
      </c>
      <c r="D36" s="19">
        <f>ROUND(+D15*D27,0)</f>
        <v>4726</v>
      </c>
      <c r="E36" s="19">
        <f t="shared" ref="E36:O36" si="55">ROUND(+E15*E27,0)</f>
        <v>4351</v>
      </c>
      <c r="F36" s="19">
        <f t="shared" si="55"/>
        <v>4823</v>
      </c>
      <c r="G36" s="19">
        <f t="shared" si="55"/>
        <v>0</v>
      </c>
      <c r="H36" s="19">
        <f t="shared" si="55"/>
        <v>0</v>
      </c>
      <c r="I36" s="19">
        <f t="shared" si="55"/>
        <v>0</v>
      </c>
      <c r="J36" s="19">
        <f t="shared" si="55"/>
        <v>0</v>
      </c>
      <c r="K36" s="19">
        <f t="shared" si="55"/>
        <v>0</v>
      </c>
      <c r="L36" s="19">
        <f t="shared" si="55"/>
        <v>0</v>
      </c>
      <c r="M36" s="19">
        <f t="shared" si="55"/>
        <v>5998</v>
      </c>
      <c r="N36" s="19">
        <f t="shared" si="55"/>
        <v>3927</v>
      </c>
      <c r="O36" s="19">
        <f t="shared" si="55"/>
        <v>4608</v>
      </c>
    </row>
    <row r="37" spans="1:15" x14ac:dyDescent="0.25">
      <c r="A37" s="28">
        <f t="shared" si="1"/>
        <v>32</v>
      </c>
      <c r="B37" s="18" t="s">
        <v>58</v>
      </c>
      <c r="C37" s="19">
        <f t="shared" si="50"/>
        <v>5233</v>
      </c>
      <c r="D37" s="19">
        <f>ROUND(+D18*D28,0)</f>
        <v>480</v>
      </c>
      <c r="E37" s="19">
        <f t="shared" ref="E37:O37" si="56">ROUND(+E18*E28,0)</f>
        <v>494</v>
      </c>
      <c r="F37" s="19">
        <f t="shared" si="56"/>
        <v>488</v>
      </c>
      <c r="G37" s="19">
        <f t="shared" si="56"/>
        <v>471</v>
      </c>
      <c r="H37" s="19">
        <f t="shared" si="56"/>
        <v>399</v>
      </c>
      <c r="I37" s="19">
        <f t="shared" si="56"/>
        <v>442</v>
      </c>
      <c r="J37" s="19">
        <f t="shared" si="56"/>
        <v>407</v>
      </c>
      <c r="K37" s="19">
        <f t="shared" si="56"/>
        <v>406</v>
      </c>
      <c r="L37" s="19">
        <f t="shared" si="56"/>
        <v>371</v>
      </c>
      <c r="M37" s="19">
        <f t="shared" si="56"/>
        <v>437</v>
      </c>
      <c r="N37" s="19">
        <f t="shared" si="56"/>
        <v>383</v>
      </c>
      <c r="O37" s="19">
        <f t="shared" si="56"/>
        <v>455</v>
      </c>
    </row>
    <row r="38" spans="1:15" x14ac:dyDescent="0.25">
      <c r="A38" s="28">
        <f t="shared" si="1"/>
        <v>33</v>
      </c>
      <c r="B38" s="16" t="s">
        <v>63</v>
      </c>
      <c r="C38" s="19">
        <f>SUM(C31:C37)</f>
        <v>570233</v>
      </c>
      <c r="D38" s="19">
        <f t="shared" ref="D38:O38" si="57">SUM(D31:D37)</f>
        <v>42573</v>
      </c>
      <c r="E38" s="19">
        <f t="shared" si="57"/>
        <v>40014</v>
      </c>
      <c r="F38" s="19">
        <f t="shared" si="57"/>
        <v>41342</v>
      </c>
      <c r="G38" s="19">
        <f t="shared" si="57"/>
        <v>50109</v>
      </c>
      <c r="H38" s="19">
        <f t="shared" si="57"/>
        <v>49594</v>
      </c>
      <c r="I38" s="19">
        <f t="shared" si="57"/>
        <v>57807</v>
      </c>
      <c r="J38" s="19">
        <f t="shared" si="57"/>
        <v>54226</v>
      </c>
      <c r="K38" s="19">
        <f t="shared" si="57"/>
        <v>52290</v>
      </c>
      <c r="L38" s="19">
        <f t="shared" si="57"/>
        <v>37982</v>
      </c>
      <c r="M38" s="19">
        <f t="shared" si="57"/>
        <v>62395</v>
      </c>
      <c r="N38" s="19">
        <f t="shared" si="57"/>
        <v>40217</v>
      </c>
      <c r="O38" s="19">
        <f t="shared" si="57"/>
        <v>41684</v>
      </c>
    </row>
    <row r="39" spans="1:15" x14ac:dyDescent="0.25">
      <c r="A39" s="28">
        <f t="shared" si="1"/>
        <v>34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28">
        <f t="shared" si="1"/>
        <v>35</v>
      </c>
      <c r="B40" s="5" t="s">
        <v>20</v>
      </c>
      <c r="C40" s="15">
        <f>SUM(D40:O40)</f>
        <v>25586</v>
      </c>
      <c r="D40" s="15">
        <f>+'Sch 40 Campus Svc'!D58</f>
        <v>150241</v>
      </c>
      <c r="E40" s="15">
        <f>+'Sch 40 Campus Svc'!E58</f>
        <v>-84667</v>
      </c>
      <c r="F40" s="15">
        <f>+'Sch 40 Campus Svc'!F58</f>
        <v>49211</v>
      </c>
      <c r="G40" s="15">
        <f>+'Sch 40 Campus Svc'!G58</f>
        <v>61563</v>
      </c>
      <c r="H40" s="15">
        <f>+'Sch 40 Campus Svc'!H58</f>
        <v>-155005</v>
      </c>
      <c r="I40" s="15">
        <f>+'Sch 40 Campus Svc'!I58</f>
        <v>-25037</v>
      </c>
      <c r="J40" s="15">
        <f>+'Sch 40 Campus Svc'!J58</f>
        <v>44759</v>
      </c>
      <c r="K40" s="15">
        <f>+'Sch 40 Campus Svc'!K58</f>
        <v>-160464</v>
      </c>
      <c r="L40" s="15">
        <f>+'Sch 40 Campus Svc'!L58</f>
        <v>430361</v>
      </c>
      <c r="M40" s="15">
        <f>+'Sch 40 Campus Svc'!M58</f>
        <v>-271901</v>
      </c>
      <c r="N40" s="15">
        <f>+'Sch 40 Campus Svc'!N58</f>
        <v>-23642</v>
      </c>
      <c r="O40" s="15">
        <f>+'Sch 40 Campus Svc'!O58</f>
        <v>10167</v>
      </c>
    </row>
    <row r="41" spans="1:15" x14ac:dyDescent="0.25">
      <c r="A41" s="28">
        <f t="shared" si="1"/>
        <v>36</v>
      </c>
      <c r="B41" s="5" t="s">
        <v>21</v>
      </c>
      <c r="D41" s="21">
        <f t="shared" ref="D41:O41" si="58">+D38/D12</f>
        <v>8.7490752157829837E-2</v>
      </c>
      <c r="E41" s="21">
        <f t="shared" si="58"/>
        <v>8.703993735317149E-2</v>
      </c>
      <c r="F41" s="21">
        <f t="shared" si="58"/>
        <v>8.747778247989843E-2</v>
      </c>
      <c r="G41" s="21">
        <f t="shared" si="58"/>
        <v>9.6446925223751326E-2</v>
      </c>
      <c r="H41" s="21">
        <f t="shared" si="58"/>
        <v>9.8482862703046195E-2</v>
      </c>
      <c r="I41" s="21">
        <f t="shared" si="58"/>
        <v>9.4764020261962914E-2</v>
      </c>
      <c r="J41" s="21">
        <f t="shared" si="58"/>
        <v>9.4447347336886478E-2</v>
      </c>
      <c r="K41" s="21">
        <f t="shared" si="58"/>
        <v>9.4148361541231546E-2</v>
      </c>
      <c r="L41" s="21">
        <f t="shared" si="58"/>
        <v>9.4548441700687047E-2</v>
      </c>
      <c r="M41" s="21">
        <f t="shared" si="58"/>
        <v>8.4267804013035547E-2</v>
      </c>
      <c r="N41" s="21">
        <f t="shared" si="58"/>
        <v>8.8799243979880677E-2</v>
      </c>
      <c r="O41" s="21">
        <f t="shared" si="58"/>
        <v>8.7672546697766959E-2</v>
      </c>
    </row>
    <row r="42" spans="1:15" x14ac:dyDescent="0.25">
      <c r="A42" s="28">
        <f t="shared" si="1"/>
        <v>37</v>
      </c>
      <c r="B42" s="5" t="s">
        <v>22</v>
      </c>
      <c r="C42" s="19">
        <f>SUM(D42:O42)</f>
        <v>4070</v>
      </c>
      <c r="D42" s="15">
        <f>ROUND(+D40*D41,0)</f>
        <v>13145</v>
      </c>
      <c r="E42" s="15">
        <f t="shared" ref="E42:O42" si="59">ROUND(+E40*E41,0)</f>
        <v>-7369</v>
      </c>
      <c r="F42" s="15">
        <f t="shared" si="59"/>
        <v>4305</v>
      </c>
      <c r="G42" s="15">
        <f t="shared" si="59"/>
        <v>5938</v>
      </c>
      <c r="H42" s="15">
        <f t="shared" si="59"/>
        <v>-15265</v>
      </c>
      <c r="I42" s="15">
        <f t="shared" si="59"/>
        <v>-2373</v>
      </c>
      <c r="J42" s="15">
        <f t="shared" si="59"/>
        <v>4227</v>
      </c>
      <c r="K42" s="15">
        <f t="shared" si="59"/>
        <v>-15107</v>
      </c>
      <c r="L42" s="15">
        <f t="shared" si="59"/>
        <v>40690</v>
      </c>
      <c r="M42" s="15">
        <f t="shared" si="59"/>
        <v>-22913</v>
      </c>
      <c r="N42" s="15">
        <f t="shared" si="59"/>
        <v>-2099</v>
      </c>
      <c r="O42" s="15">
        <f t="shared" si="59"/>
        <v>891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8" orientation="landscape" r:id="rId1"/>
  <headerFooter>
    <oddFooter>&amp;L&amp;F&amp;R&amp;A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O36"/>
    </sheetView>
  </sheetViews>
  <sheetFormatPr defaultRowHeight="15" x14ac:dyDescent="0.25"/>
  <cols>
    <col min="1" max="1" width="4.42578125" style="11" bestFit="1" customWidth="1"/>
    <col min="2" max="2" width="42.28515625" style="11" bestFit="1" customWidth="1"/>
    <col min="3" max="3" width="14.140625" style="11" bestFit="1" customWidth="1"/>
    <col min="4" max="15" width="13.140625" style="11" bestFit="1" customWidth="1"/>
    <col min="16" max="16" width="14.140625" style="11" customWidth="1"/>
    <col min="17" max="17" width="12.7109375" style="11" bestFit="1" customWidth="1"/>
    <col min="18" max="18" width="10.5703125" style="11" bestFit="1" customWidth="1"/>
    <col min="19" max="19" width="12.5703125" style="11" customWidth="1"/>
    <col min="20" max="20" width="5.85546875" style="11" bestFit="1" customWidth="1"/>
    <col min="21" max="21" width="4" style="11" bestFit="1" customWidth="1"/>
    <col min="22" max="22" width="18.85546875" style="11" bestFit="1" customWidth="1"/>
    <col min="23" max="23" width="8.5703125" style="11" bestFit="1" customWidth="1"/>
    <col min="24" max="24" width="4.85546875" style="11" bestFit="1" customWidth="1"/>
    <col min="25" max="28" width="7.28515625" style="11" bestFit="1" customWidth="1"/>
    <col min="29" max="29" width="7.7109375" style="11" bestFit="1" customWidth="1"/>
    <col min="30" max="16384" width="9.140625" style="11"/>
  </cols>
  <sheetData>
    <row r="1" spans="1:29" x14ac:dyDescent="0.25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9" x14ac:dyDescent="0.25">
      <c r="A2" s="33" t="s">
        <v>128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9" x14ac:dyDescent="0.25">
      <c r="A3" s="31" t="str">
        <f>+'Proforma kWh'!$A$4</f>
        <v>Schedule 40 Migration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5" spans="1:29" ht="45" x14ac:dyDescent="0.25">
      <c r="A5" s="12" t="s">
        <v>4</v>
      </c>
      <c r="B5" s="12" t="s">
        <v>5</v>
      </c>
      <c r="C5" s="9" t="str">
        <f>+'Sch 24 Sm Sec'!C5</f>
        <v>Total
July 2019 to
June 2020</v>
      </c>
      <c r="D5" s="9">
        <f>+'Sch 24 Sm Sec'!D5</f>
        <v>43647</v>
      </c>
      <c r="E5" s="9">
        <f>+'Sch 24 Sm Sec'!E5</f>
        <v>43678</v>
      </c>
      <c r="F5" s="9">
        <f>+'Sch 24 Sm Sec'!F5</f>
        <v>43709</v>
      </c>
      <c r="G5" s="9">
        <f>+'Sch 24 Sm Sec'!G5</f>
        <v>43739</v>
      </c>
      <c r="H5" s="9">
        <f>+'Sch 24 Sm Sec'!H5</f>
        <v>43770</v>
      </c>
      <c r="I5" s="9">
        <f>+'Sch 24 Sm Sec'!I5</f>
        <v>43800</v>
      </c>
      <c r="J5" s="9">
        <f>+'Sch 24 Sm Sec'!J5</f>
        <v>43831</v>
      </c>
      <c r="K5" s="9">
        <f>+'Sch 24 Sm Sec'!K5</f>
        <v>43862</v>
      </c>
      <c r="L5" s="9">
        <f>+'Sch 24 Sm Sec'!L5</f>
        <v>43891</v>
      </c>
      <c r="M5" s="9">
        <f>+'Sch 24 Sm Sec'!M5</f>
        <v>43922</v>
      </c>
      <c r="N5" s="9">
        <f>+'Sch 24 Sm Sec'!N5</f>
        <v>43952</v>
      </c>
      <c r="O5" s="9">
        <f>+'Sch 24 Sm Sec'!O5</f>
        <v>43983</v>
      </c>
      <c r="T5" s="13" t="s">
        <v>6</v>
      </c>
      <c r="U5" s="13" t="s">
        <v>7</v>
      </c>
      <c r="V5" s="13" t="s">
        <v>8</v>
      </c>
      <c r="W5" s="13" t="s">
        <v>9</v>
      </c>
      <c r="X5" s="13" t="s">
        <v>10</v>
      </c>
      <c r="Y5" s="13" t="s">
        <v>11</v>
      </c>
      <c r="Z5" s="13" t="s">
        <v>12</v>
      </c>
      <c r="AA5" s="13" t="s">
        <v>13</v>
      </c>
      <c r="AB5" s="13" t="s">
        <v>14</v>
      </c>
      <c r="AC5" s="13" t="s">
        <v>74</v>
      </c>
    </row>
    <row r="6" spans="1:29" x14ac:dyDescent="0.25">
      <c r="A6" s="14">
        <v>1</v>
      </c>
      <c r="B6" s="16" t="s">
        <v>40</v>
      </c>
      <c r="C6" s="15">
        <f t="shared" ref="C6" si="0">SUM(D6:O6)</f>
        <v>254</v>
      </c>
      <c r="D6" s="15">
        <f>+'[1]Sch 40 Migration (C)'!D19</f>
        <v>12</v>
      </c>
      <c r="E6" s="15">
        <f>+'[1]Sch 40 Migration (C)'!E19</f>
        <v>10</v>
      </c>
      <c r="F6" s="15">
        <f>+'[1]Sch 40 Migration (C)'!F19</f>
        <v>9</v>
      </c>
      <c r="G6" s="15">
        <f>+'[1]Sch 40 Migration (C)'!G19</f>
        <v>11</v>
      </c>
      <c r="H6" s="15">
        <f>+'[1]Sch 40 Migration (C)'!H19</f>
        <v>14</v>
      </c>
      <c r="I6" s="15">
        <f>+'[1]Sch 40 Migration (C)'!I19</f>
        <v>11</v>
      </c>
      <c r="J6" s="15">
        <f>+'[1]Sch 40 Migration (C)'!J19</f>
        <v>8</v>
      </c>
      <c r="K6" s="15">
        <f>+'[1]Sch 40 Migration (C)'!K19</f>
        <v>7</v>
      </c>
      <c r="L6" s="15">
        <f>+'[1]Sch 40 Migration (C)'!L19</f>
        <v>14</v>
      </c>
      <c r="M6" s="15">
        <f>+'[1]Sch 40 Migration (C)'!M19</f>
        <v>15</v>
      </c>
      <c r="N6" s="15">
        <f>+'[1]Sch 40 Migration (C)'!N19</f>
        <v>11</v>
      </c>
      <c r="O6" s="15">
        <f>+'[1]Sch 40 Migration (C)'!O19</f>
        <v>132</v>
      </c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5">
      <c r="A7" s="14">
        <f t="shared" ref="A7:A36" si="1">+A6+1</f>
        <v>2</v>
      </c>
      <c r="B7" s="11" t="s">
        <v>15</v>
      </c>
      <c r="C7" s="15">
        <f>SUM(C6:C6)</f>
        <v>254</v>
      </c>
      <c r="D7" s="15">
        <f>SUM(D6:D6)</f>
        <v>12</v>
      </c>
      <c r="E7" s="15">
        <f t="shared" ref="E7:O7" si="2">SUM(E6:E6)</f>
        <v>10</v>
      </c>
      <c r="F7" s="15">
        <f t="shared" si="2"/>
        <v>9</v>
      </c>
      <c r="G7" s="15">
        <f t="shared" si="2"/>
        <v>11</v>
      </c>
      <c r="H7" s="15">
        <f t="shared" si="2"/>
        <v>14</v>
      </c>
      <c r="I7" s="15">
        <f t="shared" si="2"/>
        <v>11</v>
      </c>
      <c r="J7" s="15">
        <f t="shared" si="2"/>
        <v>8</v>
      </c>
      <c r="K7" s="15">
        <f t="shared" si="2"/>
        <v>7</v>
      </c>
      <c r="L7" s="15">
        <f t="shared" si="2"/>
        <v>14</v>
      </c>
      <c r="M7" s="15">
        <f t="shared" si="2"/>
        <v>15</v>
      </c>
      <c r="N7" s="15">
        <f t="shared" si="2"/>
        <v>11</v>
      </c>
      <c r="O7" s="15">
        <f t="shared" si="2"/>
        <v>132</v>
      </c>
    </row>
    <row r="8" spans="1:29" x14ac:dyDescent="0.25">
      <c r="A8" s="14">
        <f t="shared" si="1"/>
        <v>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29" x14ac:dyDescent="0.25">
      <c r="A9" s="14">
        <f t="shared" si="1"/>
        <v>4</v>
      </c>
      <c r="B9" s="16" t="s">
        <v>64</v>
      </c>
      <c r="C9" s="15">
        <f t="shared" ref="C9" si="3">SUM(D9:O9)</f>
        <v>41808960</v>
      </c>
      <c r="D9" s="15">
        <f>+'[1]Sch 40 Migration (C)'!C21</f>
        <v>3382380</v>
      </c>
      <c r="E9" s="15">
        <f>+'[1]Sch 40 Migration (C)'!D21</f>
        <v>4257420</v>
      </c>
      <c r="F9" s="15">
        <f>+'[1]Sch 40 Migration (C)'!E21</f>
        <v>3503100</v>
      </c>
      <c r="G9" s="15">
        <f>+'[1]Sch 40 Migration (C)'!F21</f>
        <v>2975880</v>
      </c>
      <c r="H9" s="15">
        <f>+'[1]Sch 40 Migration (C)'!G21</f>
        <v>3468180</v>
      </c>
      <c r="I9" s="15">
        <f>+'[1]Sch 40 Migration (C)'!H21</f>
        <v>4916640</v>
      </c>
      <c r="J9" s="15">
        <f>+'[1]Sch 40 Migration (C)'!I21</f>
        <v>3603960</v>
      </c>
      <c r="K9" s="15">
        <f>+'[1]Sch 40 Migration (C)'!J21</f>
        <v>2397480</v>
      </c>
      <c r="L9" s="15">
        <f>+'[1]Sch 40 Migration (C)'!K21</f>
        <v>2246700</v>
      </c>
      <c r="M9" s="15">
        <f>+'[1]Sch 40 Migration (C)'!L21</f>
        <v>4393980</v>
      </c>
      <c r="N9" s="15">
        <f>+'[1]Sch 40 Migration (C)'!M21</f>
        <v>3565799</v>
      </c>
      <c r="O9" s="15">
        <f>+'[1]Sch 40 Migration (C)'!N21</f>
        <v>3097441</v>
      </c>
    </row>
    <row r="10" spans="1:29" x14ac:dyDescent="0.25">
      <c r="A10" s="14">
        <f t="shared" si="1"/>
        <v>5</v>
      </c>
      <c r="B10" s="16" t="s">
        <v>65</v>
      </c>
      <c r="C10" s="15">
        <f>SUM(C9:C9)</f>
        <v>41808960</v>
      </c>
      <c r="D10" s="15">
        <f>SUM(D9:D9)</f>
        <v>3382380</v>
      </c>
      <c r="E10" s="15">
        <f t="shared" ref="E10:O10" si="4">SUM(E9:E9)</f>
        <v>4257420</v>
      </c>
      <c r="F10" s="15">
        <f t="shared" si="4"/>
        <v>3503100</v>
      </c>
      <c r="G10" s="15">
        <f t="shared" si="4"/>
        <v>2975880</v>
      </c>
      <c r="H10" s="15">
        <f t="shared" si="4"/>
        <v>3468180</v>
      </c>
      <c r="I10" s="15">
        <f t="shared" si="4"/>
        <v>4916640</v>
      </c>
      <c r="J10" s="15">
        <f t="shared" si="4"/>
        <v>3603960</v>
      </c>
      <c r="K10" s="15">
        <f t="shared" si="4"/>
        <v>2397480</v>
      </c>
      <c r="L10" s="15">
        <f t="shared" si="4"/>
        <v>2246700</v>
      </c>
      <c r="M10" s="15">
        <f t="shared" si="4"/>
        <v>4393980</v>
      </c>
      <c r="N10" s="15">
        <f t="shared" si="4"/>
        <v>3565799</v>
      </c>
      <c r="O10" s="15">
        <f t="shared" si="4"/>
        <v>3097441</v>
      </c>
    </row>
    <row r="11" spans="1:29" x14ac:dyDescent="0.25">
      <c r="A11" s="14">
        <f t="shared" si="1"/>
        <v>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29" x14ac:dyDescent="0.25">
      <c r="A12" s="14">
        <f t="shared" si="1"/>
        <v>7</v>
      </c>
      <c r="B12" s="16" t="s">
        <v>80</v>
      </c>
      <c r="C12" s="15">
        <f t="shared" ref="C12" si="5">SUM(D12:O12)</f>
        <v>36591</v>
      </c>
      <c r="D12" s="15">
        <v>0</v>
      </c>
      <c r="E12" s="15">
        <v>0</v>
      </c>
      <c r="F12" s="15">
        <v>0</v>
      </c>
      <c r="G12" s="15">
        <f>+'[1]Sch 40 Migration (C)'!F20</f>
        <v>5731</v>
      </c>
      <c r="H12" s="15">
        <f>+'[1]Sch 40 Migration (C)'!G20</f>
        <v>6651</v>
      </c>
      <c r="I12" s="15">
        <f>+'[1]Sch 40 Migration (C)'!H20</f>
        <v>8938</v>
      </c>
      <c r="J12" s="15">
        <f>+'[1]Sch 40 Migration (C)'!I20</f>
        <v>6629</v>
      </c>
      <c r="K12" s="15">
        <f>+'[1]Sch 40 Migration (C)'!J20</f>
        <v>4514</v>
      </c>
      <c r="L12" s="15">
        <f>+'[1]Sch 40 Migration (C)'!K20</f>
        <v>4128</v>
      </c>
      <c r="M12" s="15">
        <v>0</v>
      </c>
      <c r="N12" s="15">
        <v>0</v>
      </c>
      <c r="O12" s="15">
        <v>0</v>
      </c>
    </row>
    <row r="13" spans="1:29" x14ac:dyDescent="0.25">
      <c r="A13" s="14">
        <f t="shared" si="1"/>
        <v>8</v>
      </c>
      <c r="B13" s="16" t="s">
        <v>66</v>
      </c>
      <c r="C13" s="15">
        <f t="shared" ref="C13" si="6">SUM(D13:O13)</f>
        <v>46402</v>
      </c>
      <c r="D13" s="15">
        <f>+'[1]Sch 40 Migration (C)'!C20</f>
        <v>7187</v>
      </c>
      <c r="E13" s="15">
        <f>+'[1]Sch 40 Migration (C)'!D20</f>
        <v>8991</v>
      </c>
      <c r="F13" s="15">
        <f>+'[1]Sch 40 Migration (C)'!E20</f>
        <v>7038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f>+'[1]Sch 40 Migration (C)'!L20</f>
        <v>8562</v>
      </c>
      <c r="N13" s="15">
        <f>+'[1]Sch 40 Migration (C)'!M20</f>
        <v>7928</v>
      </c>
      <c r="O13" s="15">
        <f>+'[1]Sch 40 Migration (C)'!N20</f>
        <v>6696</v>
      </c>
    </row>
    <row r="14" spans="1:29" x14ac:dyDescent="0.25">
      <c r="A14" s="28">
        <f t="shared" si="1"/>
        <v>9</v>
      </c>
      <c r="B14" s="16" t="s">
        <v>44</v>
      </c>
      <c r="C14" s="15">
        <f t="shared" ref="C14:C16" si="7">SUM(D14:O14)</f>
        <v>82993</v>
      </c>
      <c r="D14" s="15">
        <f>SUM(D12:D13)</f>
        <v>7187</v>
      </c>
      <c r="E14" s="15">
        <f t="shared" ref="E14:O14" si="8">SUM(E12:E13)</f>
        <v>8991</v>
      </c>
      <c r="F14" s="15">
        <f t="shared" si="8"/>
        <v>7038</v>
      </c>
      <c r="G14" s="15">
        <f t="shared" si="8"/>
        <v>5731</v>
      </c>
      <c r="H14" s="15">
        <f t="shared" si="8"/>
        <v>6651</v>
      </c>
      <c r="I14" s="15">
        <f t="shared" si="8"/>
        <v>8938</v>
      </c>
      <c r="J14" s="15">
        <f t="shared" si="8"/>
        <v>6629</v>
      </c>
      <c r="K14" s="15">
        <f t="shared" si="8"/>
        <v>4514</v>
      </c>
      <c r="L14" s="15">
        <f t="shared" si="8"/>
        <v>4128</v>
      </c>
      <c r="M14" s="15">
        <f t="shared" si="8"/>
        <v>8562</v>
      </c>
      <c r="N14" s="15">
        <f t="shared" si="8"/>
        <v>7928</v>
      </c>
      <c r="O14" s="15">
        <f t="shared" si="8"/>
        <v>6696</v>
      </c>
    </row>
    <row r="15" spans="1:29" x14ac:dyDescent="0.25">
      <c r="A15" s="28">
        <f t="shared" si="1"/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9" x14ac:dyDescent="0.25">
      <c r="A16" s="28">
        <f t="shared" si="1"/>
        <v>11</v>
      </c>
      <c r="B16" s="16" t="s">
        <v>45</v>
      </c>
      <c r="C16" s="15">
        <f t="shared" si="7"/>
        <v>14790727</v>
      </c>
      <c r="D16" s="15">
        <f>+'[1]Sch 40 Migration (C)'!C22</f>
        <v>1333802</v>
      </c>
      <c r="E16" s="15">
        <f>+'[1]Sch 40 Migration (C)'!D22</f>
        <v>1820507</v>
      </c>
      <c r="F16" s="15">
        <f>+'[1]Sch 40 Migration (C)'!E22</f>
        <v>1480086</v>
      </c>
      <c r="G16" s="15">
        <f>+'[1]Sch 40 Migration (C)'!F22</f>
        <v>1163110</v>
      </c>
      <c r="H16" s="15">
        <f>+'[1]Sch 40 Migration (C)'!G22</f>
        <v>1219033</v>
      </c>
      <c r="I16" s="15">
        <f>+'[1]Sch 40 Migration (C)'!H22</f>
        <v>1436333</v>
      </c>
      <c r="J16" s="15">
        <f>+'[1]Sch 40 Migration (C)'!I22</f>
        <v>1082936</v>
      </c>
      <c r="K16" s="15">
        <f>+'[1]Sch 40 Migration (C)'!J22</f>
        <v>737468</v>
      </c>
      <c r="L16" s="15">
        <f>+'[1]Sch 40 Migration (C)'!K22</f>
        <v>810007</v>
      </c>
      <c r="M16" s="15">
        <f>+'[1]Sch 40 Migration (C)'!L22</f>
        <v>1366095</v>
      </c>
      <c r="N16" s="15">
        <f>+'[1]Sch 40 Migration (C)'!M22</f>
        <v>1110349</v>
      </c>
      <c r="O16" s="15">
        <f>+'[1]Sch 40 Migration (C)'!N22</f>
        <v>1231001</v>
      </c>
    </row>
    <row r="17" spans="1:17" x14ac:dyDescent="0.25">
      <c r="A17" s="28">
        <f t="shared" si="1"/>
        <v>12</v>
      </c>
      <c r="B17" s="16" t="s">
        <v>46</v>
      </c>
      <c r="C17" s="15">
        <f>SUM(C16:C16)</f>
        <v>14790727</v>
      </c>
      <c r="D17" s="15">
        <f>SUM(D16:D16)</f>
        <v>1333802</v>
      </c>
      <c r="E17" s="15">
        <f t="shared" ref="E17:O17" si="9">SUM(E16:E16)</f>
        <v>1820507</v>
      </c>
      <c r="F17" s="15">
        <f t="shared" si="9"/>
        <v>1480086</v>
      </c>
      <c r="G17" s="15">
        <f t="shared" si="9"/>
        <v>1163110</v>
      </c>
      <c r="H17" s="15">
        <f t="shared" si="9"/>
        <v>1219033</v>
      </c>
      <c r="I17" s="15">
        <f t="shared" si="9"/>
        <v>1436333</v>
      </c>
      <c r="J17" s="15">
        <f t="shared" si="9"/>
        <v>1082936</v>
      </c>
      <c r="K17" s="15">
        <f t="shared" si="9"/>
        <v>737468</v>
      </c>
      <c r="L17" s="15">
        <f t="shared" si="9"/>
        <v>810007</v>
      </c>
      <c r="M17" s="15">
        <f t="shared" si="9"/>
        <v>1366095</v>
      </c>
      <c r="N17" s="15">
        <f t="shared" si="9"/>
        <v>1110349</v>
      </c>
      <c r="O17" s="15">
        <f t="shared" si="9"/>
        <v>1231001</v>
      </c>
    </row>
    <row r="18" spans="1:17" x14ac:dyDescent="0.25">
      <c r="A18" s="28">
        <f t="shared" si="1"/>
        <v>13</v>
      </c>
      <c r="C18" s="15"/>
      <c r="D18" s="15"/>
    </row>
    <row r="19" spans="1:17" x14ac:dyDescent="0.25">
      <c r="A19" s="28">
        <f t="shared" si="1"/>
        <v>14</v>
      </c>
      <c r="B19" s="29" t="str">
        <f>+'[1]Sch 7 Res'!$B$20</f>
        <v>Rates Effective 10-15-2020</v>
      </c>
      <c r="C19" s="15"/>
      <c r="D19" s="15"/>
    </row>
    <row r="20" spans="1:17" x14ac:dyDescent="0.25">
      <c r="A20" s="28">
        <f t="shared" si="1"/>
        <v>15</v>
      </c>
      <c r="B20" s="18" t="s">
        <v>47</v>
      </c>
      <c r="D20" s="21">
        <f>+'[1]Sch 26 Large Sec'!D20</f>
        <v>110.51</v>
      </c>
      <c r="E20" s="21">
        <f t="shared" ref="E20:E24" si="10">+D20</f>
        <v>110.51</v>
      </c>
      <c r="F20" s="21">
        <f t="shared" ref="F20:O24" si="11">+E20</f>
        <v>110.51</v>
      </c>
      <c r="G20" s="21">
        <f t="shared" si="11"/>
        <v>110.51</v>
      </c>
      <c r="H20" s="21">
        <f t="shared" si="11"/>
        <v>110.51</v>
      </c>
      <c r="I20" s="21">
        <f t="shared" si="11"/>
        <v>110.51</v>
      </c>
      <c r="J20" s="21">
        <f t="shared" si="11"/>
        <v>110.51</v>
      </c>
      <c r="K20" s="21">
        <f t="shared" si="11"/>
        <v>110.51</v>
      </c>
      <c r="L20" s="21">
        <f t="shared" si="11"/>
        <v>110.51</v>
      </c>
      <c r="M20" s="21">
        <f t="shared" si="11"/>
        <v>110.51</v>
      </c>
      <c r="N20" s="21">
        <f t="shared" si="11"/>
        <v>110.51</v>
      </c>
      <c r="O20" s="21">
        <f t="shared" si="11"/>
        <v>110.51</v>
      </c>
    </row>
    <row r="21" spans="1:17" x14ac:dyDescent="0.25">
      <c r="A21" s="28">
        <f t="shared" si="1"/>
        <v>16</v>
      </c>
      <c r="B21" s="18" t="s">
        <v>67</v>
      </c>
      <c r="D21" s="21">
        <f>+'[1]Sch 26 Large Sec'!D21</f>
        <v>5.9748999999999997E-2</v>
      </c>
      <c r="E21" s="21">
        <f t="shared" si="10"/>
        <v>5.9748999999999997E-2</v>
      </c>
      <c r="F21" s="21">
        <f t="shared" si="11"/>
        <v>5.9748999999999997E-2</v>
      </c>
      <c r="G21" s="21">
        <f t="shared" si="11"/>
        <v>5.9748999999999997E-2</v>
      </c>
      <c r="H21" s="21">
        <f t="shared" si="11"/>
        <v>5.9748999999999997E-2</v>
      </c>
      <c r="I21" s="21">
        <f t="shared" si="11"/>
        <v>5.9748999999999997E-2</v>
      </c>
      <c r="J21" s="21">
        <f t="shared" si="11"/>
        <v>5.9748999999999997E-2</v>
      </c>
      <c r="K21" s="21">
        <f t="shared" si="11"/>
        <v>5.9748999999999997E-2</v>
      </c>
      <c r="L21" s="21">
        <f t="shared" si="11"/>
        <v>5.9748999999999997E-2</v>
      </c>
      <c r="M21" s="21">
        <f t="shared" si="11"/>
        <v>5.9748999999999997E-2</v>
      </c>
      <c r="N21" s="21">
        <f t="shared" si="11"/>
        <v>5.9748999999999997E-2</v>
      </c>
      <c r="O21" s="21">
        <f t="shared" si="11"/>
        <v>5.9748999999999997E-2</v>
      </c>
    </row>
    <row r="22" spans="1:17" x14ac:dyDescent="0.25">
      <c r="A22" s="28">
        <f t="shared" si="1"/>
        <v>17</v>
      </c>
      <c r="B22" s="18" t="s">
        <v>79</v>
      </c>
      <c r="D22" s="21">
        <f>+'[1]Sch 26 Large Sec'!D22</f>
        <v>12.45</v>
      </c>
      <c r="E22" s="21">
        <f t="shared" ref="E22" si="12">+D22</f>
        <v>12.45</v>
      </c>
      <c r="F22" s="21">
        <f t="shared" ref="F22" si="13">+E22</f>
        <v>12.45</v>
      </c>
      <c r="G22" s="21">
        <f t="shared" ref="G22" si="14">+F22</f>
        <v>12.45</v>
      </c>
      <c r="H22" s="21">
        <f t="shared" ref="H22" si="15">+G22</f>
        <v>12.45</v>
      </c>
      <c r="I22" s="21">
        <f t="shared" ref="I22" si="16">+H22</f>
        <v>12.45</v>
      </c>
      <c r="J22" s="21">
        <f t="shared" ref="J22" si="17">+I22</f>
        <v>12.45</v>
      </c>
      <c r="K22" s="21">
        <f t="shared" ref="K22" si="18">+J22</f>
        <v>12.45</v>
      </c>
      <c r="L22" s="21">
        <f t="shared" ref="L22" si="19">+K22</f>
        <v>12.45</v>
      </c>
      <c r="M22" s="21">
        <f t="shared" ref="M22" si="20">+L22</f>
        <v>12.45</v>
      </c>
      <c r="N22" s="21">
        <f t="shared" ref="N22" si="21">+M22</f>
        <v>12.45</v>
      </c>
      <c r="O22" s="21">
        <f t="shared" ref="O22" si="22">+N22</f>
        <v>12.45</v>
      </c>
    </row>
    <row r="23" spans="1:17" x14ac:dyDescent="0.25">
      <c r="A23" s="28">
        <f t="shared" si="1"/>
        <v>18</v>
      </c>
      <c r="B23" s="18" t="s">
        <v>68</v>
      </c>
      <c r="D23" s="21">
        <f>+'[1]Sch 26 Large Sec'!D23</f>
        <v>8.3000000000000007</v>
      </c>
      <c r="E23" s="21">
        <f t="shared" si="10"/>
        <v>8.3000000000000007</v>
      </c>
      <c r="F23" s="21">
        <f t="shared" si="11"/>
        <v>8.3000000000000007</v>
      </c>
      <c r="G23" s="21">
        <f t="shared" si="11"/>
        <v>8.3000000000000007</v>
      </c>
      <c r="H23" s="21">
        <f t="shared" si="11"/>
        <v>8.3000000000000007</v>
      </c>
      <c r="I23" s="21">
        <f t="shared" si="11"/>
        <v>8.3000000000000007</v>
      </c>
      <c r="J23" s="21">
        <f t="shared" si="11"/>
        <v>8.3000000000000007</v>
      </c>
      <c r="K23" s="21">
        <f t="shared" si="11"/>
        <v>8.3000000000000007</v>
      </c>
      <c r="L23" s="21">
        <f t="shared" si="11"/>
        <v>8.3000000000000007</v>
      </c>
      <c r="M23" s="21">
        <f t="shared" si="11"/>
        <v>8.3000000000000007</v>
      </c>
      <c r="N23" s="21">
        <f t="shared" si="11"/>
        <v>8.3000000000000007</v>
      </c>
      <c r="O23" s="21">
        <f t="shared" si="11"/>
        <v>8.3000000000000007</v>
      </c>
    </row>
    <row r="24" spans="1:17" x14ac:dyDescent="0.25">
      <c r="A24" s="28">
        <f t="shared" si="1"/>
        <v>19</v>
      </c>
      <c r="B24" s="18" t="s">
        <v>51</v>
      </c>
      <c r="D24" s="21">
        <f>+'[1]Sch 26 Large Sec'!D24</f>
        <v>1.32E-3</v>
      </c>
      <c r="E24" s="21">
        <f t="shared" si="10"/>
        <v>1.32E-3</v>
      </c>
      <c r="F24" s="21">
        <f t="shared" si="11"/>
        <v>1.32E-3</v>
      </c>
      <c r="G24" s="21">
        <f t="shared" si="11"/>
        <v>1.32E-3</v>
      </c>
      <c r="H24" s="21">
        <f t="shared" si="11"/>
        <v>1.32E-3</v>
      </c>
      <c r="I24" s="21">
        <f t="shared" si="11"/>
        <v>1.32E-3</v>
      </c>
      <c r="J24" s="21">
        <f t="shared" si="11"/>
        <v>1.32E-3</v>
      </c>
      <c r="K24" s="21">
        <f t="shared" si="11"/>
        <v>1.32E-3</v>
      </c>
      <c r="L24" s="21">
        <f t="shared" si="11"/>
        <v>1.32E-3</v>
      </c>
      <c r="M24" s="21">
        <f t="shared" si="11"/>
        <v>1.32E-3</v>
      </c>
      <c r="N24" s="21">
        <f t="shared" si="11"/>
        <v>1.32E-3</v>
      </c>
      <c r="O24" s="21">
        <f t="shared" si="11"/>
        <v>1.32E-3</v>
      </c>
    </row>
    <row r="25" spans="1:17" x14ac:dyDescent="0.25">
      <c r="A25" s="28">
        <f t="shared" si="1"/>
        <v>20</v>
      </c>
    </row>
    <row r="26" spans="1:17" x14ac:dyDescent="0.25">
      <c r="A26" s="28">
        <f t="shared" si="1"/>
        <v>21</v>
      </c>
      <c r="B26" s="20" t="s">
        <v>17</v>
      </c>
    </row>
    <row r="27" spans="1:17" x14ac:dyDescent="0.25">
      <c r="A27" s="28">
        <f t="shared" si="1"/>
        <v>22</v>
      </c>
      <c r="B27" s="18" t="s">
        <v>69</v>
      </c>
      <c r="C27" s="19">
        <f>SUM(D27:O27)</f>
        <v>28071</v>
      </c>
      <c r="D27" s="19">
        <f>ROUND(D6*D20,0)</f>
        <v>1326</v>
      </c>
      <c r="E27" s="19">
        <f t="shared" ref="E27:O27" si="23">ROUND(E6*E20,0)</f>
        <v>1105</v>
      </c>
      <c r="F27" s="19">
        <f t="shared" si="23"/>
        <v>995</v>
      </c>
      <c r="G27" s="19">
        <f t="shared" si="23"/>
        <v>1216</v>
      </c>
      <c r="H27" s="19">
        <f t="shared" si="23"/>
        <v>1547</v>
      </c>
      <c r="I27" s="19">
        <f t="shared" si="23"/>
        <v>1216</v>
      </c>
      <c r="J27" s="19">
        <f t="shared" si="23"/>
        <v>884</v>
      </c>
      <c r="K27" s="19">
        <f t="shared" si="23"/>
        <v>774</v>
      </c>
      <c r="L27" s="19">
        <f t="shared" si="23"/>
        <v>1547</v>
      </c>
      <c r="M27" s="19">
        <f t="shared" si="23"/>
        <v>1658</v>
      </c>
      <c r="N27" s="19">
        <f t="shared" si="23"/>
        <v>1216</v>
      </c>
      <c r="O27" s="19">
        <f t="shared" si="23"/>
        <v>14587</v>
      </c>
      <c r="Q27" s="19"/>
    </row>
    <row r="28" spans="1:17" x14ac:dyDescent="0.25">
      <c r="A28" s="28">
        <f t="shared" si="1"/>
        <v>23</v>
      </c>
      <c r="B28" s="18" t="s">
        <v>70</v>
      </c>
      <c r="C28" s="19">
        <f t="shared" ref="C28:C31" si="24">SUM(D28:O28)</f>
        <v>2498044</v>
      </c>
      <c r="D28" s="19">
        <f>ROUND(+D9*D21,0)</f>
        <v>202094</v>
      </c>
      <c r="E28" s="19">
        <f t="shared" ref="E28:O28" si="25">ROUND(+E9*E21,0)</f>
        <v>254377</v>
      </c>
      <c r="F28" s="19">
        <f t="shared" si="25"/>
        <v>209307</v>
      </c>
      <c r="G28" s="19">
        <f t="shared" si="25"/>
        <v>177806</v>
      </c>
      <c r="H28" s="19">
        <f t="shared" si="25"/>
        <v>207220</v>
      </c>
      <c r="I28" s="19">
        <f t="shared" si="25"/>
        <v>293764</v>
      </c>
      <c r="J28" s="19">
        <f t="shared" si="25"/>
        <v>215333</v>
      </c>
      <c r="K28" s="19">
        <f t="shared" si="25"/>
        <v>143247</v>
      </c>
      <c r="L28" s="19">
        <f t="shared" si="25"/>
        <v>134238</v>
      </c>
      <c r="M28" s="19">
        <f t="shared" si="25"/>
        <v>262536</v>
      </c>
      <c r="N28" s="19">
        <f t="shared" si="25"/>
        <v>213053</v>
      </c>
      <c r="O28" s="19">
        <f t="shared" si="25"/>
        <v>185069</v>
      </c>
    </row>
    <row r="29" spans="1:17" x14ac:dyDescent="0.25">
      <c r="A29" s="28">
        <f t="shared" si="1"/>
        <v>24</v>
      </c>
      <c r="B29" s="18" t="s">
        <v>71</v>
      </c>
      <c r="C29" s="19">
        <f t="shared" si="24"/>
        <v>455558</v>
      </c>
      <c r="D29" s="19">
        <f>ROUND(D12*D22,0)</f>
        <v>0</v>
      </c>
      <c r="E29" s="19">
        <f t="shared" ref="E29:O29" si="26">ROUND(E12*E22,0)</f>
        <v>0</v>
      </c>
      <c r="F29" s="19">
        <f t="shared" si="26"/>
        <v>0</v>
      </c>
      <c r="G29" s="19">
        <f t="shared" si="26"/>
        <v>71351</v>
      </c>
      <c r="H29" s="19">
        <f t="shared" si="26"/>
        <v>82805</v>
      </c>
      <c r="I29" s="19">
        <f t="shared" si="26"/>
        <v>111278</v>
      </c>
      <c r="J29" s="19">
        <f t="shared" si="26"/>
        <v>82531</v>
      </c>
      <c r="K29" s="19">
        <f t="shared" si="26"/>
        <v>56199</v>
      </c>
      <c r="L29" s="19">
        <f t="shared" si="26"/>
        <v>51394</v>
      </c>
      <c r="M29" s="19">
        <f t="shared" si="26"/>
        <v>0</v>
      </c>
      <c r="N29" s="19">
        <f t="shared" si="26"/>
        <v>0</v>
      </c>
      <c r="O29" s="19">
        <f t="shared" si="26"/>
        <v>0</v>
      </c>
    </row>
    <row r="30" spans="1:17" x14ac:dyDescent="0.25">
      <c r="A30" s="28">
        <f t="shared" si="1"/>
        <v>25</v>
      </c>
      <c r="B30" s="18" t="s">
        <v>72</v>
      </c>
      <c r="C30" s="19">
        <f t="shared" si="24"/>
        <v>385136</v>
      </c>
      <c r="D30" s="19">
        <f>ROUND(+D13*D23,0)</f>
        <v>59652</v>
      </c>
      <c r="E30" s="19">
        <f t="shared" ref="E30:O30" si="27">ROUND(+E13*E23,0)</f>
        <v>74625</v>
      </c>
      <c r="F30" s="19">
        <f t="shared" si="27"/>
        <v>58415</v>
      </c>
      <c r="G30" s="19">
        <f t="shared" si="27"/>
        <v>0</v>
      </c>
      <c r="H30" s="19">
        <f t="shared" si="27"/>
        <v>0</v>
      </c>
      <c r="I30" s="19">
        <f t="shared" si="27"/>
        <v>0</v>
      </c>
      <c r="J30" s="19">
        <f t="shared" si="27"/>
        <v>0</v>
      </c>
      <c r="K30" s="19">
        <f t="shared" si="27"/>
        <v>0</v>
      </c>
      <c r="L30" s="19">
        <f t="shared" si="27"/>
        <v>0</v>
      </c>
      <c r="M30" s="19">
        <f t="shared" si="27"/>
        <v>71065</v>
      </c>
      <c r="N30" s="19">
        <f t="shared" si="27"/>
        <v>65802</v>
      </c>
      <c r="O30" s="19">
        <f t="shared" si="27"/>
        <v>55577</v>
      </c>
    </row>
    <row r="31" spans="1:17" x14ac:dyDescent="0.25">
      <c r="A31" s="28">
        <f t="shared" si="1"/>
        <v>26</v>
      </c>
      <c r="B31" s="18" t="s">
        <v>58</v>
      </c>
      <c r="C31" s="19">
        <f t="shared" si="24"/>
        <v>19523</v>
      </c>
      <c r="D31" s="19">
        <f>ROUND(D16*D24,0)</f>
        <v>1761</v>
      </c>
      <c r="E31" s="19">
        <f t="shared" ref="E31:O31" si="28">ROUND(E16*E24,0)</f>
        <v>2403</v>
      </c>
      <c r="F31" s="19">
        <f t="shared" si="28"/>
        <v>1954</v>
      </c>
      <c r="G31" s="19">
        <f t="shared" si="28"/>
        <v>1535</v>
      </c>
      <c r="H31" s="19">
        <f t="shared" si="28"/>
        <v>1609</v>
      </c>
      <c r="I31" s="19">
        <f t="shared" si="28"/>
        <v>1896</v>
      </c>
      <c r="J31" s="19">
        <f t="shared" si="28"/>
        <v>1429</v>
      </c>
      <c r="K31" s="19">
        <f t="shared" si="28"/>
        <v>973</v>
      </c>
      <c r="L31" s="19">
        <f t="shared" si="28"/>
        <v>1069</v>
      </c>
      <c r="M31" s="19">
        <f t="shared" si="28"/>
        <v>1803</v>
      </c>
      <c r="N31" s="19">
        <f t="shared" si="28"/>
        <v>1466</v>
      </c>
      <c r="O31" s="19">
        <f t="shared" si="28"/>
        <v>1625</v>
      </c>
    </row>
    <row r="32" spans="1:17" x14ac:dyDescent="0.25">
      <c r="A32" s="28">
        <f t="shared" si="1"/>
        <v>27</v>
      </c>
      <c r="B32" s="16" t="s">
        <v>73</v>
      </c>
      <c r="C32" s="19">
        <f>SUM(C27:C31)</f>
        <v>3386332</v>
      </c>
      <c r="D32" s="19">
        <f>SUM(D27:D31)</f>
        <v>264833</v>
      </c>
      <c r="E32" s="19">
        <f t="shared" ref="E32:O32" si="29">SUM(E27:E31)</f>
        <v>332510</v>
      </c>
      <c r="F32" s="19">
        <f t="shared" si="29"/>
        <v>270671</v>
      </c>
      <c r="G32" s="19">
        <f t="shared" si="29"/>
        <v>251908</v>
      </c>
      <c r="H32" s="19">
        <f t="shared" si="29"/>
        <v>293181</v>
      </c>
      <c r="I32" s="19">
        <f t="shared" si="29"/>
        <v>408154</v>
      </c>
      <c r="J32" s="19">
        <f t="shared" si="29"/>
        <v>300177</v>
      </c>
      <c r="K32" s="19">
        <f t="shared" si="29"/>
        <v>201193</v>
      </c>
      <c r="L32" s="19">
        <f t="shared" si="29"/>
        <v>188248</v>
      </c>
      <c r="M32" s="19">
        <f t="shared" si="29"/>
        <v>337062</v>
      </c>
      <c r="N32" s="19">
        <f t="shared" si="29"/>
        <v>281537</v>
      </c>
      <c r="O32" s="19">
        <f t="shared" si="29"/>
        <v>256858</v>
      </c>
    </row>
    <row r="33" spans="1:15" x14ac:dyDescent="0.25">
      <c r="A33" s="28">
        <f t="shared" si="1"/>
        <v>28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28">
        <f t="shared" si="1"/>
        <v>29</v>
      </c>
      <c r="B34" s="5" t="s">
        <v>20</v>
      </c>
      <c r="C34" s="15">
        <f>SUM(D34:O34)</f>
        <v>-29969</v>
      </c>
      <c r="D34" s="15">
        <f>+'Sch 40 Campus Svc'!D59</f>
        <v>1044330</v>
      </c>
      <c r="E34" s="15">
        <f>+'Sch 40 Campus Svc'!E59</f>
        <v>-784094</v>
      </c>
      <c r="F34" s="15">
        <f>+'Sch 40 Campus Svc'!F59</f>
        <v>364769</v>
      </c>
      <c r="G34" s="15">
        <f>+'Sch 40 Campus Svc'!G59</f>
        <v>352623</v>
      </c>
      <c r="H34" s="15">
        <f>+'Sch 40 Campus Svc'!H59</f>
        <v>-1067525</v>
      </c>
      <c r="I34" s="15">
        <f>+'Sch 40 Campus Svc'!I59</f>
        <v>-201794</v>
      </c>
      <c r="J34" s="15">
        <f>+'Sch 40 Campus Svc'!J59</f>
        <v>280961</v>
      </c>
      <c r="K34" s="15">
        <f>+'Sch 40 Campus Svc'!K59</f>
        <v>-692671</v>
      </c>
      <c r="L34" s="15">
        <f>+'Sch 40 Campus Svc'!L59</f>
        <v>2406882</v>
      </c>
      <c r="M34" s="15">
        <f>+'Sch 40 Campus Svc'!M59</f>
        <v>-1613545</v>
      </c>
      <c r="N34" s="15">
        <f>+'Sch 40 Campus Svc'!N59</f>
        <v>-186140</v>
      </c>
      <c r="O34" s="15">
        <f>+'Sch 40 Campus Svc'!O59</f>
        <v>66235</v>
      </c>
    </row>
    <row r="35" spans="1:15" x14ac:dyDescent="0.25">
      <c r="A35" s="28">
        <f t="shared" si="1"/>
        <v>30</v>
      </c>
      <c r="B35" s="5" t="s">
        <v>21</v>
      </c>
      <c r="D35" s="21">
        <f t="shared" ref="D35:O35" si="30">+D32/D10</f>
        <v>7.8297825791306716E-2</v>
      </c>
      <c r="E35" s="21">
        <f t="shared" si="30"/>
        <v>7.8101291392439556E-2</v>
      </c>
      <c r="F35" s="21">
        <f t="shared" si="30"/>
        <v>7.7266135708372582E-2</v>
      </c>
      <c r="G35" s="21">
        <f t="shared" si="30"/>
        <v>8.4649918679516642E-2</v>
      </c>
      <c r="H35" s="21">
        <f t="shared" si="30"/>
        <v>8.4534539729771804E-2</v>
      </c>
      <c r="I35" s="21">
        <f t="shared" si="30"/>
        <v>8.30148231312441E-2</v>
      </c>
      <c r="J35" s="21">
        <f t="shared" si="30"/>
        <v>8.3290880031964845E-2</v>
      </c>
      <c r="K35" s="21">
        <f t="shared" si="30"/>
        <v>8.3918531124347231E-2</v>
      </c>
      <c r="L35" s="21">
        <f t="shared" si="30"/>
        <v>8.3788667823919527E-2</v>
      </c>
      <c r="M35" s="21">
        <f t="shared" si="30"/>
        <v>7.6709953163191458E-2</v>
      </c>
      <c r="N35" s="21">
        <f t="shared" si="30"/>
        <v>7.8954814895623671E-2</v>
      </c>
      <c r="O35" s="21">
        <f t="shared" si="30"/>
        <v>8.2925873325755031E-2</v>
      </c>
    </row>
    <row r="36" spans="1:15" x14ac:dyDescent="0.25">
      <c r="A36" s="28">
        <f t="shared" si="1"/>
        <v>31</v>
      </c>
      <c r="B36" s="5" t="s">
        <v>22</v>
      </c>
      <c r="C36" s="19">
        <f>SUM(D36:O36)</f>
        <v>5532</v>
      </c>
      <c r="D36" s="19">
        <f>ROUND(+D34*D35,0)</f>
        <v>81769</v>
      </c>
      <c r="E36" s="19">
        <f t="shared" ref="E36:O36" si="31">ROUND(+E34*E35,0)</f>
        <v>-61239</v>
      </c>
      <c r="F36" s="19">
        <f t="shared" si="31"/>
        <v>28184</v>
      </c>
      <c r="G36" s="19">
        <f t="shared" si="31"/>
        <v>29850</v>
      </c>
      <c r="H36" s="19">
        <f t="shared" si="31"/>
        <v>-90243</v>
      </c>
      <c r="I36" s="19">
        <f t="shared" si="31"/>
        <v>-16752</v>
      </c>
      <c r="J36" s="19">
        <f t="shared" si="31"/>
        <v>23401</v>
      </c>
      <c r="K36" s="19">
        <f t="shared" si="31"/>
        <v>-58128</v>
      </c>
      <c r="L36" s="19">
        <f t="shared" si="31"/>
        <v>201669</v>
      </c>
      <c r="M36" s="19">
        <f t="shared" si="31"/>
        <v>-123775</v>
      </c>
      <c r="N36" s="19">
        <f t="shared" si="31"/>
        <v>-14697</v>
      </c>
      <c r="O36" s="19">
        <f t="shared" si="31"/>
        <v>5493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5" orientation="landscape" r:id="rId1"/>
  <headerFooter>
    <oddFooter>&amp;L&amp;F&amp;R&amp;A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zoomScale="90" zoomScaleNormal="9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O36"/>
    </sheetView>
  </sheetViews>
  <sheetFormatPr defaultRowHeight="15" x14ac:dyDescent="0.25"/>
  <cols>
    <col min="1" max="1" width="13.7109375" style="11" customWidth="1"/>
    <col min="2" max="2" width="42.5703125" style="11" bestFit="1" customWidth="1"/>
    <col min="3" max="3" width="15" style="11" bestFit="1" customWidth="1"/>
    <col min="4" max="15" width="13.85546875" style="11" bestFit="1" customWidth="1"/>
    <col min="16" max="16" width="15" style="11" customWidth="1"/>
    <col min="17" max="17" width="13.85546875" style="11" bestFit="1" customWidth="1"/>
    <col min="18" max="18" width="11.7109375" style="11" bestFit="1" customWidth="1"/>
    <col min="19" max="19" width="5.28515625" style="11" customWidth="1"/>
    <col min="20" max="20" width="6.140625" style="11" bestFit="1" customWidth="1"/>
    <col min="21" max="21" width="4.42578125" style="11" bestFit="1" customWidth="1"/>
    <col min="22" max="22" width="20.5703125" style="11" bestFit="1" customWidth="1"/>
    <col min="23" max="23" width="9.28515625" style="11" bestFit="1" customWidth="1"/>
    <col min="24" max="24" width="5" style="11" bestFit="1" customWidth="1"/>
    <col min="25" max="28" width="7.85546875" style="11" bestFit="1" customWidth="1"/>
    <col min="29" max="16384" width="9.140625" style="11"/>
  </cols>
  <sheetData>
    <row r="1" spans="1:28" x14ac:dyDescent="0.25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8" x14ac:dyDescent="0.25">
      <c r="A2" s="33" t="s">
        <v>130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8" x14ac:dyDescent="0.25">
      <c r="A3" s="31" t="str">
        <f>+'Proforma kWh'!$A$4</f>
        <v>Schedule 40 Migration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5" spans="1:28" ht="45" x14ac:dyDescent="0.25">
      <c r="A5" s="12" t="s">
        <v>4</v>
      </c>
      <c r="B5" s="12" t="s">
        <v>5</v>
      </c>
      <c r="C5" s="9" t="str">
        <f>+'Sch 24 Sm Sec'!C5</f>
        <v>Total
July 2019 to
June 2020</v>
      </c>
      <c r="D5" s="9">
        <f>+'Sch 24 Sm Sec'!D5</f>
        <v>43647</v>
      </c>
      <c r="E5" s="9">
        <f>+'Sch 24 Sm Sec'!E5</f>
        <v>43678</v>
      </c>
      <c r="F5" s="9">
        <f>+'Sch 24 Sm Sec'!F5</f>
        <v>43709</v>
      </c>
      <c r="G5" s="9">
        <f>+'Sch 24 Sm Sec'!G5</f>
        <v>43739</v>
      </c>
      <c r="H5" s="9">
        <f>+'Sch 24 Sm Sec'!H5</f>
        <v>43770</v>
      </c>
      <c r="I5" s="9">
        <f>+'Sch 24 Sm Sec'!I5</f>
        <v>43800</v>
      </c>
      <c r="J5" s="9">
        <f>+'Sch 24 Sm Sec'!J5</f>
        <v>43831</v>
      </c>
      <c r="K5" s="9">
        <f>+'Sch 24 Sm Sec'!K5</f>
        <v>43862</v>
      </c>
      <c r="L5" s="9">
        <f>+'Sch 24 Sm Sec'!L5</f>
        <v>43891</v>
      </c>
      <c r="M5" s="9">
        <f>+'Sch 24 Sm Sec'!M5</f>
        <v>43922</v>
      </c>
      <c r="N5" s="9">
        <f>+'Sch 24 Sm Sec'!N5</f>
        <v>43952</v>
      </c>
      <c r="O5" s="9">
        <f>+'Sch 24 Sm Sec'!O5</f>
        <v>43983</v>
      </c>
      <c r="T5" s="13" t="s">
        <v>6</v>
      </c>
      <c r="U5" s="13" t="s">
        <v>7</v>
      </c>
      <c r="V5" s="13" t="s">
        <v>8</v>
      </c>
      <c r="W5" s="13" t="s">
        <v>9</v>
      </c>
      <c r="X5" s="13" t="s">
        <v>10</v>
      </c>
      <c r="Y5" s="13" t="s">
        <v>11</v>
      </c>
      <c r="Z5" s="13" t="s">
        <v>12</v>
      </c>
      <c r="AA5" s="13" t="s">
        <v>13</v>
      </c>
      <c r="AB5" s="13" t="s">
        <v>14</v>
      </c>
    </row>
    <row r="6" spans="1:28" x14ac:dyDescent="0.25">
      <c r="A6" s="14">
        <v>1</v>
      </c>
      <c r="B6" s="16" t="s">
        <v>40</v>
      </c>
      <c r="C6" s="15">
        <f t="shared" ref="C6" si="0">SUM(D6:O6)</f>
        <v>73</v>
      </c>
      <c r="D6" s="15">
        <f>+'[1]Sch 40 Migration (C)'!C24</f>
        <v>5</v>
      </c>
      <c r="E6" s="15">
        <f>+'[1]Sch 40 Migration (C)'!D24</f>
        <v>6</v>
      </c>
      <c r="F6" s="15">
        <f>+'[1]Sch 40 Migration (C)'!E24</f>
        <v>7</v>
      </c>
      <c r="G6" s="15">
        <f>+'[1]Sch 40 Migration (C)'!F24</f>
        <v>5</v>
      </c>
      <c r="H6" s="15">
        <f>+'[1]Sch 40 Migration (C)'!G24</f>
        <v>4</v>
      </c>
      <c r="I6" s="15">
        <f>+'[1]Sch 40 Migration (C)'!H24</f>
        <v>9</v>
      </c>
      <c r="J6" s="15">
        <f>+'[1]Sch 40 Migration (C)'!I24</f>
        <v>5</v>
      </c>
      <c r="K6" s="15">
        <f>+'[1]Sch 40 Migration (C)'!J24</f>
        <v>10</v>
      </c>
      <c r="L6" s="15">
        <f>+'[1]Sch 40 Migration (C)'!K24</f>
        <v>2</v>
      </c>
      <c r="M6" s="15">
        <f>+'[1]Sch 40 Migration (C)'!L24</f>
        <v>8</v>
      </c>
      <c r="N6" s="15">
        <f>+'[1]Sch 40 Migration (C)'!M24</f>
        <v>6</v>
      </c>
      <c r="O6" s="15">
        <f>+'[1]Sch 40 Migration (C)'!N24</f>
        <v>6</v>
      </c>
      <c r="T6" s="13"/>
      <c r="U6" s="13"/>
      <c r="V6" s="13"/>
      <c r="W6" s="13"/>
      <c r="X6" s="13"/>
      <c r="Y6" s="13"/>
      <c r="Z6" s="13"/>
      <c r="AA6" s="13"/>
      <c r="AB6" s="13"/>
    </row>
    <row r="7" spans="1:28" x14ac:dyDescent="0.25">
      <c r="A7" s="14">
        <f t="shared" ref="A7:A36" si="1">+A6+1</f>
        <v>2</v>
      </c>
      <c r="B7" s="11" t="s">
        <v>15</v>
      </c>
      <c r="C7" s="15">
        <f>SUM(C6:C6)</f>
        <v>73</v>
      </c>
      <c r="D7" s="15">
        <f>SUM(D6:D6)</f>
        <v>5</v>
      </c>
      <c r="E7" s="15">
        <f t="shared" ref="E7:O7" si="2">SUM(E6:E6)</f>
        <v>6</v>
      </c>
      <c r="F7" s="15">
        <f t="shared" si="2"/>
        <v>7</v>
      </c>
      <c r="G7" s="15">
        <f t="shared" si="2"/>
        <v>5</v>
      </c>
      <c r="H7" s="15">
        <f t="shared" si="2"/>
        <v>4</v>
      </c>
      <c r="I7" s="15">
        <f t="shared" si="2"/>
        <v>9</v>
      </c>
      <c r="J7" s="15">
        <f t="shared" si="2"/>
        <v>5</v>
      </c>
      <c r="K7" s="15">
        <f t="shared" si="2"/>
        <v>10</v>
      </c>
      <c r="L7" s="15">
        <f t="shared" si="2"/>
        <v>2</v>
      </c>
      <c r="M7" s="15">
        <f t="shared" si="2"/>
        <v>8</v>
      </c>
      <c r="N7" s="15">
        <f t="shared" si="2"/>
        <v>6</v>
      </c>
      <c r="O7" s="15">
        <f t="shared" si="2"/>
        <v>6</v>
      </c>
    </row>
    <row r="8" spans="1:28" x14ac:dyDescent="0.25">
      <c r="A8" s="28">
        <f t="shared" si="1"/>
        <v>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28" x14ac:dyDescent="0.25">
      <c r="A9" s="28">
        <f t="shared" si="1"/>
        <v>4</v>
      </c>
      <c r="B9" s="16" t="s">
        <v>64</v>
      </c>
      <c r="C9" s="15">
        <f t="shared" ref="C9" si="3">SUM(D9:O9)</f>
        <v>109700564</v>
      </c>
      <c r="D9" s="15">
        <f>+'[1]Sch 40 Migration (C)'!C26</f>
        <v>7080835</v>
      </c>
      <c r="E9" s="15">
        <f>+'[1]Sch 40 Migration (C)'!D26</f>
        <v>9384000</v>
      </c>
      <c r="F9" s="15">
        <f>+'[1]Sch 40 Migration (C)'!E26</f>
        <v>11616000</v>
      </c>
      <c r="G9" s="15">
        <f>+'[1]Sch 40 Migration (C)'!F26</f>
        <v>7022400</v>
      </c>
      <c r="H9" s="15">
        <f>+'[1]Sch 40 Migration (C)'!G26</f>
        <v>7128000</v>
      </c>
      <c r="I9" s="15">
        <f>+'[1]Sch 40 Migration (C)'!H26</f>
        <v>14872800</v>
      </c>
      <c r="J9" s="15">
        <f>+'[1]Sch 40 Migration (C)'!I26</f>
        <v>7776000</v>
      </c>
      <c r="K9" s="15">
        <f>+'[1]Sch 40 Migration (C)'!J26</f>
        <v>12556800</v>
      </c>
      <c r="L9" s="15">
        <f>+'[1]Sch 40 Migration (C)'!K26</f>
        <v>3633600</v>
      </c>
      <c r="M9" s="15">
        <f>+'[1]Sch 40 Migration (C)'!L26</f>
        <v>11151679</v>
      </c>
      <c r="N9" s="15">
        <f>+'[1]Sch 40 Migration (C)'!M26</f>
        <v>8773949</v>
      </c>
      <c r="O9" s="15">
        <f>+'[1]Sch 40 Migration (C)'!N26</f>
        <v>8704501</v>
      </c>
    </row>
    <row r="10" spans="1:28" x14ac:dyDescent="0.25">
      <c r="A10" s="28">
        <f t="shared" si="1"/>
        <v>5</v>
      </c>
      <c r="B10" s="16" t="s">
        <v>81</v>
      </c>
      <c r="C10" s="15">
        <f>SUM(C9:C9)</f>
        <v>109700564</v>
      </c>
      <c r="D10" s="15">
        <f>SUM(D9:D9)</f>
        <v>7080835</v>
      </c>
      <c r="E10" s="15">
        <f t="shared" ref="E10:O10" si="4">SUM(E9:E9)</f>
        <v>9384000</v>
      </c>
      <c r="F10" s="15">
        <f t="shared" si="4"/>
        <v>11616000</v>
      </c>
      <c r="G10" s="15">
        <f t="shared" si="4"/>
        <v>7022400</v>
      </c>
      <c r="H10" s="15">
        <f t="shared" si="4"/>
        <v>7128000</v>
      </c>
      <c r="I10" s="15">
        <f t="shared" si="4"/>
        <v>14872800</v>
      </c>
      <c r="J10" s="15">
        <f t="shared" si="4"/>
        <v>7776000</v>
      </c>
      <c r="K10" s="15">
        <f t="shared" si="4"/>
        <v>12556800</v>
      </c>
      <c r="L10" s="15">
        <f t="shared" si="4"/>
        <v>3633600</v>
      </c>
      <c r="M10" s="15">
        <f t="shared" si="4"/>
        <v>11151679</v>
      </c>
      <c r="N10" s="15">
        <f t="shared" si="4"/>
        <v>8773949</v>
      </c>
      <c r="O10" s="15">
        <f t="shared" si="4"/>
        <v>8704501</v>
      </c>
    </row>
    <row r="11" spans="1:28" x14ac:dyDescent="0.25">
      <c r="A11" s="28">
        <f t="shared" si="1"/>
        <v>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28" x14ac:dyDescent="0.25">
      <c r="A12" s="28">
        <f t="shared" si="1"/>
        <v>7</v>
      </c>
      <c r="B12" s="16" t="s">
        <v>84</v>
      </c>
      <c r="C12" s="15">
        <f t="shared" ref="C12" si="5">SUM(D12:O12)</f>
        <v>110244</v>
      </c>
      <c r="D12" s="15">
        <v>0</v>
      </c>
      <c r="E12" s="15">
        <v>0</v>
      </c>
      <c r="F12" s="15">
        <v>0</v>
      </c>
      <c r="G12" s="15">
        <f>+'[1]Sch 40 Migration (C)'!F25</f>
        <v>14155</v>
      </c>
      <c r="H12" s="15">
        <f>+'[1]Sch 40 Migration (C)'!G25</f>
        <v>17580</v>
      </c>
      <c r="I12" s="15">
        <f>+'[1]Sch 40 Migration (C)'!H25</f>
        <v>32868</v>
      </c>
      <c r="J12" s="15">
        <f>+'[1]Sch 40 Migration (C)'!I25</f>
        <v>14947</v>
      </c>
      <c r="K12" s="15">
        <f>+'[1]Sch 40 Migration (C)'!J25</f>
        <v>24233</v>
      </c>
      <c r="L12" s="15">
        <f>+'[1]Sch 40 Migration (C)'!K25</f>
        <v>6461</v>
      </c>
      <c r="M12" s="15">
        <v>0</v>
      </c>
      <c r="N12" s="15">
        <v>0</v>
      </c>
      <c r="O12" s="15">
        <v>0</v>
      </c>
    </row>
    <row r="13" spans="1:28" x14ac:dyDescent="0.25">
      <c r="A13" s="28">
        <f t="shared" si="1"/>
        <v>8</v>
      </c>
      <c r="B13" s="16" t="s">
        <v>82</v>
      </c>
      <c r="C13" s="15">
        <f t="shared" ref="C13" si="6">SUM(D13:O13)</f>
        <v>110890</v>
      </c>
      <c r="D13" s="15">
        <f>+'[1]Sch 40 Migration (C)'!C25</f>
        <v>15171</v>
      </c>
      <c r="E13" s="15">
        <f>+'[1]Sch 40 Migration (C)'!D25</f>
        <v>18441</v>
      </c>
      <c r="F13" s="15">
        <f>+'[1]Sch 40 Migration (C)'!E25</f>
        <v>21870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f>+'[1]Sch 40 Migration (C)'!L25</f>
        <v>23405</v>
      </c>
      <c r="N13" s="15">
        <f>+'[1]Sch 40 Migration (C)'!M25</f>
        <v>14491</v>
      </c>
      <c r="O13" s="15">
        <f>+'[1]Sch 40 Migration (C)'!N25</f>
        <v>17512</v>
      </c>
    </row>
    <row r="14" spans="1:28" x14ac:dyDescent="0.25">
      <c r="A14" s="28">
        <f t="shared" si="1"/>
        <v>9</v>
      </c>
      <c r="B14" s="16" t="s">
        <v>44</v>
      </c>
      <c r="C14" s="15">
        <f t="shared" ref="C14:C16" si="7">SUM(D14:O14)</f>
        <v>221134</v>
      </c>
      <c r="D14" s="15">
        <f t="shared" ref="D14:O14" si="8">SUM(D12:D13)</f>
        <v>15171</v>
      </c>
      <c r="E14" s="15">
        <f t="shared" si="8"/>
        <v>18441</v>
      </c>
      <c r="F14" s="15">
        <f t="shared" si="8"/>
        <v>21870</v>
      </c>
      <c r="G14" s="15">
        <f t="shared" si="8"/>
        <v>14155</v>
      </c>
      <c r="H14" s="15">
        <f t="shared" si="8"/>
        <v>17580</v>
      </c>
      <c r="I14" s="15">
        <f t="shared" si="8"/>
        <v>32868</v>
      </c>
      <c r="J14" s="15">
        <f t="shared" si="8"/>
        <v>14947</v>
      </c>
      <c r="K14" s="15">
        <f t="shared" si="8"/>
        <v>24233</v>
      </c>
      <c r="L14" s="15">
        <f t="shared" si="8"/>
        <v>6461</v>
      </c>
      <c r="M14" s="15">
        <f t="shared" si="8"/>
        <v>23405</v>
      </c>
      <c r="N14" s="15">
        <f t="shared" si="8"/>
        <v>14491</v>
      </c>
      <c r="O14" s="15">
        <f t="shared" si="8"/>
        <v>17512</v>
      </c>
    </row>
    <row r="15" spans="1:28" x14ac:dyDescent="0.25">
      <c r="A15" s="28">
        <f t="shared" si="1"/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8" x14ac:dyDescent="0.25">
      <c r="A16" s="28">
        <f t="shared" si="1"/>
        <v>11</v>
      </c>
      <c r="B16" s="16" t="s">
        <v>45</v>
      </c>
      <c r="C16" s="15">
        <f t="shared" si="7"/>
        <v>42631169</v>
      </c>
      <c r="D16" s="15">
        <f>+'[1]Sch 40 Migration (C)'!C27</f>
        <v>2123767</v>
      </c>
      <c r="E16" s="15">
        <f>+'[1]Sch 40 Migration (C)'!D27</f>
        <v>3895206</v>
      </c>
      <c r="F16" s="15">
        <f>+'[1]Sch 40 Migration (C)'!E27</f>
        <v>5906401</v>
      </c>
      <c r="G16" s="15">
        <f>+'[1]Sch 40 Migration (C)'!F27</f>
        <v>3228000</v>
      </c>
      <c r="H16" s="15">
        <f>+'[1]Sch 40 Migration (C)'!G27</f>
        <v>2438402</v>
      </c>
      <c r="I16" s="15">
        <f>+'[1]Sch 40 Migration (C)'!H27</f>
        <v>5457588</v>
      </c>
      <c r="J16" s="15">
        <f>+'[1]Sch 40 Migration (C)'!I27</f>
        <v>2980794</v>
      </c>
      <c r="K16" s="15">
        <f>+'[1]Sch 40 Migration (C)'!J27</f>
        <v>4238402</v>
      </c>
      <c r="L16" s="15">
        <f>+'[1]Sch 40 Migration (C)'!K27</f>
        <v>2239196</v>
      </c>
      <c r="M16" s="15">
        <f>+'[1]Sch 40 Migration (C)'!L27</f>
        <v>4594010</v>
      </c>
      <c r="N16" s="15">
        <f>+'[1]Sch 40 Migration (C)'!M27</f>
        <v>1750141</v>
      </c>
      <c r="O16" s="15">
        <f>+'[1]Sch 40 Migration (C)'!N27</f>
        <v>3779262</v>
      </c>
    </row>
    <row r="17" spans="1:15" x14ac:dyDescent="0.25">
      <c r="A17" s="28">
        <f t="shared" si="1"/>
        <v>12</v>
      </c>
      <c r="B17" s="16" t="s">
        <v>46</v>
      </c>
      <c r="C17" s="15">
        <f>SUM(C16:C16)</f>
        <v>42631169</v>
      </c>
      <c r="D17" s="15">
        <f>SUM(D16:D16)</f>
        <v>2123767</v>
      </c>
      <c r="E17" s="15">
        <f t="shared" ref="E17:O17" si="9">SUM(E16:E16)</f>
        <v>3895206</v>
      </c>
      <c r="F17" s="15">
        <f t="shared" si="9"/>
        <v>5906401</v>
      </c>
      <c r="G17" s="15">
        <f t="shared" si="9"/>
        <v>3228000</v>
      </c>
      <c r="H17" s="15">
        <f t="shared" si="9"/>
        <v>2438402</v>
      </c>
      <c r="I17" s="15">
        <f t="shared" si="9"/>
        <v>5457588</v>
      </c>
      <c r="J17" s="15">
        <f t="shared" si="9"/>
        <v>2980794</v>
      </c>
      <c r="K17" s="15">
        <f t="shared" si="9"/>
        <v>4238402</v>
      </c>
      <c r="L17" s="15">
        <f t="shared" si="9"/>
        <v>2239196</v>
      </c>
      <c r="M17" s="15">
        <f t="shared" si="9"/>
        <v>4594010</v>
      </c>
      <c r="N17" s="15">
        <f t="shared" si="9"/>
        <v>1750141</v>
      </c>
      <c r="O17" s="15">
        <f t="shared" si="9"/>
        <v>3779262</v>
      </c>
    </row>
    <row r="18" spans="1:15" x14ac:dyDescent="0.25">
      <c r="A18" s="28">
        <f t="shared" si="1"/>
        <v>13</v>
      </c>
      <c r="D18" s="15"/>
    </row>
    <row r="19" spans="1:15" x14ac:dyDescent="0.25">
      <c r="A19" s="28">
        <f t="shared" si="1"/>
        <v>14</v>
      </c>
      <c r="B19" s="29" t="str">
        <f>+'[1]Sch 7 Res'!$B$20</f>
        <v>Rates Effective 10-15-2020</v>
      </c>
      <c r="C19" s="15"/>
      <c r="D19" s="15"/>
    </row>
    <row r="20" spans="1:15" x14ac:dyDescent="0.25">
      <c r="A20" s="28">
        <f t="shared" si="1"/>
        <v>15</v>
      </c>
      <c r="B20" s="18" t="s">
        <v>47</v>
      </c>
      <c r="D20" s="21">
        <f>+'[1]Sch 31 Pri Gen Svc'!D20</f>
        <v>364.34</v>
      </c>
      <c r="E20" s="21">
        <f t="shared" ref="E20:E24" si="10">+D20</f>
        <v>364.34</v>
      </c>
      <c r="F20" s="21">
        <f t="shared" ref="F20:O24" si="11">+E20</f>
        <v>364.34</v>
      </c>
      <c r="G20" s="21">
        <f t="shared" si="11"/>
        <v>364.34</v>
      </c>
      <c r="H20" s="21">
        <f t="shared" si="11"/>
        <v>364.34</v>
      </c>
      <c r="I20" s="21">
        <f t="shared" si="11"/>
        <v>364.34</v>
      </c>
      <c r="J20" s="21">
        <f t="shared" si="11"/>
        <v>364.34</v>
      </c>
      <c r="K20" s="21">
        <f t="shared" si="11"/>
        <v>364.34</v>
      </c>
      <c r="L20" s="21">
        <f t="shared" si="11"/>
        <v>364.34</v>
      </c>
      <c r="M20" s="21">
        <f t="shared" si="11"/>
        <v>364.34</v>
      </c>
      <c r="N20" s="21">
        <f t="shared" si="11"/>
        <v>364.34</v>
      </c>
      <c r="O20" s="21">
        <f t="shared" si="11"/>
        <v>364.34</v>
      </c>
    </row>
    <row r="21" spans="1:15" x14ac:dyDescent="0.25">
      <c r="A21" s="28">
        <f t="shared" si="1"/>
        <v>16</v>
      </c>
      <c r="B21" s="18" t="s">
        <v>67</v>
      </c>
      <c r="D21" s="21">
        <f>+'[1]Sch 31 Pri Gen Svc'!D21</f>
        <v>5.8326856838929048E-2</v>
      </c>
      <c r="E21" s="21">
        <f t="shared" si="10"/>
        <v>5.8326856838929048E-2</v>
      </c>
      <c r="F21" s="21">
        <f t="shared" si="11"/>
        <v>5.8326856838929048E-2</v>
      </c>
      <c r="G21" s="21">
        <f t="shared" si="11"/>
        <v>5.8326856838929048E-2</v>
      </c>
      <c r="H21" s="21">
        <f t="shared" si="11"/>
        <v>5.8326856838929048E-2</v>
      </c>
      <c r="I21" s="21">
        <f t="shared" si="11"/>
        <v>5.8326856838929048E-2</v>
      </c>
      <c r="J21" s="21">
        <f t="shared" si="11"/>
        <v>5.8326856838929048E-2</v>
      </c>
      <c r="K21" s="21">
        <f t="shared" si="11"/>
        <v>5.8326856838929048E-2</v>
      </c>
      <c r="L21" s="21">
        <f t="shared" si="11"/>
        <v>5.8326856838929048E-2</v>
      </c>
      <c r="M21" s="21">
        <f t="shared" si="11"/>
        <v>5.8326856838929048E-2</v>
      </c>
      <c r="N21" s="21">
        <f t="shared" si="11"/>
        <v>5.8326856838929048E-2</v>
      </c>
      <c r="O21" s="21">
        <f t="shared" si="11"/>
        <v>5.8326856838929048E-2</v>
      </c>
    </row>
    <row r="22" spans="1:15" x14ac:dyDescent="0.25">
      <c r="A22" s="28">
        <f t="shared" si="1"/>
        <v>17</v>
      </c>
      <c r="B22" s="18" t="s">
        <v>79</v>
      </c>
      <c r="D22" s="21">
        <f>+'[1]Sch 31 Pri Gen Svc'!D22</f>
        <v>12.15</v>
      </c>
      <c r="E22" s="21">
        <f t="shared" ref="E22" si="12">+D22</f>
        <v>12.15</v>
      </c>
      <c r="F22" s="21">
        <f t="shared" ref="F22" si="13">+E22</f>
        <v>12.15</v>
      </c>
      <c r="G22" s="21">
        <f t="shared" ref="G22" si="14">+F22</f>
        <v>12.15</v>
      </c>
      <c r="H22" s="21">
        <f t="shared" ref="H22" si="15">+G22</f>
        <v>12.15</v>
      </c>
      <c r="I22" s="21">
        <f t="shared" ref="I22" si="16">+H22</f>
        <v>12.15</v>
      </c>
      <c r="J22" s="21">
        <f t="shared" ref="J22" si="17">+I22</f>
        <v>12.15</v>
      </c>
      <c r="K22" s="21">
        <f t="shared" ref="K22" si="18">+J22</f>
        <v>12.15</v>
      </c>
      <c r="L22" s="21">
        <f t="shared" ref="L22" si="19">+K22</f>
        <v>12.15</v>
      </c>
      <c r="M22" s="21">
        <f t="shared" ref="M22" si="20">+L22</f>
        <v>12.15</v>
      </c>
      <c r="N22" s="21">
        <f t="shared" ref="N22" si="21">+M22</f>
        <v>12.15</v>
      </c>
      <c r="O22" s="21">
        <f t="shared" ref="O22" si="22">+N22</f>
        <v>12.15</v>
      </c>
    </row>
    <row r="23" spans="1:15" x14ac:dyDescent="0.25">
      <c r="A23" s="28">
        <f t="shared" si="1"/>
        <v>18</v>
      </c>
      <c r="B23" s="18" t="s">
        <v>68</v>
      </c>
      <c r="D23" s="21">
        <f>+'[1]Sch 31 Pri Gen Svc'!D23</f>
        <v>8.1</v>
      </c>
      <c r="E23" s="21">
        <f t="shared" si="10"/>
        <v>8.1</v>
      </c>
      <c r="F23" s="21">
        <f t="shared" si="11"/>
        <v>8.1</v>
      </c>
      <c r="G23" s="21">
        <f t="shared" si="11"/>
        <v>8.1</v>
      </c>
      <c r="H23" s="21">
        <f t="shared" si="11"/>
        <v>8.1</v>
      </c>
      <c r="I23" s="21">
        <f t="shared" si="11"/>
        <v>8.1</v>
      </c>
      <c r="J23" s="21">
        <f t="shared" si="11"/>
        <v>8.1</v>
      </c>
      <c r="K23" s="21">
        <f t="shared" si="11"/>
        <v>8.1</v>
      </c>
      <c r="L23" s="21">
        <f t="shared" si="11"/>
        <v>8.1</v>
      </c>
      <c r="M23" s="21">
        <f t="shared" si="11"/>
        <v>8.1</v>
      </c>
      <c r="N23" s="21">
        <f t="shared" si="11"/>
        <v>8.1</v>
      </c>
      <c r="O23" s="21">
        <f t="shared" si="11"/>
        <v>8.1</v>
      </c>
    </row>
    <row r="24" spans="1:15" x14ac:dyDescent="0.25">
      <c r="A24" s="28">
        <f t="shared" si="1"/>
        <v>19</v>
      </c>
      <c r="B24" s="18" t="s">
        <v>51</v>
      </c>
      <c r="D24" s="21">
        <f>+'[1]Sch 31 Pri Gen Svc'!D24</f>
        <v>1.1299999999999999E-3</v>
      </c>
      <c r="E24" s="21">
        <f t="shared" si="10"/>
        <v>1.1299999999999999E-3</v>
      </c>
      <c r="F24" s="21">
        <f t="shared" si="11"/>
        <v>1.1299999999999999E-3</v>
      </c>
      <c r="G24" s="21">
        <f t="shared" si="11"/>
        <v>1.1299999999999999E-3</v>
      </c>
      <c r="H24" s="21">
        <f t="shared" si="11"/>
        <v>1.1299999999999999E-3</v>
      </c>
      <c r="I24" s="21">
        <f t="shared" si="11"/>
        <v>1.1299999999999999E-3</v>
      </c>
      <c r="J24" s="21">
        <f t="shared" si="11"/>
        <v>1.1299999999999999E-3</v>
      </c>
      <c r="K24" s="21">
        <f t="shared" si="11"/>
        <v>1.1299999999999999E-3</v>
      </c>
      <c r="L24" s="21">
        <f t="shared" si="11"/>
        <v>1.1299999999999999E-3</v>
      </c>
      <c r="M24" s="21">
        <f t="shared" si="11"/>
        <v>1.1299999999999999E-3</v>
      </c>
      <c r="N24" s="21">
        <f t="shared" si="11"/>
        <v>1.1299999999999999E-3</v>
      </c>
      <c r="O24" s="21">
        <f t="shared" si="11"/>
        <v>1.1299999999999999E-3</v>
      </c>
    </row>
    <row r="25" spans="1:15" x14ac:dyDescent="0.25">
      <c r="A25" s="28">
        <f t="shared" si="1"/>
        <v>20</v>
      </c>
    </row>
    <row r="26" spans="1:15" x14ac:dyDescent="0.25">
      <c r="A26" s="28">
        <f t="shared" si="1"/>
        <v>21</v>
      </c>
      <c r="B26" s="20" t="s">
        <v>17</v>
      </c>
    </row>
    <row r="27" spans="1:15" x14ac:dyDescent="0.25">
      <c r="A27" s="28">
        <f t="shared" si="1"/>
        <v>22</v>
      </c>
      <c r="B27" s="18" t="s">
        <v>75</v>
      </c>
      <c r="C27" s="19">
        <f>SUM(D27:O27)</f>
        <v>26597</v>
      </c>
      <c r="D27" s="19">
        <f>ROUND(+D6*D20,0)</f>
        <v>1822</v>
      </c>
      <c r="E27" s="19">
        <f t="shared" ref="E27:O27" si="23">ROUND(+E6*E20,0)</f>
        <v>2186</v>
      </c>
      <c r="F27" s="19">
        <f t="shared" si="23"/>
        <v>2550</v>
      </c>
      <c r="G27" s="19">
        <f t="shared" si="23"/>
        <v>1822</v>
      </c>
      <c r="H27" s="19">
        <f t="shared" si="23"/>
        <v>1457</v>
      </c>
      <c r="I27" s="19">
        <f t="shared" si="23"/>
        <v>3279</v>
      </c>
      <c r="J27" s="19">
        <f t="shared" si="23"/>
        <v>1822</v>
      </c>
      <c r="K27" s="19">
        <f t="shared" si="23"/>
        <v>3643</v>
      </c>
      <c r="L27" s="19">
        <f t="shared" si="23"/>
        <v>729</v>
      </c>
      <c r="M27" s="19">
        <f t="shared" si="23"/>
        <v>2915</v>
      </c>
      <c r="N27" s="19">
        <f t="shared" si="23"/>
        <v>2186</v>
      </c>
      <c r="O27" s="19">
        <f t="shared" si="23"/>
        <v>2186</v>
      </c>
    </row>
    <row r="28" spans="1:15" x14ac:dyDescent="0.25">
      <c r="A28" s="28">
        <f t="shared" si="1"/>
        <v>23</v>
      </c>
      <c r="B28" s="18" t="s">
        <v>76</v>
      </c>
      <c r="C28" s="19">
        <f t="shared" ref="C28:C31" si="24">SUM(D28:O28)</f>
        <v>6398490</v>
      </c>
      <c r="D28" s="19">
        <f>ROUND(+D9*D21,0)</f>
        <v>413003</v>
      </c>
      <c r="E28" s="19">
        <f t="shared" ref="E28:O28" si="25">ROUND(+E9*E21,0)</f>
        <v>547339</v>
      </c>
      <c r="F28" s="19">
        <f t="shared" si="25"/>
        <v>677525</v>
      </c>
      <c r="G28" s="19">
        <f t="shared" si="25"/>
        <v>409595</v>
      </c>
      <c r="H28" s="19">
        <f t="shared" si="25"/>
        <v>415754</v>
      </c>
      <c r="I28" s="19">
        <f t="shared" si="25"/>
        <v>867484</v>
      </c>
      <c r="J28" s="19">
        <f t="shared" si="25"/>
        <v>453550</v>
      </c>
      <c r="K28" s="19">
        <f t="shared" si="25"/>
        <v>732399</v>
      </c>
      <c r="L28" s="19">
        <f t="shared" si="25"/>
        <v>211936</v>
      </c>
      <c r="M28" s="19">
        <f t="shared" si="25"/>
        <v>650442</v>
      </c>
      <c r="N28" s="19">
        <f t="shared" si="25"/>
        <v>511757</v>
      </c>
      <c r="O28" s="19">
        <f t="shared" si="25"/>
        <v>507706</v>
      </c>
    </row>
    <row r="29" spans="1:15" x14ac:dyDescent="0.25">
      <c r="A29" s="28">
        <f t="shared" si="1"/>
        <v>24</v>
      </c>
      <c r="B29" s="18" t="s">
        <v>77</v>
      </c>
      <c r="C29" s="19">
        <f t="shared" si="24"/>
        <v>1339464</v>
      </c>
      <c r="D29" s="19">
        <f>ROUND(+D12*D22,0)</f>
        <v>0</v>
      </c>
      <c r="E29" s="19">
        <f t="shared" ref="E29:O29" si="26">ROUND(+E12*E22,0)</f>
        <v>0</v>
      </c>
      <c r="F29" s="19">
        <f t="shared" si="26"/>
        <v>0</v>
      </c>
      <c r="G29" s="19">
        <f t="shared" si="26"/>
        <v>171983</v>
      </c>
      <c r="H29" s="19">
        <f t="shared" si="26"/>
        <v>213597</v>
      </c>
      <c r="I29" s="19">
        <f t="shared" si="26"/>
        <v>399346</v>
      </c>
      <c r="J29" s="19">
        <f t="shared" si="26"/>
        <v>181606</v>
      </c>
      <c r="K29" s="19">
        <f t="shared" si="26"/>
        <v>294431</v>
      </c>
      <c r="L29" s="19">
        <f t="shared" si="26"/>
        <v>78501</v>
      </c>
      <c r="M29" s="19">
        <f t="shared" si="26"/>
        <v>0</v>
      </c>
      <c r="N29" s="19">
        <f t="shared" si="26"/>
        <v>0</v>
      </c>
      <c r="O29" s="19">
        <f t="shared" si="26"/>
        <v>0</v>
      </c>
    </row>
    <row r="30" spans="1:15" x14ac:dyDescent="0.25">
      <c r="A30" s="28">
        <f t="shared" si="1"/>
        <v>25</v>
      </c>
      <c r="B30" s="18" t="s">
        <v>78</v>
      </c>
      <c r="C30" s="19">
        <f t="shared" si="24"/>
        <v>898209</v>
      </c>
      <c r="D30" s="19">
        <f>ROUND(+D13*D23,0)</f>
        <v>122885</v>
      </c>
      <c r="E30" s="19">
        <f t="shared" ref="E30:O30" si="27">ROUND(+E13*E23,0)</f>
        <v>149372</v>
      </c>
      <c r="F30" s="19">
        <f t="shared" si="27"/>
        <v>177147</v>
      </c>
      <c r="G30" s="19">
        <f t="shared" si="27"/>
        <v>0</v>
      </c>
      <c r="H30" s="19">
        <f t="shared" si="27"/>
        <v>0</v>
      </c>
      <c r="I30" s="19">
        <f t="shared" si="27"/>
        <v>0</v>
      </c>
      <c r="J30" s="19">
        <f t="shared" si="27"/>
        <v>0</v>
      </c>
      <c r="K30" s="19">
        <f t="shared" si="27"/>
        <v>0</v>
      </c>
      <c r="L30" s="19">
        <f t="shared" si="27"/>
        <v>0</v>
      </c>
      <c r="M30" s="19">
        <f t="shared" si="27"/>
        <v>189581</v>
      </c>
      <c r="N30" s="19">
        <f t="shared" si="27"/>
        <v>117377</v>
      </c>
      <c r="O30" s="19">
        <f t="shared" si="27"/>
        <v>141847</v>
      </c>
    </row>
    <row r="31" spans="1:15" x14ac:dyDescent="0.25">
      <c r="A31" s="28">
        <f t="shared" si="1"/>
        <v>26</v>
      </c>
      <c r="B31" s="18" t="s">
        <v>58</v>
      </c>
      <c r="C31" s="19">
        <f t="shared" si="24"/>
        <v>48173</v>
      </c>
      <c r="D31" s="19">
        <f>ROUND(+D16*D24,0)</f>
        <v>2400</v>
      </c>
      <c r="E31" s="19">
        <f t="shared" ref="E31:O31" si="28">ROUND(+E16*E24,0)</f>
        <v>4402</v>
      </c>
      <c r="F31" s="19">
        <f t="shared" si="28"/>
        <v>6674</v>
      </c>
      <c r="G31" s="19">
        <f t="shared" si="28"/>
        <v>3648</v>
      </c>
      <c r="H31" s="19">
        <f t="shared" si="28"/>
        <v>2755</v>
      </c>
      <c r="I31" s="19">
        <f t="shared" si="28"/>
        <v>6167</v>
      </c>
      <c r="J31" s="19">
        <f t="shared" si="28"/>
        <v>3368</v>
      </c>
      <c r="K31" s="19">
        <f t="shared" si="28"/>
        <v>4789</v>
      </c>
      <c r="L31" s="19">
        <f t="shared" si="28"/>
        <v>2530</v>
      </c>
      <c r="M31" s="19">
        <f t="shared" si="28"/>
        <v>5191</v>
      </c>
      <c r="N31" s="19">
        <f t="shared" si="28"/>
        <v>1978</v>
      </c>
      <c r="O31" s="19">
        <f t="shared" si="28"/>
        <v>4271</v>
      </c>
    </row>
    <row r="32" spans="1:15" x14ac:dyDescent="0.25">
      <c r="A32" s="28">
        <f t="shared" si="1"/>
        <v>27</v>
      </c>
      <c r="B32" s="16" t="s">
        <v>83</v>
      </c>
      <c r="C32" s="19">
        <f>SUM(C27:C31)</f>
        <v>8710933</v>
      </c>
      <c r="D32" s="19">
        <f>SUM(D27:D31)</f>
        <v>540110</v>
      </c>
      <c r="E32" s="19">
        <f t="shared" ref="E32:O32" si="29">SUM(E27:E31)</f>
        <v>703299</v>
      </c>
      <c r="F32" s="19">
        <f t="shared" si="29"/>
        <v>863896</v>
      </c>
      <c r="G32" s="19">
        <f t="shared" si="29"/>
        <v>587048</v>
      </c>
      <c r="H32" s="19">
        <f t="shared" si="29"/>
        <v>633563</v>
      </c>
      <c r="I32" s="19">
        <f t="shared" si="29"/>
        <v>1276276</v>
      </c>
      <c r="J32" s="19">
        <f t="shared" si="29"/>
        <v>640346</v>
      </c>
      <c r="K32" s="19">
        <f t="shared" si="29"/>
        <v>1035262</v>
      </c>
      <c r="L32" s="19">
        <f t="shared" si="29"/>
        <v>293696</v>
      </c>
      <c r="M32" s="19">
        <f t="shared" si="29"/>
        <v>848129</v>
      </c>
      <c r="N32" s="19">
        <f t="shared" si="29"/>
        <v>633298</v>
      </c>
      <c r="O32" s="19">
        <f t="shared" si="29"/>
        <v>656010</v>
      </c>
    </row>
    <row r="33" spans="1:15" x14ac:dyDescent="0.25">
      <c r="A33" s="28">
        <f t="shared" si="1"/>
        <v>28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28">
        <f t="shared" si="1"/>
        <v>29</v>
      </c>
      <c r="B34" s="5" t="s">
        <v>20</v>
      </c>
      <c r="C34" s="15">
        <f>SUM(D34:O34)</f>
        <v>-3800774</v>
      </c>
      <c r="D34" s="15">
        <f>+'Sch 40 Campus Svc'!D60</f>
        <v>2186250</v>
      </c>
      <c r="E34" s="15">
        <f>+'Sch 40 Campus Svc'!E60</f>
        <v>-1728262</v>
      </c>
      <c r="F34" s="15">
        <f>+'Sch 40 Campus Svc'!F60</f>
        <v>1209546</v>
      </c>
      <c r="G34" s="15">
        <f>+'Sch 40 Campus Svc'!G60</f>
        <v>832111</v>
      </c>
      <c r="H34" s="15">
        <f>+'Sch 40 Campus Svc'!H60</f>
        <v>-2194038</v>
      </c>
      <c r="I34" s="15">
        <f>+'Sch 40 Campus Svc'!I60</f>
        <v>-610424</v>
      </c>
      <c r="J34" s="15">
        <f>+'Sch 40 Campus Svc'!J60</f>
        <v>606209</v>
      </c>
      <c r="K34" s="15">
        <f>+'Sch 40 Campus Svc'!K60</f>
        <v>-3627864</v>
      </c>
      <c r="L34" s="15">
        <f>+'Sch 40 Campus Svc'!L60</f>
        <v>3892662</v>
      </c>
      <c r="M34" s="15">
        <f>+'Sch 40 Campus Svc'!M60</f>
        <v>-4095087</v>
      </c>
      <c r="N34" s="15">
        <f>+'Sch 40 Campus Svc'!N60</f>
        <v>-458013</v>
      </c>
      <c r="O34" s="15">
        <f>+'Sch 40 Campus Svc'!O60</f>
        <v>186136</v>
      </c>
    </row>
    <row r="35" spans="1:15" x14ac:dyDescent="0.25">
      <c r="A35" s="28">
        <f t="shared" si="1"/>
        <v>30</v>
      </c>
      <c r="B35" s="5" t="s">
        <v>21</v>
      </c>
      <c r="D35" s="21">
        <f t="shared" ref="D35:O35" si="30">+D32/D10</f>
        <v>7.6277727132463891E-2</v>
      </c>
      <c r="E35" s="21">
        <f t="shared" si="30"/>
        <v>7.4946611253196932E-2</v>
      </c>
      <c r="F35" s="21">
        <f t="shared" si="30"/>
        <v>7.4371212121212116E-2</v>
      </c>
      <c r="G35" s="21">
        <f t="shared" si="30"/>
        <v>8.3596491228070169E-2</v>
      </c>
      <c r="H35" s="21">
        <f t="shared" si="30"/>
        <v>8.8883698092031421E-2</v>
      </c>
      <c r="I35" s="21">
        <f t="shared" si="30"/>
        <v>8.5812758861814858E-2</v>
      </c>
      <c r="J35" s="21">
        <f t="shared" si="30"/>
        <v>8.2349022633744856E-2</v>
      </c>
      <c r="K35" s="21">
        <f t="shared" si="30"/>
        <v>8.2446323904179414E-2</v>
      </c>
      <c r="L35" s="21">
        <f t="shared" si="30"/>
        <v>8.0827829150154115E-2</v>
      </c>
      <c r="M35" s="21">
        <f t="shared" si="30"/>
        <v>7.6053928740237239E-2</v>
      </c>
      <c r="N35" s="21">
        <f t="shared" si="30"/>
        <v>7.2179357322455368E-2</v>
      </c>
      <c r="O35" s="21">
        <f t="shared" si="30"/>
        <v>7.5364457997075307E-2</v>
      </c>
    </row>
    <row r="36" spans="1:15" x14ac:dyDescent="0.25">
      <c r="A36" s="28">
        <f t="shared" si="1"/>
        <v>31</v>
      </c>
      <c r="B36" s="5" t="s">
        <v>22</v>
      </c>
      <c r="C36" s="19">
        <f>SUM(D36:O36)</f>
        <v>-315670</v>
      </c>
      <c r="D36" s="19">
        <f>ROUND(+D34*D35,0)</f>
        <v>166762</v>
      </c>
      <c r="E36" s="19">
        <f t="shared" ref="E36:O36" si="31">ROUND(+E34*E35,0)</f>
        <v>-129527</v>
      </c>
      <c r="F36" s="19">
        <f t="shared" si="31"/>
        <v>89955</v>
      </c>
      <c r="G36" s="19">
        <f t="shared" si="31"/>
        <v>69562</v>
      </c>
      <c r="H36" s="19">
        <f t="shared" si="31"/>
        <v>-195014</v>
      </c>
      <c r="I36" s="19">
        <f t="shared" si="31"/>
        <v>-52382</v>
      </c>
      <c r="J36" s="19">
        <f t="shared" si="31"/>
        <v>49921</v>
      </c>
      <c r="K36" s="19">
        <f t="shared" si="31"/>
        <v>-299104</v>
      </c>
      <c r="L36" s="19">
        <f t="shared" si="31"/>
        <v>314635</v>
      </c>
      <c r="M36" s="19">
        <f t="shared" si="31"/>
        <v>-311447</v>
      </c>
      <c r="N36" s="19">
        <f t="shared" si="31"/>
        <v>-33059</v>
      </c>
      <c r="O36" s="19">
        <f t="shared" si="31"/>
        <v>14028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1" orientation="landscape" r:id="rId1"/>
  <headerFooter>
    <oddFooter>&amp;L&amp;F&amp;R&amp;A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zoomScale="90" zoomScaleNormal="9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O63"/>
    </sheetView>
  </sheetViews>
  <sheetFormatPr defaultRowHeight="15" x14ac:dyDescent="0.25"/>
  <cols>
    <col min="1" max="1" width="4.5703125" style="11" bestFit="1" customWidth="1"/>
    <col min="2" max="2" width="39.7109375" style="11" bestFit="1" customWidth="1"/>
    <col min="3" max="3" width="15" style="11" bestFit="1" customWidth="1"/>
    <col min="4" max="15" width="13.85546875" style="11" bestFit="1" customWidth="1"/>
    <col min="16" max="16" width="13.28515625" style="11" customWidth="1"/>
    <col min="17" max="17" width="13.85546875" style="11" bestFit="1" customWidth="1"/>
    <col min="18" max="18" width="11.7109375" style="11" bestFit="1" customWidth="1"/>
    <col min="19" max="19" width="9.140625" style="11" bestFit="1" customWidth="1"/>
    <col min="20" max="20" width="6.140625" style="11" bestFit="1" customWidth="1"/>
    <col min="21" max="21" width="4.42578125" style="11" bestFit="1" customWidth="1"/>
    <col min="22" max="22" width="20.5703125" style="11" bestFit="1" customWidth="1"/>
    <col min="23" max="23" width="9.28515625" style="11" bestFit="1" customWidth="1"/>
    <col min="24" max="24" width="5" style="11" bestFit="1" customWidth="1"/>
    <col min="25" max="28" width="7.85546875" style="11" bestFit="1" customWidth="1"/>
    <col min="29" max="16384" width="9.140625" style="11"/>
  </cols>
  <sheetData>
    <row r="1" spans="1:28" x14ac:dyDescent="0.25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8" x14ac:dyDescent="0.25">
      <c r="A2" s="33" t="s">
        <v>129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8" x14ac:dyDescent="0.25">
      <c r="A3" s="31" t="str">
        <f>+'Proforma kWh'!$A$4</f>
        <v>Schedule 40 Migration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5" spans="1:28" ht="45" x14ac:dyDescent="0.25">
      <c r="A5" s="12" t="s">
        <v>4</v>
      </c>
      <c r="B5" s="12" t="s">
        <v>5</v>
      </c>
      <c r="C5" s="9" t="str">
        <f>+'Sch 24 Sm Sec'!C5</f>
        <v>Total
July 2019 to
June 2020</v>
      </c>
      <c r="D5" s="9">
        <f>+'Sch 24 Sm Sec'!D5</f>
        <v>43647</v>
      </c>
      <c r="E5" s="9">
        <f>+'Sch 24 Sm Sec'!E5</f>
        <v>43678</v>
      </c>
      <c r="F5" s="9">
        <f>+'Sch 24 Sm Sec'!F5</f>
        <v>43709</v>
      </c>
      <c r="G5" s="9">
        <f>+'Sch 24 Sm Sec'!G5</f>
        <v>43739</v>
      </c>
      <c r="H5" s="9">
        <f>+'Sch 24 Sm Sec'!H5</f>
        <v>43770</v>
      </c>
      <c r="I5" s="9">
        <f>+'Sch 24 Sm Sec'!I5</f>
        <v>43800</v>
      </c>
      <c r="J5" s="9">
        <f>+'Sch 24 Sm Sec'!J5</f>
        <v>43831</v>
      </c>
      <c r="K5" s="9">
        <f>+'Sch 24 Sm Sec'!K5</f>
        <v>43862</v>
      </c>
      <c r="L5" s="9">
        <f>+'Sch 24 Sm Sec'!L5</f>
        <v>43891</v>
      </c>
      <c r="M5" s="9">
        <f>+'Sch 24 Sm Sec'!M5</f>
        <v>43922</v>
      </c>
      <c r="N5" s="9">
        <f>+'Sch 24 Sm Sec'!N5</f>
        <v>43952</v>
      </c>
      <c r="O5" s="9">
        <f>+'Sch 24 Sm Sec'!O5</f>
        <v>43983</v>
      </c>
      <c r="T5" s="13" t="s">
        <v>6</v>
      </c>
      <c r="U5" s="13" t="s">
        <v>7</v>
      </c>
      <c r="V5" s="13" t="s">
        <v>8</v>
      </c>
      <c r="W5" s="13" t="s">
        <v>9</v>
      </c>
      <c r="X5" s="13" t="s">
        <v>10</v>
      </c>
      <c r="Y5" s="13" t="s">
        <v>11</v>
      </c>
      <c r="Z5" s="13" t="s">
        <v>12</v>
      </c>
      <c r="AA5" s="13" t="s">
        <v>13</v>
      </c>
      <c r="AB5" s="13" t="s">
        <v>14</v>
      </c>
    </row>
    <row r="6" spans="1:28" x14ac:dyDescent="0.25">
      <c r="A6" s="14">
        <v>1</v>
      </c>
      <c r="B6" s="16" t="s">
        <v>87</v>
      </c>
      <c r="C6" s="15">
        <f t="shared" ref="C6:C8" si="0">SUM(D6:O6)</f>
        <v>-247</v>
      </c>
      <c r="D6" s="15">
        <f>-'[1]Sch 40 Campus Svc'!D6</f>
        <v>-20</v>
      </c>
      <c r="E6" s="15">
        <f>-'[1]Sch 40 Campus Svc'!E6</f>
        <v>-19</v>
      </c>
      <c r="F6" s="15">
        <f>-'[1]Sch 40 Campus Svc'!F6</f>
        <v>-19</v>
      </c>
      <c r="G6" s="15">
        <f>-'[1]Sch 40 Campus Svc'!G6</f>
        <v>-21</v>
      </c>
      <c r="H6" s="15">
        <f>-'[1]Sch 40 Campus Svc'!H6</f>
        <v>-29</v>
      </c>
      <c r="I6" s="15">
        <f>-'[1]Sch 40 Campus Svc'!I6</f>
        <v>-25</v>
      </c>
      <c r="J6" s="15">
        <f>-'[1]Sch 40 Campus Svc'!J6</f>
        <v>-19</v>
      </c>
      <c r="K6" s="15">
        <f>-'[1]Sch 40 Campus Svc'!K6</f>
        <v>-18</v>
      </c>
      <c r="L6" s="15">
        <f>-'[1]Sch 40 Campus Svc'!L6</f>
        <v>-12</v>
      </c>
      <c r="M6" s="15">
        <f>-'[1]Sch 40 Campus Svc'!M6</f>
        <v>-25</v>
      </c>
      <c r="N6" s="15">
        <f>-'[1]Sch 40 Campus Svc'!N6</f>
        <v>-21</v>
      </c>
      <c r="O6" s="15">
        <f>-'[1]Sch 40 Campus Svc'!O6</f>
        <v>-19</v>
      </c>
    </row>
    <row r="7" spans="1:28" x14ac:dyDescent="0.25">
      <c r="A7" s="14">
        <f>+A6+1</f>
        <v>2</v>
      </c>
      <c r="B7" s="16" t="s">
        <v>88</v>
      </c>
      <c r="C7" s="15">
        <f t="shared" si="0"/>
        <v>-125</v>
      </c>
      <c r="D7" s="15">
        <f>-'[1]Sch 40 Campus Svc'!D7</f>
        <v>-10</v>
      </c>
      <c r="E7" s="15">
        <f>-'[1]Sch 40 Campus Svc'!E7</f>
        <v>-12</v>
      </c>
      <c r="F7" s="15">
        <f>-'[1]Sch 40 Campus Svc'!F7</f>
        <v>-10</v>
      </c>
      <c r="G7" s="15">
        <f>-'[1]Sch 40 Campus Svc'!G7</f>
        <v>-9</v>
      </c>
      <c r="H7" s="15">
        <f>-'[1]Sch 40 Campus Svc'!H7</f>
        <v>3</v>
      </c>
      <c r="I7" s="15">
        <f>-'[1]Sch 40 Campus Svc'!I7</f>
        <v>-15</v>
      </c>
      <c r="J7" s="15">
        <f>-'[1]Sch 40 Campus Svc'!J7</f>
        <v>-12</v>
      </c>
      <c r="K7" s="15">
        <f>-'[1]Sch 40 Campus Svc'!K7</f>
        <v>-9</v>
      </c>
      <c r="L7" s="15">
        <f>-'[1]Sch 40 Campus Svc'!L7</f>
        <v>-8</v>
      </c>
      <c r="M7" s="15">
        <f>-'[1]Sch 40 Campus Svc'!M7</f>
        <v>-15</v>
      </c>
      <c r="N7" s="15">
        <f>-'[1]Sch 40 Campus Svc'!N7</f>
        <v>-16</v>
      </c>
      <c r="O7" s="15">
        <f>-'[1]Sch 40 Campus Svc'!O7</f>
        <v>-12</v>
      </c>
    </row>
    <row r="8" spans="1:28" x14ac:dyDescent="0.25">
      <c r="A8" s="14">
        <f t="shared" ref="A8:A62" si="1">+A7+1</f>
        <v>3</v>
      </c>
      <c r="B8" s="16" t="s">
        <v>89</v>
      </c>
      <c r="C8" s="15">
        <f t="shared" si="0"/>
        <v>-85</v>
      </c>
      <c r="D8" s="15">
        <f>-'[1]Sch 40 Campus Svc'!D8</f>
        <v>-6</v>
      </c>
      <c r="E8" s="15">
        <f>-'[1]Sch 40 Campus Svc'!E8</f>
        <v>-7</v>
      </c>
      <c r="F8" s="15">
        <f>-'[1]Sch 40 Campus Svc'!F8</f>
        <v>-8</v>
      </c>
      <c r="G8" s="15">
        <f>-'[1]Sch 40 Campus Svc'!G8</f>
        <v>-6</v>
      </c>
      <c r="H8" s="15">
        <f>-'[1]Sch 40 Campus Svc'!H8</f>
        <v>-5</v>
      </c>
      <c r="I8" s="15">
        <f>-'[1]Sch 40 Campus Svc'!I8</f>
        <v>-10</v>
      </c>
      <c r="J8" s="15">
        <f>-'[1]Sch 40 Campus Svc'!J8</f>
        <v>-6</v>
      </c>
      <c r="K8" s="15">
        <f>-'[1]Sch 40 Campus Svc'!K8</f>
        <v>-11</v>
      </c>
      <c r="L8" s="15">
        <f>-'[1]Sch 40 Campus Svc'!L8</f>
        <v>-2</v>
      </c>
      <c r="M8" s="15">
        <f>-'[1]Sch 40 Campus Svc'!M8</f>
        <v>-9</v>
      </c>
      <c r="N8" s="15">
        <f>-'[1]Sch 40 Campus Svc'!N8</f>
        <v>-8</v>
      </c>
      <c r="O8" s="15">
        <f>-'[1]Sch 40 Campus Svc'!O8</f>
        <v>-7</v>
      </c>
    </row>
    <row r="9" spans="1:28" x14ac:dyDescent="0.25">
      <c r="A9" s="14">
        <f t="shared" si="1"/>
        <v>4</v>
      </c>
      <c r="B9" s="11" t="s">
        <v>15</v>
      </c>
      <c r="C9" s="15">
        <f>SUM(C6:C8)</f>
        <v>-457</v>
      </c>
      <c r="D9" s="15">
        <f>SUM(D6:D8)</f>
        <v>-36</v>
      </c>
      <c r="E9" s="15">
        <f t="shared" ref="E9:O9" si="2">SUM(E6:E8)</f>
        <v>-38</v>
      </c>
      <c r="F9" s="15">
        <f t="shared" si="2"/>
        <v>-37</v>
      </c>
      <c r="G9" s="15">
        <f t="shared" si="2"/>
        <v>-36</v>
      </c>
      <c r="H9" s="15">
        <f t="shared" si="2"/>
        <v>-31</v>
      </c>
      <c r="I9" s="15">
        <f t="shared" si="2"/>
        <v>-50</v>
      </c>
      <c r="J9" s="15">
        <f t="shared" si="2"/>
        <v>-37</v>
      </c>
      <c r="K9" s="15">
        <f t="shared" si="2"/>
        <v>-38</v>
      </c>
      <c r="L9" s="15">
        <f t="shared" si="2"/>
        <v>-22</v>
      </c>
      <c r="M9" s="15">
        <f t="shared" si="2"/>
        <v>-49</v>
      </c>
      <c r="N9" s="15">
        <f t="shared" si="2"/>
        <v>-45</v>
      </c>
      <c r="O9" s="15">
        <f t="shared" si="2"/>
        <v>-38</v>
      </c>
    </row>
    <row r="10" spans="1:28" x14ac:dyDescent="0.25">
      <c r="A10" s="14">
        <f t="shared" si="1"/>
        <v>5</v>
      </c>
      <c r="D10" s="15">
        <f>+D55</f>
        <v>0</v>
      </c>
      <c r="E10" s="15">
        <f t="shared" ref="E10:O10" si="3">+E55</f>
        <v>0</v>
      </c>
      <c r="F10" s="15">
        <f t="shared" si="3"/>
        <v>0</v>
      </c>
      <c r="G10" s="15">
        <f t="shared" si="3"/>
        <v>0</v>
      </c>
      <c r="H10" s="15">
        <f t="shared" si="3"/>
        <v>-1</v>
      </c>
      <c r="I10" s="15">
        <f t="shared" si="3"/>
        <v>0</v>
      </c>
      <c r="J10" s="15">
        <f t="shared" si="3"/>
        <v>0</v>
      </c>
      <c r="K10" s="15">
        <f t="shared" si="3"/>
        <v>0</v>
      </c>
      <c r="L10" s="15">
        <f t="shared" si="3"/>
        <v>0</v>
      </c>
      <c r="M10" s="15">
        <f t="shared" si="3"/>
        <v>0</v>
      </c>
      <c r="N10" s="15">
        <f t="shared" si="3"/>
        <v>-1</v>
      </c>
      <c r="O10" s="15">
        <f t="shared" si="3"/>
        <v>0</v>
      </c>
    </row>
    <row r="11" spans="1:28" x14ac:dyDescent="0.25">
      <c r="A11" s="14">
        <f t="shared" si="1"/>
        <v>6</v>
      </c>
      <c r="B11" s="16" t="s">
        <v>90</v>
      </c>
      <c r="C11" s="15">
        <f t="shared" ref="C11:C12" si="4">SUM(D11:O11)</f>
        <v>-46107660</v>
      </c>
      <c r="D11" s="15">
        <f>-'[1]Sch 40 Campus Svc'!D11</f>
        <v>-3942627</v>
      </c>
      <c r="E11" s="15">
        <f>-'[1]Sch 40 Campus Svc'!E11</f>
        <v>-4787444</v>
      </c>
      <c r="F11" s="15">
        <f>-'[1]Sch 40 Campus Svc'!F11</f>
        <v>-4042867</v>
      </c>
      <c r="G11" s="15">
        <f>-'[1]Sch 40 Campus Svc'!G11</f>
        <v>-3570381</v>
      </c>
      <c r="H11" s="15">
        <f>-'[1]Sch 40 Campus Svc'!H11</f>
        <v>-1164459</v>
      </c>
      <c r="I11" s="15">
        <f>-'[1]Sch 40 Campus Svc'!I11</f>
        <v>-5664170</v>
      </c>
      <c r="J11" s="15">
        <f>-'[1]Sch 40 Campus Svc'!J11</f>
        <v>-4259530</v>
      </c>
      <c r="K11" s="15">
        <f>-'[1]Sch 40 Campus Svc'!K11</f>
        <v>-3035300</v>
      </c>
      <c r="L11" s="15">
        <f>-'[1]Sch 40 Campus Svc'!L11</f>
        <v>-2718362</v>
      </c>
      <c r="M11" s="15">
        <f>-'[1]Sch 40 Campus Svc'!M11</f>
        <v>-5205170</v>
      </c>
      <c r="N11" s="15">
        <f>-'[1]Sch 40 Campus Svc'!N11</f>
        <v>-4079231</v>
      </c>
      <c r="O11" s="15">
        <f>-'[1]Sch 40 Campus Svc'!O11</f>
        <v>-3638119</v>
      </c>
    </row>
    <row r="12" spans="1:28" x14ac:dyDescent="0.25">
      <c r="A12" s="14">
        <f t="shared" si="1"/>
        <v>7</v>
      </c>
      <c r="B12" s="16" t="s">
        <v>91</v>
      </c>
      <c r="C12" s="15">
        <f t="shared" si="4"/>
        <v>-110091138</v>
      </c>
      <c r="D12" s="15">
        <f>-'[1]Sch 40 Campus Svc'!D12</f>
        <v>-7104835</v>
      </c>
      <c r="E12" s="15">
        <f>-'[1]Sch 40 Campus Svc'!E12</f>
        <v>-9408000</v>
      </c>
      <c r="F12" s="15">
        <f>-'[1]Sch 40 Campus Svc'!F12</f>
        <v>-11642400</v>
      </c>
      <c r="G12" s="15">
        <f>-'[1]Sch 40 Campus Svc'!G12</f>
        <v>-7053600</v>
      </c>
      <c r="H12" s="15">
        <f>-'[1]Sch 40 Campus Svc'!H12</f>
        <v>-7152001</v>
      </c>
      <c r="I12" s="15">
        <f>-'[1]Sch 40 Campus Svc'!I12</f>
        <v>-14904000</v>
      </c>
      <c r="J12" s="15">
        <f>-'[1]Sch 40 Campus Svc'!J12</f>
        <v>-7802400</v>
      </c>
      <c r="K12" s="15">
        <f>-'[1]Sch 40 Campus Svc'!K12</f>
        <v>-12573600</v>
      </c>
      <c r="L12" s="15">
        <f>-'[1]Sch 40 Campus Svc'!L12</f>
        <v>-3633600</v>
      </c>
      <c r="M12" s="15">
        <f>-'[1]Sch 40 Campus Svc'!M12</f>
        <v>-11199979</v>
      </c>
      <c r="N12" s="15">
        <f>-'[1]Sch 40 Campus Svc'!N12</f>
        <v>-8858700</v>
      </c>
      <c r="O12" s="15">
        <f>-'[1]Sch 40 Campus Svc'!O12</f>
        <v>-8758023</v>
      </c>
    </row>
    <row r="13" spans="1:28" x14ac:dyDescent="0.25">
      <c r="A13" s="14">
        <f t="shared" si="1"/>
        <v>8</v>
      </c>
      <c r="B13" s="11" t="s">
        <v>16</v>
      </c>
      <c r="C13" s="15">
        <f>SUM(C11:C12)</f>
        <v>-156198798</v>
      </c>
      <c r="D13" s="15">
        <f>SUM(D11:D12)</f>
        <v>-11047462</v>
      </c>
      <c r="E13" s="15">
        <f t="shared" ref="E13:O13" si="5">SUM(E11:E12)</f>
        <v>-14195444</v>
      </c>
      <c r="F13" s="15">
        <f t="shared" si="5"/>
        <v>-15685267</v>
      </c>
      <c r="G13" s="15">
        <f t="shared" si="5"/>
        <v>-10623981</v>
      </c>
      <c r="H13" s="15">
        <f t="shared" si="5"/>
        <v>-8316460</v>
      </c>
      <c r="I13" s="15">
        <f t="shared" si="5"/>
        <v>-20568170</v>
      </c>
      <c r="J13" s="15">
        <f t="shared" si="5"/>
        <v>-12061930</v>
      </c>
      <c r="K13" s="15">
        <f t="shared" si="5"/>
        <v>-15608900</v>
      </c>
      <c r="L13" s="15">
        <f t="shared" si="5"/>
        <v>-6351962</v>
      </c>
      <c r="M13" s="15">
        <f t="shared" si="5"/>
        <v>-16405149</v>
      </c>
      <c r="N13" s="15">
        <f t="shared" si="5"/>
        <v>-12937931</v>
      </c>
      <c r="O13" s="15">
        <f t="shared" si="5"/>
        <v>-12396142</v>
      </c>
    </row>
    <row r="14" spans="1:28" x14ac:dyDescent="0.25">
      <c r="A14" s="14">
        <f t="shared" si="1"/>
        <v>9</v>
      </c>
      <c r="C14" s="1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28" x14ac:dyDescent="0.25">
      <c r="A15" s="14">
        <f t="shared" si="1"/>
        <v>10</v>
      </c>
      <c r="B15" s="16" t="s">
        <v>92</v>
      </c>
      <c r="C15" s="15">
        <f t="shared" ref="C15:C16" si="6">SUM(D15:O15)</f>
        <v>-95165</v>
      </c>
      <c r="D15" s="15">
        <f>-'[1]Sch 40 Campus Svc'!D15</f>
        <v>-8662</v>
      </c>
      <c r="E15" s="15">
        <f>-'[1]Sch 40 Campus Svc'!E15</f>
        <v>-10370</v>
      </c>
      <c r="F15" s="15">
        <f>-'[1]Sch 40 Campus Svc'!F15</f>
        <v>-8466</v>
      </c>
      <c r="G15" s="15">
        <f>-'[1]Sch 40 Campus Svc'!G15</f>
        <v>-7275</v>
      </c>
      <c r="H15" s="15">
        <f>-'[1]Sch 40 Campus Svc'!H15</f>
        <v>-2056</v>
      </c>
      <c r="I15" s="15">
        <f>-'[1]Sch 40 Campus Svc'!I15</f>
        <v>-10780</v>
      </c>
      <c r="J15" s="15">
        <f>-'[1]Sch 40 Campus Svc'!J15</f>
        <v>-8234</v>
      </c>
      <c r="K15" s="15">
        <f>-'[1]Sch 40 Campus Svc'!K15</f>
        <v>-6062</v>
      </c>
      <c r="L15" s="15">
        <f>-'[1]Sch 40 Campus Svc'!L15</f>
        <v>-5326</v>
      </c>
      <c r="M15" s="15">
        <f>-'[1]Sch 40 Campus Svc'!M15</f>
        <v>-10425</v>
      </c>
      <c r="N15" s="15">
        <f>-'[1]Sch 40 Campus Svc'!N15</f>
        <v>-9367</v>
      </c>
      <c r="O15" s="15">
        <f>-'[1]Sch 40 Campus Svc'!O15</f>
        <v>-8142</v>
      </c>
    </row>
    <row r="16" spans="1:28" x14ac:dyDescent="0.25">
      <c r="A16" s="14">
        <f t="shared" si="1"/>
        <v>11</v>
      </c>
      <c r="B16" s="16" t="s">
        <v>93</v>
      </c>
      <c r="C16" s="15">
        <f t="shared" si="6"/>
        <v>-222513</v>
      </c>
      <c r="D16" s="15">
        <f>-'[1]Sch 40 Campus Svc'!D16</f>
        <v>-15251</v>
      </c>
      <c r="E16" s="15">
        <f>-'[1]Sch 40 Campus Svc'!E16</f>
        <v>-18523</v>
      </c>
      <c r="F16" s="15">
        <f>-'[1]Sch 40 Campus Svc'!F16</f>
        <v>-22034</v>
      </c>
      <c r="G16" s="15">
        <f>-'[1]Sch 40 Campus Svc'!G16</f>
        <v>-14587</v>
      </c>
      <c r="H16" s="15">
        <f>-'[1]Sch 40 Campus Svc'!H16</f>
        <v>-17667</v>
      </c>
      <c r="I16" s="15">
        <f>-'[1]Sch 40 Campus Svc'!I16</f>
        <v>-32983</v>
      </c>
      <c r="J16" s="15">
        <f>-'[1]Sch 40 Campus Svc'!J16</f>
        <v>-15005</v>
      </c>
      <c r="K16" s="15">
        <f>-'[1]Sch 40 Campus Svc'!K16</f>
        <v>-24281</v>
      </c>
      <c r="L16" s="15">
        <f>-'[1]Sch 40 Campus Svc'!L16</f>
        <v>-6461</v>
      </c>
      <c r="M16" s="15">
        <f>-'[1]Sch 40 Campus Svc'!M16</f>
        <v>-23511</v>
      </c>
      <c r="N16" s="15">
        <f>-'[1]Sch 40 Campus Svc'!N16</f>
        <v>-14629</v>
      </c>
      <c r="O16" s="15">
        <f>-'[1]Sch 40 Campus Svc'!O16</f>
        <v>-17581</v>
      </c>
    </row>
    <row r="17" spans="1:15" x14ac:dyDescent="0.25">
      <c r="A17" s="14">
        <f t="shared" si="1"/>
        <v>12</v>
      </c>
      <c r="B17" s="16" t="s">
        <v>44</v>
      </c>
      <c r="C17" s="15">
        <f>SUM(C15:C16)</f>
        <v>-317678</v>
      </c>
      <c r="D17" s="15">
        <f>SUM(D15:D16)</f>
        <v>-23913</v>
      </c>
      <c r="E17" s="15">
        <f t="shared" ref="E17:O17" si="7">SUM(E15:E16)</f>
        <v>-28893</v>
      </c>
      <c r="F17" s="15">
        <f t="shared" si="7"/>
        <v>-30500</v>
      </c>
      <c r="G17" s="15">
        <f t="shared" si="7"/>
        <v>-21862</v>
      </c>
      <c r="H17" s="15">
        <f t="shared" si="7"/>
        <v>-19723</v>
      </c>
      <c r="I17" s="15">
        <f t="shared" si="7"/>
        <v>-43763</v>
      </c>
      <c r="J17" s="15">
        <f t="shared" si="7"/>
        <v>-23239</v>
      </c>
      <c r="K17" s="15">
        <f t="shared" si="7"/>
        <v>-30343</v>
      </c>
      <c r="L17" s="15">
        <f t="shared" si="7"/>
        <v>-11787</v>
      </c>
      <c r="M17" s="15">
        <f t="shared" si="7"/>
        <v>-33936</v>
      </c>
      <c r="N17" s="15">
        <f t="shared" si="7"/>
        <v>-23996</v>
      </c>
      <c r="O17" s="15">
        <f t="shared" si="7"/>
        <v>-25723</v>
      </c>
    </row>
    <row r="18" spans="1:15" x14ac:dyDescent="0.25">
      <c r="A18" s="14">
        <f t="shared" si="1"/>
        <v>13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14">
        <f t="shared" si="1"/>
        <v>14</v>
      </c>
      <c r="B19" s="16" t="s">
        <v>94</v>
      </c>
      <c r="C19" s="15">
        <f t="shared" ref="C19:C20" si="8">SUM(D19:O19)</f>
        <v>-14794859</v>
      </c>
      <c r="D19" s="15">
        <f>-'[1]Sch 40 Campus Svc'!D19</f>
        <v>-1480611</v>
      </c>
      <c r="E19" s="15">
        <f>-'[1]Sch 40 Campus Svc'!E19</f>
        <v>-1982738</v>
      </c>
      <c r="F19" s="15">
        <f>-'[1]Sch 40 Campus Svc'!F19</f>
        <v>-1629444</v>
      </c>
      <c r="G19" s="15">
        <f>-'[1]Sch 40 Campus Svc'!G19</f>
        <v>-1307183</v>
      </c>
      <c r="H19" s="15">
        <f>-'[1]Sch 40 Campus Svc'!H19</f>
        <v>266855</v>
      </c>
      <c r="I19" s="15">
        <f>-'[1]Sch 40 Campus Svc'!I19</f>
        <v>-1571635</v>
      </c>
      <c r="J19" s="15">
        <f>-'[1]Sch 40 Campus Svc'!J19</f>
        <v>-1207373</v>
      </c>
      <c r="K19" s="15">
        <f>-'[1]Sch 40 Campus Svc'!K19</f>
        <v>-861659</v>
      </c>
      <c r="L19" s="15">
        <f>-'[1]Sch 40 Campus Svc'!L19</f>
        <v>-923492</v>
      </c>
      <c r="M19" s="15">
        <f>-'[1]Sch 40 Campus Svc'!M19</f>
        <v>-1499690</v>
      </c>
      <c r="N19" s="15">
        <f>-'[1]Sch 40 Campus Svc'!N19</f>
        <v>-1227627</v>
      </c>
      <c r="O19" s="15">
        <f>-'[1]Sch 40 Campus Svc'!O19</f>
        <v>-1370262</v>
      </c>
    </row>
    <row r="20" spans="1:15" x14ac:dyDescent="0.25">
      <c r="A20" s="14">
        <f t="shared" si="1"/>
        <v>15</v>
      </c>
      <c r="B20" s="16" t="s">
        <v>95</v>
      </c>
      <c r="C20" s="15">
        <f t="shared" si="8"/>
        <v>-42706768</v>
      </c>
      <c r="D20" s="15">
        <f>-'[1]Sch 40 Campus Svc'!D20</f>
        <v>-2133365</v>
      </c>
      <c r="E20" s="15">
        <f>-'[1]Sch 40 Campus Svc'!E20</f>
        <v>-3904804</v>
      </c>
      <c r="F20" s="15">
        <f>-'[1]Sch 40 Campus Svc'!F20</f>
        <v>-5916000</v>
      </c>
      <c r="G20" s="15">
        <f>-'[1]Sch 40 Campus Svc'!G20</f>
        <v>-3242402</v>
      </c>
      <c r="H20" s="15">
        <f>-'[1]Sch 40 Campus Svc'!H20</f>
        <v>-2448000</v>
      </c>
      <c r="I20" s="15">
        <f>-'[1]Sch 40 Campus Svc'!I20</f>
        <v>-5462392</v>
      </c>
      <c r="J20" s="15">
        <f>-'[1]Sch 40 Campus Svc'!J20</f>
        <v>-2983197</v>
      </c>
      <c r="K20" s="15">
        <f>-'[1]Sch 40 Campus Svc'!K20</f>
        <v>-4238402</v>
      </c>
      <c r="L20" s="15">
        <f>-'[1]Sch 40 Campus Svc'!L20</f>
        <v>-2239196</v>
      </c>
      <c r="M20" s="15">
        <f>-'[1]Sch 40 Campus Svc'!M20</f>
        <v>-4609608</v>
      </c>
      <c r="N20" s="15">
        <f>-'[1]Sch 40 Campus Svc'!N20</f>
        <v>-1750140</v>
      </c>
      <c r="O20" s="15">
        <f>-'[1]Sch 40 Campus Svc'!O20</f>
        <v>-3779262</v>
      </c>
    </row>
    <row r="21" spans="1:15" x14ac:dyDescent="0.25">
      <c r="A21" s="14">
        <f t="shared" si="1"/>
        <v>16</v>
      </c>
      <c r="B21" s="16" t="s">
        <v>46</v>
      </c>
      <c r="C21" s="15">
        <f>SUM(C19:C20)</f>
        <v>-57501627</v>
      </c>
      <c r="D21" s="15">
        <f>SUM(D19:D20)</f>
        <v>-3613976</v>
      </c>
      <c r="E21" s="15">
        <f t="shared" ref="E21:O21" si="9">SUM(E19:E20)</f>
        <v>-5887542</v>
      </c>
      <c r="F21" s="15">
        <f t="shared" si="9"/>
        <v>-7545444</v>
      </c>
      <c r="G21" s="15">
        <f t="shared" si="9"/>
        <v>-4549585</v>
      </c>
      <c r="H21" s="15">
        <f t="shared" si="9"/>
        <v>-2181145</v>
      </c>
      <c r="I21" s="15">
        <f t="shared" si="9"/>
        <v>-7034027</v>
      </c>
      <c r="J21" s="15">
        <f t="shared" si="9"/>
        <v>-4190570</v>
      </c>
      <c r="K21" s="15">
        <f t="shared" si="9"/>
        <v>-5100061</v>
      </c>
      <c r="L21" s="15">
        <f t="shared" si="9"/>
        <v>-3162688</v>
      </c>
      <c r="M21" s="15">
        <f t="shared" si="9"/>
        <v>-6109298</v>
      </c>
      <c r="N21" s="15">
        <f t="shared" si="9"/>
        <v>-2977767</v>
      </c>
      <c r="O21" s="15">
        <f t="shared" si="9"/>
        <v>-5149524</v>
      </c>
    </row>
    <row r="22" spans="1:15" x14ac:dyDescent="0.25">
      <c r="A22" s="28">
        <f t="shared" si="1"/>
        <v>17</v>
      </c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5">
      <c r="A23" s="28">
        <f t="shared" si="1"/>
        <v>18</v>
      </c>
      <c r="B23" s="29" t="str">
        <f>+'[1]Sch 40 Campus Svc'!$B$23</f>
        <v>Rates Effective 5-1-18</v>
      </c>
      <c r="D23" s="21"/>
    </row>
    <row r="24" spans="1:15" x14ac:dyDescent="0.25">
      <c r="A24" s="28">
        <f t="shared" si="1"/>
        <v>19</v>
      </c>
      <c r="B24" s="18" t="s">
        <v>96</v>
      </c>
      <c r="D24" s="21">
        <f>+'[1]Sch 40 Campus Svc'!D24</f>
        <v>52.3</v>
      </c>
      <c r="E24" s="21">
        <f t="shared" ref="E24:O32" si="10">+D24</f>
        <v>52.3</v>
      </c>
      <c r="F24" s="21">
        <f t="shared" ref="F24:O31" si="11">+E24</f>
        <v>52.3</v>
      </c>
      <c r="G24" s="21">
        <f t="shared" si="11"/>
        <v>52.3</v>
      </c>
      <c r="H24" s="21">
        <f t="shared" si="11"/>
        <v>52.3</v>
      </c>
      <c r="I24" s="21">
        <f t="shared" si="11"/>
        <v>52.3</v>
      </c>
      <c r="J24" s="21">
        <f t="shared" si="11"/>
        <v>52.3</v>
      </c>
      <c r="K24" s="21">
        <f t="shared" si="11"/>
        <v>52.3</v>
      </c>
      <c r="L24" s="21">
        <f t="shared" si="11"/>
        <v>52.3</v>
      </c>
      <c r="M24" s="21">
        <f t="shared" si="11"/>
        <v>52.3</v>
      </c>
      <c r="N24" s="21">
        <f t="shared" si="11"/>
        <v>52.3</v>
      </c>
      <c r="O24" s="21">
        <f t="shared" si="11"/>
        <v>52.3</v>
      </c>
    </row>
    <row r="25" spans="1:15" x14ac:dyDescent="0.25">
      <c r="A25" s="28">
        <f t="shared" si="1"/>
        <v>20</v>
      </c>
      <c r="B25" s="18" t="s">
        <v>97</v>
      </c>
      <c r="D25" s="21">
        <f>+'[1]Sch 40 Campus Svc'!D25</f>
        <v>105.74</v>
      </c>
      <c r="E25" s="21">
        <f t="shared" si="10"/>
        <v>105.74</v>
      </c>
      <c r="F25" s="21">
        <f t="shared" si="11"/>
        <v>105.74</v>
      </c>
      <c r="G25" s="21">
        <f t="shared" si="11"/>
        <v>105.74</v>
      </c>
      <c r="H25" s="21">
        <f t="shared" si="11"/>
        <v>105.74</v>
      </c>
      <c r="I25" s="21">
        <f t="shared" si="11"/>
        <v>105.74</v>
      </c>
      <c r="J25" s="21">
        <f t="shared" si="11"/>
        <v>105.74</v>
      </c>
      <c r="K25" s="21">
        <f t="shared" si="11"/>
        <v>105.74</v>
      </c>
      <c r="L25" s="21">
        <f t="shared" si="11"/>
        <v>105.74</v>
      </c>
      <c r="M25" s="21">
        <f t="shared" si="11"/>
        <v>105.74</v>
      </c>
      <c r="N25" s="21">
        <f t="shared" si="11"/>
        <v>105.74</v>
      </c>
      <c r="O25" s="21">
        <f t="shared" si="11"/>
        <v>105.74</v>
      </c>
    </row>
    <row r="26" spans="1:15" x14ac:dyDescent="0.25">
      <c r="A26" s="28">
        <f t="shared" si="1"/>
        <v>21</v>
      </c>
      <c r="B26" s="18" t="s">
        <v>98</v>
      </c>
      <c r="D26" s="21">
        <f>+'[1]Sch 40 Campus Svc'!D26</f>
        <v>343.66</v>
      </c>
      <c r="E26" s="21">
        <f t="shared" si="10"/>
        <v>343.66</v>
      </c>
      <c r="F26" s="21">
        <f t="shared" si="11"/>
        <v>343.66</v>
      </c>
      <c r="G26" s="21">
        <f t="shared" si="11"/>
        <v>343.66</v>
      </c>
      <c r="H26" s="21">
        <f t="shared" si="11"/>
        <v>343.66</v>
      </c>
      <c r="I26" s="21">
        <f t="shared" si="11"/>
        <v>343.66</v>
      </c>
      <c r="J26" s="21">
        <f t="shared" si="11"/>
        <v>343.66</v>
      </c>
      <c r="K26" s="21">
        <f t="shared" si="11"/>
        <v>343.66</v>
      </c>
      <c r="L26" s="21">
        <f t="shared" si="11"/>
        <v>343.66</v>
      </c>
      <c r="M26" s="21">
        <f t="shared" si="11"/>
        <v>343.66</v>
      </c>
      <c r="N26" s="21">
        <f t="shared" si="11"/>
        <v>343.66</v>
      </c>
      <c r="O26" s="21">
        <f t="shared" si="11"/>
        <v>343.66</v>
      </c>
    </row>
    <row r="27" spans="1:15" x14ac:dyDescent="0.25">
      <c r="A27" s="28">
        <f t="shared" si="1"/>
        <v>22</v>
      </c>
      <c r="B27" s="18" t="s">
        <v>99</v>
      </c>
      <c r="D27" s="21">
        <f>+'[1]Sch 40 Campus Svc'!D27</f>
        <v>5.3848E-2</v>
      </c>
      <c r="E27" s="21">
        <f t="shared" si="10"/>
        <v>5.3848E-2</v>
      </c>
      <c r="F27" s="21">
        <f t="shared" si="11"/>
        <v>5.3848E-2</v>
      </c>
      <c r="G27" s="21">
        <f t="shared" si="11"/>
        <v>5.3848E-2</v>
      </c>
      <c r="H27" s="21">
        <f t="shared" si="11"/>
        <v>5.3848E-2</v>
      </c>
      <c r="I27" s="21">
        <f t="shared" si="11"/>
        <v>5.3848E-2</v>
      </c>
      <c r="J27" s="21">
        <f t="shared" si="11"/>
        <v>5.3848E-2</v>
      </c>
      <c r="K27" s="21">
        <f t="shared" si="11"/>
        <v>5.3848E-2</v>
      </c>
      <c r="L27" s="21">
        <f t="shared" si="11"/>
        <v>5.3848E-2</v>
      </c>
      <c r="M27" s="21">
        <f t="shared" si="11"/>
        <v>5.3848E-2</v>
      </c>
      <c r="N27" s="21">
        <f t="shared" si="11"/>
        <v>5.3848E-2</v>
      </c>
      <c r="O27" s="21">
        <f t="shared" si="11"/>
        <v>5.3848E-2</v>
      </c>
    </row>
    <row r="28" spans="1:15" x14ac:dyDescent="0.25">
      <c r="A28" s="14">
        <f t="shared" si="1"/>
        <v>23</v>
      </c>
      <c r="B28" s="18" t="s">
        <v>100</v>
      </c>
      <c r="D28" s="21">
        <f>+'[1]Sch 40 Campus Svc'!D28</f>
        <v>5.1728999999999997E-2</v>
      </c>
      <c r="E28" s="21">
        <f t="shared" si="10"/>
        <v>5.1728999999999997E-2</v>
      </c>
      <c r="F28" s="21">
        <f t="shared" si="11"/>
        <v>5.1728999999999997E-2</v>
      </c>
      <c r="G28" s="21">
        <f t="shared" si="11"/>
        <v>5.1728999999999997E-2</v>
      </c>
      <c r="H28" s="21">
        <f t="shared" si="11"/>
        <v>5.1728999999999997E-2</v>
      </c>
      <c r="I28" s="21">
        <f t="shared" si="11"/>
        <v>5.1728999999999997E-2</v>
      </c>
      <c r="J28" s="21">
        <f t="shared" si="11"/>
        <v>5.1728999999999997E-2</v>
      </c>
      <c r="K28" s="21">
        <f t="shared" si="11"/>
        <v>5.1728999999999997E-2</v>
      </c>
      <c r="L28" s="21">
        <f t="shared" si="11"/>
        <v>5.1728999999999997E-2</v>
      </c>
      <c r="M28" s="21">
        <f t="shared" si="11"/>
        <v>5.1728999999999997E-2</v>
      </c>
      <c r="N28" s="21">
        <f t="shared" si="11"/>
        <v>5.1728999999999997E-2</v>
      </c>
      <c r="O28" s="21">
        <f t="shared" si="11"/>
        <v>5.1728999999999997E-2</v>
      </c>
    </row>
    <row r="29" spans="1:15" x14ac:dyDescent="0.25">
      <c r="A29" s="14">
        <f t="shared" si="1"/>
        <v>24</v>
      </c>
      <c r="B29" s="18" t="s">
        <v>101</v>
      </c>
      <c r="D29" s="21">
        <f>+'[1]Sch 40 Campus Svc'!D29</f>
        <v>6.13</v>
      </c>
      <c r="E29" s="21">
        <f t="shared" si="10"/>
        <v>6.13</v>
      </c>
      <c r="F29" s="21">
        <f t="shared" si="11"/>
        <v>6.13</v>
      </c>
      <c r="G29" s="21">
        <f t="shared" si="11"/>
        <v>6.13</v>
      </c>
      <c r="H29" s="21">
        <f t="shared" si="11"/>
        <v>6.13</v>
      </c>
      <c r="I29" s="21">
        <f t="shared" si="11"/>
        <v>6.13</v>
      </c>
      <c r="J29" s="21">
        <f t="shared" si="11"/>
        <v>6.13</v>
      </c>
      <c r="K29" s="21">
        <f t="shared" si="11"/>
        <v>6.13</v>
      </c>
      <c r="L29" s="21">
        <f t="shared" si="11"/>
        <v>6.13</v>
      </c>
      <c r="M29" s="21">
        <f t="shared" si="11"/>
        <v>6.13</v>
      </c>
      <c r="N29" s="21">
        <f t="shared" si="11"/>
        <v>6.13</v>
      </c>
      <c r="O29" s="21">
        <f t="shared" si="11"/>
        <v>6.13</v>
      </c>
    </row>
    <row r="30" spans="1:15" x14ac:dyDescent="0.25">
      <c r="A30" s="14">
        <f t="shared" si="1"/>
        <v>25</v>
      </c>
      <c r="B30" s="18" t="s">
        <v>102</v>
      </c>
      <c r="D30" s="21">
        <f>+'[1]Sch 40 Campus Svc'!D30</f>
        <v>5.88</v>
      </c>
      <c r="E30" s="21">
        <f t="shared" si="10"/>
        <v>5.88</v>
      </c>
      <c r="F30" s="21">
        <f t="shared" si="11"/>
        <v>5.88</v>
      </c>
      <c r="G30" s="21">
        <f t="shared" si="11"/>
        <v>5.88</v>
      </c>
      <c r="H30" s="21">
        <f t="shared" si="11"/>
        <v>5.88</v>
      </c>
      <c r="I30" s="21">
        <f t="shared" si="11"/>
        <v>5.88</v>
      </c>
      <c r="J30" s="21">
        <f t="shared" si="11"/>
        <v>5.88</v>
      </c>
      <c r="K30" s="21">
        <f t="shared" si="11"/>
        <v>5.88</v>
      </c>
      <c r="L30" s="21">
        <f t="shared" si="11"/>
        <v>5.88</v>
      </c>
      <c r="M30" s="21">
        <f t="shared" si="11"/>
        <v>5.88</v>
      </c>
      <c r="N30" s="21">
        <f t="shared" si="11"/>
        <v>5.88</v>
      </c>
      <c r="O30" s="21">
        <f t="shared" si="11"/>
        <v>5.88</v>
      </c>
    </row>
    <row r="31" spans="1:15" x14ac:dyDescent="0.25">
      <c r="A31" s="14">
        <f t="shared" si="1"/>
        <v>26</v>
      </c>
      <c r="B31" s="18" t="s">
        <v>103</v>
      </c>
      <c r="D31" s="21">
        <f>+'[1]Sch 40 Campus Svc'!D31</f>
        <v>1.2600000000000001E-3</v>
      </c>
      <c r="E31" s="21">
        <f t="shared" si="10"/>
        <v>1.2600000000000001E-3</v>
      </c>
      <c r="F31" s="21">
        <f t="shared" si="11"/>
        <v>1.2600000000000001E-3</v>
      </c>
      <c r="G31" s="21">
        <f t="shared" si="11"/>
        <v>1.2600000000000001E-3</v>
      </c>
      <c r="H31" s="21">
        <f t="shared" si="11"/>
        <v>1.2600000000000001E-3</v>
      </c>
      <c r="I31" s="21">
        <f t="shared" si="11"/>
        <v>1.2600000000000001E-3</v>
      </c>
      <c r="J31" s="21">
        <f t="shared" si="11"/>
        <v>1.2600000000000001E-3</v>
      </c>
      <c r="K31" s="21">
        <f t="shared" si="11"/>
        <v>1.2600000000000001E-3</v>
      </c>
      <c r="L31" s="21">
        <f t="shared" si="11"/>
        <v>1.2600000000000001E-3</v>
      </c>
      <c r="M31" s="21">
        <f t="shared" si="11"/>
        <v>1.2600000000000001E-3</v>
      </c>
      <c r="N31" s="21">
        <f t="shared" si="11"/>
        <v>1.2600000000000001E-3</v>
      </c>
      <c r="O31" s="21">
        <f t="shared" si="11"/>
        <v>1.2600000000000001E-3</v>
      </c>
    </row>
    <row r="32" spans="1:15" x14ac:dyDescent="0.25">
      <c r="A32" s="14">
        <f t="shared" si="1"/>
        <v>27</v>
      </c>
      <c r="B32" s="18" t="s">
        <v>104</v>
      </c>
      <c r="D32" s="21">
        <f>+'[1]Sch 40 Campus Svc'!D32</f>
        <v>1.07E-3</v>
      </c>
      <c r="E32" s="21">
        <f t="shared" si="10"/>
        <v>1.07E-3</v>
      </c>
      <c r="F32" s="21">
        <f t="shared" si="10"/>
        <v>1.07E-3</v>
      </c>
      <c r="G32" s="21">
        <f t="shared" si="10"/>
        <v>1.07E-3</v>
      </c>
      <c r="H32" s="21">
        <f t="shared" si="10"/>
        <v>1.07E-3</v>
      </c>
      <c r="I32" s="21">
        <f t="shared" si="10"/>
        <v>1.07E-3</v>
      </c>
      <c r="J32" s="21">
        <f t="shared" si="10"/>
        <v>1.07E-3</v>
      </c>
      <c r="K32" s="21">
        <f t="shared" si="10"/>
        <v>1.07E-3</v>
      </c>
      <c r="L32" s="21">
        <f t="shared" si="10"/>
        <v>1.07E-3</v>
      </c>
      <c r="M32" s="21">
        <f t="shared" si="10"/>
        <v>1.07E-3</v>
      </c>
      <c r="N32" s="21">
        <f t="shared" si="10"/>
        <v>1.07E-3</v>
      </c>
      <c r="O32" s="21">
        <f t="shared" si="10"/>
        <v>1.07E-3</v>
      </c>
    </row>
    <row r="33" spans="1:15" x14ac:dyDescent="0.25">
      <c r="A33" s="14">
        <f t="shared" si="1"/>
        <v>28</v>
      </c>
    </row>
    <row r="34" spans="1:15" x14ac:dyDescent="0.25">
      <c r="A34" s="14">
        <f t="shared" si="1"/>
        <v>29</v>
      </c>
      <c r="B34" s="20" t="s">
        <v>17</v>
      </c>
    </row>
    <row r="35" spans="1:15" x14ac:dyDescent="0.25">
      <c r="A35" s="14">
        <f t="shared" si="1"/>
        <v>30</v>
      </c>
      <c r="B35" s="18" t="s">
        <v>85</v>
      </c>
      <c r="C35" s="19">
        <f t="shared" ref="C35:C39" si="12">SUM(D35:O35)</f>
        <v>-55346</v>
      </c>
      <c r="D35" s="19">
        <f>ROUND(+D6*D24+D7*D25++D8*D26,0)</f>
        <v>-4165</v>
      </c>
      <c r="E35" s="19">
        <f t="shared" ref="E35:O35" si="13">ROUND(+E6*E24+E7*E25++E8*E26,0)</f>
        <v>-4668</v>
      </c>
      <c r="F35" s="19">
        <f t="shared" si="13"/>
        <v>-4800</v>
      </c>
      <c r="G35" s="19">
        <f t="shared" si="13"/>
        <v>-4112</v>
      </c>
      <c r="H35" s="19">
        <f t="shared" si="13"/>
        <v>-2918</v>
      </c>
      <c r="I35" s="19">
        <f t="shared" si="13"/>
        <v>-6330</v>
      </c>
      <c r="J35" s="19">
        <f t="shared" si="13"/>
        <v>-4325</v>
      </c>
      <c r="K35" s="19">
        <f t="shared" si="13"/>
        <v>-5673</v>
      </c>
      <c r="L35" s="19">
        <f t="shared" si="13"/>
        <v>-2161</v>
      </c>
      <c r="M35" s="19">
        <f t="shared" si="13"/>
        <v>-5987</v>
      </c>
      <c r="N35" s="19">
        <f t="shared" si="13"/>
        <v>-5539</v>
      </c>
      <c r="O35" s="19">
        <f t="shared" si="13"/>
        <v>-4668</v>
      </c>
    </row>
    <row r="36" spans="1:15" x14ac:dyDescent="0.25">
      <c r="A36" s="14">
        <f t="shared" si="1"/>
        <v>31</v>
      </c>
      <c r="B36" s="18" t="s">
        <v>86</v>
      </c>
      <c r="C36" s="19">
        <f t="shared" si="12"/>
        <v>-8177712</v>
      </c>
      <c r="D36" s="19">
        <f>ROUND(D11*D27+D12*D28,0)</f>
        <v>-579829</v>
      </c>
      <c r="E36" s="19">
        <f t="shared" ref="E36:O36" si="14">ROUND(E11*E27+E12*E28,0)</f>
        <v>-744461</v>
      </c>
      <c r="F36" s="19">
        <f t="shared" si="14"/>
        <v>-819950</v>
      </c>
      <c r="G36" s="19">
        <f t="shared" si="14"/>
        <v>-557134</v>
      </c>
      <c r="H36" s="19">
        <f t="shared" si="14"/>
        <v>-432670</v>
      </c>
      <c r="I36" s="19">
        <f t="shared" si="14"/>
        <v>-1075973</v>
      </c>
      <c r="J36" s="19">
        <f t="shared" si="14"/>
        <v>-632978</v>
      </c>
      <c r="K36" s="19">
        <f t="shared" si="14"/>
        <v>-813865</v>
      </c>
      <c r="L36" s="19">
        <f t="shared" si="14"/>
        <v>-334341</v>
      </c>
      <c r="M36" s="19">
        <f t="shared" si="14"/>
        <v>-859652</v>
      </c>
      <c r="N36" s="19">
        <f t="shared" si="14"/>
        <v>-677910</v>
      </c>
      <c r="O36" s="19">
        <f t="shared" si="14"/>
        <v>-648949</v>
      </c>
    </row>
    <row r="37" spans="1:15" x14ac:dyDescent="0.25">
      <c r="A37" s="14">
        <f t="shared" si="1"/>
        <v>32</v>
      </c>
      <c r="B37" s="18" t="s">
        <v>105</v>
      </c>
      <c r="C37" s="19">
        <f t="shared" si="12"/>
        <v>-1891737</v>
      </c>
      <c r="D37" s="19">
        <f>ROUND(+D15*D29+D16*D30,0)</f>
        <v>-142774</v>
      </c>
      <c r="E37" s="19">
        <f t="shared" ref="E37:O37" si="15">ROUND(+E15*E29+E16*E30,0)</f>
        <v>-172483</v>
      </c>
      <c r="F37" s="19">
        <f t="shared" si="15"/>
        <v>-181457</v>
      </c>
      <c r="G37" s="19">
        <f t="shared" si="15"/>
        <v>-130367</v>
      </c>
      <c r="H37" s="19">
        <f t="shared" si="15"/>
        <v>-116485</v>
      </c>
      <c r="I37" s="19">
        <f t="shared" si="15"/>
        <v>-260021</v>
      </c>
      <c r="J37" s="19">
        <f t="shared" si="15"/>
        <v>-138704</v>
      </c>
      <c r="K37" s="19">
        <f t="shared" si="15"/>
        <v>-179932</v>
      </c>
      <c r="L37" s="19">
        <f t="shared" si="15"/>
        <v>-70639</v>
      </c>
      <c r="M37" s="19">
        <f t="shared" si="15"/>
        <v>-202150</v>
      </c>
      <c r="N37" s="19">
        <f t="shared" si="15"/>
        <v>-143438</v>
      </c>
      <c r="O37" s="19">
        <f t="shared" si="15"/>
        <v>-153287</v>
      </c>
    </row>
    <row r="38" spans="1:15" x14ac:dyDescent="0.25">
      <c r="A38" s="14">
        <f t="shared" si="1"/>
        <v>33</v>
      </c>
      <c r="B38" s="18" t="s">
        <v>58</v>
      </c>
      <c r="C38" s="19">
        <f t="shared" si="12"/>
        <v>-64336</v>
      </c>
      <c r="D38" s="19">
        <f>ROUND(+D19*D31+D20*D32,0)</f>
        <v>-4148</v>
      </c>
      <c r="E38" s="19">
        <f t="shared" ref="E38:O38" si="16">ROUND(+E19*E31+E20*E32,0)</f>
        <v>-6676</v>
      </c>
      <c r="F38" s="19">
        <f t="shared" si="16"/>
        <v>-8383</v>
      </c>
      <c r="G38" s="19">
        <f t="shared" si="16"/>
        <v>-5116</v>
      </c>
      <c r="H38" s="19">
        <f t="shared" si="16"/>
        <v>-2283</v>
      </c>
      <c r="I38" s="19">
        <f t="shared" si="16"/>
        <v>-7825</v>
      </c>
      <c r="J38" s="19">
        <f t="shared" si="16"/>
        <v>-4713</v>
      </c>
      <c r="K38" s="19">
        <f t="shared" si="16"/>
        <v>-5621</v>
      </c>
      <c r="L38" s="19">
        <f t="shared" si="16"/>
        <v>-3560</v>
      </c>
      <c r="M38" s="19">
        <f t="shared" si="16"/>
        <v>-6822</v>
      </c>
      <c r="N38" s="19">
        <f t="shared" si="16"/>
        <v>-3419</v>
      </c>
      <c r="O38" s="19">
        <f t="shared" si="16"/>
        <v>-5770</v>
      </c>
    </row>
    <row r="39" spans="1:15" x14ac:dyDescent="0.25">
      <c r="A39" s="14">
        <f t="shared" si="1"/>
        <v>34</v>
      </c>
      <c r="B39" s="18" t="s">
        <v>106</v>
      </c>
      <c r="C39" s="19">
        <f t="shared" si="12"/>
        <v>-454044.04</v>
      </c>
      <c r="D39" s="19">
        <f>-'[1]Sch 40 Campus Svc'!D39</f>
        <v>-38687.1</v>
      </c>
      <c r="E39" s="19">
        <f>-'[1]Sch 40 Campus Svc'!E39</f>
        <v>-42464.99</v>
      </c>
      <c r="F39" s="19">
        <f>-'[1]Sch 40 Campus Svc'!F39</f>
        <v>-53901.429999999993</v>
      </c>
      <c r="G39" s="19">
        <f>-'[1]Sch 40 Campus Svc'!G39</f>
        <v>-39788.28</v>
      </c>
      <c r="H39" s="19">
        <f>-'[1]Sch 40 Campus Svc'!H39</f>
        <v>8091.5800000000017</v>
      </c>
      <c r="I39" s="19">
        <f>-'[1]Sch 40 Campus Svc'!I39</f>
        <v>-65626.76999999999</v>
      </c>
      <c r="J39" s="19">
        <f>-'[1]Sch 40 Campus Svc'!J39</f>
        <v>-35360.589999999997</v>
      </c>
      <c r="K39" s="19">
        <f>-'[1]Sch 40 Campus Svc'!K39</f>
        <v>-47968.369999999995</v>
      </c>
      <c r="L39" s="19">
        <f>-'[1]Sch 40 Campus Svc'!L39</f>
        <v>-18754.89</v>
      </c>
      <c r="M39" s="19">
        <f>-'[1]Sch 40 Campus Svc'!M39</f>
        <v>-42887.89</v>
      </c>
      <c r="N39" s="19">
        <f>-'[1]Sch 40 Campus Svc'!N39</f>
        <v>-37748.42</v>
      </c>
      <c r="O39" s="19">
        <f>-'[1]Sch 40 Campus Svc'!O39</f>
        <v>-38946.890000000007</v>
      </c>
    </row>
    <row r="40" spans="1:15" x14ac:dyDescent="0.25">
      <c r="A40" s="14">
        <f t="shared" si="1"/>
        <v>35</v>
      </c>
      <c r="B40" s="16" t="s">
        <v>107</v>
      </c>
      <c r="C40" s="19">
        <f>SUM(C35:C39)</f>
        <v>-10643175.039999999</v>
      </c>
      <c r="D40" s="19">
        <f>SUM(D35:D39)</f>
        <v>-769603.1</v>
      </c>
      <c r="E40" s="19">
        <f t="shared" ref="E40:O40" si="17">SUM(E35:E39)</f>
        <v>-970752.99</v>
      </c>
      <c r="F40" s="19">
        <f t="shared" si="17"/>
        <v>-1068491.43</v>
      </c>
      <c r="G40" s="19">
        <f t="shared" si="17"/>
        <v>-736517.28</v>
      </c>
      <c r="H40" s="19">
        <f t="shared" si="17"/>
        <v>-546264.42000000004</v>
      </c>
      <c r="I40" s="19">
        <f t="shared" si="17"/>
        <v>-1415775.77</v>
      </c>
      <c r="J40" s="19">
        <f t="shared" si="17"/>
        <v>-816080.59</v>
      </c>
      <c r="K40" s="19">
        <f t="shared" si="17"/>
        <v>-1053059.3700000001</v>
      </c>
      <c r="L40" s="19">
        <f t="shared" si="17"/>
        <v>-429455.89</v>
      </c>
      <c r="M40" s="19">
        <f t="shared" si="17"/>
        <v>-1117498.8899999999</v>
      </c>
      <c r="N40" s="19">
        <f t="shared" si="17"/>
        <v>-868054.42</v>
      </c>
      <c r="O40" s="19">
        <f t="shared" si="17"/>
        <v>-851620.89</v>
      </c>
    </row>
    <row r="41" spans="1:15" x14ac:dyDescent="0.25">
      <c r="A41" s="14">
        <f t="shared" si="1"/>
        <v>36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4">
        <f t="shared" si="1"/>
        <v>37</v>
      </c>
      <c r="B42" s="5" t="s">
        <v>20</v>
      </c>
      <c r="C42" s="15">
        <f>SUM(D42:O42)</f>
        <v>2914355.5454545459</v>
      </c>
      <c r="D42" s="15">
        <f>-'[1]Sch 40 Campus Svc'!D42</f>
        <v>-3410969.0909090899</v>
      </c>
      <c r="E42" s="15">
        <f>-'[1]Sch 40 Campus Svc'!E42</f>
        <v>2614390.7272727266</v>
      </c>
      <c r="F42" s="15">
        <f>-'[1]Sch 40 Campus Svc'!F42</f>
        <v>-1633268.9999999981</v>
      </c>
      <c r="G42" s="15">
        <f>-'[1]Sch 40 Campus Svc'!G42</f>
        <v>-1258875.3939393926</v>
      </c>
      <c r="H42" s="15">
        <f>-'[1]Sch 40 Campus Svc'!H42</f>
        <v>2559852.303030299</v>
      </c>
      <c r="I42" s="15">
        <f>-'[1]Sch 40 Campus Svc'!I42</f>
        <v>844179.00000000093</v>
      </c>
      <c r="J42" s="15">
        <f>-'[1]Sch 40 Campus Svc'!J42</f>
        <v>-940335.63636363577</v>
      </c>
      <c r="K42" s="15">
        <f>-'[1]Sch 40 Campus Svc'!K42</f>
        <v>4509665.1111111119</v>
      </c>
      <c r="L42" s="15">
        <f>-'[1]Sch 40 Campus Svc'!L42</f>
        <v>-6804834.1111111119</v>
      </c>
      <c r="M42" s="15">
        <f>-'[1]Sch 40 Campus Svc'!M42</f>
        <v>6024250.9127272721</v>
      </c>
      <c r="N42" s="15">
        <f>-'[1]Sch 40 Campus Svc'!N42</f>
        <v>675378.90545454621</v>
      </c>
      <c r="O42" s="15">
        <f>-'[1]Sch 40 Campus Svc'!O42</f>
        <v>-265078.18181818258</v>
      </c>
    </row>
    <row r="43" spans="1:15" x14ac:dyDescent="0.25">
      <c r="A43" s="14">
        <f t="shared" si="1"/>
        <v>38</v>
      </c>
      <c r="B43" s="5" t="s">
        <v>21</v>
      </c>
      <c r="C43" s="21"/>
      <c r="D43" s="21">
        <f t="shared" ref="D43:O43" si="18">+D40/D13</f>
        <v>6.9663339869374521E-2</v>
      </c>
      <c r="E43" s="21">
        <f t="shared" si="18"/>
        <v>6.8384827554530875E-2</v>
      </c>
      <c r="F43" s="21">
        <f t="shared" si="18"/>
        <v>6.812070397016512E-2</v>
      </c>
      <c r="G43" s="21">
        <f t="shared" si="18"/>
        <v>6.9325922175500876E-2</v>
      </c>
      <c r="H43" s="21">
        <f t="shared" si="18"/>
        <v>6.5684728838953113E-2</v>
      </c>
      <c r="I43" s="21">
        <f t="shared" si="18"/>
        <v>6.8833336655618846E-2</v>
      </c>
      <c r="J43" s="21">
        <f t="shared" si="18"/>
        <v>6.7657546512042435E-2</v>
      </c>
      <c r="K43" s="21">
        <f t="shared" si="18"/>
        <v>6.7465315941546172E-2</v>
      </c>
      <c r="L43" s="21">
        <f t="shared" si="18"/>
        <v>6.7609958938671236E-2</v>
      </c>
      <c r="M43" s="21">
        <f t="shared" si="18"/>
        <v>6.8118789411787714E-2</v>
      </c>
      <c r="N43" s="21">
        <f t="shared" si="18"/>
        <v>6.7093758654301061E-2</v>
      </c>
      <c r="O43" s="21">
        <f t="shared" si="18"/>
        <v>6.8700478745725893E-2</v>
      </c>
    </row>
    <row r="44" spans="1:15" x14ac:dyDescent="0.25">
      <c r="A44" s="14">
        <f t="shared" si="1"/>
        <v>39</v>
      </c>
      <c r="B44" s="5" t="s">
        <v>22</v>
      </c>
      <c r="C44" s="19">
        <f>SUM(D44:O44)</f>
        <v>186903</v>
      </c>
      <c r="D44" s="19">
        <f>ROUND(+D42*D43,0)</f>
        <v>-237619</v>
      </c>
      <c r="E44" s="19">
        <f t="shared" ref="E44:O44" si="19">ROUND(+E42*E43,0)</f>
        <v>178785</v>
      </c>
      <c r="F44" s="19">
        <f t="shared" si="19"/>
        <v>-111259</v>
      </c>
      <c r="G44" s="19">
        <f t="shared" si="19"/>
        <v>-87273</v>
      </c>
      <c r="H44" s="19">
        <f t="shared" si="19"/>
        <v>168143</v>
      </c>
      <c r="I44" s="19">
        <f t="shared" si="19"/>
        <v>58108</v>
      </c>
      <c r="J44" s="19">
        <f t="shared" si="19"/>
        <v>-63621</v>
      </c>
      <c r="K44" s="19">
        <f t="shared" si="19"/>
        <v>304246</v>
      </c>
      <c r="L44" s="19">
        <f t="shared" si="19"/>
        <v>-460075</v>
      </c>
      <c r="M44" s="19">
        <f t="shared" si="19"/>
        <v>410365</v>
      </c>
      <c r="N44" s="19">
        <f t="shared" si="19"/>
        <v>45314</v>
      </c>
      <c r="O44" s="19">
        <f t="shared" si="19"/>
        <v>-18211</v>
      </c>
    </row>
    <row r="45" spans="1:15" x14ac:dyDescent="0.25">
      <c r="A45" s="14">
        <f t="shared" si="1"/>
        <v>40</v>
      </c>
    </row>
    <row r="46" spans="1:15" x14ac:dyDescent="0.25">
      <c r="A46" s="14">
        <f t="shared" si="1"/>
        <v>41</v>
      </c>
    </row>
    <row r="47" spans="1:15" x14ac:dyDescent="0.25">
      <c r="A47" s="14">
        <f t="shared" si="1"/>
        <v>42</v>
      </c>
    </row>
    <row r="48" spans="1:15" x14ac:dyDescent="0.25">
      <c r="A48" s="14">
        <f t="shared" si="1"/>
        <v>43</v>
      </c>
      <c r="B48" s="16" t="s">
        <v>132</v>
      </c>
    </row>
    <row r="49" spans="1:15" x14ac:dyDescent="0.25">
      <c r="A49" s="14">
        <f t="shared" si="1"/>
        <v>44</v>
      </c>
      <c r="B49" s="18" t="s">
        <v>133</v>
      </c>
      <c r="C49" s="15">
        <f t="shared" ref="C49" si="20">SUM(D49:O49)</f>
        <v>879985</v>
      </c>
      <c r="D49" s="22">
        <f>+'[1]Sch 40 Migration (C)'!C11</f>
        <v>73647</v>
      </c>
      <c r="E49" s="22">
        <f>+'[1]Sch 40 Migration (C)'!D11</f>
        <v>70304</v>
      </c>
      <c r="F49" s="22">
        <f>+'[1]Sch 40 Migration (C)'!E11</f>
        <v>67167</v>
      </c>
      <c r="G49" s="22">
        <f>+'[1]Sch 40 Migration (C)'!F11</f>
        <v>74951</v>
      </c>
      <c r="H49" s="22">
        <f>+'[1]Sch 40 Migration (C)'!G11</f>
        <v>26091</v>
      </c>
      <c r="I49" s="22">
        <f>+'[1]Sch 40 Migration (C)'!H11</f>
        <v>137520</v>
      </c>
      <c r="J49" s="22">
        <f>+'[1]Sch 40 Migration (C)'!I11</f>
        <v>81430</v>
      </c>
      <c r="K49" s="22">
        <f>+'[1]Sch 40 Migration (C)'!J11</f>
        <v>82420</v>
      </c>
      <c r="L49" s="22">
        <f>+'[1]Sch 40 Migration (C)'!K11</f>
        <v>69942</v>
      </c>
      <c r="M49" s="22">
        <f>+'[1]Sch 40 Migration (C)'!L11</f>
        <v>70753</v>
      </c>
      <c r="N49" s="22">
        <f>+'[1]Sch 40 Migration (C)'!M11</f>
        <v>60533</v>
      </c>
      <c r="O49" s="22">
        <f>+'[1]Sch 40 Migration (C)'!N11</f>
        <v>65227</v>
      </c>
    </row>
    <row r="50" spans="1:15" x14ac:dyDescent="0.25">
      <c r="A50" s="14">
        <f t="shared" si="1"/>
        <v>45</v>
      </c>
      <c r="B50" s="18" t="s">
        <v>134</v>
      </c>
      <c r="C50" s="15">
        <f t="shared" ref="C50:C52" si="21">SUM(D50:O50)</f>
        <v>6252106</v>
      </c>
      <c r="D50" s="22">
        <f>+'[1]Sch 40 Migration (C)'!C16</f>
        <v>486600</v>
      </c>
      <c r="E50" s="22">
        <f>+'[1]Sch 40 Migration (C)'!D16</f>
        <v>459720</v>
      </c>
      <c r="F50" s="22">
        <f>+'[1]Sch 40 Migration (C)'!E16</f>
        <v>472600</v>
      </c>
      <c r="G50" s="22">
        <f>+'[1]Sch 40 Migration (C)'!F16</f>
        <v>519550</v>
      </c>
      <c r="H50" s="22">
        <f>+'[1]Sch 40 Migration (C)'!G16</f>
        <v>503580</v>
      </c>
      <c r="I50" s="22">
        <f>+'[1]Sch 40 Migration (C)'!H16</f>
        <v>610010</v>
      </c>
      <c r="J50" s="22">
        <f>+'[1]Sch 40 Migration (C)'!I16</f>
        <v>574140</v>
      </c>
      <c r="K50" s="22">
        <f>+'[1]Sch 40 Migration (C)'!J16</f>
        <v>555400</v>
      </c>
      <c r="L50" s="22">
        <f>+'[1]Sch 40 Migration (C)'!K16</f>
        <v>401720</v>
      </c>
      <c r="M50" s="22">
        <f>+'[1]Sch 40 Migration (C)'!L16</f>
        <v>740437</v>
      </c>
      <c r="N50" s="22">
        <f>+'[1]Sch 40 Migration (C)'!M16</f>
        <v>452898</v>
      </c>
      <c r="O50" s="22">
        <f>+'[1]Sch 40 Migration (C)'!N16</f>
        <v>475451</v>
      </c>
    </row>
    <row r="51" spans="1:15" x14ac:dyDescent="0.25">
      <c r="A51" s="14">
        <f t="shared" si="1"/>
        <v>46</v>
      </c>
      <c r="B51" s="18" t="s">
        <v>135</v>
      </c>
      <c r="C51" s="15">
        <f t="shared" si="21"/>
        <v>41808960</v>
      </c>
      <c r="D51" s="22">
        <f>+'[1]Sch 40 Migration (C)'!C21</f>
        <v>3382380</v>
      </c>
      <c r="E51" s="22">
        <f>+'[1]Sch 40 Migration (C)'!D21</f>
        <v>4257420</v>
      </c>
      <c r="F51" s="22">
        <f>+'[1]Sch 40 Migration (C)'!E21</f>
        <v>3503100</v>
      </c>
      <c r="G51" s="22">
        <f>+'[1]Sch 40 Migration (C)'!F21</f>
        <v>2975880</v>
      </c>
      <c r="H51" s="22">
        <f>+'[1]Sch 40 Migration (C)'!G21</f>
        <v>3468180</v>
      </c>
      <c r="I51" s="22">
        <f>+'[1]Sch 40 Migration (C)'!H21</f>
        <v>4916640</v>
      </c>
      <c r="J51" s="22">
        <f>+'[1]Sch 40 Migration (C)'!I21</f>
        <v>3603960</v>
      </c>
      <c r="K51" s="22">
        <f>+'[1]Sch 40 Migration (C)'!J21</f>
        <v>2397480</v>
      </c>
      <c r="L51" s="22">
        <f>+'[1]Sch 40 Migration (C)'!K21</f>
        <v>2246700</v>
      </c>
      <c r="M51" s="22">
        <f>+'[1]Sch 40 Migration (C)'!L21</f>
        <v>4393980</v>
      </c>
      <c r="N51" s="22">
        <f>+'[1]Sch 40 Migration (C)'!M21</f>
        <v>3565799</v>
      </c>
      <c r="O51" s="22">
        <f>+'[1]Sch 40 Migration (C)'!N21</f>
        <v>3097441</v>
      </c>
    </row>
    <row r="52" spans="1:15" x14ac:dyDescent="0.25">
      <c r="A52" s="14">
        <f t="shared" si="1"/>
        <v>47</v>
      </c>
      <c r="B52" s="18" t="s">
        <v>136</v>
      </c>
      <c r="C52" s="15">
        <f t="shared" si="21"/>
        <v>109700564</v>
      </c>
      <c r="D52" s="22">
        <f>+'[1]Sch 40 Migration (C)'!C26</f>
        <v>7080835</v>
      </c>
      <c r="E52" s="22">
        <f>+'[1]Sch 40 Migration (C)'!D26</f>
        <v>9384000</v>
      </c>
      <c r="F52" s="22">
        <f>+'[1]Sch 40 Migration (C)'!E26</f>
        <v>11616000</v>
      </c>
      <c r="G52" s="22">
        <f>+'[1]Sch 40 Migration (C)'!F26</f>
        <v>7022400</v>
      </c>
      <c r="H52" s="22">
        <f>+'[1]Sch 40 Migration (C)'!G26</f>
        <v>7128000</v>
      </c>
      <c r="I52" s="22">
        <f>+'[1]Sch 40 Migration (C)'!H26</f>
        <v>14872800</v>
      </c>
      <c r="J52" s="22">
        <f>+'[1]Sch 40 Migration (C)'!I26</f>
        <v>7776000</v>
      </c>
      <c r="K52" s="22">
        <f>+'[1]Sch 40 Migration (C)'!J26</f>
        <v>12556800</v>
      </c>
      <c r="L52" s="22">
        <f>+'[1]Sch 40 Migration (C)'!K26</f>
        <v>3633600</v>
      </c>
      <c r="M52" s="22">
        <f>+'[1]Sch 40 Migration (C)'!L26</f>
        <v>11151679</v>
      </c>
      <c r="N52" s="22">
        <f>+'[1]Sch 40 Migration (C)'!M26</f>
        <v>8773949</v>
      </c>
      <c r="O52" s="22">
        <f>+'[1]Sch 40 Migration (C)'!N26</f>
        <v>8704501</v>
      </c>
    </row>
    <row r="53" spans="1:15" x14ac:dyDescent="0.25">
      <c r="A53" s="14">
        <f t="shared" si="1"/>
        <v>48</v>
      </c>
      <c r="B53" s="18" t="s">
        <v>137</v>
      </c>
      <c r="C53" s="15">
        <f t="shared" ref="C53" si="22">SUM(D53:O53)</f>
        <v>-2442819</v>
      </c>
      <c r="D53" s="22">
        <f>+'[1]Sch 40 Migration (C)'!C31</f>
        <v>24000</v>
      </c>
      <c r="E53" s="22">
        <f>+'[1]Sch 40 Migration (C)'!D31</f>
        <v>24000</v>
      </c>
      <c r="F53" s="22">
        <f>+'[1]Sch 40 Migration (C)'!E31</f>
        <v>26400</v>
      </c>
      <c r="G53" s="22">
        <f>+'[1]Sch 40 Migration (C)'!F31</f>
        <v>31200</v>
      </c>
      <c r="H53" s="22">
        <f>+'[1]Sch 40 Migration (C)'!G31</f>
        <v>-2809392</v>
      </c>
      <c r="I53" s="22">
        <f>+'[1]Sch 40 Migration (C)'!H31</f>
        <v>31200</v>
      </c>
      <c r="J53" s="22">
        <f>+'[1]Sch 40 Migration (C)'!I31</f>
        <v>26400</v>
      </c>
      <c r="K53" s="22">
        <f>+'[1]Sch 40 Migration (C)'!J31</f>
        <v>16800</v>
      </c>
      <c r="L53" s="22">
        <f>+'[1]Sch 40 Migration (C)'!K31</f>
        <v>0</v>
      </c>
      <c r="M53" s="22">
        <f>+'[1]Sch 40 Migration (C)'!L31</f>
        <v>48300</v>
      </c>
      <c r="N53" s="22">
        <f>+'[1]Sch 40 Migration (C)'!M31</f>
        <v>84751</v>
      </c>
      <c r="O53" s="22">
        <f>+'[1]Sch 40 Migration (C)'!N31</f>
        <v>53522</v>
      </c>
    </row>
    <row r="54" spans="1:15" x14ac:dyDescent="0.25">
      <c r="A54" s="14">
        <f t="shared" si="1"/>
        <v>49</v>
      </c>
      <c r="B54" s="23" t="s">
        <v>115</v>
      </c>
      <c r="C54" s="22">
        <f>SUM(C49:C53)</f>
        <v>156198796</v>
      </c>
      <c r="D54" s="22">
        <f>SUM(D49:D53)</f>
        <v>11047462</v>
      </c>
      <c r="E54" s="22">
        <f t="shared" ref="E54:O54" si="23">SUM(E49:E53)</f>
        <v>14195444</v>
      </c>
      <c r="F54" s="22">
        <f t="shared" si="23"/>
        <v>15685267</v>
      </c>
      <c r="G54" s="22">
        <f t="shared" si="23"/>
        <v>10623981</v>
      </c>
      <c r="H54" s="22">
        <f t="shared" si="23"/>
        <v>8316459</v>
      </c>
      <c r="I54" s="22">
        <f t="shared" si="23"/>
        <v>20568170</v>
      </c>
      <c r="J54" s="22">
        <f t="shared" si="23"/>
        <v>12061930</v>
      </c>
      <c r="K54" s="22">
        <f t="shared" si="23"/>
        <v>15608900</v>
      </c>
      <c r="L54" s="22">
        <f t="shared" si="23"/>
        <v>6351962</v>
      </c>
      <c r="M54" s="22">
        <f t="shared" si="23"/>
        <v>16405149</v>
      </c>
      <c r="N54" s="22">
        <f t="shared" si="23"/>
        <v>12937930</v>
      </c>
      <c r="O54" s="22">
        <f t="shared" si="23"/>
        <v>12396142</v>
      </c>
    </row>
    <row r="55" spans="1:15" x14ac:dyDescent="0.25">
      <c r="A55" s="14">
        <f t="shared" si="1"/>
        <v>50</v>
      </c>
      <c r="D55" s="22">
        <f>+D54+D13</f>
        <v>0</v>
      </c>
      <c r="E55" s="22">
        <f t="shared" ref="E55:O55" si="24">+E54+E13</f>
        <v>0</v>
      </c>
      <c r="F55" s="22">
        <f t="shared" si="24"/>
        <v>0</v>
      </c>
      <c r="G55" s="22">
        <f t="shared" si="24"/>
        <v>0</v>
      </c>
      <c r="H55" s="22">
        <f t="shared" si="24"/>
        <v>-1</v>
      </c>
      <c r="I55" s="22">
        <f t="shared" si="24"/>
        <v>0</v>
      </c>
      <c r="J55" s="22">
        <f t="shared" si="24"/>
        <v>0</v>
      </c>
      <c r="K55" s="22">
        <f t="shared" si="24"/>
        <v>0</v>
      </c>
      <c r="L55" s="22">
        <f t="shared" si="24"/>
        <v>0</v>
      </c>
      <c r="M55" s="22">
        <f t="shared" si="24"/>
        <v>0</v>
      </c>
      <c r="N55" s="22">
        <f t="shared" si="24"/>
        <v>-1</v>
      </c>
      <c r="O55" s="22">
        <f t="shared" si="24"/>
        <v>0</v>
      </c>
    </row>
    <row r="56" spans="1:15" x14ac:dyDescent="0.25">
      <c r="A56" s="14">
        <f t="shared" si="1"/>
        <v>51</v>
      </c>
      <c r="B56" s="11" t="s">
        <v>131</v>
      </c>
    </row>
    <row r="57" spans="1:15" x14ac:dyDescent="0.25">
      <c r="A57" s="14">
        <f t="shared" si="1"/>
        <v>52</v>
      </c>
      <c r="B57" s="18" t="s">
        <v>133</v>
      </c>
      <c r="C57" s="15">
        <f t="shared" ref="C57:C61" si="25">SUM(D57:O57)</f>
        <v>41709</v>
      </c>
      <c r="D57" s="22">
        <f>ROUND(+D49/D$54*-D$42,0)</f>
        <v>22739</v>
      </c>
      <c r="E57" s="22">
        <f t="shared" ref="E57:O57" si="26">ROUND(+E49/E$54*-E$42,0)</f>
        <v>-12948</v>
      </c>
      <c r="F57" s="22">
        <f t="shared" si="26"/>
        <v>6994</v>
      </c>
      <c r="G57" s="22">
        <f t="shared" si="26"/>
        <v>8881</v>
      </c>
      <c r="H57" s="22">
        <f t="shared" si="26"/>
        <v>-8031</v>
      </c>
      <c r="I57" s="22">
        <f t="shared" si="26"/>
        <v>-5644</v>
      </c>
      <c r="J57" s="22">
        <f t="shared" si="26"/>
        <v>6348</v>
      </c>
      <c r="K57" s="22">
        <f t="shared" si="26"/>
        <v>-23812</v>
      </c>
      <c r="L57" s="22">
        <f t="shared" si="26"/>
        <v>74929</v>
      </c>
      <c r="M57" s="22">
        <f t="shared" si="26"/>
        <v>-25982</v>
      </c>
      <c r="N57" s="22">
        <f t="shared" si="26"/>
        <v>-3160</v>
      </c>
      <c r="O57" s="22">
        <f t="shared" si="26"/>
        <v>1395</v>
      </c>
    </row>
    <row r="58" spans="1:15" x14ac:dyDescent="0.25">
      <c r="A58" s="14">
        <f t="shared" si="1"/>
        <v>53</v>
      </c>
      <c r="B58" s="18" t="s">
        <v>134</v>
      </c>
      <c r="C58" s="15">
        <f t="shared" si="25"/>
        <v>25586</v>
      </c>
      <c r="D58" s="22">
        <f t="shared" ref="D58:O58" si="27">ROUND(+D50/D$54*-D$42,0)</f>
        <v>150241</v>
      </c>
      <c r="E58" s="22">
        <f t="shared" si="27"/>
        <v>-84667</v>
      </c>
      <c r="F58" s="22">
        <f t="shared" si="27"/>
        <v>49211</v>
      </c>
      <c r="G58" s="22">
        <f t="shared" si="27"/>
        <v>61563</v>
      </c>
      <c r="H58" s="22">
        <f t="shared" si="27"/>
        <v>-155005</v>
      </c>
      <c r="I58" s="22">
        <f t="shared" si="27"/>
        <v>-25037</v>
      </c>
      <c r="J58" s="22">
        <f t="shared" si="27"/>
        <v>44759</v>
      </c>
      <c r="K58" s="22">
        <f t="shared" si="27"/>
        <v>-160464</v>
      </c>
      <c r="L58" s="22">
        <f t="shared" si="27"/>
        <v>430361</v>
      </c>
      <c r="M58" s="22">
        <f t="shared" si="27"/>
        <v>-271901</v>
      </c>
      <c r="N58" s="22">
        <f t="shared" si="27"/>
        <v>-23642</v>
      </c>
      <c r="O58" s="22">
        <f t="shared" si="27"/>
        <v>10167</v>
      </c>
    </row>
    <row r="59" spans="1:15" x14ac:dyDescent="0.25">
      <c r="A59" s="14">
        <f t="shared" si="1"/>
        <v>54</v>
      </c>
      <c r="B59" s="18" t="s">
        <v>135</v>
      </c>
      <c r="C59" s="15">
        <f t="shared" si="25"/>
        <v>-29969</v>
      </c>
      <c r="D59" s="22">
        <f t="shared" ref="D59:O59" si="28">ROUND(+D51/D$54*-D$42,0)</f>
        <v>1044330</v>
      </c>
      <c r="E59" s="22">
        <f t="shared" si="28"/>
        <v>-784094</v>
      </c>
      <c r="F59" s="22">
        <f t="shared" si="28"/>
        <v>364769</v>
      </c>
      <c r="G59" s="22">
        <f t="shared" si="28"/>
        <v>352623</v>
      </c>
      <c r="H59" s="22">
        <f t="shared" si="28"/>
        <v>-1067525</v>
      </c>
      <c r="I59" s="22">
        <f t="shared" si="28"/>
        <v>-201794</v>
      </c>
      <c r="J59" s="22">
        <f t="shared" si="28"/>
        <v>280961</v>
      </c>
      <c r="K59" s="22">
        <f t="shared" si="28"/>
        <v>-692671</v>
      </c>
      <c r="L59" s="22">
        <f t="shared" si="28"/>
        <v>2406882</v>
      </c>
      <c r="M59" s="22">
        <f t="shared" si="28"/>
        <v>-1613545</v>
      </c>
      <c r="N59" s="22">
        <f t="shared" si="28"/>
        <v>-186140</v>
      </c>
      <c r="O59" s="22">
        <f t="shared" si="28"/>
        <v>66235</v>
      </c>
    </row>
    <row r="60" spans="1:15" x14ac:dyDescent="0.25">
      <c r="A60" s="14">
        <f t="shared" si="1"/>
        <v>55</v>
      </c>
      <c r="B60" s="18" t="s">
        <v>136</v>
      </c>
      <c r="C60" s="15">
        <f t="shared" si="25"/>
        <v>-3800774</v>
      </c>
      <c r="D60" s="22">
        <f t="shared" ref="D60:O60" si="29">ROUND(+D52/D$54*-D$42,0)</f>
        <v>2186250</v>
      </c>
      <c r="E60" s="22">
        <f t="shared" si="29"/>
        <v>-1728262</v>
      </c>
      <c r="F60" s="22">
        <f t="shared" si="29"/>
        <v>1209546</v>
      </c>
      <c r="G60" s="22">
        <f t="shared" si="29"/>
        <v>832111</v>
      </c>
      <c r="H60" s="22">
        <f t="shared" si="29"/>
        <v>-2194038</v>
      </c>
      <c r="I60" s="22">
        <f t="shared" si="29"/>
        <v>-610424</v>
      </c>
      <c r="J60" s="22">
        <f t="shared" si="29"/>
        <v>606209</v>
      </c>
      <c r="K60" s="22">
        <f t="shared" si="29"/>
        <v>-3627864</v>
      </c>
      <c r="L60" s="22">
        <f>ROUND(+L52/L$54*-L$42,0)-1</f>
        <v>3892662</v>
      </c>
      <c r="M60" s="22">
        <f t="shared" si="29"/>
        <v>-4095087</v>
      </c>
      <c r="N60" s="22">
        <f t="shared" si="29"/>
        <v>-458013</v>
      </c>
      <c r="O60" s="22">
        <f t="shared" si="29"/>
        <v>186136</v>
      </c>
    </row>
    <row r="61" spans="1:15" x14ac:dyDescent="0.25">
      <c r="A61" s="14">
        <f t="shared" si="1"/>
        <v>56</v>
      </c>
      <c r="B61" s="18" t="s">
        <v>137</v>
      </c>
      <c r="C61" s="15">
        <f t="shared" si="25"/>
        <v>849092</v>
      </c>
      <c r="D61" s="22">
        <f>ROUND(+D53/D$54*-D$42,0)-1</f>
        <v>7409</v>
      </c>
      <c r="E61" s="22">
        <f t="shared" ref="E61:O61" si="30">ROUND(+E53/E$54*-E$42,0)</f>
        <v>-4420</v>
      </c>
      <c r="F61" s="22">
        <f t="shared" si="30"/>
        <v>2749</v>
      </c>
      <c r="G61" s="22">
        <f t="shared" si="30"/>
        <v>3697</v>
      </c>
      <c r="H61" s="22">
        <f>ROUND(+H53/H$54*-H$42,0)+1</f>
        <v>864747</v>
      </c>
      <c r="I61" s="22">
        <f>ROUND(+I53/I$54*-I$42,0)+1</f>
        <v>-1280</v>
      </c>
      <c r="J61" s="22">
        <f>ROUND(+J53/J$54*-J$42,0)+1</f>
        <v>2059</v>
      </c>
      <c r="K61" s="22">
        <f t="shared" si="30"/>
        <v>-4854</v>
      </c>
      <c r="L61" s="22">
        <f t="shared" si="30"/>
        <v>0</v>
      </c>
      <c r="M61" s="22">
        <f>ROUND(+M53/M$54*-M$42,0)+1</f>
        <v>-17736</v>
      </c>
      <c r="N61" s="22">
        <f t="shared" si="30"/>
        <v>-4424</v>
      </c>
      <c r="O61" s="22">
        <f t="shared" si="30"/>
        <v>1145</v>
      </c>
    </row>
    <row r="62" spans="1:15" x14ac:dyDescent="0.25">
      <c r="A62" s="14">
        <f t="shared" si="1"/>
        <v>57</v>
      </c>
      <c r="B62" s="23" t="s">
        <v>115</v>
      </c>
      <c r="C62" s="22">
        <f>SUM(C57:C61)</f>
        <v>-2914356</v>
      </c>
      <c r="D62" s="22">
        <f>SUM(D57:D61)</f>
        <v>3410969</v>
      </c>
      <c r="E62" s="22">
        <f t="shared" ref="E62" si="31">SUM(E57:E61)</f>
        <v>-2614391</v>
      </c>
      <c r="F62" s="22">
        <f t="shared" ref="F62" si="32">SUM(F57:F61)</f>
        <v>1633269</v>
      </c>
      <c r="G62" s="22">
        <f t="shared" ref="G62" si="33">SUM(G57:G61)</f>
        <v>1258875</v>
      </c>
      <c r="H62" s="22">
        <f t="shared" ref="H62" si="34">SUM(H57:H61)</f>
        <v>-2559852</v>
      </c>
      <c r="I62" s="22">
        <f t="shared" ref="I62" si="35">SUM(I57:I61)</f>
        <v>-844179</v>
      </c>
      <c r="J62" s="22">
        <f t="shared" ref="J62" si="36">SUM(J57:J61)</f>
        <v>940336</v>
      </c>
      <c r="K62" s="22">
        <f t="shared" ref="K62" si="37">SUM(K57:K61)</f>
        <v>-4509665</v>
      </c>
      <c r="L62" s="22">
        <f t="shared" ref="L62" si="38">SUM(L57:L61)</f>
        <v>6804834</v>
      </c>
      <c r="M62" s="22">
        <f t="shared" ref="M62" si="39">SUM(M57:M61)</f>
        <v>-6024251</v>
      </c>
      <c r="N62" s="22">
        <f t="shared" ref="N62" si="40">SUM(N57:N61)</f>
        <v>-675379</v>
      </c>
      <c r="O62" s="22">
        <f t="shared" ref="O62" si="41">SUM(O57:O61)</f>
        <v>265078</v>
      </c>
    </row>
    <row r="63" spans="1:15" x14ac:dyDescent="0.25">
      <c r="D63" s="24">
        <f>+D62+D42</f>
        <v>-9.0909089893102646E-2</v>
      </c>
      <c r="E63" s="24">
        <f t="shared" ref="E63:O63" si="42">+E62+E42</f>
        <v>-0.27272727340459824</v>
      </c>
      <c r="F63" s="24">
        <f t="shared" si="42"/>
        <v>1.862645149230957E-9</v>
      </c>
      <c r="G63" s="24">
        <f t="shared" si="42"/>
        <v>-0.39393939264118671</v>
      </c>
      <c r="H63" s="24">
        <f t="shared" si="42"/>
        <v>0.30303029902279377</v>
      </c>
      <c r="I63" s="24">
        <f t="shared" si="42"/>
        <v>9.3132257461547852E-10</v>
      </c>
      <c r="J63" s="24">
        <f t="shared" si="42"/>
        <v>0.36363636422902346</v>
      </c>
      <c r="K63" s="24">
        <f t="shared" si="42"/>
        <v>0.1111111119389534</v>
      </c>
      <c r="L63" s="24">
        <f t="shared" si="42"/>
        <v>-0.1111111119389534</v>
      </c>
      <c r="M63" s="24">
        <f t="shared" si="42"/>
        <v>-8.7272727862000465E-2</v>
      </c>
      <c r="N63" s="24">
        <f t="shared" si="42"/>
        <v>-9.4545453786849976E-2</v>
      </c>
      <c r="O63" s="24">
        <f t="shared" si="42"/>
        <v>-0.18181818258017302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3" orientation="landscape" r:id="rId1"/>
  <headerFooter>
    <oddFooter>&amp;L&amp;F&amp;R&amp;A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zoomScale="90" zoomScaleNormal="9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O23"/>
    </sheetView>
  </sheetViews>
  <sheetFormatPr defaultRowHeight="15" x14ac:dyDescent="0.25"/>
  <cols>
    <col min="1" max="1" width="4.5703125" style="11" bestFit="1" customWidth="1"/>
    <col min="2" max="2" width="50.7109375" style="11" bestFit="1" customWidth="1"/>
    <col min="3" max="3" width="15" style="11" bestFit="1" customWidth="1"/>
    <col min="4" max="15" width="12.28515625" style="11" bestFit="1" customWidth="1"/>
    <col min="16" max="16" width="15" style="11" customWidth="1"/>
    <col min="17" max="17" width="15.7109375" style="11" bestFit="1" customWidth="1"/>
    <col min="18" max="18" width="11.7109375" style="11" bestFit="1" customWidth="1"/>
    <col min="19" max="19" width="5.28515625" style="11" customWidth="1"/>
    <col min="20" max="20" width="6.140625" style="11" bestFit="1" customWidth="1"/>
    <col min="21" max="21" width="4.42578125" style="11" bestFit="1" customWidth="1"/>
    <col min="22" max="22" width="20.5703125" style="11" customWidth="1"/>
    <col min="23" max="23" width="9.28515625" style="11" bestFit="1" customWidth="1"/>
    <col min="24" max="24" width="5" style="11" bestFit="1" customWidth="1"/>
    <col min="25" max="28" width="7.85546875" style="11" bestFit="1" customWidth="1"/>
    <col min="29" max="16384" width="9.140625" style="11"/>
  </cols>
  <sheetData>
    <row r="1" spans="1:28" x14ac:dyDescent="0.25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8" x14ac:dyDescent="0.25">
      <c r="A2" s="33" t="s">
        <v>142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8" x14ac:dyDescent="0.25">
      <c r="A3" s="31" t="str">
        <f>+'Proforma kWh'!$A$4</f>
        <v>Schedule 40 Migration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5" spans="1:28" ht="45" x14ac:dyDescent="0.25">
      <c r="A5" s="12" t="s">
        <v>4</v>
      </c>
      <c r="B5" s="12" t="s">
        <v>5</v>
      </c>
      <c r="C5" s="9" t="str">
        <f>+'Sch 24 Sm Sec'!C5</f>
        <v>Total
July 2019 to
June 2020</v>
      </c>
      <c r="D5" s="9">
        <f>+'Sch 24 Sm Sec'!D5</f>
        <v>43647</v>
      </c>
      <c r="E5" s="9">
        <f>+'Sch 24 Sm Sec'!E5</f>
        <v>43678</v>
      </c>
      <c r="F5" s="9">
        <f>+'Sch 24 Sm Sec'!F5</f>
        <v>43709</v>
      </c>
      <c r="G5" s="9">
        <f>+'Sch 24 Sm Sec'!G5</f>
        <v>43739</v>
      </c>
      <c r="H5" s="9">
        <f>+'Sch 24 Sm Sec'!H5</f>
        <v>43770</v>
      </c>
      <c r="I5" s="9">
        <f>+'Sch 24 Sm Sec'!I5</f>
        <v>43800</v>
      </c>
      <c r="J5" s="9">
        <f>+'Sch 24 Sm Sec'!J5</f>
        <v>43831</v>
      </c>
      <c r="K5" s="9">
        <f>+'Sch 24 Sm Sec'!K5</f>
        <v>43862</v>
      </c>
      <c r="L5" s="9">
        <f>+'Sch 24 Sm Sec'!L5</f>
        <v>43891</v>
      </c>
      <c r="M5" s="9">
        <f>+'Sch 24 Sm Sec'!M5</f>
        <v>43922</v>
      </c>
      <c r="N5" s="9">
        <f>+'Sch 24 Sm Sec'!N5</f>
        <v>43952</v>
      </c>
      <c r="O5" s="9">
        <f>+'Sch 24 Sm Sec'!O5</f>
        <v>43983</v>
      </c>
      <c r="T5" s="13" t="s">
        <v>6</v>
      </c>
      <c r="U5" s="13" t="s">
        <v>7</v>
      </c>
      <c r="V5" s="13" t="s">
        <v>8</v>
      </c>
      <c r="W5" s="13" t="s">
        <v>9</v>
      </c>
      <c r="X5" s="13" t="s">
        <v>10</v>
      </c>
      <c r="Y5" s="13" t="s">
        <v>11</v>
      </c>
      <c r="Z5" s="13" t="s">
        <v>12</v>
      </c>
      <c r="AA5" s="13" t="s">
        <v>13</v>
      </c>
      <c r="AB5" s="13" t="s">
        <v>14</v>
      </c>
    </row>
    <row r="6" spans="1:28" x14ac:dyDescent="0.25">
      <c r="A6" s="14">
        <v>1</v>
      </c>
      <c r="B6" s="11" t="s">
        <v>16</v>
      </c>
      <c r="C6" s="15">
        <f t="shared" ref="C6" si="0">SUM(D6:O6)</f>
        <v>-2442819</v>
      </c>
      <c r="D6" s="15">
        <f>+'[1]Sch 40 Migration (C)'!C31</f>
        <v>24000</v>
      </c>
      <c r="E6" s="15">
        <f>+'[1]Sch 40 Migration (C)'!D31</f>
        <v>24000</v>
      </c>
      <c r="F6" s="15">
        <f>+'[1]Sch 40 Migration (C)'!E31</f>
        <v>26400</v>
      </c>
      <c r="G6" s="15">
        <f>+'[1]Sch 40 Migration (C)'!F31</f>
        <v>31200</v>
      </c>
      <c r="H6" s="15">
        <f>+'[1]Sch 40 Migration (C)'!G31</f>
        <v>-2809392</v>
      </c>
      <c r="I6" s="15">
        <f>+'[1]Sch 40 Migration (C)'!H31</f>
        <v>31200</v>
      </c>
      <c r="J6" s="15">
        <f>+'[1]Sch 40 Migration (C)'!I31</f>
        <v>26400</v>
      </c>
      <c r="K6" s="15">
        <f>+'[1]Sch 40 Migration (C)'!J31</f>
        <v>16800</v>
      </c>
      <c r="L6" s="15">
        <f>+'[1]Sch 40 Migration (C)'!K31</f>
        <v>0</v>
      </c>
      <c r="M6" s="15">
        <f>+'[1]Sch 40 Migration (C)'!L31</f>
        <v>48300</v>
      </c>
      <c r="N6" s="15">
        <f>+'[1]Sch 40 Migration (C)'!M31</f>
        <v>84751</v>
      </c>
      <c r="O6" s="15">
        <f>+'[1]Sch 40 Migration (C)'!N31</f>
        <v>53522</v>
      </c>
    </row>
    <row r="7" spans="1:28" x14ac:dyDescent="0.25">
      <c r="A7" s="14">
        <f>+A6+1</f>
        <v>2</v>
      </c>
      <c r="C7" s="15"/>
      <c r="D7" s="15">
        <f>+'Sch 40 Campus Svc'!D55</f>
        <v>0</v>
      </c>
      <c r="E7" s="15">
        <f>+'Sch 40 Campus Svc'!E55</f>
        <v>0</v>
      </c>
      <c r="F7" s="15">
        <f>+'Sch 40 Campus Svc'!F55</f>
        <v>0</v>
      </c>
      <c r="G7" s="15">
        <f>+'Sch 40 Campus Svc'!G55</f>
        <v>0</v>
      </c>
      <c r="H7" s="15">
        <f>+'Sch 40 Campus Svc'!H55</f>
        <v>-1</v>
      </c>
      <c r="I7" s="15">
        <f>+'Sch 40 Campus Svc'!I55</f>
        <v>0</v>
      </c>
      <c r="J7" s="15">
        <f>+'Sch 40 Campus Svc'!J55</f>
        <v>0</v>
      </c>
      <c r="K7" s="15">
        <f>+'Sch 40 Campus Svc'!K55</f>
        <v>0</v>
      </c>
      <c r="L7" s="15">
        <f>+'Sch 40 Campus Svc'!L55</f>
        <v>0</v>
      </c>
      <c r="M7" s="15">
        <f>+'Sch 40 Campus Svc'!M55</f>
        <v>0</v>
      </c>
      <c r="N7" s="15">
        <f>+'Sch 40 Campus Svc'!N55</f>
        <v>-1</v>
      </c>
      <c r="O7" s="15">
        <f>+'Sch 40 Campus Svc'!O55</f>
        <v>0</v>
      </c>
    </row>
    <row r="8" spans="1:28" x14ac:dyDescent="0.25">
      <c r="A8" s="14">
        <f t="shared" ref="A8:A18" si="1">+A7+1</f>
        <v>3</v>
      </c>
      <c r="B8" s="16" t="s">
        <v>40</v>
      </c>
      <c r="C8" s="15">
        <f>SUM(D8:O8)</f>
        <v>12</v>
      </c>
      <c r="D8" s="15">
        <f>+'[1]Sch 40 Migration (C)'!C29</f>
        <v>1</v>
      </c>
      <c r="E8" s="15">
        <f>+'[1]Sch 40 Migration (C)'!D29</f>
        <v>1</v>
      </c>
      <c r="F8" s="15">
        <f>+'[1]Sch 40 Migration (C)'!E29</f>
        <v>1</v>
      </c>
      <c r="G8" s="15">
        <f>+'[1]Sch 40 Migration (C)'!F29</f>
        <v>1</v>
      </c>
      <c r="H8" s="15">
        <f>+'[1]Sch 40 Migration (C)'!G29</f>
        <v>1</v>
      </c>
      <c r="I8" s="15">
        <f>+'[1]Sch 40 Migration (C)'!H29</f>
        <v>1</v>
      </c>
      <c r="J8" s="15">
        <f>+'[1]Sch 40 Migration (C)'!I29</f>
        <v>1</v>
      </c>
      <c r="K8" s="15">
        <f>+'[1]Sch 40 Migration (C)'!J29</f>
        <v>1</v>
      </c>
      <c r="L8" s="15">
        <f>+'[1]Sch 40 Migration (C)'!K29</f>
        <v>0</v>
      </c>
      <c r="M8" s="15">
        <f>+'[1]Sch 40 Migration (C)'!L29</f>
        <v>1</v>
      </c>
      <c r="N8" s="15">
        <f>+'[1]Sch 40 Migration (C)'!M29</f>
        <v>2</v>
      </c>
      <c r="O8" s="15">
        <f>+'[1]Sch 40 Migration (C)'!N29</f>
        <v>1</v>
      </c>
    </row>
    <row r="9" spans="1:28" x14ac:dyDescent="0.25">
      <c r="A9" s="14">
        <f t="shared" si="1"/>
        <v>4</v>
      </c>
      <c r="C9" s="15"/>
      <c r="E9" s="17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28" x14ac:dyDescent="0.25">
      <c r="A10" s="14">
        <f t="shared" si="1"/>
        <v>5</v>
      </c>
      <c r="B10" s="16" t="s">
        <v>138</v>
      </c>
      <c r="C10" s="15">
        <f>SUM(D10:O10)</f>
        <v>-4723</v>
      </c>
      <c r="D10" s="15">
        <f>+'[1]Sch 40 Migration (C)'!C30</f>
        <v>81</v>
      </c>
      <c r="E10" s="15">
        <f>+'[1]Sch 40 Migration (C)'!D30</f>
        <v>81</v>
      </c>
      <c r="F10" s="15">
        <f>+'[1]Sch 40 Migration (C)'!E30</f>
        <v>163</v>
      </c>
      <c r="G10" s="15">
        <f>+'[1]Sch 40 Migration (C)'!F30</f>
        <v>432</v>
      </c>
      <c r="H10" s="15">
        <f>+'[1]Sch 40 Migration (C)'!G30</f>
        <v>-6014</v>
      </c>
      <c r="I10" s="15">
        <f>+'[1]Sch 40 Migration (C)'!H30</f>
        <v>115</v>
      </c>
      <c r="J10" s="15">
        <f>+'[1]Sch 40 Migration (C)'!I30</f>
        <v>58</v>
      </c>
      <c r="K10" s="15">
        <f>+'[1]Sch 40 Migration (C)'!J30</f>
        <v>48</v>
      </c>
      <c r="L10" s="15">
        <f>+'[1]Sch 40 Migration (C)'!K30</f>
        <v>0</v>
      </c>
      <c r="M10" s="15">
        <f>+'[1]Sch 40 Migration (C)'!L30</f>
        <v>106</v>
      </c>
      <c r="N10" s="15">
        <f>+'[1]Sch 40 Migration (C)'!M30</f>
        <v>138</v>
      </c>
      <c r="O10" s="15">
        <f>+'[1]Sch 40 Migration (C)'!N30</f>
        <v>69</v>
      </c>
    </row>
    <row r="11" spans="1:28" x14ac:dyDescent="0.25">
      <c r="A11" s="14">
        <f t="shared" si="1"/>
        <v>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28" x14ac:dyDescent="0.25">
      <c r="A12" s="14">
        <f t="shared" si="1"/>
        <v>7</v>
      </c>
      <c r="B12" s="11" t="s">
        <v>140</v>
      </c>
    </row>
    <row r="13" spans="1:28" x14ac:dyDescent="0.25">
      <c r="A13" s="14">
        <f t="shared" si="1"/>
        <v>8</v>
      </c>
      <c r="B13" s="18" t="s">
        <v>47</v>
      </c>
      <c r="D13" s="19">
        <f>+'[1]MS SC - Transportation'!$D$21</f>
        <v>236</v>
      </c>
      <c r="E13" s="19">
        <f t="shared" ref="E13:O13" si="2">+D13</f>
        <v>236</v>
      </c>
      <c r="F13" s="19">
        <f t="shared" si="2"/>
        <v>236</v>
      </c>
      <c r="G13" s="19">
        <f t="shared" si="2"/>
        <v>236</v>
      </c>
      <c r="H13" s="19">
        <f t="shared" si="2"/>
        <v>236</v>
      </c>
      <c r="I13" s="19">
        <f t="shared" si="2"/>
        <v>236</v>
      </c>
      <c r="J13" s="19">
        <f t="shared" si="2"/>
        <v>236</v>
      </c>
      <c r="K13" s="19">
        <f t="shared" si="2"/>
        <v>236</v>
      </c>
      <c r="L13" s="19">
        <f t="shared" si="2"/>
        <v>236</v>
      </c>
      <c r="M13" s="19">
        <f t="shared" si="2"/>
        <v>236</v>
      </c>
      <c r="N13" s="19">
        <f t="shared" si="2"/>
        <v>236</v>
      </c>
      <c r="O13" s="19">
        <f t="shared" si="2"/>
        <v>236</v>
      </c>
    </row>
    <row r="14" spans="1:28" x14ac:dyDescent="0.25">
      <c r="A14" s="14">
        <f t="shared" si="1"/>
        <v>9</v>
      </c>
    </row>
    <row r="15" spans="1:28" x14ac:dyDescent="0.25">
      <c r="A15" s="14">
        <f t="shared" si="1"/>
        <v>10</v>
      </c>
      <c r="B15" s="20" t="s">
        <v>17</v>
      </c>
    </row>
    <row r="16" spans="1:28" x14ac:dyDescent="0.25">
      <c r="A16" s="14">
        <f t="shared" si="1"/>
        <v>11</v>
      </c>
      <c r="B16" s="18" t="s">
        <v>109</v>
      </c>
      <c r="C16" s="19">
        <f>SUM(D16:O16)</f>
        <v>2832</v>
      </c>
      <c r="D16" s="19">
        <f>ROUND(D8*D13,0)</f>
        <v>236</v>
      </c>
      <c r="E16" s="19">
        <f t="shared" ref="E16:O16" si="3">ROUND(E8*E13,0)</f>
        <v>236</v>
      </c>
      <c r="F16" s="19">
        <f t="shared" si="3"/>
        <v>236</v>
      </c>
      <c r="G16" s="19">
        <f t="shared" si="3"/>
        <v>236</v>
      </c>
      <c r="H16" s="19">
        <f t="shared" si="3"/>
        <v>236</v>
      </c>
      <c r="I16" s="19">
        <f t="shared" si="3"/>
        <v>236</v>
      </c>
      <c r="J16" s="19">
        <f t="shared" si="3"/>
        <v>236</v>
      </c>
      <c r="K16" s="19">
        <f t="shared" si="3"/>
        <v>236</v>
      </c>
      <c r="L16" s="19">
        <f t="shared" si="3"/>
        <v>0</v>
      </c>
      <c r="M16" s="19">
        <f t="shared" si="3"/>
        <v>236</v>
      </c>
      <c r="N16" s="19">
        <f t="shared" si="3"/>
        <v>472</v>
      </c>
      <c r="O16" s="19">
        <f t="shared" si="3"/>
        <v>236</v>
      </c>
    </row>
    <row r="17" spans="1:15" x14ac:dyDescent="0.25">
      <c r="A17" s="14">
        <f t="shared" si="1"/>
        <v>12</v>
      </c>
      <c r="B17" s="18" t="s">
        <v>106</v>
      </c>
      <c r="C17" s="19">
        <f t="shared" ref="C17:C18" si="4">SUM(D17:O17)</f>
        <v>-31639</v>
      </c>
      <c r="D17" s="19">
        <f>+'[1]Sch 40 Dist Demand Rev (C)'!D53</f>
        <v>256</v>
      </c>
      <c r="E17" s="19">
        <f>+'[1]Sch 40 Dist Demand Rev (C)'!E53</f>
        <v>256</v>
      </c>
      <c r="F17" s="19">
        <f>+'[1]Sch 40 Dist Demand Rev (C)'!F53</f>
        <v>515</v>
      </c>
      <c r="G17" s="19">
        <f>+'[1]Sch 40 Dist Demand Rev (C)'!G53</f>
        <v>1365</v>
      </c>
      <c r="H17" s="19">
        <f>+'[1]Sch 40 Dist Demand Rev (C)'!H53</f>
        <v>-35718</v>
      </c>
      <c r="I17" s="19">
        <f>+'[1]Sch 40 Dist Demand Rev (C)'!I53</f>
        <v>363</v>
      </c>
      <c r="J17" s="19">
        <f>+'[1]Sch 40 Dist Demand Rev (C)'!J53</f>
        <v>183</v>
      </c>
      <c r="K17" s="19">
        <f>+'[1]Sch 40 Dist Demand Rev (C)'!K53</f>
        <v>152</v>
      </c>
      <c r="L17" s="19">
        <f>+'[1]Sch 40 Dist Demand Rev (C)'!L53</f>
        <v>0</v>
      </c>
      <c r="M17" s="19">
        <f>+'[1]Sch 40 Dist Demand Rev (C)'!M53</f>
        <v>335</v>
      </c>
      <c r="N17" s="19">
        <f>+'[1]Sch 40 Dist Demand Rev (C)'!N53</f>
        <v>436</v>
      </c>
      <c r="O17" s="19">
        <f>+'[1]Sch 40 Dist Demand Rev (C)'!O53</f>
        <v>218</v>
      </c>
    </row>
    <row r="18" spans="1:15" x14ac:dyDescent="0.25">
      <c r="A18" s="14">
        <f t="shared" si="1"/>
        <v>13</v>
      </c>
      <c r="B18" s="18" t="s">
        <v>110</v>
      </c>
      <c r="C18" s="19">
        <f t="shared" si="4"/>
        <v>0</v>
      </c>
      <c r="D18" s="19">
        <v>0</v>
      </c>
      <c r="E18" s="19">
        <f>+D18</f>
        <v>0</v>
      </c>
      <c r="F18" s="19">
        <f t="shared" ref="F18:O18" si="5">+E18</f>
        <v>0</v>
      </c>
      <c r="G18" s="19">
        <f t="shared" si="5"/>
        <v>0</v>
      </c>
      <c r="H18" s="19">
        <f t="shared" si="5"/>
        <v>0</v>
      </c>
      <c r="I18" s="19">
        <f t="shared" si="5"/>
        <v>0</v>
      </c>
      <c r="J18" s="19">
        <f t="shared" si="5"/>
        <v>0</v>
      </c>
      <c r="K18" s="19">
        <f t="shared" si="5"/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</row>
    <row r="19" spans="1:15" x14ac:dyDescent="0.25">
      <c r="A19" s="14">
        <f t="shared" ref="A19:A23" si="6">+A18+1</f>
        <v>14</v>
      </c>
      <c r="B19" s="16" t="s">
        <v>143</v>
      </c>
      <c r="C19" s="19">
        <f t="shared" ref="C19:O19" si="7">SUM(C16:C18)</f>
        <v>-28807</v>
      </c>
      <c r="D19" s="19">
        <f t="shared" si="7"/>
        <v>492</v>
      </c>
      <c r="E19" s="19">
        <f t="shared" si="7"/>
        <v>492</v>
      </c>
      <c r="F19" s="19">
        <f t="shared" si="7"/>
        <v>751</v>
      </c>
      <c r="G19" s="19">
        <f t="shared" si="7"/>
        <v>1601</v>
      </c>
      <c r="H19" s="19">
        <f t="shared" si="7"/>
        <v>-35482</v>
      </c>
      <c r="I19" s="19">
        <f t="shared" si="7"/>
        <v>599</v>
      </c>
      <c r="J19" s="19">
        <f t="shared" si="7"/>
        <v>419</v>
      </c>
      <c r="K19" s="19">
        <f t="shared" si="7"/>
        <v>388</v>
      </c>
      <c r="L19" s="19">
        <f t="shared" si="7"/>
        <v>0</v>
      </c>
      <c r="M19" s="19">
        <f t="shared" si="7"/>
        <v>571</v>
      </c>
      <c r="N19" s="19">
        <f t="shared" si="7"/>
        <v>908</v>
      </c>
      <c r="O19" s="19">
        <f t="shared" si="7"/>
        <v>454</v>
      </c>
    </row>
    <row r="20" spans="1:15" x14ac:dyDescent="0.25">
      <c r="A20" s="14">
        <f t="shared" si="6"/>
        <v>15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5">
      <c r="A21" s="14">
        <f t="shared" si="6"/>
        <v>16</v>
      </c>
      <c r="B21" s="5" t="s">
        <v>20</v>
      </c>
      <c r="C21" s="15">
        <f>SUM(D21:O21)</f>
        <v>849092</v>
      </c>
      <c r="D21" s="15">
        <f>+'Sch 40 Campus Svc'!D61</f>
        <v>7409</v>
      </c>
      <c r="E21" s="15">
        <f>+'Sch 40 Campus Svc'!E61</f>
        <v>-4420</v>
      </c>
      <c r="F21" s="15">
        <f>+'Sch 40 Campus Svc'!F61</f>
        <v>2749</v>
      </c>
      <c r="G21" s="15">
        <f>+'Sch 40 Campus Svc'!G61</f>
        <v>3697</v>
      </c>
      <c r="H21" s="15">
        <f>+'Sch 40 Campus Svc'!H61</f>
        <v>864747</v>
      </c>
      <c r="I21" s="15">
        <f>+'Sch 40 Campus Svc'!I61</f>
        <v>-1280</v>
      </c>
      <c r="J21" s="15">
        <f>+'Sch 40 Campus Svc'!J61</f>
        <v>2059</v>
      </c>
      <c r="K21" s="15">
        <f>+'Sch 40 Campus Svc'!K61</f>
        <v>-4854</v>
      </c>
      <c r="L21" s="15">
        <f>+'Sch 40 Campus Svc'!L61</f>
        <v>0</v>
      </c>
      <c r="M21" s="15">
        <f>+'Sch 40 Campus Svc'!M61</f>
        <v>-17736</v>
      </c>
      <c r="N21" s="15">
        <f>+'Sch 40 Campus Svc'!N61</f>
        <v>-4424</v>
      </c>
      <c r="O21" s="15">
        <f>+'Sch 40 Campus Svc'!O61</f>
        <v>1145</v>
      </c>
    </row>
    <row r="22" spans="1:15" x14ac:dyDescent="0.25">
      <c r="A22" s="14">
        <f t="shared" si="6"/>
        <v>17</v>
      </c>
      <c r="B22" s="5" t="s">
        <v>21</v>
      </c>
      <c r="D22" s="21">
        <f t="shared" ref="D22:O22" si="8">+D19/D6</f>
        <v>2.0500000000000001E-2</v>
      </c>
      <c r="E22" s="21">
        <f t="shared" si="8"/>
        <v>2.0500000000000001E-2</v>
      </c>
      <c r="F22" s="21">
        <f t="shared" si="8"/>
        <v>2.8446969696969696E-2</v>
      </c>
      <c r="G22" s="21">
        <f t="shared" si="8"/>
        <v>5.1314102564102564E-2</v>
      </c>
      <c r="H22" s="21">
        <f t="shared" si="8"/>
        <v>1.2629778969969302E-2</v>
      </c>
      <c r="I22" s="21">
        <f t="shared" si="8"/>
        <v>1.9198717948717949E-2</v>
      </c>
      <c r="J22" s="21">
        <f t="shared" si="8"/>
        <v>1.5871212121212123E-2</v>
      </c>
      <c r="K22" s="21">
        <f t="shared" si="8"/>
        <v>2.3095238095238096E-2</v>
      </c>
      <c r="L22" s="21">
        <v>0</v>
      </c>
      <c r="M22" s="21">
        <f t="shared" si="8"/>
        <v>1.1821946169772257E-2</v>
      </c>
      <c r="N22" s="21">
        <f t="shared" si="8"/>
        <v>1.0713737890998337E-2</v>
      </c>
      <c r="O22" s="21">
        <f t="shared" si="8"/>
        <v>8.4824931803744261E-3</v>
      </c>
    </row>
    <row r="23" spans="1:15" x14ac:dyDescent="0.25">
      <c r="A23" s="14">
        <f t="shared" si="6"/>
        <v>18</v>
      </c>
      <c r="B23" s="5" t="s">
        <v>22</v>
      </c>
      <c r="C23" s="19">
        <f>SUM(D23:O23)</f>
        <v>10900</v>
      </c>
      <c r="D23" s="19">
        <f>ROUND(+D21*D22,0)</f>
        <v>152</v>
      </c>
      <c r="E23" s="19">
        <f t="shared" ref="E23:O23" si="9">ROUND(+E21*E22,0)</f>
        <v>-91</v>
      </c>
      <c r="F23" s="19">
        <f t="shared" si="9"/>
        <v>78</v>
      </c>
      <c r="G23" s="19">
        <f t="shared" si="9"/>
        <v>190</v>
      </c>
      <c r="H23" s="19">
        <f t="shared" si="9"/>
        <v>10922</v>
      </c>
      <c r="I23" s="19">
        <f t="shared" si="9"/>
        <v>-25</v>
      </c>
      <c r="J23" s="19">
        <f t="shared" si="9"/>
        <v>33</v>
      </c>
      <c r="K23" s="19">
        <f t="shared" si="9"/>
        <v>-112</v>
      </c>
      <c r="L23" s="19">
        <f t="shared" si="9"/>
        <v>0</v>
      </c>
      <c r="M23" s="19">
        <f t="shared" si="9"/>
        <v>-210</v>
      </c>
      <c r="N23" s="19">
        <f t="shared" si="9"/>
        <v>-47</v>
      </c>
      <c r="O23" s="19">
        <f t="shared" si="9"/>
        <v>10</v>
      </c>
    </row>
    <row r="24" spans="1:15" x14ac:dyDescent="0.25">
      <c r="A24" s="14"/>
    </row>
    <row r="25" spans="1:15" x14ac:dyDescent="0.25">
      <c r="A25" s="14"/>
    </row>
    <row r="26" spans="1:15" x14ac:dyDescent="0.25">
      <c r="A26" s="14"/>
    </row>
    <row r="27" spans="1:15" x14ac:dyDescent="0.25">
      <c r="A27" s="14"/>
    </row>
    <row r="28" spans="1:15" x14ac:dyDescent="0.25">
      <c r="A28" s="14"/>
    </row>
  </sheetData>
  <mergeCells count="3">
    <mergeCell ref="A1:O1"/>
    <mergeCell ref="A2:O2"/>
    <mergeCell ref="A3:O3"/>
  </mergeCells>
  <pageMargins left="0.7" right="0.7" top="0.75" bottom="0.75" header="0.3" footer="0.3"/>
  <pageSetup scale="56" orientation="landscape" r:id="rId1"/>
  <headerFooter>
    <oddFooter>&amp;L&amp;F&amp;R&amp;A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3F5A65-111A-4131-8916-FBCA3B7ED42A}"/>
</file>

<file path=customXml/itemProps2.xml><?xml version="1.0" encoding="utf-8"?>
<ds:datastoreItem xmlns:ds="http://schemas.openxmlformats.org/officeDocument/2006/customXml" ds:itemID="{C1A725B7-AA53-444B-BC26-AC8E940AC52D}"/>
</file>

<file path=customXml/itemProps3.xml><?xml version="1.0" encoding="utf-8"?>
<ds:datastoreItem xmlns:ds="http://schemas.openxmlformats.org/officeDocument/2006/customXml" ds:itemID="{3BD61104-FCA6-4A8D-84ED-2148EB23A350}"/>
</file>

<file path=customXml/itemProps4.xml><?xml version="1.0" encoding="utf-8"?>
<ds:datastoreItem xmlns:ds="http://schemas.openxmlformats.org/officeDocument/2006/customXml" ds:itemID="{2B1889C9-D0AF-4CEB-924D-6827D61D58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Proforma kWh</vt:lpstr>
      <vt:lpstr>Proforma Revenue</vt:lpstr>
      <vt:lpstr>Sch 24 Sm Sec</vt:lpstr>
      <vt:lpstr>Sch 25 Med Sec</vt:lpstr>
      <vt:lpstr>Sch 26 Large Sec</vt:lpstr>
      <vt:lpstr>Sch 31 Pri Gen Svc</vt:lpstr>
      <vt:lpstr>Sch 40 Campus Svc</vt:lpstr>
      <vt:lpstr>Special Contract</vt:lpstr>
      <vt:lpstr>'Proforma kWh'!Print_Area</vt:lpstr>
      <vt:lpstr>'Proforma Revenue'!Print_Area</vt:lpstr>
      <vt:lpstr>'Sch 24 Sm Sec'!Print_Area</vt:lpstr>
      <vt:lpstr>'Sch 25 Med Sec'!Print_Area</vt:lpstr>
      <vt:lpstr>'Sch 26 Large Sec'!Print_Area</vt:lpstr>
      <vt:lpstr>'Sch 31 Pri Gen Svc'!Print_Area</vt:lpstr>
      <vt:lpstr>'Sch 40 Campus Svc'!Print_Area</vt:lpstr>
      <vt:lpstr>'Special Contract'!Print_Area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Free, Susan</cp:lastModifiedBy>
  <cp:lastPrinted>2020-11-23T17:51:19Z</cp:lastPrinted>
  <dcterms:created xsi:type="dcterms:W3CDTF">2019-02-07T16:29:10Z</dcterms:created>
  <dcterms:modified xsi:type="dcterms:W3CDTF">2021-01-30T04:20:18Z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