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4.xml" ContentType="application/vnd.openxmlformats-officedocument.spreadsheetml.worksheet+xml"/>
  <Override PartName="/xl/worksheets/sheet3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1.xml" ContentType="application/vnd.openxmlformats-officedocument.spreadsheetml.worksheet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worksheets/sheet49.xml" ContentType="application/vnd.openxmlformats-officedocument.spreadsheetml.worksheet+xml"/>
  <Override PartName="/xl/worksheets/sheet48.xml" ContentType="application/vnd.openxmlformats-officedocument.spreadsheetml.worksheet+xml"/>
  <Override PartName="/xl/worksheets/sheet47.xml" ContentType="application/vnd.openxmlformats-officedocument.spreadsheetml.worksheet+xml"/>
  <Override PartName="/xl/worksheets/sheet46.xml" ContentType="application/vnd.openxmlformats-officedocument.spreadsheetml.worksheet+xml"/>
  <Override PartName="/xl/worksheets/sheet45.xml" ContentType="application/vnd.openxmlformats-officedocument.spreadsheetml.worksheet+xml"/>
  <Override PartName="/xl/worksheets/sheet44.xml" ContentType="application/vnd.openxmlformats-officedocument.spreadsheetml.worksheet+xml"/>
  <Override PartName="/xl/worksheets/sheet43.xml" ContentType="application/vnd.openxmlformats-officedocument.spreadsheetml.worksheet+xml"/>
  <Override PartName="/xl/worksheets/sheet42.xml" ContentType="application/vnd.openxmlformats-officedocument.spreadsheetml.worksheet+xml"/>
  <Override PartName="/xl/sharedStrings.xml" ContentType="application/vnd.openxmlformats-officedocument.spreadsheetml.sharedStrings+xml"/>
  <Override PartName="/xl/worksheets/sheet28.xml" ContentType="application/vnd.openxmlformats-officedocument.spreadsheetml.worksheet+xml"/>
  <Override PartName="/xl/worksheets/sheet26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5" windowWidth="12120" windowHeight="8445"/>
  </bookViews>
  <sheets>
    <sheet name="JAP-23,  p1 Rate Spread" sheetId="1" r:id="rId1"/>
    <sheet name="JAP-23,  p2  Rate Design Summ" sheetId="44" r:id="rId2"/>
    <sheet name="JAP-23,  p3 Proforma Proposed" sheetId="13" r:id="rId3"/>
    <sheet name="JAP-23,  p4 Residential Sch 7" sheetId="14" r:id="rId4"/>
    <sheet name="JAP-23,  p5 Secondary Sch 24" sheetId="15" r:id="rId5"/>
    <sheet name="JAP-23,  p6 Secondary Sch 25" sheetId="16" r:id="rId6"/>
    <sheet name="JAP-23,  p7 Secondary Sch 26" sheetId="17" r:id="rId7"/>
    <sheet name="JAP-23,  p8 Secondary Sch 26P" sheetId="51" r:id="rId8"/>
    <sheet name="JAP-23,  p9 Secondary Sch 29" sheetId="18" r:id="rId9"/>
    <sheet name="JAP-23,  p10 Primary Sch 31" sheetId="19" r:id="rId10"/>
    <sheet name="JAP-23,  p11 Primary Sch 35" sheetId="20" r:id="rId11"/>
    <sheet name="JAP-23,  p12 Primary Sch 43" sheetId="21" r:id="rId12"/>
    <sheet name="JAP-23,  p13 Campus Sch 40" sheetId="22" r:id="rId13"/>
    <sheet name="JAP-23,  p14 HV Sch 46" sheetId="23" r:id="rId14"/>
    <sheet name="JAP-23,  p15 HV Sch 49" sheetId="24" r:id="rId15"/>
    <sheet name="JAP-23,  p16 Firm Resale" sheetId="26" r:id="rId16"/>
    <sheet name="JAP-23,  p17 Sch 449" sheetId="27" r:id="rId17"/>
    <sheet name="JAP-23,  p18 Sch 459" sheetId="28" r:id="rId18"/>
    <sheet name="JAP-23,  p19 Lighting Summary" sheetId="30" r:id="rId19"/>
    <sheet name="JAP-23,  p20 Sch 003" sheetId="31" r:id="rId20"/>
    <sheet name="JAP-23,  p21 Sch 50" sheetId="32" r:id="rId21"/>
    <sheet name="JAP-23,  p22 Sch 51" sheetId="52" r:id="rId22"/>
    <sheet name="JAP-23,  p23 Sch 51 O&amp;M" sheetId="53" r:id="rId23"/>
    <sheet name="JAP-23,  p24 Sch 52" sheetId="33" r:id="rId24"/>
    <sheet name="JAP-23,  p25 Sch 52 O&amp;M" sheetId="34" r:id="rId25"/>
    <sheet name="JAP-23,  p26 Sch 53" sheetId="35" r:id="rId26"/>
    <sheet name="JAP-23,  p27 Sch 54" sheetId="36" r:id="rId27"/>
    <sheet name="JAP-23,  p28 Sch 55 &amp; 56" sheetId="37" r:id="rId28"/>
    <sheet name="JAP-23,  p29 Sch 57" sheetId="38" r:id="rId29"/>
    <sheet name="JAP-23,  p30 Sch 58 &amp; 59" sheetId="39" r:id="rId30"/>
    <sheet name="JAP-23,  p31 Sch 55 &amp; 58 pole" sheetId="40" r:id="rId31"/>
    <sheet name="JAP-23,  p32 Rate Des Sch 7" sheetId="2" r:id="rId32"/>
    <sheet name="JAP-23,  p33 Rate Des Sch 24" sheetId="3" r:id="rId33"/>
    <sheet name="JAP-23,  p34 Rate Des Sch 25" sheetId="4" r:id="rId34"/>
    <sheet name="JAP-23,  p35 Rate Des Sch 26" sheetId="6" r:id="rId35"/>
    <sheet name="JAP-23,  p36 Rate Des Sch 29" sheetId="5" r:id="rId36"/>
    <sheet name="JAP-23,  p37 Rate Des Sch 31" sheetId="7" r:id="rId37"/>
    <sheet name="JAP-23,  p38 Rate Des Sch 35" sheetId="8" r:id="rId38"/>
    <sheet name="JAP-23,  p39 Rate Des Sch 43" sheetId="9" r:id="rId39"/>
    <sheet name="JAP-23,  p40 Rate Des Sch 46" sheetId="10" r:id="rId40"/>
    <sheet name="JAP-23,  p41 Rate Des Sch 49" sheetId="11" r:id="rId41"/>
    <sheet name="JAP-23, p42 Rate Des Sch 449-59" sheetId="12" r:id="rId42"/>
    <sheet name="JAP-23,  p43 Sch 40 Summary" sheetId="41" r:id="rId43"/>
    <sheet name="JAP-23, p44 Sch 40 Prod &amp; Trans" sheetId="42" r:id="rId44"/>
    <sheet name="JAP-23,  p45 Sch 40 FCR Rates" sheetId="43" r:id="rId45"/>
    <sheet name="JAP-23,  p46 Typ Res GRC 2011" sheetId="45" r:id="rId46"/>
    <sheet name="JAP-23,  p47 Typ Res GRC no CSA" sheetId="54" r:id="rId47"/>
    <sheet name="JAP-23,  p48 Typ Res no RAT" sheetId="55" r:id="rId48"/>
    <sheet name="JAP-23,  p49 Typ Res no RAT-CSA" sheetId="56" r:id="rId49"/>
  </sheets>
  <definedNames>
    <definedName name="_Order1" hidden="1">255</definedName>
    <definedName name="_Order2" hidden="1">255</definedName>
    <definedName name="AccessDatabase" hidden="1">"I:\COMTREL\FINICLE\TradeSummary.mdb"</definedName>
    <definedName name="b" localSheetId="45" hidden="1">{#N/A,#N/A,FALSE,"Coversheet";#N/A,#N/A,FALSE,"QA"}</definedName>
    <definedName name="b" localSheetId="46" hidden="1">{#N/A,#N/A,FALSE,"Coversheet";#N/A,#N/A,FALSE,"QA"}</definedName>
    <definedName name="b" localSheetId="47" hidden="1">{#N/A,#N/A,FALSE,"Coversheet";#N/A,#N/A,FALSE,"QA"}</definedName>
    <definedName name="b" localSheetId="48" hidden="1">{#N/A,#N/A,FALSE,"Coversheet";#N/A,#N/A,FALSE,"QA"}</definedName>
    <definedName name="b" hidden="1">{#N/A,#N/A,FALSE,"Coversheet";#N/A,#N/A,FALSE,"QA"}</definedName>
    <definedName name="DELETE01" localSheetId="45" hidden="1">{#N/A,#N/A,FALSE,"Coversheet";#N/A,#N/A,FALSE,"QA"}</definedName>
    <definedName name="DELETE01" localSheetId="46" hidden="1">{#N/A,#N/A,FALSE,"Coversheet";#N/A,#N/A,FALSE,"QA"}</definedName>
    <definedName name="DELETE01" localSheetId="47" hidden="1">{#N/A,#N/A,FALSE,"Coversheet";#N/A,#N/A,FALSE,"QA"}</definedName>
    <definedName name="DELETE01" localSheetId="48" hidden="1">{#N/A,#N/A,FALSE,"Coversheet";#N/A,#N/A,FALSE,"QA"}</definedName>
    <definedName name="DELETE01" hidden="1">{#N/A,#N/A,FALSE,"Coversheet";#N/A,#N/A,FALSE,"QA"}</definedName>
    <definedName name="DELETE02" localSheetId="45" hidden="1">{#N/A,#N/A,FALSE,"Schedule F";#N/A,#N/A,FALSE,"Schedule G"}</definedName>
    <definedName name="DELETE02" localSheetId="46" hidden="1">{#N/A,#N/A,FALSE,"Schedule F";#N/A,#N/A,FALSE,"Schedule G"}</definedName>
    <definedName name="DELETE02" localSheetId="47" hidden="1">{#N/A,#N/A,FALSE,"Schedule F";#N/A,#N/A,FALSE,"Schedule G"}</definedName>
    <definedName name="DELETE02" localSheetId="48" hidden="1">{#N/A,#N/A,FALSE,"Schedule F";#N/A,#N/A,FALSE,"Schedule G"}</definedName>
    <definedName name="DELETE02" hidden="1">{#N/A,#N/A,FALSE,"Schedule F";#N/A,#N/A,FALSE,"Schedule G"}</definedName>
    <definedName name="Delete06" localSheetId="45" hidden="1">{#N/A,#N/A,FALSE,"Coversheet";#N/A,#N/A,FALSE,"QA"}</definedName>
    <definedName name="Delete06" localSheetId="46" hidden="1">{#N/A,#N/A,FALSE,"Coversheet";#N/A,#N/A,FALSE,"QA"}</definedName>
    <definedName name="Delete06" localSheetId="47" hidden="1">{#N/A,#N/A,FALSE,"Coversheet";#N/A,#N/A,FALSE,"QA"}</definedName>
    <definedName name="Delete06" localSheetId="48" hidden="1">{#N/A,#N/A,FALSE,"Coversheet";#N/A,#N/A,FALSE,"QA"}</definedName>
    <definedName name="Delete06" hidden="1">{#N/A,#N/A,FALSE,"Coversheet";#N/A,#N/A,FALSE,"QA"}</definedName>
    <definedName name="Delete09" localSheetId="45" hidden="1">{#N/A,#N/A,FALSE,"Coversheet";#N/A,#N/A,FALSE,"QA"}</definedName>
    <definedName name="Delete09" localSheetId="46" hidden="1">{#N/A,#N/A,FALSE,"Coversheet";#N/A,#N/A,FALSE,"QA"}</definedName>
    <definedName name="Delete09" localSheetId="47" hidden="1">{#N/A,#N/A,FALSE,"Coversheet";#N/A,#N/A,FALSE,"QA"}</definedName>
    <definedName name="Delete09" localSheetId="48" hidden="1">{#N/A,#N/A,FALSE,"Coversheet";#N/A,#N/A,FALSE,"QA"}</definedName>
    <definedName name="Delete09" hidden="1">{#N/A,#N/A,FALSE,"Coversheet";#N/A,#N/A,FALSE,"QA"}</definedName>
    <definedName name="Delete1" localSheetId="45" hidden="1">{#N/A,#N/A,FALSE,"Coversheet";#N/A,#N/A,FALSE,"QA"}</definedName>
    <definedName name="Delete1" localSheetId="46" hidden="1">{#N/A,#N/A,FALSE,"Coversheet";#N/A,#N/A,FALSE,"QA"}</definedName>
    <definedName name="Delete1" localSheetId="47" hidden="1">{#N/A,#N/A,FALSE,"Coversheet";#N/A,#N/A,FALSE,"QA"}</definedName>
    <definedName name="Delete1" localSheetId="48" hidden="1">{#N/A,#N/A,FALSE,"Coversheet";#N/A,#N/A,FALSE,"QA"}</definedName>
    <definedName name="Delete1" hidden="1">{#N/A,#N/A,FALSE,"Coversheet";#N/A,#N/A,FALSE,"QA"}</definedName>
    <definedName name="Delete10" localSheetId="45" hidden="1">{#N/A,#N/A,FALSE,"Schedule F";#N/A,#N/A,FALSE,"Schedule G"}</definedName>
    <definedName name="Delete10" localSheetId="46" hidden="1">{#N/A,#N/A,FALSE,"Schedule F";#N/A,#N/A,FALSE,"Schedule G"}</definedName>
    <definedName name="Delete10" localSheetId="47" hidden="1">{#N/A,#N/A,FALSE,"Schedule F";#N/A,#N/A,FALSE,"Schedule G"}</definedName>
    <definedName name="Delete10" localSheetId="48" hidden="1">{#N/A,#N/A,FALSE,"Schedule F";#N/A,#N/A,FALSE,"Schedule G"}</definedName>
    <definedName name="Delete10" hidden="1">{#N/A,#N/A,FALSE,"Schedule F";#N/A,#N/A,FALSE,"Schedule G"}</definedName>
    <definedName name="Delete21" localSheetId="45" hidden="1">{#N/A,#N/A,FALSE,"Coversheet";#N/A,#N/A,FALSE,"QA"}</definedName>
    <definedName name="Delete21" localSheetId="46" hidden="1">{#N/A,#N/A,FALSE,"Coversheet";#N/A,#N/A,FALSE,"QA"}</definedName>
    <definedName name="Delete21" localSheetId="47" hidden="1">{#N/A,#N/A,FALSE,"Coversheet";#N/A,#N/A,FALSE,"QA"}</definedName>
    <definedName name="Delete21" localSheetId="48" hidden="1">{#N/A,#N/A,FALSE,"Coversheet";#N/A,#N/A,FALSE,"QA"}</definedName>
    <definedName name="Delete21" hidden="1">{#N/A,#N/A,FALSE,"Coversheet";#N/A,#N/A,FALSE,"QA"}</definedName>
    <definedName name="DFIT" localSheetId="45" hidden="1">{#N/A,#N/A,FALSE,"Coversheet";#N/A,#N/A,FALSE,"QA"}</definedName>
    <definedName name="DFIT" localSheetId="46" hidden="1">{#N/A,#N/A,FALSE,"Coversheet";#N/A,#N/A,FALSE,"QA"}</definedName>
    <definedName name="DFIT" localSheetId="47" hidden="1">{#N/A,#N/A,FALSE,"Coversheet";#N/A,#N/A,FALSE,"QA"}</definedName>
    <definedName name="DFIT" localSheetId="48" hidden="1">{#N/A,#N/A,FALSE,"Coversheet";#N/A,#N/A,FALSE,"QA"}</definedName>
    <definedName name="DFIT" hidden="1">{#N/A,#N/A,FALSE,"Coversheet";#N/A,#N/A,FALSE,"QA"}</definedName>
    <definedName name="_xlnm.Print_Area" localSheetId="0">'JAP-23,  p1 Rate Spread'!$A$1:$K$40</definedName>
    <definedName name="_xlnm.Print_Area" localSheetId="9">'JAP-23,  p10 Primary Sch 31'!$A$1:$K$26</definedName>
    <definedName name="_xlnm.Print_Area" localSheetId="10">'JAP-23,  p11 Primary Sch 35'!$A$1:$I$26</definedName>
    <definedName name="_xlnm.Print_Area" localSheetId="11">'JAP-23,  p12 Primary Sch 43'!$A$1:$K$26</definedName>
    <definedName name="_xlnm.Print_Area" localSheetId="12">'JAP-23,  p13 Campus Sch 40'!$A$1:$K$41</definedName>
    <definedName name="_xlnm.Print_Area" localSheetId="13">'JAP-23,  p14 HV Sch 46'!$A$1:$J$24</definedName>
    <definedName name="_xlnm.Print_Area" localSheetId="14">'JAP-23,  p15 HV Sch 49'!$A$1:$K$20</definedName>
    <definedName name="_xlnm.Print_Area" localSheetId="15">'JAP-23,  p16 Firm Resale'!$A$1:$K$28</definedName>
    <definedName name="_xlnm.Print_Area" localSheetId="16">'JAP-23,  p17 Sch 449'!$A$1:$I$28</definedName>
    <definedName name="_xlnm.Print_Area" localSheetId="17">'JAP-23,  p18 Sch 459'!$A$1:$I$22</definedName>
    <definedName name="_xlnm.Print_Area" localSheetId="18">'JAP-23,  p19 Lighting Summary'!$A$1:$H$25</definedName>
    <definedName name="_xlnm.Print_Area" localSheetId="1">'JAP-23,  p2  Rate Design Summ'!$A$1:$H$18</definedName>
    <definedName name="_xlnm.Print_Area" localSheetId="19">'JAP-23,  p20 Sch 003'!$A$1:$L$12</definedName>
    <definedName name="_xlnm.Print_Area" localSheetId="20">'JAP-23,  p21 Sch 50'!$A$1:$L$23</definedName>
    <definedName name="_xlnm.Print_Area" localSheetId="21">'JAP-23,  p22 Sch 51'!$A$1:$L$13</definedName>
    <definedName name="_xlnm.Print_Area" localSheetId="22">'JAP-23,  p23 Sch 51 O&amp;M'!$A$1:$I$10</definedName>
    <definedName name="_xlnm.Print_Area" localSheetId="23">'JAP-23,  p24 Sch 52'!$A$1:$L$27</definedName>
    <definedName name="_xlnm.Print_Area" localSheetId="24">'JAP-23,  p25 Sch 52 O&amp;M'!$A$1:$I$11</definedName>
    <definedName name="_xlnm.Print_Area" localSheetId="25">'JAP-23,  p26 Sch 53'!$A$1:$L$37</definedName>
    <definedName name="_xlnm.Print_Area" localSheetId="26">'JAP-23,  p27 Sch 54'!$A$1:$L$20</definedName>
    <definedName name="_xlnm.Print_Area" localSheetId="27">'JAP-23,  p28 Sch 55 &amp; 56'!$A$1:$L$18</definedName>
    <definedName name="_xlnm.Print_Area" localSheetId="28">'JAP-23,  p29 Sch 57'!$A$1:$K$13</definedName>
    <definedName name="_xlnm.Print_Area" localSheetId="2">'JAP-23,  p3 Proforma Proposed'!$A$1:$J$43</definedName>
    <definedName name="_xlnm.Print_Area" localSheetId="29">'JAP-23,  p30 Sch 58 &amp; 59'!$A$1:$M$31</definedName>
    <definedName name="_xlnm.Print_Area" localSheetId="30">'JAP-23,  p31 Sch 55 &amp; 58 pole'!$A$1:$I$17</definedName>
    <definedName name="_xlnm.Print_Area" localSheetId="31">'JAP-23,  p32 Rate Des Sch 7'!$A$1:$H$30</definedName>
    <definedName name="_xlnm.Print_Area" localSheetId="32">'JAP-23,  p33 Rate Des Sch 24'!$A$1:$H$28</definedName>
    <definedName name="_xlnm.Print_Area" localSheetId="33">'JAP-23,  p34 Rate Des Sch 25'!$A$1:$H$49</definedName>
    <definedName name="_xlnm.Print_Area" localSheetId="34">'JAP-23,  p35 Rate Des Sch 26'!$A$1:$H$38</definedName>
    <definedName name="_xlnm.Print_Area" localSheetId="35">'JAP-23,  p36 Rate Des Sch 29'!$A$1:$H$38</definedName>
    <definedName name="_xlnm.Print_Area" localSheetId="36">'JAP-23,  p37 Rate Des Sch 31'!$A$1:$H$39</definedName>
    <definedName name="_xlnm.Print_Area" localSheetId="37">'JAP-23,  p38 Rate Des Sch 35'!$A$1:$H$33</definedName>
    <definedName name="_xlnm.Print_Area" localSheetId="38">'JAP-23,  p39 Rate Des Sch 43'!$A$1:$H$29</definedName>
    <definedName name="_xlnm.Print_Area" localSheetId="3">'JAP-23,  p4 Residential Sch 7'!$A$1:$K$24</definedName>
    <definedName name="_xlnm.Print_Area" localSheetId="39">'JAP-23,  p40 Rate Des Sch 46'!$A$1:$H$19</definedName>
    <definedName name="_xlnm.Print_Area" localSheetId="40">'JAP-23,  p41 Rate Des Sch 49'!$A$1:$H$28</definedName>
    <definedName name="_xlnm.Print_Area" localSheetId="42">'JAP-23,  p43 Sch 40 Summary'!$A$1:$F$43</definedName>
    <definedName name="_xlnm.Print_Area" localSheetId="44">'JAP-23,  p45 Sch 40 FCR Rates'!$A$1:$H$47</definedName>
    <definedName name="_xlnm.Print_Area" localSheetId="45">'JAP-23,  p46 Typ Res GRC 2011'!$A$1:$G$41</definedName>
    <definedName name="_xlnm.Print_Area" localSheetId="46">'JAP-23,  p47 Typ Res GRC no CSA'!$A$1:$G$41</definedName>
    <definedName name="_xlnm.Print_Area" localSheetId="47">'JAP-23,  p48 Typ Res no RAT'!$A$1:$G$41</definedName>
    <definedName name="_xlnm.Print_Area" localSheetId="48">'JAP-23,  p49 Typ Res no RAT-CSA'!$A$1:$G$41</definedName>
    <definedName name="_xlnm.Print_Area" localSheetId="4">'JAP-23,  p5 Secondary Sch 24'!$A$1:$K$24</definedName>
    <definedName name="_xlnm.Print_Area" localSheetId="5">'JAP-23,  p6 Secondary Sch 25'!$A$1:$K$30</definedName>
    <definedName name="_xlnm.Print_Area" localSheetId="6">'JAP-23,  p7 Secondary Sch 26'!$A$1:$K$26</definedName>
    <definedName name="_xlnm.Print_Area" localSheetId="7">'JAP-23,  p8 Secondary Sch 26P'!$A$1:$K$26</definedName>
    <definedName name="_xlnm.Print_Area" localSheetId="8">'JAP-23,  p9 Secondary Sch 29'!$A$1:$K$32</definedName>
    <definedName name="_xlnm.Print_Area" localSheetId="41">'JAP-23, p42 Rate Des Sch 449-59'!$A$1:$H$47</definedName>
    <definedName name="_xlnm.Print_Area" localSheetId="43">'JAP-23, p44 Sch 40 Prod &amp; Trans'!$A$1:$L$33</definedName>
    <definedName name="wrn.Customer._.Counts._.Electric." localSheetId="4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46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47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48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45" hidden="1">{#N/A,#N/A,FALSE,"Pg 6b CustCount_Gas";#N/A,#N/A,FALSE,"QA";#N/A,#N/A,FALSE,"Report";#N/A,#N/A,FALSE,"forecast"}</definedName>
    <definedName name="wrn.Customer._.Counts._.Gas." localSheetId="46" hidden="1">{#N/A,#N/A,FALSE,"Pg 6b CustCount_Gas";#N/A,#N/A,FALSE,"QA";#N/A,#N/A,FALSE,"Report";#N/A,#N/A,FALSE,"forecast"}</definedName>
    <definedName name="wrn.Customer._.Counts._.Gas." localSheetId="47" hidden="1">{#N/A,#N/A,FALSE,"Pg 6b CustCount_Gas";#N/A,#N/A,FALSE,"QA";#N/A,#N/A,FALSE,"Report";#N/A,#N/A,FALSE,"forecast"}</definedName>
    <definedName name="wrn.Customer._.Counts._.Gas." localSheetId="48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localSheetId="45" hidden="1">{#N/A,#N/A,TRUE,"CoverPage";#N/A,#N/A,TRUE,"Gas";#N/A,#N/A,TRUE,"Power";#N/A,#N/A,TRUE,"Historical DJ Mthly Prices"}</definedName>
    <definedName name="wrn.Fundamental." localSheetId="46" hidden="1">{#N/A,#N/A,TRUE,"CoverPage";#N/A,#N/A,TRUE,"Gas";#N/A,#N/A,TRUE,"Power";#N/A,#N/A,TRUE,"Historical DJ Mthly Prices"}</definedName>
    <definedName name="wrn.Fundamental." localSheetId="47" hidden="1">{#N/A,#N/A,TRUE,"CoverPage";#N/A,#N/A,TRUE,"Gas";#N/A,#N/A,TRUE,"Power";#N/A,#N/A,TRUE,"Historical DJ Mthly Prices"}</definedName>
    <definedName name="wrn.Fundamental." localSheetId="48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ncentive._.Overhead." localSheetId="45" hidden="1">{#N/A,#N/A,FALSE,"Coversheet";#N/A,#N/A,FALSE,"QA"}</definedName>
    <definedName name="wrn.Incentive._.Overhead." localSheetId="46" hidden="1">{#N/A,#N/A,FALSE,"Coversheet";#N/A,#N/A,FALSE,"QA"}</definedName>
    <definedName name="wrn.Incentive._.Overhead." localSheetId="47" hidden="1">{#N/A,#N/A,FALSE,"Coversheet";#N/A,#N/A,FALSE,"QA"}</definedName>
    <definedName name="wrn.Incentive._.Overhead." localSheetId="48" hidden="1">{#N/A,#N/A,FALSE,"Coversheet";#N/A,#N/A,FALSE,"QA"}</definedName>
    <definedName name="wrn.Incentive._.Overhead." hidden="1">{#N/A,#N/A,FALSE,"Coversheet";#N/A,#N/A,FALSE,"QA"}</definedName>
    <definedName name="wrn.limit_reports." localSheetId="45" hidden="1">{#N/A,#N/A,FALSE,"Schedule F";#N/A,#N/A,FALSE,"Schedule G"}</definedName>
    <definedName name="wrn.limit_reports." localSheetId="46" hidden="1">{#N/A,#N/A,FALSE,"Schedule F";#N/A,#N/A,FALSE,"Schedule G"}</definedName>
    <definedName name="wrn.limit_reports." localSheetId="47" hidden="1">{#N/A,#N/A,FALSE,"Schedule F";#N/A,#N/A,FALSE,"Schedule G"}</definedName>
    <definedName name="wrn.limit_reports." localSheetId="48" hidden="1">{#N/A,#N/A,FALSE,"Schedule F";#N/A,#N/A,FALSE,"Schedule G"}</definedName>
    <definedName name="wrn.limit_reports." hidden="1">{#N/A,#N/A,FALSE,"Schedule F";#N/A,#N/A,FALSE,"Schedule G"}</definedName>
    <definedName name="wrn.MARGIN_WO_QTR." localSheetId="45" hidden="1">{#N/A,#N/A,FALSE,"Month ";#N/A,#N/A,FALSE,"YTD";#N/A,#N/A,FALSE,"12 mo ended"}</definedName>
    <definedName name="wrn.MARGIN_WO_QTR." localSheetId="46" hidden="1">{#N/A,#N/A,FALSE,"Month ";#N/A,#N/A,FALSE,"YTD";#N/A,#N/A,FALSE,"12 mo ended"}</definedName>
    <definedName name="wrn.MARGIN_WO_QTR." localSheetId="47" hidden="1">{#N/A,#N/A,FALSE,"Month ";#N/A,#N/A,FALSE,"YTD";#N/A,#N/A,FALSE,"12 mo ended"}</definedName>
    <definedName name="wrn.MARGIN_WO_QTR." localSheetId="48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4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46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4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48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localSheetId="45" hidden="1">{#N/A,#N/A,FALSE,"2002 Small Tool OH";#N/A,#N/A,FALSE,"QA"}</definedName>
    <definedName name="wrn.Small._.Tools._.Overhead." localSheetId="46" hidden="1">{#N/A,#N/A,FALSE,"2002 Small Tool OH";#N/A,#N/A,FALSE,"QA"}</definedName>
    <definedName name="wrn.Small._.Tools._.Overhead." localSheetId="47" hidden="1">{#N/A,#N/A,FALSE,"2002 Small Tool OH";#N/A,#N/A,FALSE,"QA"}</definedName>
    <definedName name="wrn.Small._.Tools._.Overhead." localSheetId="48" hidden="1">{#N/A,#N/A,FALSE,"2002 Small Tool OH";#N/A,#N/A,FALSE,"QA"}</definedName>
    <definedName name="wrn.Small._.Tools._.Overhead." hidden="1">{#N/A,#N/A,FALSE,"2002 Small Tool OH";#N/A,#N/A,FALSE,"QA"}</definedName>
  </definedNames>
  <calcPr calcId="125725"/>
</workbook>
</file>

<file path=xl/calcChain.xml><?xml version="1.0" encoding="utf-8"?>
<calcChain xmlns="http://schemas.openxmlformats.org/spreadsheetml/2006/main">
  <c r="C40" i="41"/>
  <c r="A41"/>
  <c r="A40"/>
  <c r="E41" i="56" l="1"/>
  <c r="E40"/>
  <c r="E39"/>
  <c r="E37"/>
  <c r="E36"/>
  <c r="E35"/>
  <c r="E34"/>
  <c r="E33"/>
  <c r="E41" i="55"/>
  <c r="E40"/>
  <c r="E39"/>
  <c r="E37"/>
  <c r="E36"/>
  <c r="E35"/>
  <c r="E34"/>
  <c r="E33"/>
  <c r="E41" i="54"/>
  <c r="E40"/>
  <c r="E39"/>
  <c r="E38"/>
  <c r="E37"/>
  <c r="E36"/>
  <c r="E35"/>
  <c r="E34"/>
  <c r="E33"/>
  <c r="F33"/>
  <c r="F34"/>
  <c r="F35"/>
  <c r="F36"/>
  <c r="F37"/>
  <c r="F39"/>
  <c r="F41"/>
  <c r="F33" i="1"/>
  <c r="C41" i="41" l="1"/>
  <c r="C10" i="45"/>
  <c r="C11" s="1"/>
  <c r="C12" s="1"/>
  <c r="C13" s="1"/>
  <c r="C14" s="1"/>
  <c r="C15" s="1"/>
  <c r="C16" s="1"/>
  <c r="C17" s="1"/>
  <c r="C18" s="1"/>
  <c r="C19" s="1"/>
  <c r="C9"/>
  <c r="C10" i="56"/>
  <c r="C11" s="1"/>
  <c r="C12" s="1"/>
  <c r="C13" s="1"/>
  <c r="C14" s="1"/>
  <c r="C15" s="1"/>
  <c r="C9"/>
  <c r="C10" i="55"/>
  <c r="C11" s="1"/>
  <c r="C12" s="1"/>
  <c r="C13" s="1"/>
  <c r="C14" s="1"/>
  <c r="C15" s="1"/>
  <c r="C9"/>
  <c r="C14" i="54"/>
  <c r="C10"/>
  <c r="C11" s="1"/>
  <c r="C12" s="1"/>
  <c r="C13" s="1"/>
  <c r="C15" s="1"/>
  <c r="C16" s="1"/>
  <c r="C17" s="1"/>
  <c r="C18" s="1"/>
  <c r="C19" s="1"/>
  <c r="F41" i="56"/>
  <c r="F39"/>
  <c r="F37"/>
  <c r="F36"/>
  <c r="F35"/>
  <c r="F34"/>
  <c r="F33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F41" i="55"/>
  <c r="F39"/>
  <c r="F37"/>
  <c r="F36"/>
  <c r="F35"/>
  <c r="F34"/>
  <c r="F33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C9" i="54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1" i="45"/>
  <c r="A40"/>
  <c r="A18" i="9"/>
  <c r="A19"/>
  <c r="A20" s="1"/>
  <c r="A21" s="1"/>
  <c r="A22" s="1"/>
  <c r="A23" s="1"/>
  <c r="A24" s="1"/>
  <c r="A25" s="1"/>
  <c r="A26" s="1"/>
  <c r="A27" s="1"/>
  <c r="A28" s="1"/>
  <c r="A29" s="1"/>
  <c r="A22" i="8"/>
  <c r="A23" s="1"/>
  <c r="A24" s="1"/>
  <c r="A25" s="1"/>
  <c r="A26" s="1"/>
  <c r="A27" s="1"/>
  <c r="A28" s="1"/>
  <c r="A29" s="1"/>
  <c r="A30" s="1"/>
  <c r="A31" s="1"/>
  <c r="A32" s="1"/>
  <c r="A33" s="1"/>
  <c r="A16" i="13"/>
  <c r="A17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13" i="1"/>
  <c r="A14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C39" i="41" l="1"/>
  <c r="C16" i="56"/>
  <c r="C16" i="55"/>
  <c r="C17" i="56" l="1"/>
  <c r="C17" i="55"/>
  <c r="A16" i="40"/>
  <c r="A17"/>
  <c r="C18" i="56" l="1"/>
  <c r="C18" i="55"/>
  <c r="A13" i="3"/>
  <c r="A14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H24"/>
  <c r="H36" i="4" s="1"/>
  <c r="H29" i="6" s="1"/>
  <c r="H27" i="7" s="1"/>
  <c r="H23" i="9" s="1"/>
  <c r="H19" i="11" s="1"/>
  <c r="H32" i="12" s="1"/>
  <c r="A22" i="2"/>
  <c r="A23"/>
  <c r="A24" s="1"/>
  <c r="A25" s="1"/>
  <c r="A26" s="1"/>
  <c r="A27" s="1"/>
  <c r="A28" s="1"/>
  <c r="A29" s="1"/>
  <c r="A30" s="1"/>
  <c r="C19" i="56" l="1"/>
  <c r="C19" i="55"/>
  <c r="C38" i="6"/>
  <c r="C21" i="56" l="1"/>
  <c r="C23" l="1"/>
  <c r="C23" i="55"/>
  <c r="C21"/>
  <c r="C23" i="54"/>
  <c r="C21"/>
  <c r="F39" i="45"/>
  <c r="A26" i="26"/>
  <c r="A27"/>
  <c r="A28" s="1"/>
  <c r="J29" i="39"/>
  <c r="J24"/>
  <c r="J19"/>
  <c r="J14"/>
  <c r="J10"/>
  <c r="J26"/>
  <c r="J21"/>
  <c r="J17"/>
  <c r="J12"/>
  <c r="I15" i="37"/>
  <c r="I14"/>
  <c r="I13"/>
  <c r="I12"/>
  <c r="I11"/>
  <c r="I10"/>
  <c r="I17" i="36"/>
  <c r="I15"/>
  <c r="I13"/>
  <c r="I11"/>
  <c r="I35" i="35"/>
  <c r="I34"/>
  <c r="I33"/>
  <c r="I32"/>
  <c r="I31"/>
  <c r="I30"/>
  <c r="I28"/>
  <c r="I27"/>
  <c r="I26"/>
  <c r="I25"/>
  <c r="I24"/>
  <c r="I23"/>
  <c r="I22"/>
  <c r="I21"/>
  <c r="I20"/>
  <c r="I18"/>
  <c r="I17"/>
  <c r="I16"/>
  <c r="I15"/>
  <c r="I14"/>
  <c r="I13"/>
  <c r="I12"/>
  <c r="I11"/>
  <c r="I10"/>
  <c r="F10" i="53"/>
  <c r="E14" i="30" s="1"/>
  <c r="I24" i="33"/>
  <c r="I22"/>
  <c r="I20"/>
  <c r="F11" i="52"/>
  <c r="A11"/>
  <c r="A12" s="1"/>
  <c r="A13" s="1"/>
  <c r="A14" s="1"/>
  <c r="A15" s="1"/>
  <c r="A16" s="1"/>
  <c r="A10"/>
  <c r="F10"/>
  <c r="A5" i="53"/>
  <c r="B13"/>
  <c r="A12"/>
  <c r="A13" s="1"/>
  <c r="A11"/>
  <c r="L7" i="52"/>
  <c r="K7"/>
  <c r="J7"/>
  <c r="I7"/>
  <c r="H7"/>
  <c r="G7"/>
  <c r="F7"/>
  <c r="E7"/>
  <c r="B7"/>
  <c r="B11"/>
  <c r="G10"/>
  <c r="G11" s="1"/>
  <c r="I19" i="33" l="1"/>
  <c r="I21"/>
  <c r="I23"/>
  <c r="I25"/>
  <c r="I10" i="36"/>
  <c r="I12"/>
  <c r="I14"/>
  <c r="I16"/>
  <c r="I18"/>
  <c r="I17" i="37"/>
  <c r="J11" i="39"/>
  <c r="J13"/>
  <c r="J15"/>
  <c r="J18"/>
  <c r="J20"/>
  <c r="J23"/>
  <c r="J25"/>
  <c r="J28"/>
  <c r="E13" i="52"/>
  <c r="F9"/>
  <c r="I9" s="1"/>
  <c r="I11"/>
  <c r="I10"/>
  <c r="I20" i="36" l="1"/>
  <c r="I13" i="52"/>
  <c r="E13" i="30" s="1"/>
  <c r="I17" i="33" l="1"/>
  <c r="I16"/>
  <c r="I15"/>
  <c r="I14"/>
  <c r="I13"/>
  <c r="I12"/>
  <c r="I11"/>
  <c r="I10"/>
  <c r="I12" i="32"/>
  <c r="I10"/>
  <c r="D12" i="30"/>
  <c r="D14"/>
  <c r="D15"/>
  <c r="D22"/>
  <c r="D23"/>
  <c r="D21"/>
  <c r="D20"/>
  <c r="D19"/>
  <c r="D18"/>
  <c r="D17"/>
  <c r="D16"/>
  <c r="D13"/>
  <c r="D11"/>
  <c r="I10" i="31" l="1"/>
  <c r="I17" i="32"/>
  <c r="I19"/>
  <c r="I11"/>
  <c r="I13"/>
  <c r="I27" i="33"/>
  <c r="I18" i="32"/>
  <c r="I20"/>
  <c r="I16"/>
  <c r="A4" i="30"/>
  <c r="F8" i="28"/>
  <c r="D8"/>
  <c r="F8" i="27"/>
  <c r="D8"/>
  <c r="A23" i="26"/>
  <c r="A24"/>
  <c r="A25" s="1"/>
  <c r="A3" i="52" l="1"/>
  <c r="A3" i="53"/>
  <c r="D26" i="27" l="1"/>
  <c r="H8" i="26" l="1"/>
  <c r="F8"/>
  <c r="H8" i="24"/>
  <c r="F8"/>
  <c r="G8" i="23"/>
  <c r="E8"/>
  <c r="H8" i="22"/>
  <c r="F8"/>
  <c r="C14" i="9"/>
  <c r="D9"/>
  <c r="H8" i="21"/>
  <c r="F8"/>
  <c r="F8" i="20"/>
  <c r="D8"/>
  <c r="C14" i="7"/>
  <c r="H8" i="19"/>
  <c r="F8"/>
  <c r="D18" i="51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H8"/>
  <c r="F8"/>
  <c r="A2"/>
  <c r="A1"/>
  <c r="H8" i="18"/>
  <c r="F8"/>
  <c r="D9" i="6"/>
  <c r="H8" i="17"/>
  <c r="F8"/>
  <c r="C23" i="4"/>
  <c r="D32"/>
  <c r="D28"/>
  <c r="D9"/>
  <c r="F8" i="15"/>
  <c r="H8"/>
  <c r="F8" i="16"/>
  <c r="H8"/>
  <c r="D10" i="3"/>
  <c r="C19"/>
  <c r="D16" i="2"/>
  <c r="D11"/>
  <c r="D18" i="14"/>
  <c r="E16" i="26"/>
  <c r="G16" s="1"/>
  <c r="E18"/>
  <c r="G18" s="1"/>
  <c r="I12" i="31"/>
  <c r="F10" i="34"/>
  <c r="E15" i="30" s="1"/>
  <c r="C10" i="38"/>
  <c r="F10" i="40"/>
  <c r="E22" i="30" s="1"/>
  <c r="F12" i="40"/>
  <c r="F13"/>
  <c r="E20" i="27"/>
  <c r="E21"/>
  <c r="E14"/>
  <c r="E15"/>
  <c r="E14" i="28"/>
  <c r="E15"/>
  <c r="D14" i="6"/>
  <c r="D21"/>
  <c r="D22"/>
  <c r="D25"/>
  <c r="D9" i="7"/>
  <c r="D12"/>
  <c r="D19"/>
  <c r="D20"/>
  <c r="D23"/>
  <c r="D9" i="8"/>
  <c r="C14"/>
  <c r="D12"/>
  <c r="D19"/>
  <c r="D20"/>
  <c r="D23"/>
  <c r="D15" i="11"/>
  <c r="D10"/>
  <c r="E18" i="24"/>
  <c r="C12" i="11" s="1"/>
  <c r="D10" i="10"/>
  <c r="D18" i="23"/>
  <c r="C12" i="10" s="1"/>
  <c r="D15"/>
  <c r="H14" i="43"/>
  <c r="D11" i="42" s="1"/>
  <c r="D12" s="1"/>
  <c r="F18"/>
  <c r="F17"/>
  <c r="F28" i="16"/>
  <c r="D23" i="4" s="1"/>
  <c r="D17"/>
  <c r="D13"/>
  <c r="D14"/>
  <c r="D29"/>
  <c r="D10" i="5"/>
  <c r="D11"/>
  <c r="C25"/>
  <c r="D20"/>
  <c r="D21"/>
  <c r="D16"/>
  <c r="D17"/>
  <c r="F29"/>
  <c r="D30"/>
  <c r="D31"/>
  <c r="D34"/>
  <c r="H26" i="13"/>
  <c r="C15" i="40"/>
  <c r="C19" i="2"/>
  <c r="D15"/>
  <c r="C10" i="12"/>
  <c r="D10"/>
  <c r="F10" s="1"/>
  <c r="C11"/>
  <c r="D11"/>
  <c r="C12"/>
  <c r="D12"/>
  <c r="C16"/>
  <c r="D16"/>
  <c r="C17"/>
  <c r="D17"/>
  <c r="C18"/>
  <c r="D18"/>
  <c r="D24"/>
  <c r="D20" i="28"/>
  <c r="D26" i="12" s="1"/>
  <c r="F26" s="1"/>
  <c r="F21"/>
  <c r="G21" s="1"/>
  <c r="G45" s="1"/>
  <c r="G10"/>
  <c r="E11"/>
  <c r="E12" s="1"/>
  <c r="F14" i="28" s="1"/>
  <c r="G14" s="1"/>
  <c r="F20" i="27"/>
  <c r="F14"/>
  <c r="D12" i="9"/>
  <c r="D19"/>
  <c r="D16" i="3"/>
  <c r="D15"/>
  <c r="D11"/>
  <c r="G24" i="27"/>
  <c r="H24" s="1"/>
  <c r="I24" s="1"/>
  <c r="G18" i="28"/>
  <c r="F41" i="45"/>
  <c r="F37"/>
  <c r="F36"/>
  <c r="F35"/>
  <c r="F34"/>
  <c r="F33"/>
  <c r="D10" i="30"/>
  <c r="C28" i="27"/>
  <c r="D35" i="13" s="1"/>
  <c r="C22" i="28"/>
  <c r="D36" i="13" s="1"/>
  <c r="A9" i="45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13" i="28"/>
  <c r="A14"/>
  <c r="A15"/>
  <c r="A16"/>
  <c r="A17"/>
  <c r="A18"/>
  <c r="A19"/>
  <c r="A20"/>
  <c r="A21"/>
  <c r="A22"/>
  <c r="C26" i="42"/>
  <c r="A9" i="13"/>
  <c r="A10" s="1"/>
  <c r="A11" s="1"/>
  <c r="A12" s="1"/>
  <c r="A13" s="1"/>
  <c r="A14" s="1"/>
  <c r="A15" s="1"/>
  <c r="A9" i="1"/>
  <c r="A10"/>
  <c r="A11"/>
  <c r="A12"/>
  <c r="A12" i="43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J11" i="42"/>
  <c r="J16"/>
  <c r="B11" i="37"/>
  <c r="B12" s="1"/>
  <c r="B13" s="1"/>
  <c r="B14" s="1"/>
  <c r="B15" s="1"/>
  <c r="B17" s="1"/>
  <c r="A11"/>
  <c r="A12" s="1"/>
  <c r="A13" s="1"/>
  <c r="A14" s="1"/>
  <c r="A15" s="1"/>
  <c r="A16" s="1"/>
  <c r="A17" s="1"/>
  <c r="A18" s="1"/>
  <c r="A19" s="1"/>
  <c r="A20" s="1"/>
  <c r="A7" i="44"/>
  <c r="A8"/>
  <c r="A9"/>
  <c r="A10"/>
  <c r="A11"/>
  <c r="A12"/>
  <c r="A13"/>
  <c r="A14"/>
  <c r="A15"/>
  <c r="A16"/>
  <c r="A17"/>
  <c r="A18"/>
  <c r="A9" i="6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9" i="7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11" i="34"/>
  <c r="A12"/>
  <c r="A13"/>
  <c r="A9" i="12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9" i="1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G29" i="5"/>
  <c r="A11" i="30"/>
  <c r="A12"/>
  <c r="A9" i="4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9" i="3"/>
  <c r="A10" s="1"/>
  <c r="A11" s="1"/>
  <c r="A12" s="1"/>
  <c r="A9" i="2"/>
  <c r="A10" s="1"/>
  <c r="A11" s="1"/>
  <c r="A12" s="1"/>
  <c r="A13" s="1"/>
  <c r="A14" s="1"/>
  <c r="A15" s="1"/>
  <c r="A16" s="1"/>
  <c r="A17" s="1"/>
  <c r="A18" s="1"/>
  <c r="A19" s="1"/>
  <c r="A20" s="1"/>
  <c r="A21" s="1"/>
  <c r="A11" i="40"/>
  <c r="A12"/>
  <c r="A13" s="1"/>
  <c r="A14" s="1"/>
  <c r="A15" s="1"/>
  <c r="A11" i="39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11" i="38"/>
  <c r="A12" s="1"/>
  <c r="A13" s="1"/>
  <c r="A14" s="1"/>
  <c r="A15" s="1"/>
  <c r="A11" i="36"/>
  <c r="A12" s="1"/>
  <c r="A13" s="1"/>
  <c r="A14" s="1"/>
  <c r="A15" s="1"/>
  <c r="A16" s="1"/>
  <c r="A17" s="1"/>
  <c r="A18" s="1"/>
  <c r="A19" s="1"/>
  <c r="A20" s="1"/>
  <c r="A21" s="1"/>
  <c r="A22" s="1"/>
  <c r="A11" i="35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11" i="31"/>
  <c r="A12" s="1"/>
  <c r="A13" s="1"/>
  <c r="A14" s="1"/>
  <c r="A11" i="32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11" i="33"/>
  <c r="A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13" i="27"/>
  <c r="A14"/>
  <c r="A15"/>
  <c r="A16"/>
  <c r="A17"/>
  <c r="A18"/>
  <c r="A19"/>
  <c r="A20"/>
  <c r="A21"/>
  <c r="A22"/>
  <c r="A23"/>
  <c r="A24"/>
  <c r="A25"/>
  <c r="A26"/>
  <c r="A27"/>
  <c r="A28"/>
  <c r="A11" i="42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10" i="41"/>
  <c r="A11"/>
  <c r="A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15" i="26"/>
  <c r="A16" s="1"/>
  <c r="A17" s="1"/>
  <c r="A18" s="1"/>
  <c r="A19" s="1"/>
  <c r="A20" s="1"/>
  <c r="A21" s="1"/>
  <c r="A22" s="1"/>
  <c r="A13" i="24"/>
  <c r="A14"/>
  <c r="A15"/>
  <c r="A16"/>
  <c r="A17"/>
  <c r="A18"/>
  <c r="A19"/>
  <c r="A20"/>
  <c r="A13" i="23"/>
  <c r="A14"/>
  <c r="A15" s="1"/>
  <c r="A16" s="1"/>
  <c r="A17" s="1"/>
  <c r="A18" s="1"/>
  <c r="A19" s="1"/>
  <c r="A20" s="1"/>
  <c r="A21" s="1"/>
  <c r="A22" s="1"/>
  <c r="A23" s="1"/>
  <c r="A24" s="1"/>
  <c r="A13" i="22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13" i="2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13" i="20"/>
  <c r="A14"/>
  <c r="A15"/>
  <c r="A16"/>
  <c r="A17"/>
  <c r="A18"/>
  <c r="A19"/>
  <c r="A20"/>
  <c r="A21"/>
  <c r="A22"/>
  <c r="A23"/>
  <c r="A24"/>
  <c r="A25"/>
  <c r="A26"/>
  <c r="A13" i="19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13" i="18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13" i="17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13" i="16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13" i="15"/>
  <c r="A14" s="1"/>
  <c r="A15" s="1"/>
  <c r="A16" s="1"/>
  <c r="A17" s="1"/>
  <c r="A18" s="1"/>
  <c r="A19" s="1"/>
  <c r="A20" s="1"/>
  <c r="A21" s="1"/>
  <c r="A22" s="1"/>
  <c r="A23" s="1"/>
  <c r="A24" s="1"/>
  <c r="A13" i="14"/>
  <c r="A14" s="1"/>
  <c r="A15" s="1"/>
  <c r="A16" s="1"/>
  <c r="A17" s="1"/>
  <c r="A18" s="1"/>
  <c r="A19" s="1"/>
  <c r="A20" s="1"/>
  <c r="A21" s="1"/>
  <c r="A22" s="1"/>
  <c r="A23" s="1"/>
  <c r="A24" s="1"/>
  <c r="C25" i="30"/>
  <c r="D34" i="22"/>
  <c r="D30"/>
  <c r="D16"/>
  <c r="A9" i="9"/>
  <c r="A10" s="1"/>
  <c r="A11" s="1"/>
  <c r="A12" s="1"/>
  <c r="A13" s="1"/>
  <c r="A14" s="1"/>
  <c r="A15" s="1"/>
  <c r="A16" s="1"/>
  <c r="A17" s="1"/>
  <c r="D18" i="19"/>
  <c r="A9" i="5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B39" i="7"/>
  <c r="B33" i="8"/>
  <c r="E32" i="45"/>
  <c r="E31"/>
  <c r="E29"/>
  <c r="J11" i="30"/>
  <c r="J10"/>
  <c r="I33" i="33"/>
  <c r="J16" i="30" s="1"/>
  <c r="I25" i="36"/>
  <c r="J18" i="30" s="1"/>
  <c r="I23" i="37"/>
  <c r="J19" i="30" s="1"/>
  <c r="J21"/>
  <c r="E37" i="35"/>
  <c r="B21"/>
  <c r="B22" s="1"/>
  <c r="B23" s="1"/>
  <c r="B24" s="1"/>
  <c r="B25" s="1"/>
  <c r="B26" s="1"/>
  <c r="B27" s="1"/>
  <c r="B28" s="1"/>
  <c r="B30" s="1"/>
  <c r="B31" s="1"/>
  <c r="B32" s="1"/>
  <c r="B33" s="1"/>
  <c r="B34" s="1"/>
  <c r="B35" s="1"/>
  <c r="A3" i="40"/>
  <c r="C7"/>
  <c r="B17"/>
  <c r="A3" i="39"/>
  <c r="F7"/>
  <c r="G7"/>
  <c r="H7"/>
  <c r="I7"/>
  <c r="B11"/>
  <c r="B12"/>
  <c r="B17"/>
  <c r="F31"/>
  <c r="G31"/>
  <c r="B33"/>
  <c r="A3" i="38"/>
  <c r="H7"/>
  <c r="I7"/>
  <c r="B15"/>
  <c r="A3" i="37"/>
  <c r="E7"/>
  <c r="F7"/>
  <c r="G7"/>
  <c r="H7"/>
  <c r="E18"/>
  <c r="F18"/>
  <c r="B20"/>
  <c r="B23"/>
  <c r="A3" i="36"/>
  <c r="E7"/>
  <c r="F7"/>
  <c r="G7"/>
  <c r="H7"/>
  <c r="B11"/>
  <c r="B12"/>
  <c r="B13" s="1"/>
  <c r="B14" s="1"/>
  <c r="B15" s="1"/>
  <c r="B16" s="1"/>
  <c r="B17" s="1"/>
  <c r="B18" s="1"/>
  <c r="E20"/>
  <c r="F20"/>
  <c r="B22"/>
  <c r="B25"/>
  <c r="A3" i="35"/>
  <c r="E7"/>
  <c r="F7"/>
  <c r="G7"/>
  <c r="H7"/>
  <c r="B11"/>
  <c r="B12" s="1"/>
  <c r="B13" s="1"/>
  <c r="B14" s="1"/>
  <c r="B15" s="1"/>
  <c r="B16" s="1"/>
  <c r="B17" s="1"/>
  <c r="B18" s="1"/>
  <c r="F37"/>
  <c r="B39"/>
  <c r="B42"/>
  <c r="A3" i="34"/>
  <c r="B13"/>
  <c r="A3" i="33"/>
  <c r="E7"/>
  <c r="F7"/>
  <c r="G7"/>
  <c r="H7"/>
  <c r="B11"/>
  <c r="B12" s="1"/>
  <c r="B13" s="1"/>
  <c r="B14" s="1"/>
  <c r="D23"/>
  <c r="D24" s="1"/>
  <c r="D25" s="1"/>
  <c r="E27"/>
  <c r="F27"/>
  <c r="B30"/>
  <c r="B33"/>
  <c r="A3" i="32"/>
  <c r="E7"/>
  <c r="F7"/>
  <c r="G7"/>
  <c r="H7"/>
  <c r="B11"/>
  <c r="B12" s="1"/>
  <c r="B13" s="1"/>
  <c r="D12"/>
  <c r="D13" s="1"/>
  <c r="D16" s="1"/>
  <c r="D17" s="1"/>
  <c r="D18" s="1"/>
  <c r="D19" s="1"/>
  <c r="D20" s="1"/>
  <c r="E14"/>
  <c r="B17"/>
  <c r="B18"/>
  <c r="B19" s="1"/>
  <c r="B20" s="1"/>
  <c r="E21"/>
  <c r="B25"/>
  <c r="A3" i="31"/>
  <c r="E12"/>
  <c r="F12"/>
  <c r="B27" i="30"/>
  <c r="H18" i="28"/>
  <c r="I18" s="1"/>
  <c r="A3" i="14"/>
  <c r="A3" i="28" s="1"/>
  <c r="A1"/>
  <c r="A2"/>
  <c r="A1" i="27"/>
  <c r="A2"/>
  <c r="A1" i="26"/>
  <c r="A2"/>
  <c r="A1" i="24"/>
  <c r="A2"/>
  <c r="A1" i="23"/>
  <c r="A2"/>
  <c r="A2" i="22"/>
  <c r="A1" i="21"/>
  <c r="A2"/>
  <c r="A1" i="20"/>
  <c r="A2"/>
  <c r="A1" i="19"/>
  <c r="A2"/>
  <c r="A1" i="18"/>
  <c r="A2"/>
  <c r="A1" i="17"/>
  <c r="A2"/>
  <c r="D18"/>
  <c r="A1" i="16"/>
  <c r="A2"/>
  <c r="A1" i="15"/>
  <c r="A2"/>
  <c r="B9" i="13"/>
  <c r="B13" i="4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29" i="9"/>
  <c r="B28" i="11"/>
  <c r="A9" i="10"/>
  <c r="A10" s="1"/>
  <c r="A11" s="1"/>
  <c r="A12" s="1"/>
  <c r="A13" s="1"/>
  <c r="A14" s="1"/>
  <c r="A15" s="1"/>
  <c r="A16" s="1"/>
  <c r="A17" s="1"/>
  <c r="A18" s="1"/>
  <c r="A19" s="1"/>
  <c r="B49" i="4"/>
  <c r="B33" i="6" s="1"/>
  <c r="B28" i="3"/>
  <c r="F45" i="12"/>
  <c r="A9" i="8"/>
  <c r="A10"/>
  <c r="A11" s="1"/>
  <c r="A12" s="1"/>
  <c r="A13" s="1"/>
  <c r="A14" s="1"/>
  <c r="A15" s="1"/>
  <c r="A16" s="1"/>
  <c r="A17" s="1"/>
  <c r="A18" s="1"/>
  <c r="A19" s="1"/>
  <c r="A20" s="1"/>
  <c r="A21" s="1"/>
  <c r="H5" i="12"/>
  <c r="G5"/>
  <c r="F5"/>
  <c r="D5"/>
  <c r="C5"/>
  <c r="B5"/>
  <c r="A5"/>
  <c r="H5" i="11"/>
  <c r="G5"/>
  <c r="F5"/>
  <c r="E5"/>
  <c r="D5"/>
  <c r="C5"/>
  <c r="B5"/>
  <c r="A5"/>
  <c r="H5" i="10"/>
  <c r="G5"/>
  <c r="F5"/>
  <c r="E5"/>
  <c r="D5"/>
  <c r="C5"/>
  <c r="B5"/>
  <c r="A5"/>
  <c r="H5" i="9"/>
  <c r="G5"/>
  <c r="F5"/>
  <c r="E5"/>
  <c r="D5"/>
  <c r="C5"/>
  <c r="B5"/>
  <c r="A5"/>
  <c r="H5" i="8"/>
  <c r="G5"/>
  <c r="F5"/>
  <c r="E5"/>
  <c r="D5"/>
  <c r="C5"/>
  <c r="B5"/>
  <c r="A5"/>
  <c r="H5" i="7"/>
  <c r="G5"/>
  <c r="F5"/>
  <c r="E5"/>
  <c r="D5"/>
  <c r="C5"/>
  <c r="B5"/>
  <c r="A5"/>
  <c r="H5" i="6"/>
  <c r="G5"/>
  <c r="F5"/>
  <c r="E5"/>
  <c r="D5"/>
  <c r="C5"/>
  <c r="B5"/>
  <c r="A5"/>
  <c r="H5" i="5"/>
  <c r="G5"/>
  <c r="F5"/>
  <c r="E5"/>
  <c r="D5"/>
  <c r="C5"/>
  <c r="B5"/>
  <c r="A5"/>
  <c r="H5" i="4"/>
  <c r="G5"/>
  <c r="F5"/>
  <c r="E5"/>
  <c r="D5"/>
  <c r="C5"/>
  <c r="B5"/>
  <c r="A5"/>
  <c r="H5" i="3"/>
  <c r="G5"/>
  <c r="F5"/>
  <c r="E5"/>
  <c r="D5"/>
  <c r="C5"/>
  <c r="B5"/>
  <c r="A5"/>
  <c r="I42" i="35"/>
  <c r="J17" i="30" s="1"/>
  <c r="B18" i="39"/>
  <c r="B13"/>
  <c r="A3" i="16"/>
  <c r="A3" i="18"/>
  <c r="A3" i="22"/>
  <c r="A3" i="26"/>
  <c r="D12" i="45"/>
  <c r="G14" i="27"/>
  <c r="H14" s="1"/>
  <c r="I14" s="1"/>
  <c r="I37" i="35"/>
  <c r="E17" i="30" s="1"/>
  <c r="J31" i="39"/>
  <c r="E21" i="30" s="1"/>
  <c r="I18" i="37"/>
  <c r="E19" i="30" s="1"/>
  <c r="E16"/>
  <c r="B14" i="39"/>
  <c r="B23" s="1"/>
  <c r="B21"/>
  <c r="B19"/>
  <c r="D13" i="45"/>
  <c r="C23"/>
  <c r="C21"/>
  <c r="D14"/>
  <c r="B15" i="39"/>
  <c r="B24" s="1"/>
  <c r="B28" s="1"/>
  <c r="A39" i="41" l="1"/>
  <c r="A42" s="1"/>
  <c r="A43" s="1"/>
  <c r="D8" i="45"/>
  <c r="G20" i="27"/>
  <c r="H20" s="1"/>
  <c r="I20" s="1"/>
  <c r="D10" i="2"/>
  <c r="E29" i="56"/>
  <c r="E29" i="55"/>
  <c r="E29" i="54"/>
  <c r="E31" i="56"/>
  <c r="E31" i="55"/>
  <c r="E31" i="54"/>
  <c r="F17" i="12"/>
  <c r="E32" i="56"/>
  <c r="E32" i="55"/>
  <c r="E32" i="54"/>
  <c r="F22" i="15"/>
  <c r="D19" i="3" s="1"/>
  <c r="F19" s="1"/>
  <c r="F22" i="14"/>
  <c r="D19" i="2" s="1"/>
  <c r="F19" s="1"/>
  <c r="F24" i="17"/>
  <c r="D16" i="6" s="1"/>
  <c r="F30" i="18"/>
  <c r="D25" i="5" s="1"/>
  <c r="F25" s="1"/>
  <c r="D24" i="20"/>
  <c r="D14" i="8" s="1"/>
  <c r="F14" s="1"/>
  <c r="F22" i="21"/>
  <c r="D14" i="9" s="1"/>
  <c r="F14" s="1"/>
  <c r="F39" i="22"/>
  <c r="H14" i="28"/>
  <c r="I14" s="1"/>
  <c r="E18" i="23"/>
  <c r="D12" i="10" s="1"/>
  <c r="F12" s="1"/>
  <c r="G12" i="12"/>
  <c r="G11"/>
  <c r="C13"/>
  <c r="F24" i="19"/>
  <c r="D14" i="7" s="1"/>
  <c r="F14" s="1"/>
  <c r="F16" i="12"/>
  <c r="C16" i="6"/>
  <c r="F16" s="1"/>
  <c r="F12" i="12"/>
  <c r="F11"/>
  <c r="C21" i="4"/>
  <c r="C22" s="1"/>
  <c r="F26" i="21"/>
  <c r="E16" i="28"/>
  <c r="F18" i="24"/>
  <c r="D12" i="11" s="1"/>
  <c r="F12" s="1"/>
  <c r="F23" i="4"/>
  <c r="B25" i="39"/>
  <c r="B29" s="1"/>
  <c r="B26" s="1"/>
  <c r="B20"/>
  <c r="D10" i="38"/>
  <c r="E10" s="1"/>
  <c r="H10" s="1"/>
  <c r="H11" s="1"/>
  <c r="E20" i="30" s="1"/>
  <c r="B15" i="33"/>
  <c r="B19"/>
  <c r="F15" i="40"/>
  <c r="E23" i="30" s="1"/>
  <c r="E18"/>
  <c r="I21" i="32"/>
  <c r="E16" i="27"/>
  <c r="E22"/>
  <c r="E10" i="30"/>
  <c r="I14" i="32"/>
  <c r="E23"/>
  <c r="F23"/>
  <c r="A13" i="30"/>
  <c r="D25"/>
  <c r="D33" i="13" s="1"/>
  <c r="D27" i="1" s="1"/>
  <c r="D37" i="13"/>
  <c r="D25" i="1" s="1"/>
  <c r="D25" i="12"/>
  <c r="F25" s="1"/>
  <c r="F24"/>
  <c r="F24" i="51"/>
  <c r="H24" s="1"/>
  <c r="D17" i="9"/>
  <c r="A3" i="51"/>
  <c r="D10" i="45"/>
  <c r="D11"/>
  <c r="D9"/>
  <c r="A3" i="24"/>
  <c r="A3" i="23"/>
  <c r="A3" i="21"/>
  <c r="A3" i="17"/>
  <c r="A3" i="15"/>
  <c r="A3" i="19"/>
  <c r="A3" i="20"/>
  <c r="A3" i="27"/>
  <c r="C19" i="12"/>
  <c r="F18"/>
  <c r="E11" i="42"/>
  <c r="D13"/>
  <c r="E13" s="1"/>
  <c r="E12"/>
  <c r="F12" s="1"/>
  <c r="J20" i="30"/>
  <c r="J25" s="1"/>
  <c r="D19" i="45"/>
  <c r="D18"/>
  <c r="D17"/>
  <c r="D16"/>
  <c r="D15"/>
  <c r="D8" i="55" l="1"/>
  <c r="D15"/>
  <c r="D9"/>
  <c r="D16"/>
  <c r="D10"/>
  <c r="D17"/>
  <c r="D11"/>
  <c r="D18"/>
  <c r="D12"/>
  <c r="D19"/>
  <c r="D13"/>
  <c r="D14"/>
  <c r="D23" s="1"/>
  <c r="D8" i="54"/>
  <c r="D9"/>
  <c r="D15"/>
  <c r="D17"/>
  <c r="D16"/>
  <c r="D18"/>
  <c r="D10"/>
  <c r="D19"/>
  <c r="D11"/>
  <c r="D12"/>
  <c r="D13"/>
  <c r="D14"/>
  <c r="D23" s="1"/>
  <c r="D8" i="56"/>
  <c r="D9"/>
  <c r="D15"/>
  <c r="D16"/>
  <c r="D10"/>
  <c r="D11"/>
  <c r="D17"/>
  <c r="D18"/>
  <c r="D12"/>
  <c r="D19"/>
  <c r="D13"/>
  <c r="D14"/>
  <c r="H39" i="22"/>
  <c r="F43" i="12"/>
  <c r="A14" i="30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E22" i="28"/>
  <c r="G13" i="12"/>
  <c r="F19"/>
  <c r="F13"/>
  <c r="I39" i="22"/>
  <c r="E28" i="27"/>
  <c r="F13" i="42"/>
  <c r="B20" i="33"/>
  <c r="B16"/>
  <c r="E12" i="30"/>
  <c r="I23" i="32"/>
  <c r="E11" i="30"/>
  <c r="E25" s="1"/>
  <c r="K25"/>
  <c r="E36" i="13"/>
  <c r="F28" i="12"/>
  <c r="D21" i="45"/>
  <c r="F44" i="12"/>
  <c r="F46" s="1"/>
  <c r="D23" i="45"/>
  <c r="D23" i="56" l="1"/>
  <c r="D21"/>
  <c r="D21" i="54"/>
  <c r="D21" i="55"/>
  <c r="E35" i="13"/>
  <c r="E37" s="1"/>
  <c r="E25" i="1" s="1"/>
  <c r="F30" i="12"/>
  <c r="J39" i="22"/>
  <c r="K39" s="1"/>
  <c r="B17" i="33"/>
  <c r="B22" s="1"/>
  <c r="B23" s="1"/>
  <c r="B24" s="1"/>
  <c r="B25" s="1"/>
  <c r="B21"/>
  <c r="E33" i="13"/>
  <c r="G28" i="30"/>
  <c r="E27" i="1"/>
  <c r="D17" i="16" l="1"/>
  <c r="D18" i="15" l="1"/>
  <c r="D21" i="22"/>
  <c r="D20" i="18"/>
  <c r="E14" i="17" l="1"/>
  <c r="G14" l="1"/>
  <c r="E26"/>
  <c r="D15" i="13" s="1"/>
  <c r="E22" i="17"/>
  <c r="E17" i="51"/>
  <c r="G17" s="1"/>
  <c r="E20"/>
  <c r="G20" s="1"/>
  <c r="E14"/>
  <c r="C12" i="6" s="1"/>
  <c r="C14" s="1"/>
  <c r="E12" i="51"/>
  <c r="G12" s="1"/>
  <c r="E22" l="1"/>
  <c r="E26"/>
  <c r="D16" i="13" s="1"/>
  <c r="D13" i="1" s="1"/>
  <c r="G14" i="51"/>
  <c r="E16"/>
  <c r="G16" s="1"/>
  <c r="G18" s="1"/>
  <c r="C18"/>
  <c r="E18" s="1"/>
  <c r="G22" i="17"/>
  <c r="I22"/>
  <c r="C18" i="6"/>
  <c r="F14"/>
  <c r="F18" s="1"/>
  <c r="J22" i="17" l="1"/>
  <c r="I22" i="51"/>
  <c r="G22"/>
  <c r="G26" s="1"/>
  <c r="J22" l="1"/>
  <c r="E16" i="13"/>
  <c r="E28" i="22" l="1"/>
  <c r="E29" l="1"/>
  <c r="E30" s="1"/>
  <c r="G28"/>
  <c r="I13" i="42"/>
  <c r="C30" i="22"/>
  <c r="I12" i="42" l="1"/>
  <c r="J12" s="1"/>
  <c r="G29" i="22"/>
  <c r="G30" s="1"/>
  <c r="J13" i="42"/>
  <c r="E17" i="15" l="1"/>
  <c r="E13"/>
  <c r="E24" i="16"/>
  <c r="E20" i="17"/>
  <c r="C25" i="6" s="1"/>
  <c r="E26" i="18"/>
  <c r="E20" i="19"/>
  <c r="E18" i="21"/>
  <c r="E13" i="14"/>
  <c r="E12" i="16"/>
  <c r="E12" i="17"/>
  <c r="C9" i="6" s="1"/>
  <c r="E13" i="18"/>
  <c r="E12" i="19"/>
  <c r="E12" i="21"/>
  <c r="E17" i="14"/>
  <c r="E16" i="16"/>
  <c r="E17" i="18"/>
  <c r="E15" i="16"/>
  <c r="E18" i="18"/>
  <c r="E19"/>
  <c r="E20" i="22" l="1"/>
  <c r="E25" s="1"/>
  <c r="E15"/>
  <c r="G15" s="1"/>
  <c r="E33"/>
  <c r="G33" s="1"/>
  <c r="E14"/>
  <c r="G14" s="1"/>
  <c r="E14" i="26"/>
  <c r="E19" i="22"/>
  <c r="C21"/>
  <c r="E14" i="21"/>
  <c r="E14" i="20"/>
  <c r="C22"/>
  <c r="C12" i="8"/>
  <c r="C26" i="20"/>
  <c r="D22" i="13" s="1"/>
  <c r="G16" i="16"/>
  <c r="C17" i="4"/>
  <c r="E16" i="14"/>
  <c r="C18"/>
  <c r="E13" i="22"/>
  <c r="C16"/>
  <c r="G12" i="17"/>
  <c r="G12" i="16"/>
  <c r="C9" i="4"/>
  <c r="G13" i="14"/>
  <c r="C11" i="2"/>
  <c r="F11" s="1"/>
  <c r="E12" i="14"/>
  <c r="C14"/>
  <c r="G20" i="19"/>
  <c r="C23" i="7"/>
  <c r="G20" i="17"/>
  <c r="G18" i="18"/>
  <c r="C17" i="5"/>
  <c r="G19" i="18"/>
  <c r="C21" i="5"/>
  <c r="G15" i="16"/>
  <c r="C14" i="4"/>
  <c r="E32" i="22"/>
  <c r="C34"/>
  <c r="C16" i="24"/>
  <c r="E16" s="1"/>
  <c r="C20"/>
  <c r="E12"/>
  <c r="C16" i="23"/>
  <c r="D16" s="1"/>
  <c r="D12"/>
  <c r="C20"/>
  <c r="E14" i="19"/>
  <c r="G17" i="18"/>
  <c r="C20" i="5"/>
  <c r="E16" i="18"/>
  <c r="C20"/>
  <c r="E14" i="16"/>
  <c r="C17"/>
  <c r="E16" i="15"/>
  <c r="C18"/>
  <c r="G17" i="14"/>
  <c r="C16" i="2"/>
  <c r="G12" i="21"/>
  <c r="C9" i="9"/>
  <c r="E12" i="20"/>
  <c r="C9" i="8"/>
  <c r="G12" i="19"/>
  <c r="C9" i="7"/>
  <c r="G13" i="18"/>
  <c r="C11" i="5"/>
  <c r="E12" i="18"/>
  <c r="C14"/>
  <c r="E12" i="15"/>
  <c r="C14"/>
  <c r="G18" i="21"/>
  <c r="C19" i="9"/>
  <c r="E20" i="20"/>
  <c r="C23" i="8"/>
  <c r="G26" i="18"/>
  <c r="C34" i="5"/>
  <c r="G24" i="16"/>
  <c r="C32" i="4"/>
  <c r="G13" i="15"/>
  <c r="C11" i="3"/>
  <c r="F11" s="1"/>
  <c r="G17" i="15"/>
  <c r="C16" i="3"/>
  <c r="G20" i="22" l="1"/>
  <c r="F16" i="3"/>
  <c r="F32" i="4"/>
  <c r="F34" i="5"/>
  <c r="F23" i="8"/>
  <c r="F19" i="9"/>
  <c r="F11" i="5"/>
  <c r="F9" i="7"/>
  <c r="F9" i="8"/>
  <c r="F9" i="9"/>
  <c r="F16" i="2"/>
  <c r="C22" i="5"/>
  <c r="F20"/>
  <c r="E26" i="19"/>
  <c r="D21" i="13" s="1"/>
  <c r="G14" i="19"/>
  <c r="E22"/>
  <c r="C12" i="7"/>
  <c r="F16" i="23"/>
  <c r="H16"/>
  <c r="F14" i="4"/>
  <c r="F21" i="5"/>
  <c r="F17"/>
  <c r="G12" i="14"/>
  <c r="G14" s="1"/>
  <c r="C10" i="2"/>
  <c r="E14" i="14"/>
  <c r="F9" i="4"/>
  <c r="F9" i="6"/>
  <c r="F17" i="4"/>
  <c r="C16" i="8"/>
  <c r="F12"/>
  <c r="F16" s="1"/>
  <c r="E24" i="22"/>
  <c r="G19"/>
  <c r="G21" s="1"/>
  <c r="E21"/>
  <c r="E41" s="1"/>
  <c r="D26" i="13" s="1"/>
  <c r="D21" i="1" s="1"/>
  <c r="I18" i="42"/>
  <c r="C10" i="3"/>
  <c r="G12" i="15"/>
  <c r="G14" s="1"/>
  <c r="E14"/>
  <c r="E14" i="18"/>
  <c r="C10" i="5"/>
  <c r="G12" i="18"/>
  <c r="G14" s="1"/>
  <c r="G16" i="15"/>
  <c r="G18" s="1"/>
  <c r="C15" i="3"/>
  <c r="E18" i="15"/>
  <c r="G14" i="16"/>
  <c r="G17" s="1"/>
  <c r="C13" i="4"/>
  <c r="E17" i="16"/>
  <c r="G16" i="18"/>
  <c r="G20" s="1"/>
  <c r="E20"/>
  <c r="C16" i="5"/>
  <c r="F12" i="23"/>
  <c r="C10" i="10"/>
  <c r="D20" i="23"/>
  <c r="D29" i="13" s="1"/>
  <c r="G12" i="24"/>
  <c r="C10" i="11"/>
  <c r="E20" i="24"/>
  <c r="D30" i="13" s="1"/>
  <c r="G16" i="24"/>
  <c r="I16"/>
  <c r="G32" i="22"/>
  <c r="G34" s="1"/>
  <c r="E34"/>
  <c r="I25"/>
  <c r="G25"/>
  <c r="I17" i="42"/>
  <c r="F25" i="6"/>
  <c r="F23" i="7"/>
  <c r="G13" i="22"/>
  <c r="G16" s="1"/>
  <c r="E16"/>
  <c r="G16" i="14"/>
  <c r="G18" s="1"/>
  <c r="E18"/>
  <c r="C15" i="2"/>
  <c r="G22" i="20"/>
  <c r="E22"/>
  <c r="G14" i="21"/>
  <c r="C12" i="9"/>
  <c r="E24" i="21"/>
  <c r="D23" i="13" s="1"/>
  <c r="D18" i="1" s="1"/>
  <c r="E20" i="21"/>
  <c r="G14" i="26"/>
  <c r="G20" s="1"/>
  <c r="D41" i="13"/>
  <c r="D31" i="1" s="1"/>
  <c r="E31" l="1"/>
  <c r="G28" i="26"/>
  <c r="E41" i="13" s="1"/>
  <c r="J16" i="24"/>
  <c r="E20" i="14"/>
  <c r="E24"/>
  <c r="D9" i="13" s="1"/>
  <c r="J17" i="42"/>
  <c r="E28" i="18"/>
  <c r="E32"/>
  <c r="D17" i="13" s="1"/>
  <c r="E26" i="16"/>
  <c r="E30"/>
  <c r="D14" i="13" s="1"/>
  <c r="F15" i="3"/>
  <c r="G22" i="19"/>
  <c r="I22"/>
  <c r="H22" i="20"/>
  <c r="D31" i="13"/>
  <c r="D23" i="1" s="1"/>
  <c r="I16" i="23"/>
  <c r="C17" i="3"/>
  <c r="C20" s="1"/>
  <c r="G20" i="21"/>
  <c r="I20"/>
  <c r="F12" i="9"/>
  <c r="F15" s="1"/>
  <c r="C15"/>
  <c r="F15" i="2"/>
  <c r="F17" s="1"/>
  <c r="F10" i="11"/>
  <c r="F13" s="1"/>
  <c r="C13"/>
  <c r="F10" i="10"/>
  <c r="F13" s="1"/>
  <c r="C13"/>
  <c r="C18" i="5"/>
  <c r="C23" s="1"/>
  <c r="C26" s="1"/>
  <c r="F16"/>
  <c r="F23" s="1"/>
  <c r="F26" s="1"/>
  <c r="C15" i="4"/>
  <c r="C18" s="1"/>
  <c r="C24" s="1"/>
  <c r="F13"/>
  <c r="E20" i="15"/>
  <c r="E24"/>
  <c r="D13" i="13" s="1"/>
  <c r="F10" i="5"/>
  <c r="F12" s="1"/>
  <c r="C12"/>
  <c r="F10" i="3"/>
  <c r="C12"/>
  <c r="J18" i="42"/>
  <c r="E26" i="22"/>
  <c r="G24"/>
  <c r="G26" s="1"/>
  <c r="I24"/>
  <c r="I26" s="1"/>
  <c r="C12" i="2"/>
  <c r="F10"/>
  <c r="F12" s="1"/>
  <c r="F12" i="7"/>
  <c r="F16" s="1"/>
  <c r="C16"/>
  <c r="D17" i="1"/>
  <c r="D19" s="1"/>
  <c r="D24" i="13"/>
  <c r="C17" i="2"/>
  <c r="C21" s="1"/>
  <c r="J22" i="19" l="1"/>
  <c r="F18" i="4"/>
  <c r="F24" s="1"/>
  <c r="F23" i="2"/>
  <c r="F17" i="3"/>
  <c r="D12" i="1"/>
  <c r="F12" i="3"/>
  <c r="F22" s="1"/>
  <c r="D11" i="1"/>
  <c r="D18" i="13"/>
  <c r="I26" i="16"/>
  <c r="G26"/>
  <c r="G28" i="18"/>
  <c r="I28"/>
  <c r="I20" i="14"/>
  <c r="G20"/>
  <c r="G24" s="1"/>
  <c r="J20" i="21"/>
  <c r="G20" i="15"/>
  <c r="G24" s="1"/>
  <c r="I20"/>
  <c r="D8" i="1"/>
  <c r="D10" i="13"/>
  <c r="G41" i="22"/>
  <c r="E26" i="13" l="1"/>
  <c r="C28" i="42" s="1"/>
  <c r="C29" s="1"/>
  <c r="J20" i="15"/>
  <c r="J20" i="14"/>
  <c r="J26" i="16"/>
  <c r="D14" i="1"/>
  <c r="D29" s="1"/>
  <c r="D33" s="1"/>
  <c r="E21"/>
  <c r="E13" i="13"/>
  <c r="E9"/>
  <c r="J28" i="18"/>
  <c r="D39" i="13"/>
  <c r="D43" s="1"/>
  <c r="E11" i="1" l="1"/>
  <c r="I21"/>
  <c r="K21"/>
  <c r="C32" i="42" s="1"/>
  <c r="E8" i="1"/>
  <c r="E10" i="13"/>
  <c r="E23" i="18" l="1"/>
  <c r="E17" i="19"/>
  <c r="D14" i="23"/>
  <c r="E16" i="21"/>
  <c r="E14" i="24"/>
  <c r="E17" i="17"/>
  <c r="C22" i="6" s="1"/>
  <c r="E21" i="16"/>
  <c r="C29" i="4" l="1"/>
  <c r="G21" i="16"/>
  <c r="G17" i="17"/>
  <c r="G14" i="24"/>
  <c r="G20" s="1"/>
  <c r="E30" i="13" s="1"/>
  <c r="C15" i="11"/>
  <c r="C17" i="9"/>
  <c r="G16" i="21"/>
  <c r="G24" s="1"/>
  <c r="E22" i="18"/>
  <c r="C24"/>
  <c r="F14" i="23"/>
  <c r="F20" s="1"/>
  <c r="E29" i="13" s="1"/>
  <c r="E31" s="1"/>
  <c r="E23" i="1" s="1"/>
  <c r="C15" i="10"/>
  <c r="G17" i="19"/>
  <c r="C20" i="7"/>
  <c r="E16" i="17"/>
  <c r="C21" i="6" s="1"/>
  <c r="C18" i="17"/>
  <c r="E18" s="1"/>
  <c r="E17" i="20"/>
  <c r="C20" i="8"/>
  <c r="G23" i="18"/>
  <c r="C31" i="5"/>
  <c r="E20" i="16"/>
  <c r="E19" l="1"/>
  <c r="C27" i="4"/>
  <c r="C22" i="16"/>
  <c r="G20"/>
  <c r="G22" s="1"/>
  <c r="G30" s="1"/>
  <c r="E14" i="13" s="1"/>
  <c r="C28" i="4"/>
  <c r="G16" i="17"/>
  <c r="G18" s="1"/>
  <c r="G26" s="1"/>
  <c r="E24" i="18"/>
  <c r="G22"/>
  <c r="G24" s="1"/>
  <c r="G32" s="1"/>
  <c r="C30" i="5"/>
  <c r="F17" i="9"/>
  <c r="F21" s="1"/>
  <c r="C30" i="4"/>
  <c r="F29"/>
  <c r="F31" i="5"/>
  <c r="F20" i="8"/>
  <c r="F20" i="7"/>
  <c r="F15" i="10"/>
  <c r="E16" i="19"/>
  <c r="C18"/>
  <c r="E18" s="1"/>
  <c r="E16" i="20"/>
  <c r="E18" s="1"/>
  <c r="E26" s="1"/>
  <c r="C19" i="8"/>
  <c r="C18" i="20"/>
  <c r="E23" i="13"/>
  <c r="E18" i="1" s="1"/>
  <c r="F15" i="11"/>
  <c r="F17" s="1"/>
  <c r="F22" i="6"/>
  <c r="C21" i="8" l="1"/>
  <c r="F19"/>
  <c r="F21" s="1"/>
  <c r="F25" s="1"/>
  <c r="C32" i="5"/>
  <c r="F30"/>
  <c r="F32" s="1"/>
  <c r="F21" i="6"/>
  <c r="F23" s="1"/>
  <c r="C23"/>
  <c r="E22" i="13"/>
  <c r="G16" i="19"/>
  <c r="G18" s="1"/>
  <c r="G26" s="1"/>
  <c r="E21" i="13" s="1"/>
  <c r="C19" i="7"/>
  <c r="E17" i="13"/>
  <c r="E12" i="1" s="1"/>
  <c r="E15" i="13"/>
  <c r="E13" i="1" s="1"/>
  <c r="F28" i="4"/>
  <c r="G19" i="16"/>
  <c r="E22"/>
  <c r="I19"/>
  <c r="F17" i="10"/>
  <c r="F27" i="4"/>
  <c r="G27"/>
  <c r="J19" i="16" l="1"/>
  <c r="F30" i="4"/>
  <c r="E18" i="13"/>
  <c r="E14" i="1"/>
  <c r="E17"/>
  <c r="E24" i="13"/>
  <c r="E39" s="1"/>
  <c r="E43" s="1"/>
  <c r="F34" i="4"/>
  <c r="F19" i="7"/>
  <c r="F21" s="1"/>
  <c r="C21"/>
  <c r="F27" i="6"/>
  <c r="F36" i="5"/>
  <c r="E19" i="1" l="1"/>
  <c r="E29" s="1"/>
  <c r="E33" s="1"/>
  <c r="G37" i="4"/>
  <c r="F25" i="7"/>
  <c r="G28" s="1"/>
  <c r="G25" i="1" l="1"/>
  <c r="G18"/>
  <c r="G13"/>
  <c r="G11"/>
  <c r="I37"/>
  <c r="G23"/>
  <c r="G17"/>
  <c r="G12"/>
  <c r="G8"/>
  <c r="I36"/>
  <c r="G27"/>
  <c r="I33"/>
  <c r="G33" l="1"/>
  <c r="I38"/>
  <c r="I24" i="51" l="1"/>
  <c r="J24" s="1"/>
  <c r="K24" s="1"/>
  <c r="C34" i="41" l="1"/>
  <c r="C38"/>
  <c r="C35" l="1"/>
  <c r="C33"/>
  <c r="C32"/>
  <c r="C37"/>
  <c r="C36"/>
  <c r="C31"/>
  <c r="K31" i="1" l="1"/>
  <c r="H41" i="13"/>
  <c r="I31" i="1"/>
  <c r="I39"/>
  <c r="I27" l="1"/>
  <c r="J27" s="1"/>
  <c r="I23"/>
  <c r="I17"/>
  <c r="J17" s="1"/>
  <c r="I12"/>
  <c r="J12" s="1"/>
  <c r="I8"/>
  <c r="I25"/>
  <c r="J25" s="1"/>
  <c r="I18"/>
  <c r="J18" s="1"/>
  <c r="I13"/>
  <c r="J13" s="1"/>
  <c r="I11"/>
  <c r="J11" s="1"/>
  <c r="I20" i="26"/>
  <c r="J20" s="1"/>
  <c r="K20" s="1"/>
  <c r="I25"/>
  <c r="J23" i="1"/>
  <c r="J8"/>
  <c r="K11" l="1"/>
  <c r="G24" i="3"/>
  <c r="J14" i="1"/>
  <c r="H18" i="13" s="1"/>
  <c r="K27" i="1"/>
  <c r="H33" i="13"/>
  <c r="G27" i="30"/>
  <c r="G29" s="1"/>
  <c r="K13" i="1"/>
  <c r="G29" i="6"/>
  <c r="K8" i="1"/>
  <c r="H10" i="13"/>
  <c r="G25" i="2"/>
  <c r="I28" i="26"/>
  <c r="F41" i="13" s="1"/>
  <c r="G41" s="1"/>
  <c r="J25" i="26"/>
  <c r="K18" i="1"/>
  <c r="G23" i="9"/>
  <c r="K17" i="1"/>
  <c r="J19"/>
  <c r="H24" i="13" s="1"/>
  <c r="G27" i="7"/>
  <c r="K12" i="1"/>
  <c r="G36" i="4"/>
  <c r="K25" i="1"/>
  <c r="H37" i="13"/>
  <c r="G32" i="12"/>
  <c r="K23" i="1"/>
  <c r="H31" i="13"/>
  <c r="G19" i="11"/>
  <c r="K19" i="1" l="1"/>
  <c r="K25" i="26"/>
  <c r="J28"/>
  <c r="K28" s="1"/>
  <c r="G33" i="12"/>
  <c r="G34"/>
  <c r="G25" i="9"/>
  <c r="G24"/>
  <c r="G26" i="2"/>
  <c r="G27"/>
  <c r="E15" s="1"/>
  <c r="G25" i="3"/>
  <c r="G26"/>
  <c r="E15" s="1"/>
  <c r="G22" i="11"/>
  <c r="G20"/>
  <c r="G38" i="4"/>
  <c r="G47"/>
  <c r="G40"/>
  <c r="E13" s="1"/>
  <c r="G29" i="7"/>
  <c r="G31"/>
  <c r="E12" s="1"/>
  <c r="J41" i="13"/>
  <c r="I41"/>
  <c r="H39"/>
  <c r="H43" s="1"/>
  <c r="G30" i="6"/>
  <c r="G31"/>
  <c r="J29" i="1"/>
  <c r="I29" s="1"/>
  <c r="K14"/>
  <c r="K29" s="1"/>
  <c r="K33" s="1"/>
  <c r="E14" i="6" l="1"/>
  <c r="H14" i="19"/>
  <c r="E16" i="3"/>
  <c r="E29" i="4"/>
  <c r="E14"/>
  <c r="E28"/>
  <c r="E10" i="3"/>
  <c r="E11"/>
  <c r="E19"/>
  <c r="E11" i="2"/>
  <c r="E16"/>
  <c r="E10"/>
  <c r="E19"/>
  <c r="E25" i="12"/>
  <c r="G25" s="1"/>
  <c r="E26"/>
  <c r="G26" s="1"/>
  <c r="G20" i="28" s="1"/>
  <c r="E24" i="12"/>
  <c r="G24" s="1"/>
  <c r="J33" i="1"/>
  <c r="E13" i="53"/>
  <c r="E10" s="1"/>
  <c r="H16" i="52"/>
  <c r="E13" i="34"/>
  <c r="H25" i="32"/>
  <c r="H22" i="36"/>
  <c r="I33" i="39"/>
  <c r="H20" i="37"/>
  <c r="H30" i="33"/>
  <c r="F17" i="40"/>
  <c r="E12" s="1"/>
  <c r="H39" i="35"/>
  <c r="H13" s="1"/>
  <c r="G15" i="38"/>
  <c r="H14" i="31"/>
  <c r="H10" s="1"/>
  <c r="E16" i="6"/>
  <c r="E9"/>
  <c r="E25"/>
  <c r="E14" i="7"/>
  <c r="G26" i="9"/>
  <c r="E20" i="7"/>
  <c r="E9"/>
  <c r="E23"/>
  <c r="E19"/>
  <c r="G27" i="8"/>
  <c r="E17" i="4"/>
  <c r="E23"/>
  <c r="E32"/>
  <c r="G38" i="5"/>
  <c r="E9" i="4"/>
  <c r="E12" i="11"/>
  <c r="E15"/>
  <c r="G19" i="10"/>
  <c r="E17" i="9"/>
  <c r="E14"/>
  <c r="E19"/>
  <c r="J10" i="31" l="1"/>
  <c r="E10" i="40"/>
  <c r="E13"/>
  <c r="G14" i="9"/>
  <c r="H22" i="21"/>
  <c r="I22" s="1"/>
  <c r="J22" s="1"/>
  <c r="K22" s="1"/>
  <c r="E12" i="10"/>
  <c r="E15"/>
  <c r="G28" i="4"/>
  <c r="H20" i="16"/>
  <c r="G29" i="4"/>
  <c r="H21" i="16"/>
  <c r="C36" i="6"/>
  <c r="E9" i="9"/>
  <c r="H12" i="19"/>
  <c r="C9" i="41"/>
  <c r="H15" i="22" s="1"/>
  <c r="E9" i="8"/>
  <c r="G9" i="7"/>
  <c r="G19" i="9"/>
  <c r="H18" i="21"/>
  <c r="H16"/>
  <c r="G17" i="9"/>
  <c r="G15" i="11"/>
  <c r="G11" i="42"/>
  <c r="H14" i="24"/>
  <c r="H12" i="16"/>
  <c r="G9" i="4"/>
  <c r="C11" i="41"/>
  <c r="H13" i="22" s="1"/>
  <c r="G32" i="4"/>
  <c r="H24" i="16"/>
  <c r="H28"/>
  <c r="I28" s="1"/>
  <c r="J28" s="1"/>
  <c r="K28" s="1"/>
  <c r="G23" i="4"/>
  <c r="G14"/>
  <c r="H15" i="16"/>
  <c r="G17" i="4"/>
  <c r="H16" i="16"/>
  <c r="E19" i="8"/>
  <c r="E20"/>
  <c r="E14"/>
  <c r="G30"/>
  <c r="G31" s="1"/>
  <c r="E23"/>
  <c r="C26" i="41"/>
  <c r="H33" i="22" s="1"/>
  <c r="G23" i="7"/>
  <c r="H20" i="19"/>
  <c r="G20" i="7"/>
  <c r="H17" i="19"/>
  <c r="E22" i="6"/>
  <c r="C10" i="41"/>
  <c r="H14" i="22" s="1"/>
  <c r="H12" i="51"/>
  <c r="I12" s="1"/>
  <c r="J12" s="1"/>
  <c r="K12" s="1"/>
  <c r="H12" i="17"/>
  <c r="G9" i="6"/>
  <c r="J12" i="31"/>
  <c r="H12" i="35"/>
  <c r="H26"/>
  <c r="H22"/>
  <c r="H15"/>
  <c r="H16"/>
  <c r="H34"/>
  <c r="H25"/>
  <c r="H14"/>
  <c r="H35"/>
  <c r="H30"/>
  <c r="H27"/>
  <c r="H11"/>
  <c r="H28"/>
  <c r="H23"/>
  <c r="H32"/>
  <c r="H18"/>
  <c r="H20"/>
  <c r="H33"/>
  <c r="H21"/>
  <c r="H10"/>
  <c r="H17"/>
  <c r="H31"/>
  <c r="H24"/>
  <c r="H22" i="33"/>
  <c r="H14"/>
  <c r="H11"/>
  <c r="H13"/>
  <c r="H25"/>
  <c r="H23"/>
  <c r="H17"/>
  <c r="H24"/>
  <c r="H16"/>
  <c r="H19"/>
  <c r="H20"/>
  <c r="H21"/>
  <c r="H12"/>
  <c r="H15"/>
  <c r="H10"/>
  <c r="I17" i="39"/>
  <c r="I28"/>
  <c r="I18"/>
  <c r="I29"/>
  <c r="I25"/>
  <c r="I20"/>
  <c r="I21"/>
  <c r="I19"/>
  <c r="I26"/>
  <c r="I23"/>
  <c r="I15"/>
  <c r="I13"/>
  <c r="I10"/>
  <c r="I11"/>
  <c r="I12"/>
  <c r="I24"/>
  <c r="I14"/>
  <c r="H20" i="32"/>
  <c r="H12"/>
  <c r="H18"/>
  <c r="H13"/>
  <c r="H19"/>
  <c r="H10"/>
  <c r="H11"/>
  <c r="H17"/>
  <c r="H16"/>
  <c r="H11" i="52"/>
  <c r="J11" s="1"/>
  <c r="K11" s="1"/>
  <c r="L11" s="1"/>
  <c r="H10"/>
  <c r="J10" s="1"/>
  <c r="K10" s="1"/>
  <c r="L10" s="1"/>
  <c r="H9"/>
  <c r="G28" i="12"/>
  <c r="G37" s="1"/>
  <c r="G38" s="1"/>
  <c r="G26" i="27"/>
  <c r="G10" i="2"/>
  <c r="H12" i="14"/>
  <c r="G16" i="2"/>
  <c r="H17" i="14"/>
  <c r="G15" i="3"/>
  <c r="H16" i="15"/>
  <c r="G19" i="3"/>
  <c r="H22" i="15"/>
  <c r="I22" s="1"/>
  <c r="J22" s="1"/>
  <c r="K22" s="1"/>
  <c r="H12"/>
  <c r="G10" i="3"/>
  <c r="H18" i="24"/>
  <c r="I18" s="1"/>
  <c r="J18" s="1"/>
  <c r="K18" s="1"/>
  <c r="G12" i="11"/>
  <c r="E11" i="5"/>
  <c r="E25"/>
  <c r="E31"/>
  <c r="E16"/>
  <c r="E20"/>
  <c r="E34"/>
  <c r="E17"/>
  <c r="E21"/>
  <c r="E30"/>
  <c r="E10"/>
  <c r="G13" i="4"/>
  <c r="H14" i="16"/>
  <c r="H16" i="19"/>
  <c r="E21" i="6"/>
  <c r="G19" i="7"/>
  <c r="G12"/>
  <c r="G14"/>
  <c r="H24" i="19"/>
  <c r="I24" s="1"/>
  <c r="J24" s="1"/>
  <c r="K24" s="1"/>
  <c r="G25" i="6"/>
  <c r="H20" i="51"/>
  <c r="I20" s="1"/>
  <c r="H20" i="17"/>
  <c r="C27" i="41"/>
  <c r="H32" i="22" s="1"/>
  <c r="G16" i="6"/>
  <c r="H24" i="17"/>
  <c r="I24" s="1"/>
  <c r="J24" s="1"/>
  <c r="K24" s="1"/>
  <c r="I13" i="38"/>
  <c r="G10"/>
  <c r="H12" i="37"/>
  <c r="H15"/>
  <c r="H13"/>
  <c r="H11"/>
  <c r="H14"/>
  <c r="H17"/>
  <c r="H10"/>
  <c r="H18" i="36"/>
  <c r="H13"/>
  <c r="H17"/>
  <c r="H15"/>
  <c r="H14"/>
  <c r="H12"/>
  <c r="H16"/>
  <c r="H10"/>
  <c r="H11"/>
  <c r="E11" i="34"/>
  <c r="E10"/>
  <c r="G10" i="53"/>
  <c r="F20" i="28"/>
  <c r="H20"/>
  <c r="H22" i="14"/>
  <c r="I22" s="1"/>
  <c r="J22" s="1"/>
  <c r="K22" s="1"/>
  <c r="G19" i="2"/>
  <c r="G15"/>
  <c r="H16" i="14"/>
  <c r="G11" i="2"/>
  <c r="H13" i="14"/>
  <c r="H17" i="15"/>
  <c r="G16" i="3"/>
  <c r="G11"/>
  <c r="H13" i="15"/>
  <c r="G21" i="7" l="1"/>
  <c r="G17" i="3"/>
  <c r="I17" i="15"/>
  <c r="J17" s="1"/>
  <c r="K17" s="1"/>
  <c r="I20" i="28"/>
  <c r="H10" i="53"/>
  <c r="I10" s="1"/>
  <c r="F14" i="30"/>
  <c r="G14" s="1"/>
  <c r="H14" s="1"/>
  <c r="J11" i="36"/>
  <c r="K11" s="1"/>
  <c r="L11" s="1"/>
  <c r="J14"/>
  <c r="K14" s="1"/>
  <c r="L14" s="1"/>
  <c r="J18"/>
  <c r="K18" s="1"/>
  <c r="L18" s="1"/>
  <c r="J11" i="37"/>
  <c r="K11" s="1"/>
  <c r="L11" s="1"/>
  <c r="I32" i="22"/>
  <c r="I13" i="15"/>
  <c r="J13" s="1"/>
  <c r="K13" s="1"/>
  <c r="I13" i="14"/>
  <c r="J13" s="1"/>
  <c r="K13" s="1"/>
  <c r="I16"/>
  <c r="I11" i="34"/>
  <c r="G11"/>
  <c r="H11" s="1"/>
  <c r="J10" i="36"/>
  <c r="J12"/>
  <c r="K12" s="1"/>
  <c r="L12" s="1"/>
  <c r="J15"/>
  <c r="K15" s="1"/>
  <c r="L15" s="1"/>
  <c r="J13"/>
  <c r="K13" s="1"/>
  <c r="L13" s="1"/>
  <c r="J10" i="37"/>
  <c r="J14"/>
  <c r="K14" s="1"/>
  <c r="L14" s="1"/>
  <c r="J13"/>
  <c r="K13" s="1"/>
  <c r="L13" s="1"/>
  <c r="J12"/>
  <c r="K12" s="1"/>
  <c r="L12" s="1"/>
  <c r="G10" i="40"/>
  <c r="I20" i="17"/>
  <c r="I14" i="19"/>
  <c r="J14" s="1"/>
  <c r="K14" s="1"/>
  <c r="H26" i="21"/>
  <c r="I16" i="19"/>
  <c r="H22" i="18"/>
  <c r="G30" i="5"/>
  <c r="G17"/>
  <c r="H18" i="18"/>
  <c r="G20" i="5"/>
  <c r="H17" i="18"/>
  <c r="G31" i="5"/>
  <c r="H23" i="18"/>
  <c r="G11" i="5"/>
  <c r="H13" i="18"/>
  <c r="I12" i="15"/>
  <c r="J9" i="52"/>
  <c r="J17" i="32"/>
  <c r="K17" s="1"/>
  <c r="L17" s="1"/>
  <c r="J10"/>
  <c r="J13"/>
  <c r="K13" s="1"/>
  <c r="L13" s="1"/>
  <c r="J12"/>
  <c r="K12" s="1"/>
  <c r="L12" s="1"/>
  <c r="K14" i="39"/>
  <c r="L14" s="1"/>
  <c r="M14" s="1"/>
  <c r="K12"/>
  <c r="L12" s="1"/>
  <c r="M12" s="1"/>
  <c r="K10"/>
  <c r="K15"/>
  <c r="L15" s="1"/>
  <c r="M15" s="1"/>
  <c r="K26"/>
  <c r="L26" s="1"/>
  <c r="M26" s="1"/>
  <c r="K21"/>
  <c r="L21" s="1"/>
  <c r="M21" s="1"/>
  <c r="K25"/>
  <c r="L25" s="1"/>
  <c r="M25" s="1"/>
  <c r="K18"/>
  <c r="L18" s="1"/>
  <c r="M18" s="1"/>
  <c r="K17"/>
  <c r="L17" s="1"/>
  <c r="M17" s="1"/>
  <c r="J15" i="33"/>
  <c r="K15" s="1"/>
  <c r="L15" s="1"/>
  <c r="J21"/>
  <c r="K21" s="1"/>
  <c r="L21" s="1"/>
  <c r="J19"/>
  <c r="K19" s="1"/>
  <c r="L19" s="1"/>
  <c r="J24"/>
  <c r="K24" s="1"/>
  <c r="L24" s="1"/>
  <c r="J23"/>
  <c r="K23" s="1"/>
  <c r="L23" s="1"/>
  <c r="J13"/>
  <c r="K13" s="1"/>
  <c r="L13" s="1"/>
  <c r="J14"/>
  <c r="K14" s="1"/>
  <c r="L14" s="1"/>
  <c r="J24" i="35"/>
  <c r="K24" s="1"/>
  <c r="L24" s="1"/>
  <c r="J17"/>
  <c r="K17" s="1"/>
  <c r="L17" s="1"/>
  <c r="J21"/>
  <c r="K21" s="1"/>
  <c r="L21" s="1"/>
  <c r="J20"/>
  <c r="K20" s="1"/>
  <c r="L20" s="1"/>
  <c r="J32"/>
  <c r="K32" s="1"/>
  <c r="L32" s="1"/>
  <c r="J28"/>
  <c r="K28" s="1"/>
  <c r="L28" s="1"/>
  <c r="J27"/>
  <c r="K27" s="1"/>
  <c r="L27" s="1"/>
  <c r="J35"/>
  <c r="K35" s="1"/>
  <c r="L35" s="1"/>
  <c r="J25"/>
  <c r="K25" s="1"/>
  <c r="L25" s="1"/>
  <c r="J16"/>
  <c r="K16" s="1"/>
  <c r="L16" s="1"/>
  <c r="J15"/>
  <c r="K15" s="1"/>
  <c r="L15" s="1"/>
  <c r="J26"/>
  <c r="K26" s="1"/>
  <c r="L26" s="1"/>
  <c r="K10" i="31"/>
  <c r="F10" i="30"/>
  <c r="G22" i="6"/>
  <c r="H17" i="17"/>
  <c r="G23" i="8"/>
  <c r="F20" i="20"/>
  <c r="F24"/>
  <c r="G24" s="1"/>
  <c r="H24" s="1"/>
  <c r="I24" s="1"/>
  <c r="G14" i="8"/>
  <c r="G19"/>
  <c r="F16" i="20"/>
  <c r="I14" i="24"/>
  <c r="I16" i="21"/>
  <c r="J16" s="1"/>
  <c r="K16" s="1"/>
  <c r="G9" i="8"/>
  <c r="F12" i="20"/>
  <c r="I12" i="19"/>
  <c r="J12" s="1"/>
  <c r="K12" s="1"/>
  <c r="G12" i="10"/>
  <c r="G18" i="23"/>
  <c r="H18" s="1"/>
  <c r="I18" s="1"/>
  <c r="J18" s="1"/>
  <c r="G16" i="7"/>
  <c r="G25" s="1"/>
  <c r="G17" i="2"/>
  <c r="G12"/>
  <c r="G18" i="4"/>
  <c r="G24" s="1"/>
  <c r="G30"/>
  <c r="G10" i="34"/>
  <c r="J16" i="36"/>
  <c r="K16" s="1"/>
  <c r="L16" s="1"/>
  <c r="J17"/>
  <c r="K17" s="1"/>
  <c r="L17" s="1"/>
  <c r="J17" i="37"/>
  <c r="K17" s="1"/>
  <c r="L17" s="1"/>
  <c r="J15"/>
  <c r="K15" s="1"/>
  <c r="L15" s="1"/>
  <c r="I10" i="38"/>
  <c r="J20" i="51"/>
  <c r="E38" i="6"/>
  <c r="H14" i="51" s="1"/>
  <c r="I14" s="1"/>
  <c r="J14" s="1"/>
  <c r="K14" s="1"/>
  <c r="G14" i="6"/>
  <c r="G18" s="1"/>
  <c r="H14" i="17"/>
  <c r="H16"/>
  <c r="G21" i="6"/>
  <c r="I14" i="16"/>
  <c r="H12" i="18"/>
  <c r="G10" i="5"/>
  <c r="G12" s="1"/>
  <c r="G21"/>
  <c r="H19" i="18"/>
  <c r="G34" i="5"/>
  <c r="H26" i="18"/>
  <c r="G16" i="5"/>
  <c r="H16" i="18"/>
  <c r="G25" i="5"/>
  <c r="H30" i="18"/>
  <c r="I30" s="1"/>
  <c r="J30" s="1"/>
  <c r="K30" s="1"/>
  <c r="G12" i="3"/>
  <c r="I16" i="15"/>
  <c r="I17" i="14"/>
  <c r="J17" s="1"/>
  <c r="K17" s="1"/>
  <c r="I12"/>
  <c r="F26" i="27"/>
  <c r="H26"/>
  <c r="I26" s="1"/>
  <c r="G39" i="12"/>
  <c r="G40"/>
  <c r="E16" s="1"/>
  <c r="J16" i="32"/>
  <c r="J11"/>
  <c r="K11" s="1"/>
  <c r="L11" s="1"/>
  <c r="J19"/>
  <c r="K19" s="1"/>
  <c r="L19" s="1"/>
  <c r="J18"/>
  <c r="K18" s="1"/>
  <c r="L18" s="1"/>
  <c r="J20"/>
  <c r="K20" s="1"/>
  <c r="L20" s="1"/>
  <c r="K24" i="39"/>
  <c r="L24" s="1"/>
  <c r="M24" s="1"/>
  <c r="K11"/>
  <c r="L11" s="1"/>
  <c r="M11" s="1"/>
  <c r="K13"/>
  <c r="L13" s="1"/>
  <c r="M13" s="1"/>
  <c r="K23"/>
  <c r="L23" s="1"/>
  <c r="M23" s="1"/>
  <c r="K19"/>
  <c r="L19" s="1"/>
  <c r="M19" s="1"/>
  <c r="K20"/>
  <c r="L20" s="1"/>
  <c r="M20" s="1"/>
  <c r="K29"/>
  <c r="L29" s="1"/>
  <c r="M29" s="1"/>
  <c r="K28"/>
  <c r="L28" s="1"/>
  <c r="M28" s="1"/>
  <c r="J10" i="33"/>
  <c r="J12"/>
  <c r="K12" s="1"/>
  <c r="L12" s="1"/>
  <c r="J20"/>
  <c r="K20" s="1"/>
  <c r="L20" s="1"/>
  <c r="J16"/>
  <c r="K16" s="1"/>
  <c r="L16" s="1"/>
  <c r="J17"/>
  <c r="K17" s="1"/>
  <c r="L17" s="1"/>
  <c r="J25"/>
  <c r="K25" s="1"/>
  <c r="L25" s="1"/>
  <c r="J11"/>
  <c r="K11" s="1"/>
  <c r="L11" s="1"/>
  <c r="J22"/>
  <c r="K22" s="1"/>
  <c r="L22" s="1"/>
  <c r="J31" i="35"/>
  <c r="K31" s="1"/>
  <c r="L31" s="1"/>
  <c r="J10"/>
  <c r="J33"/>
  <c r="K33" s="1"/>
  <c r="L33" s="1"/>
  <c r="J18"/>
  <c r="K18" s="1"/>
  <c r="L18" s="1"/>
  <c r="J23"/>
  <c r="K23" s="1"/>
  <c r="L23" s="1"/>
  <c r="J11"/>
  <c r="K11" s="1"/>
  <c r="L11" s="1"/>
  <c r="J30"/>
  <c r="K30" s="1"/>
  <c r="L30" s="1"/>
  <c r="J14"/>
  <c r="K14" s="1"/>
  <c r="L14" s="1"/>
  <c r="J34"/>
  <c r="K34" s="1"/>
  <c r="L34" s="1"/>
  <c r="J13"/>
  <c r="K13" s="1"/>
  <c r="L13" s="1"/>
  <c r="J22"/>
  <c r="K22" s="1"/>
  <c r="L22" s="1"/>
  <c r="J12"/>
  <c r="K12" s="1"/>
  <c r="L12" s="1"/>
  <c r="I12" i="17"/>
  <c r="J12" s="1"/>
  <c r="K12" s="1"/>
  <c r="I14" i="22"/>
  <c r="I17" i="19"/>
  <c r="J17" s="1"/>
  <c r="K17" s="1"/>
  <c r="I20"/>
  <c r="I33" i="22"/>
  <c r="G20" i="8"/>
  <c r="F17" i="20"/>
  <c r="I16" i="16"/>
  <c r="J16" s="1"/>
  <c r="K16" s="1"/>
  <c r="I15"/>
  <c r="J15" s="1"/>
  <c r="K15" s="1"/>
  <c r="I24"/>
  <c r="I13" i="22"/>
  <c r="I12" i="16"/>
  <c r="J12" s="1"/>
  <c r="K12" s="1"/>
  <c r="H11" i="42"/>
  <c r="G12"/>
  <c r="H12" s="1"/>
  <c r="G13"/>
  <c r="H13" s="1"/>
  <c r="I18" i="21"/>
  <c r="I15" i="22"/>
  <c r="G9" i="9"/>
  <c r="H12" i="21"/>
  <c r="I21" i="16"/>
  <c r="J21" s="1"/>
  <c r="K21" s="1"/>
  <c r="I20"/>
  <c r="G15" i="10"/>
  <c r="G14" i="23"/>
  <c r="E10" i="11" l="1"/>
  <c r="G34" i="4"/>
  <c r="G44" s="1"/>
  <c r="G22" i="3"/>
  <c r="G28" s="1"/>
  <c r="G23" i="2"/>
  <c r="G30" s="1"/>
  <c r="G32" i="5"/>
  <c r="G21" i="8"/>
  <c r="I16" i="17"/>
  <c r="G24" i="23"/>
  <c r="H14"/>
  <c r="I22" i="16"/>
  <c r="J20"/>
  <c r="I12" i="21"/>
  <c r="J12" s="1"/>
  <c r="K12" s="1"/>
  <c r="J18"/>
  <c r="K13" i="42"/>
  <c r="L13" s="1"/>
  <c r="C18" i="41"/>
  <c r="H28" i="22" s="1"/>
  <c r="C16" i="41"/>
  <c r="K11" i="42"/>
  <c r="L11" s="1"/>
  <c r="K16" i="32"/>
  <c r="J21"/>
  <c r="I12" i="18"/>
  <c r="I14" i="17"/>
  <c r="J14" s="1"/>
  <c r="K14" s="1"/>
  <c r="J10" i="38"/>
  <c r="I11"/>
  <c r="F20" i="30" s="1"/>
  <c r="G20" s="1"/>
  <c r="H20" s="1"/>
  <c r="F15"/>
  <c r="G15" s="1"/>
  <c r="H15" s="1"/>
  <c r="H10" i="34"/>
  <c r="I10" s="1"/>
  <c r="G12" i="20"/>
  <c r="H12" s="1"/>
  <c r="I12" s="1"/>
  <c r="J14" i="24"/>
  <c r="G16" i="20"/>
  <c r="G20"/>
  <c r="I17" i="17"/>
  <c r="J17" s="1"/>
  <c r="K17" s="1"/>
  <c r="L10" i="31"/>
  <c r="K12"/>
  <c r="L12" s="1"/>
  <c r="I22" i="18"/>
  <c r="J20" i="17"/>
  <c r="H10" i="40"/>
  <c r="I10" s="1"/>
  <c r="F22" i="30"/>
  <c r="G22" s="1"/>
  <c r="H22" s="1"/>
  <c r="K10" i="37"/>
  <c r="J18"/>
  <c r="F19" i="30" s="1"/>
  <c r="G19" s="1"/>
  <c r="H19" s="1"/>
  <c r="K10" i="36"/>
  <c r="J20"/>
  <c r="F18" i="30" s="1"/>
  <c r="G18" s="1"/>
  <c r="H18" s="1"/>
  <c r="I18" i="14"/>
  <c r="J16"/>
  <c r="G13" i="40"/>
  <c r="H13" s="1"/>
  <c r="I13" s="1"/>
  <c r="I16" i="22"/>
  <c r="J16" s="1"/>
  <c r="E12" i="9"/>
  <c r="G23" i="6"/>
  <c r="G23" i="5"/>
  <c r="G26" s="1"/>
  <c r="G35" i="7"/>
  <c r="C17" i="41"/>
  <c r="H29" i="22" s="1"/>
  <c r="K12" i="42"/>
  <c r="L12" s="1"/>
  <c r="J24" i="16"/>
  <c r="G17" i="20"/>
  <c r="H17" s="1"/>
  <c r="I17" s="1"/>
  <c r="J20" i="19"/>
  <c r="K10" i="35"/>
  <c r="J37"/>
  <c r="F17" i="30" s="1"/>
  <c r="G17" s="1"/>
  <c r="H17" s="1"/>
  <c r="J27" i="33"/>
  <c r="F16" i="30" s="1"/>
  <c r="G16" s="1"/>
  <c r="H16" s="1"/>
  <c r="K10" i="33"/>
  <c r="E18" i="12"/>
  <c r="E17"/>
  <c r="J12" i="14"/>
  <c r="I14"/>
  <c r="J16" i="15"/>
  <c r="I18"/>
  <c r="I16" i="18"/>
  <c r="I26"/>
  <c r="I19"/>
  <c r="J19" s="1"/>
  <c r="K19" s="1"/>
  <c r="I17" i="16"/>
  <c r="J14"/>
  <c r="K20" i="51"/>
  <c r="G10" i="30"/>
  <c r="L10" i="39"/>
  <c r="K31"/>
  <c r="F21" i="30" s="1"/>
  <c r="G21" s="1"/>
  <c r="H21" s="1"/>
  <c r="K10" i="32"/>
  <c r="J14"/>
  <c r="F11" i="30" s="1"/>
  <c r="G11" s="1"/>
  <c r="H11" s="1"/>
  <c r="J13" i="52"/>
  <c r="F13" i="30" s="1"/>
  <c r="G13" s="1"/>
  <c r="H13" s="1"/>
  <c r="K9" i="52"/>
  <c r="J12" i="15"/>
  <c r="I14"/>
  <c r="I13" i="18"/>
  <c r="J13" s="1"/>
  <c r="K13" s="1"/>
  <c r="I23"/>
  <c r="J23" s="1"/>
  <c r="K23" s="1"/>
  <c r="I17"/>
  <c r="J17" s="1"/>
  <c r="K17" s="1"/>
  <c r="I18"/>
  <c r="J18" s="1"/>
  <c r="K18" s="1"/>
  <c r="I18" i="19"/>
  <c r="I26" s="1"/>
  <c r="F21" i="13" s="1"/>
  <c r="J16" i="19"/>
  <c r="G12" i="40"/>
  <c r="I34" i="22"/>
  <c r="E15" i="54" l="1"/>
  <c r="F15" s="1"/>
  <c r="G15" s="1"/>
  <c r="E8"/>
  <c r="E17"/>
  <c r="F17" s="1"/>
  <c r="G17" s="1"/>
  <c r="E16"/>
  <c r="F16" s="1"/>
  <c r="G16" s="1"/>
  <c r="E9"/>
  <c r="F9" s="1"/>
  <c r="G9" s="1"/>
  <c r="E10"/>
  <c r="F10" s="1"/>
  <c r="G10" s="1"/>
  <c r="E18"/>
  <c r="F18" s="1"/>
  <c r="G18" s="1"/>
  <c r="E19"/>
  <c r="F19" s="1"/>
  <c r="G19" s="1"/>
  <c r="E11"/>
  <c r="F11" s="1"/>
  <c r="G11" s="1"/>
  <c r="E12"/>
  <c r="F12" s="1"/>
  <c r="G12" s="1"/>
  <c r="E13"/>
  <c r="F13" s="1"/>
  <c r="G13" s="1"/>
  <c r="E14"/>
  <c r="E15" i="55"/>
  <c r="F15" s="1"/>
  <c r="G15" s="1"/>
  <c r="E8"/>
  <c r="E16"/>
  <c r="F16" s="1"/>
  <c r="G16" s="1"/>
  <c r="E17"/>
  <c r="F17" s="1"/>
  <c r="G17" s="1"/>
  <c r="E9"/>
  <c r="F9" s="1"/>
  <c r="G9" s="1"/>
  <c r="E18"/>
  <c r="F18" s="1"/>
  <c r="G18" s="1"/>
  <c r="E10"/>
  <c r="F10" s="1"/>
  <c r="G10" s="1"/>
  <c r="E11"/>
  <c r="F11" s="1"/>
  <c r="G11" s="1"/>
  <c r="E19"/>
  <c r="F19" s="1"/>
  <c r="G19" s="1"/>
  <c r="E12"/>
  <c r="F12" s="1"/>
  <c r="G12" s="1"/>
  <c r="E13"/>
  <c r="F13" s="1"/>
  <c r="G13" s="1"/>
  <c r="E14"/>
  <c r="E15" i="56"/>
  <c r="F15" s="1"/>
  <c r="G15" s="1"/>
  <c r="E8"/>
  <c r="E16"/>
  <c r="F16" s="1"/>
  <c r="G16" s="1"/>
  <c r="E17"/>
  <c r="F17" s="1"/>
  <c r="G17" s="1"/>
  <c r="E9"/>
  <c r="F9" s="1"/>
  <c r="G9" s="1"/>
  <c r="E18"/>
  <c r="F18" s="1"/>
  <c r="G18" s="1"/>
  <c r="E10"/>
  <c r="F10" s="1"/>
  <c r="G10" s="1"/>
  <c r="E11"/>
  <c r="F11" s="1"/>
  <c r="G11" s="1"/>
  <c r="E19"/>
  <c r="F19" s="1"/>
  <c r="G19" s="1"/>
  <c r="E12"/>
  <c r="F12" s="1"/>
  <c r="G12" s="1"/>
  <c r="E13"/>
  <c r="F13" s="1"/>
  <c r="G13" s="1"/>
  <c r="E14"/>
  <c r="G27" i="6"/>
  <c r="G33" s="1"/>
  <c r="E37"/>
  <c r="G36" i="5"/>
  <c r="G45" i="4" s="1"/>
  <c r="G46" s="1"/>
  <c r="G49" s="1"/>
  <c r="I24" i="14"/>
  <c r="F9" i="13" s="1"/>
  <c r="F10" s="1"/>
  <c r="C23" i="42"/>
  <c r="I30" i="16"/>
  <c r="F14" i="13" s="1"/>
  <c r="G14" s="1"/>
  <c r="E12" i="8"/>
  <c r="G21" i="13"/>
  <c r="J34" i="22"/>
  <c r="H12" i="40"/>
  <c r="G15"/>
  <c r="F23" i="30" s="1"/>
  <c r="G23" s="1"/>
  <c r="H23" s="1"/>
  <c r="J18" i="19"/>
  <c r="K18" s="1"/>
  <c r="K16"/>
  <c r="K14" i="16"/>
  <c r="J17"/>
  <c r="K17" s="1"/>
  <c r="J26" i="18"/>
  <c r="I20"/>
  <c r="J16"/>
  <c r="K20" i="19"/>
  <c r="K24" i="16"/>
  <c r="K16" i="22"/>
  <c r="C20" i="42"/>
  <c r="J22" i="18"/>
  <c r="I24"/>
  <c r="G10" i="11"/>
  <c r="G13" s="1"/>
  <c r="G17" s="1"/>
  <c r="G26" s="1"/>
  <c r="H12" i="24"/>
  <c r="G16" i="42"/>
  <c r="E10" i="10"/>
  <c r="K12" i="15"/>
  <c r="J14"/>
  <c r="K14" s="1"/>
  <c r="K14" i="32"/>
  <c r="L14" s="1"/>
  <c r="L10"/>
  <c r="M10" i="39"/>
  <c r="L31"/>
  <c r="M31" s="1"/>
  <c r="H10" i="30"/>
  <c r="K16" i="15"/>
  <c r="J18"/>
  <c r="J14" i="14"/>
  <c r="K12"/>
  <c r="F21" i="27"/>
  <c r="G17" i="12"/>
  <c r="L10" i="33"/>
  <c r="K27"/>
  <c r="L27" s="1"/>
  <c r="G12" i="9"/>
  <c r="G15" s="1"/>
  <c r="G21" s="1"/>
  <c r="G29" s="1"/>
  <c r="H14" i="21"/>
  <c r="L10" i="36"/>
  <c r="K20"/>
  <c r="L20" s="1"/>
  <c r="L10" i="37"/>
  <c r="K18"/>
  <c r="L18" s="1"/>
  <c r="K14" i="24"/>
  <c r="K10" i="38"/>
  <c r="J11"/>
  <c r="K11" s="1"/>
  <c r="L16" i="32"/>
  <c r="K21"/>
  <c r="I28" i="22"/>
  <c r="K18" i="21"/>
  <c r="K20" i="16"/>
  <c r="J22"/>
  <c r="K22" s="1"/>
  <c r="I14" i="23"/>
  <c r="L9" i="52"/>
  <c r="K13"/>
  <c r="L13" s="1"/>
  <c r="G16" i="12"/>
  <c r="F15" i="27"/>
  <c r="G18" i="12"/>
  <c r="F15" i="28"/>
  <c r="G15" s="1"/>
  <c r="L10" i="35"/>
  <c r="K37"/>
  <c r="L37" s="1"/>
  <c r="I29" i="22"/>
  <c r="J18" i="14"/>
  <c r="K18" s="1"/>
  <c r="K16"/>
  <c r="K20" i="17"/>
  <c r="H20" i="20"/>
  <c r="G18"/>
  <c r="H16"/>
  <c r="I14" i="18"/>
  <c r="J12"/>
  <c r="E19" i="45"/>
  <c r="F19" s="1"/>
  <c r="G19" s="1"/>
  <c r="E17"/>
  <c r="F17" s="1"/>
  <c r="G17" s="1"/>
  <c r="E15"/>
  <c r="F15" s="1"/>
  <c r="G15" s="1"/>
  <c r="E13"/>
  <c r="F13" s="1"/>
  <c r="G13" s="1"/>
  <c r="E10"/>
  <c r="F10" s="1"/>
  <c r="G10" s="1"/>
  <c r="E9"/>
  <c r="F9" s="1"/>
  <c r="G9" s="1"/>
  <c r="E14"/>
  <c r="E16"/>
  <c r="F16" s="1"/>
  <c r="G16" s="1"/>
  <c r="E11"/>
  <c r="F11" s="1"/>
  <c r="G11" s="1"/>
  <c r="E18"/>
  <c r="F18" s="1"/>
  <c r="G18" s="1"/>
  <c r="E8"/>
  <c r="E12"/>
  <c r="F12" s="1"/>
  <c r="G12" s="1"/>
  <c r="J23" i="32"/>
  <c r="F12" i="30"/>
  <c r="G12" s="1"/>
  <c r="H12" s="1"/>
  <c r="I18" i="17"/>
  <c r="I26" s="1"/>
  <c r="F15" i="13" s="1"/>
  <c r="G15" s="1"/>
  <c r="J16" i="17"/>
  <c r="I24" i="15"/>
  <c r="F13" i="13" s="1"/>
  <c r="G9" l="1"/>
  <c r="G10" s="1"/>
  <c r="I10" s="1"/>
  <c r="E23" i="56"/>
  <c r="F14"/>
  <c r="F8"/>
  <c r="E21"/>
  <c r="E25" s="1"/>
  <c r="F14" i="55"/>
  <c r="E23"/>
  <c r="F8"/>
  <c r="E21"/>
  <c r="E25" s="1"/>
  <c r="F14" i="54"/>
  <c r="E23"/>
  <c r="F8"/>
  <c r="E21"/>
  <c r="E25" s="1"/>
  <c r="F25" i="30"/>
  <c r="F33" i="13" s="1"/>
  <c r="G33" s="1"/>
  <c r="I33" s="1"/>
  <c r="G25" i="30"/>
  <c r="G31" s="1"/>
  <c r="J26" i="19"/>
  <c r="K26" s="1"/>
  <c r="G12" i="8"/>
  <c r="G16" s="1"/>
  <c r="G25" s="1"/>
  <c r="F14" i="20"/>
  <c r="I32" i="18"/>
  <c r="F17" i="13" s="1"/>
  <c r="G17" s="1"/>
  <c r="I20" i="20"/>
  <c r="L21" i="32"/>
  <c r="K23"/>
  <c r="L23" s="1"/>
  <c r="H17" i="51"/>
  <c r="I17" s="1"/>
  <c r="J17" s="1"/>
  <c r="K17" s="1"/>
  <c r="H16"/>
  <c r="I16" s="1"/>
  <c r="G13" i="13"/>
  <c r="K16" i="17"/>
  <c r="J18"/>
  <c r="J14" i="18"/>
  <c r="K14" s="1"/>
  <c r="K12"/>
  <c r="H18" i="20"/>
  <c r="I18" s="1"/>
  <c r="I16"/>
  <c r="G16" i="28"/>
  <c r="G22" s="1"/>
  <c r="F36" i="13" s="1"/>
  <c r="G36" s="1"/>
  <c r="H15" i="28"/>
  <c r="G15" i="27"/>
  <c r="J14" i="23"/>
  <c r="G21" i="27"/>
  <c r="K14" i="14"/>
  <c r="J24"/>
  <c r="K24" s="1"/>
  <c r="C21" i="41"/>
  <c r="G17" i="42"/>
  <c r="G18"/>
  <c r="K16"/>
  <c r="L16" s="1"/>
  <c r="K22" i="18"/>
  <c r="J24"/>
  <c r="K24" s="1"/>
  <c r="J10" i="13"/>
  <c r="H15" i="40"/>
  <c r="I15" s="1"/>
  <c r="I12"/>
  <c r="K34" i="22"/>
  <c r="C21" i="42"/>
  <c r="J33" i="13"/>
  <c r="F8" i="45"/>
  <c r="E21"/>
  <c r="E25" s="1"/>
  <c r="E23"/>
  <c r="F14"/>
  <c r="G43" i="12"/>
  <c r="G19"/>
  <c r="G30" s="1"/>
  <c r="G41" s="1"/>
  <c r="G50" s="1"/>
  <c r="G49"/>
  <c r="I14" i="21"/>
  <c r="G44" i="12"/>
  <c r="K18" i="15"/>
  <c r="J24"/>
  <c r="K24" s="1"/>
  <c r="G12" i="23"/>
  <c r="G10" i="10"/>
  <c r="G13" s="1"/>
  <c r="G17" s="1"/>
  <c r="G25" i="11" s="1"/>
  <c r="G27" s="1"/>
  <c r="G28" s="1"/>
  <c r="I12" i="24"/>
  <c r="K16" i="18"/>
  <c r="J20"/>
  <c r="K20" s="1"/>
  <c r="K26"/>
  <c r="I30" i="22"/>
  <c r="J30" i="16"/>
  <c r="K30" s="1"/>
  <c r="G8" i="54" l="1"/>
  <c r="F21"/>
  <c r="G21" s="1"/>
  <c r="F23"/>
  <c r="G23" s="1"/>
  <c r="G14"/>
  <c r="G8" i="55"/>
  <c r="F21"/>
  <c r="G21" s="1"/>
  <c r="G14"/>
  <c r="F23"/>
  <c r="G23" s="1"/>
  <c r="G8" i="56"/>
  <c r="F21"/>
  <c r="G21" s="1"/>
  <c r="F23"/>
  <c r="G23" s="1"/>
  <c r="G14"/>
  <c r="H25" i="30"/>
  <c r="G14" i="20"/>
  <c r="J32" i="18"/>
  <c r="K32" s="1"/>
  <c r="G51" i="12"/>
  <c r="G39" i="7"/>
  <c r="G33" i="8"/>
  <c r="G36" i="7"/>
  <c r="G37" s="1"/>
  <c r="K18" i="42"/>
  <c r="L18" s="1"/>
  <c r="C23" i="41"/>
  <c r="H19" i="22" s="1"/>
  <c r="J30"/>
  <c r="G23" i="23"/>
  <c r="H12"/>
  <c r="G14" i="45"/>
  <c r="F23"/>
  <c r="G23" s="1"/>
  <c r="K17" i="42"/>
  <c r="L17" s="1"/>
  <c r="C22" i="41"/>
  <c r="H20" i="22" s="1"/>
  <c r="H21" i="27"/>
  <c r="G22"/>
  <c r="I15" i="28"/>
  <c r="H16"/>
  <c r="K18" i="17"/>
  <c r="J26"/>
  <c r="K26" s="1"/>
  <c r="I18" i="51"/>
  <c r="I26" s="1"/>
  <c r="F16" i="13" s="1"/>
  <c r="J16" i="51"/>
  <c r="J12" i="24"/>
  <c r="I20"/>
  <c r="F30" i="13" s="1"/>
  <c r="G30" s="1"/>
  <c r="J14" i="21"/>
  <c r="I24"/>
  <c r="F23" i="13" s="1"/>
  <c r="G23" s="1"/>
  <c r="G8" i="45"/>
  <c r="F21"/>
  <c r="G21" s="1"/>
  <c r="H15" i="27"/>
  <c r="G16"/>
  <c r="G46" i="12"/>
  <c r="C24" i="42" l="1"/>
  <c r="H14" i="20"/>
  <c r="G26"/>
  <c r="I15" i="27"/>
  <c r="H16"/>
  <c r="I16" s="1"/>
  <c r="K12" i="24"/>
  <c r="J20"/>
  <c r="K20" s="1"/>
  <c r="G16" i="13"/>
  <c r="G18" s="1"/>
  <c r="F18"/>
  <c r="I21" i="27"/>
  <c r="H22"/>
  <c r="K16" i="51"/>
  <c r="J18"/>
  <c r="I16" i="28"/>
  <c r="H22"/>
  <c r="I22" s="1"/>
  <c r="G28" i="27"/>
  <c r="I20" i="22"/>
  <c r="I12" i="23"/>
  <c r="H20"/>
  <c r="F29" i="13" s="1"/>
  <c r="K30" i="22"/>
  <c r="K14" i="21"/>
  <c r="J24"/>
  <c r="K24" s="1"/>
  <c r="I19" i="22"/>
  <c r="I21" s="1"/>
  <c r="F22" i="13" l="1"/>
  <c r="I14" i="20"/>
  <c r="H26"/>
  <c r="I26" s="1"/>
  <c r="J26" i="22"/>
  <c r="J12" i="23"/>
  <c r="I20"/>
  <c r="J20" s="1"/>
  <c r="I22" i="27"/>
  <c r="H28"/>
  <c r="F31" i="13"/>
  <c r="G29"/>
  <c r="G31" s="1"/>
  <c r="F35"/>
  <c r="K18" i="51"/>
  <c r="J26"/>
  <c r="K26" s="1"/>
  <c r="J18" i="13"/>
  <c r="I18"/>
  <c r="G22" l="1"/>
  <c r="G24" s="1"/>
  <c r="F24"/>
  <c r="F37"/>
  <c r="G35"/>
  <c r="G37" s="1"/>
  <c r="J31"/>
  <c r="I31"/>
  <c r="I28" i="27"/>
  <c r="K26" i="22"/>
  <c r="J24" i="13" l="1"/>
  <c r="I24"/>
  <c r="J37"/>
  <c r="I37"/>
  <c r="G21" i="43" l="1"/>
  <c r="G22"/>
  <c r="J37" i="22" l="1"/>
  <c r="I41"/>
  <c r="K37" l="1"/>
  <c r="C22" i="42"/>
  <c r="C25" s="1"/>
  <c r="C27" s="1"/>
  <c r="J41" i="22"/>
  <c r="K41" s="1"/>
  <c r="F26" i="13"/>
  <c r="C31" i="42"/>
  <c r="C33" s="1"/>
  <c r="G26" i="13" l="1"/>
  <c r="F39"/>
  <c r="F43" s="1"/>
  <c r="I26" l="1"/>
  <c r="I39" s="1"/>
  <c r="I43" s="1"/>
  <c r="J26"/>
  <c r="G39"/>
  <c r="G43" l="1"/>
  <c r="J43" s="1"/>
  <c r="J39"/>
</calcChain>
</file>

<file path=xl/sharedStrings.xml><?xml version="1.0" encoding="utf-8"?>
<sst xmlns="http://schemas.openxmlformats.org/spreadsheetml/2006/main" count="1910" uniqueCount="563">
  <si>
    <t>Percent of Uniform Increase</t>
  </si>
  <si>
    <t>Summary of Proposed Rate Design</t>
  </si>
  <si>
    <t>Retail Wheeling</t>
  </si>
  <si>
    <t>Power Supplier Choice</t>
  </si>
  <si>
    <t>Total Choice /Retail Wheeling</t>
  </si>
  <si>
    <t>Total Firm Resale / Special Contract</t>
  </si>
  <si>
    <t>Retail Wheeling Service</t>
  </si>
  <si>
    <t>Back-up Distribution Service</t>
  </si>
  <si>
    <t>Puget Sound Energy</t>
  </si>
  <si>
    <t>Summary - Rate Spread</t>
  </si>
  <si>
    <t>Voltage Level</t>
  </si>
  <si>
    <t>Schedule</t>
  </si>
  <si>
    <t>kWh</t>
  </si>
  <si>
    <t>Proforma
Revenue</t>
  </si>
  <si>
    <t>Proposed Increase</t>
  </si>
  <si>
    <t>Proposed Revenue Increase (%)</t>
  </si>
  <si>
    <t>A</t>
  </si>
  <si>
    <t>B</t>
  </si>
  <si>
    <t>C</t>
  </si>
  <si>
    <t>D</t>
  </si>
  <si>
    <t>E</t>
  </si>
  <si>
    <t>F</t>
  </si>
  <si>
    <t>G  = B * F</t>
  </si>
  <si>
    <t>H = B + G</t>
  </si>
  <si>
    <t>Residential</t>
  </si>
  <si>
    <t>Secondary Voltage</t>
  </si>
  <si>
    <t>Demand &lt;= 50 kW</t>
  </si>
  <si>
    <t>Demand &gt; 50 kW but &lt;= 350 kW</t>
  </si>
  <si>
    <t>25 / 29</t>
  </si>
  <si>
    <t>Demand &gt; 350 kW</t>
  </si>
  <si>
    <t>Total Secondary Voltage</t>
  </si>
  <si>
    <t>Primary Voltage</t>
  </si>
  <si>
    <t>General Service / Irrigation</t>
  </si>
  <si>
    <t>31 / 35</t>
  </si>
  <si>
    <t>Interruptible Total Electric Schools</t>
  </si>
  <si>
    <t>Total Primary Voltage</t>
  </si>
  <si>
    <t>Campus Rate</t>
  </si>
  <si>
    <t>Total High Voltage</t>
  </si>
  <si>
    <t>46 / 49</t>
  </si>
  <si>
    <t>Schedule 449</t>
  </si>
  <si>
    <t>Lighting</t>
  </si>
  <si>
    <t>50-59</t>
  </si>
  <si>
    <t>Total Sales</t>
  </si>
  <si>
    <t>Adjustment to Average Increase for Unequal Allocation of Increase</t>
  </si>
  <si>
    <t>Rate Design</t>
  </si>
  <si>
    <t>Residential Schedule 7</t>
  </si>
  <si>
    <t>Line No.</t>
  </si>
  <si>
    <t>Description</t>
  </si>
  <si>
    <t>Bill
Determinants</t>
  </si>
  <si>
    <t>Notes:</t>
  </si>
  <si>
    <t>Basic Charges</t>
  </si>
  <si>
    <t>One Phase</t>
  </si>
  <si>
    <t>Three Phase</t>
  </si>
  <si>
    <t>Total Basic Charge</t>
  </si>
  <si>
    <t>Energy Charges</t>
  </si>
  <si>
    <t>First 600 kWh</t>
  </si>
  <si>
    <t>All Over 600 kWh</t>
  </si>
  <si>
    <t>Total Billed kWh</t>
  </si>
  <si>
    <t>Unbilled</t>
  </si>
  <si>
    <t>Total kWh</t>
  </si>
  <si>
    <t>Total Revenue</t>
  </si>
  <si>
    <t>Target Proposed Increase (Decrease) from Rate Spread</t>
  </si>
  <si>
    <t>Target Proposed Revenue</t>
  </si>
  <si>
    <t>Target Proposed Revenue Change (%)</t>
  </si>
  <si>
    <t>Over (Under) Recover Target Rate Spread</t>
  </si>
  <si>
    <t>Secondary Voltage, Schedule 24, Demand &lt; 50 kW</t>
  </si>
  <si>
    <t>Winter kWh (Oct - Mar)</t>
  </si>
  <si>
    <t>Summer kWh (Apr - Sep)</t>
  </si>
  <si>
    <t>Left to Spread</t>
  </si>
  <si>
    <t>Secondary Voltage, Schedule 25, Demand &gt;50 kW and &lt; 350 kW</t>
  </si>
  <si>
    <t>First 20,000 kWh</t>
  </si>
  <si>
    <t>Total First 20,000 kWh</t>
  </si>
  <si>
    <t>Over 20,000 kWh</t>
  </si>
  <si>
    <t>All Months</t>
  </si>
  <si>
    <t>Total Over 20,000 kWh</t>
  </si>
  <si>
    <t>Total Billed kWh Energy</t>
  </si>
  <si>
    <t>Winter Unbilled (Block 1)</t>
  </si>
  <si>
    <t>Winter Unbilled (Block 2)</t>
  </si>
  <si>
    <t>Total Unbilled</t>
  </si>
  <si>
    <t>Demand Charges</t>
  </si>
  <si>
    <t>First 50 kW</t>
  </si>
  <si>
    <t>Winter Over 50 kW</t>
  </si>
  <si>
    <t>Summer Over 50 kW</t>
  </si>
  <si>
    <t>Total Demand</t>
  </si>
  <si>
    <t>Reactive Power Charge (kVarh)</t>
  </si>
  <si>
    <t>Proforma</t>
  </si>
  <si>
    <t>Proposed</t>
  </si>
  <si>
    <t>Proposed Increase Sch 25 &amp; Sch 29</t>
  </si>
  <si>
    <t>Total Proforma Revenue Sch 25 &amp; 29</t>
  </si>
  <si>
    <t>Total Proposed Revenue Sch 25 &amp; 29</t>
  </si>
  <si>
    <t>Target Proposed % Increase</t>
  </si>
  <si>
    <t>Class Average Increase</t>
  </si>
  <si>
    <t>Check</t>
  </si>
  <si>
    <t>Sch 25 Proposed Revenue</t>
  </si>
  <si>
    <t>Sch 29 Proposed Revenue</t>
  </si>
  <si>
    <t>Total Sch 25 &amp; 29 Revenue</t>
  </si>
  <si>
    <t>Target Sch 25 &amp; 29</t>
  </si>
  <si>
    <t>Secondary Voltage, Schedule 29, Irrigation</t>
  </si>
  <si>
    <t>Target Proposed % Increase (Sch 25 &amp; 29)</t>
  </si>
  <si>
    <t>Secondary Voltage, Schedule 26, Demand &gt;350 kW</t>
  </si>
  <si>
    <t>All kWh</t>
  </si>
  <si>
    <t>Apply Residual &amp; Adjust</t>
  </si>
  <si>
    <t>Winter (Oct to Mar)</t>
  </si>
  <si>
    <t>Summer (Apr to Sep)</t>
  </si>
  <si>
    <t>Target Proposed Increase Sch 26</t>
  </si>
  <si>
    <t>Target Proposed Revenue 26</t>
  </si>
  <si>
    <t>Adjustments to Secondary Voltage Rates for Delivery at Primary Voltage</t>
  </si>
  <si>
    <t>Basic Charge Addition Sec Voltage Rate:</t>
  </si>
  <si>
    <t>Demand Credit per kW to all Demand:</t>
  </si>
  <si>
    <t>Energy Charge Reduction to Base Rates:</t>
  </si>
  <si>
    <t>Primary Voltage, Schedule 31</t>
  </si>
  <si>
    <t>Proposed Revenue Increase 31, 35</t>
  </si>
  <si>
    <t>Proforma Revenue 31, 35</t>
  </si>
  <si>
    <t>Target Sch 31 &amp; 35</t>
  </si>
  <si>
    <t>Sch 31 Proposed Revenue</t>
  </si>
  <si>
    <t>Sch 35 Proposed Revenue</t>
  </si>
  <si>
    <t>Total Sch 31 &amp; 35 Revenue</t>
  </si>
  <si>
    <t>Primary Voltage, Schedule 35, Irrigation</t>
  </si>
  <si>
    <t>Same as Sch 31</t>
  </si>
  <si>
    <t>Target Proposed $ Increase Sch 35</t>
  </si>
  <si>
    <t>Target Proposed Revenue 35</t>
  </si>
  <si>
    <t>Primary Voltage, Schedule 43, Interruptible</t>
  </si>
  <si>
    <t>Demand Charges - All kW</t>
  </si>
  <si>
    <t>Proposed Revenue Increase Sch 43</t>
  </si>
  <si>
    <t>Target Proposed $ Increase Sch 43</t>
  </si>
  <si>
    <t>Proposed Revenue % Increase Sch 43</t>
  </si>
  <si>
    <t>Sch 43 Class Average Increase</t>
  </si>
  <si>
    <t>Target Sch 31 Proposed Revenue Change (%)</t>
  </si>
  <si>
    <t>Sch 31 Average Increase</t>
  </si>
  <si>
    <t>High Voltage, Schedule 46, Interruptible</t>
  </si>
  <si>
    <t>Same as Sch 49</t>
  </si>
  <si>
    <t>Total Energy</t>
  </si>
  <si>
    <t>Demand Charges - All kVa</t>
  </si>
  <si>
    <t>Target Proposed % Increase Sch 46 &amp; 49</t>
  </si>
  <si>
    <t>Target Proposed $ Increase Sch 46 &amp; 49</t>
  </si>
  <si>
    <t>Target Proposed Revenue 46 &amp; 49</t>
  </si>
  <si>
    <t>Sch 46 Proposed</t>
  </si>
  <si>
    <t>Sch 49 Proposed</t>
  </si>
  <si>
    <t>Total HV Proposed</t>
  </si>
  <si>
    <t>Proposed Rates Effective 2008</t>
  </si>
  <si>
    <t xml:space="preserve"> 449 Primary Voltage</t>
  </si>
  <si>
    <t xml:space="preserve"> 449 High Voltage</t>
  </si>
  <si>
    <t xml:space="preserve"> 459 High Voltage</t>
  </si>
  <si>
    <t>Total Demand Charge</t>
  </si>
  <si>
    <t>OATT Revenue</t>
  </si>
  <si>
    <t xml:space="preserve"> 449 Primary Voltage - kWh</t>
  </si>
  <si>
    <t xml:space="preserve"> 449 High Voltage - kWh</t>
  </si>
  <si>
    <t xml:space="preserve"> 459 High Voltage - kWh</t>
  </si>
  <si>
    <t>Target Proposed $ Increase Sch 449 &amp; 459</t>
  </si>
  <si>
    <t>Target Proposed Revenue Sch 449 &amp; 459</t>
  </si>
  <si>
    <t>Target Proposed % Increase Sch 449 &amp; 459</t>
  </si>
  <si>
    <t>Subtotal Sch 449 - PV</t>
  </si>
  <si>
    <t>Subtotal Sch 449 &amp; 459 - HV</t>
  </si>
  <si>
    <t>Proforma and Proposed Revenue</t>
  </si>
  <si>
    <t>Proposed
Revenue</t>
  </si>
  <si>
    <t>Change
as Allocated
by Rate Spread</t>
  </si>
  <si>
    <t>Rounding Differences</t>
  </si>
  <si>
    <t>% Change</t>
  </si>
  <si>
    <t>Total Residential</t>
  </si>
  <si>
    <t>Seasonal Irrigation &amp; Drainage Pumping</t>
  </si>
  <si>
    <t>General Service</t>
  </si>
  <si>
    <t>High Voltage</t>
  </si>
  <si>
    <t>Interruptible</t>
  </si>
  <si>
    <t>Total Sales to Customers</t>
  </si>
  <si>
    <t>Schedule 7</t>
  </si>
  <si>
    <t>Bill Determinants</t>
  </si>
  <si>
    <t>Differences</t>
  </si>
  <si>
    <t>Total</t>
  </si>
  <si>
    <t>Charge</t>
  </si>
  <si>
    <t>Revenue</t>
  </si>
  <si>
    <t>$</t>
  </si>
  <si>
    <t>%</t>
  </si>
  <si>
    <t>Basic Charge - 1 Phase</t>
  </si>
  <si>
    <t>Basic Charge - 3 Phase</t>
  </si>
  <si>
    <t xml:space="preserve">First 600 kWh </t>
  </si>
  <si>
    <t>Schedule 95</t>
  </si>
  <si>
    <t>Unbilled Revenue</t>
  </si>
  <si>
    <t>Secondary Voltage, Demand 50 kW or less</t>
  </si>
  <si>
    <t>Schedule 24</t>
  </si>
  <si>
    <t>Winter Energy</t>
  </si>
  <si>
    <t>Summer Energy</t>
  </si>
  <si>
    <t>Total Revenue Schedule 24</t>
  </si>
  <si>
    <t>Secondary Voltage, Demand Greater than 50 kW but less than or equal to 350 kW</t>
  </si>
  <si>
    <t>Schedule 25</t>
  </si>
  <si>
    <t xml:space="preserve">Winter - First 20,000 kWh </t>
  </si>
  <si>
    <t xml:space="preserve">Summer- First 20,000 kWh </t>
  </si>
  <si>
    <t>All Over 20,000 kWh</t>
  </si>
  <si>
    <t>Total kWh Energy</t>
  </si>
  <si>
    <t>Winter - All Over 50 kW</t>
  </si>
  <si>
    <t>Summer- All Over 50 kW</t>
  </si>
  <si>
    <t>Total kW Demand</t>
  </si>
  <si>
    <t>Total kVarh Reactive Power</t>
  </si>
  <si>
    <t>Secondary Voltage, Demand Greater than 350 kW</t>
  </si>
  <si>
    <t>Schedule 26</t>
  </si>
  <si>
    <t>Winter - All kW</t>
  </si>
  <si>
    <t>Summer- All kW</t>
  </si>
  <si>
    <t>Unbilled kWh</t>
  </si>
  <si>
    <t>Secondary Voltage, Seasonal Irrigation &amp; Drainage Pumping Service</t>
  </si>
  <si>
    <t>Schedule 29</t>
  </si>
  <si>
    <t>Winter - All Over 20,000 kWh</t>
  </si>
  <si>
    <t>Summer- All Over 20,000 kWh</t>
  </si>
  <si>
    <t>Primary Voltage General Service</t>
  </si>
  <si>
    <t>Schedule 31</t>
  </si>
  <si>
    <t>Primary Voltage Seasonal Irrigation &amp; Drainage Pumping Service</t>
  </si>
  <si>
    <t>Schedule 35</t>
  </si>
  <si>
    <t>Bill</t>
  </si>
  <si>
    <t>Determinants</t>
  </si>
  <si>
    <t>Primary Voltage Interruptible Total Electric School Service</t>
  </si>
  <si>
    <t>Schedule 43</t>
  </si>
  <si>
    <t>Critical Demand Charge</t>
  </si>
  <si>
    <t xml:space="preserve">Campus Service &gt; 3aMW </t>
  </si>
  <si>
    <t>Schedule 40</t>
  </si>
  <si>
    <t>Basic Charge:</t>
  </si>
  <si>
    <t>Secondary Voltage - Medium Demand</t>
  </si>
  <si>
    <t>Secondary Voltage - Large Demand</t>
  </si>
  <si>
    <t>Production / Transmission Charge:</t>
  </si>
  <si>
    <t>PCORC</t>
  </si>
  <si>
    <t>kW (Coincident Demand)</t>
  </si>
  <si>
    <t>kVarh</t>
  </si>
  <si>
    <t>Distribution Charge:</t>
  </si>
  <si>
    <t>Customer Specific</t>
  </si>
  <si>
    <t>Total Schedule 40</t>
  </si>
  <si>
    <t>High Voltage, Interruptible Service</t>
  </si>
  <si>
    <t>Schedule 46</t>
  </si>
  <si>
    <t>Total kVa Demand</t>
  </si>
  <si>
    <t>Annual Energy Minimum Charge</t>
  </si>
  <si>
    <t>Annual Demand Charge</t>
  </si>
  <si>
    <t>High Voltage, General Service</t>
  </si>
  <si>
    <t>Schedule 49</t>
  </si>
  <si>
    <t>Lighting Revenues</t>
  </si>
  <si>
    <t>Proforma &amp; Proposed</t>
  </si>
  <si>
    <t>Annual
Proforma Revenue</t>
  </si>
  <si>
    <t>Annual Proposed Revenue</t>
  </si>
  <si>
    <t>Revenue Change</t>
  </si>
  <si>
    <t>03E</t>
  </si>
  <si>
    <t>50E-A</t>
  </si>
  <si>
    <t>50E-B</t>
  </si>
  <si>
    <t>52 O&amp;M</t>
  </si>
  <si>
    <t>52E</t>
  </si>
  <si>
    <t>53E</t>
  </si>
  <si>
    <t>54E</t>
  </si>
  <si>
    <t>55E &amp; 56E (No Res Exch)</t>
  </si>
  <si>
    <t>57E</t>
  </si>
  <si>
    <t>58E &amp; 59E (No Res Exch)</t>
  </si>
  <si>
    <t>Old Pole Revenue</t>
  </si>
  <si>
    <t>New Pole Revenue</t>
  </si>
  <si>
    <t>Primary Voltage:</t>
  </si>
  <si>
    <t>Customer Charge</t>
  </si>
  <si>
    <t>Distribution Charge</t>
  </si>
  <si>
    <t>Total Primary Voltage Revenue</t>
  </si>
  <si>
    <t>High Voltage:</t>
  </si>
  <si>
    <t>Total High Voltage Revenue</t>
  </si>
  <si>
    <t>Total Schedule 449</t>
  </si>
  <si>
    <t>Schedule 459</t>
  </si>
  <si>
    <t>Back-up Distrbution Service</t>
  </si>
  <si>
    <t>Schedule 95 in Proforma Revenue</t>
  </si>
  <si>
    <t>Schedule 95 Average Rate</t>
  </si>
  <si>
    <t>Difference</t>
  </si>
  <si>
    <t>Proforma &amp; Proposed Revenue</t>
  </si>
  <si>
    <t>Schedule 003</t>
  </si>
  <si>
    <t>Customer Owned &amp; Maintained Compact Fluorescent - Energy Only</t>
  </si>
  <si>
    <t>Lamp Size (Watts)</t>
  </si>
  <si>
    <t>Lamp Type</t>
  </si>
  <si>
    <t>Proforma Base Lamp Charge</t>
  </si>
  <si>
    <t>Proposed Lamp Charge</t>
  </si>
  <si>
    <t>Annual Proforma Revenue</t>
  </si>
  <si>
    <t>Compact Flourescent</t>
  </si>
  <si>
    <t>Schedule 50</t>
  </si>
  <si>
    <t>Limited Street Lighting Service</t>
  </si>
  <si>
    <t>Incandescent</t>
  </si>
  <si>
    <t>Mercury Vapor</t>
  </si>
  <si>
    <t>Schedule 52</t>
  </si>
  <si>
    <t>Custom Lighting Service - Company Owned</t>
  </si>
  <si>
    <t xml:space="preserve">52E </t>
  </si>
  <si>
    <t>Sodium Vapor</t>
  </si>
  <si>
    <t>Metal Halide</t>
  </si>
  <si>
    <t>Schedule 52 O&amp;M</t>
  </si>
  <si>
    <t>Estimated System Cost</t>
  </si>
  <si>
    <t>Proforma Base Rate</t>
  </si>
  <si>
    <t>Proposed Base Rate</t>
  </si>
  <si>
    <t>52 O&amp;M - Option B</t>
  </si>
  <si>
    <t>Schedule 53</t>
  </si>
  <si>
    <t>Street Lighting Service - Sodium Vapor</t>
  </si>
  <si>
    <t>53E - Company Owned</t>
  </si>
  <si>
    <t>53E - Customer Owned</t>
  </si>
  <si>
    <t>Metal Hallide</t>
  </si>
  <si>
    <t>Schedule 54</t>
  </si>
  <si>
    <t>Customer Owned Street Lighting Energy Service - Sodium Vapor</t>
  </si>
  <si>
    <t>54E - Customer Owned</t>
  </si>
  <si>
    <t>Schedules 55 &amp; 56</t>
  </si>
  <si>
    <t>Area Lighting Service</t>
  </si>
  <si>
    <t>55E &amp; 56E</t>
  </si>
  <si>
    <t>Total Schedules 55 &amp; 56</t>
  </si>
  <si>
    <t>Schedule 57</t>
  </si>
  <si>
    <t>Continuous Lighting Service</t>
  </si>
  <si>
    <t>Annual Watts
= kWh / 0.254</t>
  </si>
  <si>
    <t>Minimum Charge</t>
  </si>
  <si>
    <t>Schedules 58 &amp; 59</t>
  </si>
  <si>
    <t>Flood Lighting Service</t>
  </si>
  <si>
    <t>58E &amp; 59E</t>
  </si>
  <si>
    <t>Directional</t>
  </si>
  <si>
    <t>Horizontal</t>
  </si>
  <si>
    <t>Total Schedules 58 &amp; 59</t>
  </si>
  <si>
    <t>Lighting Revenue</t>
  </si>
  <si>
    <t>Pole Rentals</t>
  </si>
  <si>
    <t>Schedules 55 &amp; 58</t>
  </si>
  <si>
    <t>Proforma Charge</t>
  </si>
  <si>
    <t>Proposed Charge</t>
  </si>
  <si>
    <t>Old Pole - Sch 55</t>
  </si>
  <si>
    <t>New Pole - Sch 55</t>
  </si>
  <si>
    <t>New Pole - Sch 58</t>
  </si>
  <si>
    <t>Total New Pole Revenue</t>
  </si>
  <si>
    <r>
      <t>Annual kWh</t>
    </r>
    <r>
      <rPr>
        <sz val="10"/>
        <color indexed="48"/>
        <rFont val="Arial"/>
        <family val="2"/>
      </rPr>
      <t/>
    </r>
  </si>
  <si>
    <t>Calculation of Schedule 40 Tariff Charges</t>
  </si>
  <si>
    <t>Basic Charge</t>
  </si>
  <si>
    <t>Rate</t>
  </si>
  <si>
    <t>Notes</t>
  </si>
  <si>
    <t>Primary Voltage Metering Points</t>
  </si>
  <si>
    <t>Set Equal to Schedule 31</t>
  </si>
  <si>
    <t>Secondary Voltage &gt;- 350 kW</t>
  </si>
  <si>
    <t>Set Equal to Schedule 26</t>
  </si>
  <si>
    <t>Secondary Voltage&lt; 350 kW</t>
  </si>
  <si>
    <t>Set Equal to Schedule 25</t>
  </si>
  <si>
    <t>Production &amp; Transmission Charges</t>
  </si>
  <si>
    <t>Demand ($/kW of Coincident Billing Demand)</t>
  </si>
  <si>
    <t>High Voltage Metering Point</t>
  </si>
  <si>
    <t>Primary Voltage Metering Point</t>
  </si>
  <si>
    <t>Secondary Voltage Metering Point</t>
  </si>
  <si>
    <t>Energy Charge (Cents / kWh)</t>
  </si>
  <si>
    <t>Reactive Power Charge - (Cents / kVARh)</t>
  </si>
  <si>
    <t>Customer Specific Distribution Charge</t>
  </si>
  <si>
    <t>Total Distribution</t>
  </si>
  <si>
    <t>Transformer Charge</t>
  </si>
  <si>
    <t>Feeder Charge</t>
  </si>
  <si>
    <t>Substation Charge</t>
  </si>
  <si>
    <t>Power Factor</t>
  </si>
  <si>
    <t>Proposed Schedule 49 Demand Rate ($ / kVa)</t>
  </si>
  <si>
    <t>Proposed Basic Charge Revenue Change</t>
  </si>
  <si>
    <t>Proposed Reactive Charge Revenue Change</t>
  </si>
  <si>
    <t>Proposed Distribution Charge Revenue Change</t>
  </si>
  <si>
    <t>Proposed Prod &amp; Trans Demand Charge</t>
  </si>
  <si>
    <t>Proposed Prod &amp; Trans Energy Charge</t>
  </si>
  <si>
    <t>Subtotal</t>
  </si>
  <si>
    <t>Proposed Revenue Change</t>
  </si>
  <si>
    <t>Proforma Charges</t>
  </si>
  <si>
    <t>Total Proposed Revenue</t>
  </si>
  <si>
    <t>Total Proposed Revenue from Summary</t>
  </si>
  <si>
    <t>Asset Age (35 yr asset)</t>
  </si>
  <si>
    <t>FCR on Gross Plant Value</t>
  </si>
  <si>
    <t>FCR on net Plant Value</t>
  </si>
  <si>
    <t>Load Research Data</t>
  </si>
  <si>
    <t>Schedule 49 Power Factor</t>
  </si>
  <si>
    <t>Annual KWh</t>
  </si>
  <si>
    <t>High Voltage Sch 49</t>
  </si>
  <si>
    <t>ENERGY_1 Allocator</t>
  </si>
  <si>
    <t>Primary Voltage Sch 31</t>
  </si>
  <si>
    <t>Secondary Voltage Sch 26</t>
  </si>
  <si>
    <t>Energy Loss Factor (Sec Voltage - High Voltage)</t>
  </si>
  <si>
    <t>Energy Loss Factor (Primary Voltage - High Voltage)</t>
  </si>
  <si>
    <t>FCR on Land:</t>
  </si>
  <si>
    <t xml:space="preserve">Customer 1 </t>
  </si>
  <si>
    <t xml:space="preserve">Customer 2 </t>
  </si>
  <si>
    <t>Customer 3</t>
  </si>
  <si>
    <t xml:space="preserve">Customer 4 </t>
  </si>
  <si>
    <t xml:space="preserve">Customer 5 </t>
  </si>
  <si>
    <t xml:space="preserve">Customer 6 </t>
  </si>
  <si>
    <t xml:space="preserve">Customer 7 </t>
  </si>
  <si>
    <t>Customer 8</t>
  </si>
  <si>
    <t>Total Schedule 459</t>
  </si>
  <si>
    <t>High Voltage, Schedule 49</t>
  </si>
  <si>
    <t>a</t>
  </si>
  <si>
    <t>b</t>
  </si>
  <si>
    <t>Set Equal to Schedule 49, Adjust for Line Losses</t>
  </si>
  <si>
    <t>Set Equal to Schedule 49, Adjust for Line Losses &amp; Power Factor</t>
  </si>
  <si>
    <t>Rate Schedule</t>
  </si>
  <si>
    <t>Tariff</t>
  </si>
  <si>
    <t>Demand Charge</t>
  </si>
  <si>
    <t>Reactive Power Charge</t>
  </si>
  <si>
    <t>Energy Charge</t>
  </si>
  <si>
    <t>Lamp Charge</t>
  </si>
  <si>
    <t>na</t>
  </si>
  <si>
    <t>Sec Volt &lt;= 50 kW Demand</t>
  </si>
  <si>
    <t xml:space="preserve">Sec Volt 50 &gt; kW Demand &lt;=350 </t>
  </si>
  <si>
    <t>Sec Volt &gt; 350 kW Demand</t>
  </si>
  <si>
    <t>Sch 31, adjusted for losses</t>
  </si>
  <si>
    <t>Residual</t>
  </si>
  <si>
    <t>Sec Volt, Irrigation</t>
  </si>
  <si>
    <t>Pri Volt - Gen Svc</t>
  </si>
  <si>
    <t>Pri Volt - Irrigation</t>
  </si>
  <si>
    <t>Same as Schedule 31</t>
  </si>
  <si>
    <t>Pri Volt - Interruptible Schools</t>
  </si>
  <si>
    <t>Sch 25, 26 or 31</t>
  </si>
  <si>
    <t>Sch 49, Adjusted for Power Factor and Line Losses</t>
  </si>
  <si>
    <t>Sch 26 or 31</t>
  </si>
  <si>
    <t>Sch 49, Adjust for Line Losses</t>
  </si>
  <si>
    <t>High Volt - Interruptible</t>
  </si>
  <si>
    <t>Same as Schedule 49</t>
  </si>
  <si>
    <t>High Volt - Gen Service</t>
  </si>
  <si>
    <t>Residential Customer Impacts</t>
  </si>
  <si>
    <t>Customer Bill</t>
  </si>
  <si>
    <t>Month</t>
  </si>
  <si>
    <t>Present</t>
  </si>
  <si>
    <t>$ Difference</t>
  </si>
  <si>
    <t>% Difference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</si>
  <si>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</si>
  <si>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</si>
  <si>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</si>
  <si>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</si>
  <si>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</si>
  <si>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</si>
  <si>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</si>
  <si>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</si>
  <si>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</si>
  <si>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</si>
  <si>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</si>
  <si>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</si>
  <si>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Annual Total</t>
  </si>
  <si>
    <t>Monthly Average</t>
  </si>
  <si>
    <t>Average Cents</t>
  </si>
  <si>
    <t>Rates</t>
  </si>
  <si>
    <t>Customer Monthly Charge:</t>
  </si>
  <si>
    <t>per Month</t>
  </si>
  <si>
    <t>Energy Charge:</t>
  </si>
  <si>
    <t>Schedule 7 first 600 kWh</t>
  </si>
  <si>
    <t>¢ / kWh</t>
  </si>
  <si>
    <t>Schedule 7 over 600 kWh</t>
  </si>
  <si>
    <t>Schedule 95 - Power Cost Adjustment Clause</t>
  </si>
  <si>
    <t>Schedule 120 - Conservation Rider</t>
  </si>
  <si>
    <t>Schedule 129 - Low Income</t>
  </si>
  <si>
    <t>Schedule 194 - BPA Exchange Credit</t>
  </si>
  <si>
    <t>Apply Residual &amp; Adjust for Rounding</t>
  </si>
  <si>
    <t>Twelve Months ended December 2008</t>
  </si>
  <si>
    <t>Customer 9</t>
  </si>
  <si>
    <t>Weather</t>
  </si>
  <si>
    <t>Proposed $ / Watt Charge</t>
  </si>
  <si>
    <t>Proforma $ / Watt Charge</t>
  </si>
  <si>
    <t>Billed kWh</t>
  </si>
  <si>
    <t>Class average increase</t>
  </si>
  <si>
    <t>Class % Increase</t>
  </si>
  <si>
    <t>Class % Increase (after OATT)</t>
  </si>
  <si>
    <t>Schedule 132 - Merger Credit</t>
  </si>
  <si>
    <t xml:space="preserve">Note:  There are no customers currently served under Schedules 448 and 458.  
           All Primary Voltage rates are the same under Schedules 448, 449, 458 &amp; 459.  All High Voltage rates are the same under Schedules 448, 449, 458 &amp; 459.  </t>
  </si>
  <si>
    <t>Choice / Retail Wheeling Schedules 448 and 449</t>
  </si>
  <si>
    <t>Choice / Retail Wheeling</t>
  </si>
  <si>
    <t>448 / 449</t>
  </si>
  <si>
    <t>COS Basic Charge</t>
  </si>
  <si>
    <t>Proposed less Basic Charge &amp; OATT &amp; Unbilled</t>
  </si>
  <si>
    <t>Remaining Rate Change %</t>
  </si>
  <si>
    <t>Remaining Rate Change $ / kVa</t>
  </si>
  <si>
    <t>448/449</t>
  </si>
  <si>
    <t>Line</t>
  </si>
  <si>
    <t>No.</t>
  </si>
  <si>
    <t>FIRM RESALE</t>
  </si>
  <si>
    <t>Campus Rate, Demand &gt;3aMW</t>
  </si>
  <si>
    <t>Calculation of Production &amp; Transmission Charges</t>
  </si>
  <si>
    <t>Schedule 40 Production &amp; Transmission Charge Calculation</t>
  </si>
  <si>
    <t>Proforma
Schedule 40
Demand Rate
($ / kVa)</t>
  </si>
  <si>
    <t>Implicit
Loss
Adjustment</t>
  </si>
  <si>
    <t>Proposed
Schedule 40
Rate</t>
  </si>
  <si>
    <t>Revenue
Change</t>
  </si>
  <si>
    <t>c = a * b</t>
  </si>
  <si>
    <t>d</t>
  </si>
  <si>
    <t>e = e * (1+d)</t>
  </si>
  <si>
    <t>f = e / b</t>
  </si>
  <si>
    <t>g</t>
  </si>
  <si>
    <t>h = a * g</t>
  </si>
  <si>
    <t>i = f * g</t>
  </si>
  <si>
    <t>j = i - h</t>
  </si>
  <si>
    <t>Demand Charge Calculation</t>
  </si>
  <si>
    <t>Energy Charge Calculation</t>
  </si>
  <si>
    <t>Increase</t>
  </si>
  <si>
    <t>Loss Factors from 2009 GRC</t>
  </si>
  <si>
    <t>52 O&amp;M - Option A</t>
  </si>
  <si>
    <t>Apply resdual to Demand on Equal $ / kVa
Adjust for Rounding</t>
  </si>
  <si>
    <t>Class average increase,
Winter Block adjusted for residual</t>
  </si>
  <si>
    <t>Class average increase, 
Adjusted for Residual</t>
  </si>
  <si>
    <t>Apply Residual as Equal $ / kVa,
PV Adjusted for Rounding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</si>
  <si>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</si>
  <si>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</si>
  <si>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</si>
  <si>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</si>
  <si>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</si>
  <si>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</si>
  <si>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</si>
  <si>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</si>
  <si>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</si>
  <si>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</si>
  <si>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</si>
  <si>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</si>
  <si>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</si>
  <si>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Campus Rate, Demand &gt; 3aMW</t>
  </si>
  <si>
    <t>Fixed Charge Rates (FCR) For Distribution Charges</t>
  </si>
  <si>
    <t>Fixed Charge Rates</t>
  </si>
  <si>
    <t>Total Jurisdictional Retail Sales</t>
  </si>
  <si>
    <t>Class average increase,
adjusted for residual</t>
  </si>
  <si>
    <t>HV Increase</t>
  </si>
  <si>
    <t>PV Increase</t>
  </si>
  <si>
    <t>Proposed
Revenue
Increase
($)</t>
  </si>
  <si>
    <t>Sch 31 Equal % Adjust</t>
  </si>
  <si>
    <t>Remaining class average increase,
1st Block adjusted for residual</t>
  </si>
  <si>
    <t>First Block Winter = Sch 25
 First Block Summer = Class Avg                          Second Block = Class Avg</t>
  </si>
  <si>
    <t>Percent of Total w/o Schedule 40</t>
  </si>
  <si>
    <t>kWh Sales</t>
  </si>
  <si>
    <t>$ Base Revenue Increase (Decrease)</t>
  </si>
  <si>
    <t>(f) = (e) - (d)</t>
  </si>
  <si>
    <t>Twelve Months ended December 2010</t>
  </si>
  <si>
    <t>Test Year Twelve Months ended December 2010</t>
  </si>
  <si>
    <t>Proforma Revenue
Rates Effective
5-1-10</t>
  </si>
  <si>
    <t>Rates Effective 5-1-10</t>
  </si>
  <si>
    <t>Schedule 26P</t>
  </si>
  <si>
    <t>Secondary Voltage, Demand Greater than 350 kW, Primary Voltage Rate</t>
  </si>
  <si>
    <t>Demand &gt; 350 kW, PV Rate</t>
  </si>
  <si>
    <t>26P</t>
  </si>
  <si>
    <t>Firm Resale</t>
  </si>
  <si>
    <t>51-LED</t>
  </si>
  <si>
    <t>51-O&amp;M</t>
  </si>
  <si>
    <t>Inventory
@
12-31-10</t>
  </si>
  <si>
    <t>Billed kWh
12 Months
ended
12-31-10</t>
  </si>
  <si>
    <t>Schedule 51</t>
  </si>
  <si>
    <t>51E</t>
  </si>
  <si>
    <t>Schedule 51 O&amp;M</t>
  </si>
  <si>
    <t xml:space="preserve">51 O&amp;M </t>
  </si>
  <si>
    <t>Total Other</t>
  </si>
  <si>
    <t>Base Rates
Effective 
5-1-10</t>
  </si>
  <si>
    <t>Proposed
Rates
Effective 2012</t>
  </si>
  <si>
    <t>Proforma
Revenue
Effective
5-1-10</t>
  </si>
  <si>
    <t>Proposed
Revenue
Effective
2012</t>
  </si>
  <si>
    <t>Test Year Twelve Months ended December 31, 2010</t>
  </si>
  <si>
    <t>Sch 40 Rates
Eff 5-1-11</t>
  </si>
  <si>
    <t>Proforma
Revenue
Effective 5-1-10</t>
  </si>
  <si>
    <t>Proposed
Revenue
Effective 2012</t>
  </si>
  <si>
    <t>Schedule 95A - Federal Incentive Credit</t>
  </si>
  <si>
    <t>Schedule 137 - Renewable Energy Credit</t>
  </si>
  <si>
    <t>Schedule 133 - Regulatory Asset Tracker (Will be zero on 1-1-12)</t>
  </si>
  <si>
    <t>Class Average % Increase</t>
  </si>
  <si>
    <t>Class Average % Increase,
Adjust for Residual</t>
  </si>
  <si>
    <t>Rate Spread Workpapers, Column G</t>
  </si>
  <si>
    <t>Class Average % Increase, 
Adjusted for rounding</t>
  </si>
  <si>
    <t>Class Average % Increase
Adjust For Residual</t>
  </si>
  <si>
    <t>Class Average % Increase, and Adjust</t>
  </si>
  <si>
    <t>Docket No. UE-11xxxx and Weighted Cost of Capital = 8.42%</t>
  </si>
  <si>
    <t>SPECIAL CONTRACTS</t>
  </si>
  <si>
    <t>Firm Resale / Special Contract</t>
  </si>
  <si>
    <t>26 / 26P</t>
  </si>
  <si>
    <t>Average Increase Before Schedule 40, Firm Resale + Special Contract</t>
  </si>
  <si>
    <t>Average Increase After Schedule 40, Firm Resale + Special Contract</t>
  </si>
  <si>
    <t>Average Increase After Schedule 40, Firm Resale + Special Contract adjusted for Unequal Allocation of Increase</t>
  </si>
  <si>
    <t>Company Owned LED (Light Emitting Diode) Lighting Service</t>
  </si>
  <si>
    <t>Sch 31 Equal % and Adjust for Losses &amp; Residual</t>
  </si>
  <si>
    <t>Apply residual to Demand on Equal $ / kVa</t>
  </si>
  <si>
    <t>Note:  Distribution Charge FCR at 8.42% ROR</t>
  </si>
  <si>
    <t>Sch 49 Annual kWh 2010</t>
  </si>
  <si>
    <t>Sch 49 Annual kvarh 2010</t>
  </si>
  <si>
    <t>Schedule 139 - Conservation Savings Adjustment</t>
  </si>
  <si>
    <t>Proposed
Increase</t>
  </si>
  <si>
    <t>Customer 10</t>
  </si>
  <si>
    <t>Docket No. UE-111048</t>
  </si>
  <si>
    <t>Proposed Base
Revenue Effective 5-2011</t>
  </si>
  <si>
    <t>Rates Effective May 2012</t>
  </si>
  <si>
    <t>Docket No. UE-111048, GRC Filing</t>
  </si>
  <si>
    <t>Present Rate
 Effective 
October 1, 2011</t>
  </si>
  <si>
    <t>Proposed GRC Rates Effective
May 2012</t>
  </si>
  <si>
    <t>Customer 11</t>
  </si>
</sst>
</file>

<file path=xl/styles.xml><?xml version="1.0" encoding="utf-8"?>
<styleSheet xmlns="http://schemas.openxmlformats.org/spreadsheetml/2006/main">
  <numFmts count="40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&quot;$&quot;* #,##0.000_);_(&quot;$&quot;* \(#,##0.000\);_(&quot;$&quot;* &quot;-&quot;??_);_(@_)"/>
    <numFmt numFmtId="167" formatCode="_(&quot;$&quot;* #,##0.00000_);_(&quot;$&quot;* \(#,##0.00000\);_(&quot;$&quot;* &quot;-&quot;??_);_(@_)"/>
    <numFmt numFmtId="168" formatCode="_(&quot;$&quot;* #,##0.000000_);_(&quot;$&quot;* \(#,##0.000000\);_(&quot;$&quot;* &quot;-&quot;??_);_(@_)"/>
    <numFmt numFmtId="169" formatCode="0.0%"/>
    <numFmt numFmtId="170" formatCode="_(* #,##0.000000_);_(* \(#,##0.000000\);_(* &quot;-&quot;??_);_(@_)"/>
    <numFmt numFmtId="171" formatCode="_(* #,##0.000_);_(* \(#,##0.000\);_(* &quot;-&quot;??_);_(@_)"/>
    <numFmt numFmtId="172" formatCode="0.000%"/>
    <numFmt numFmtId="173" formatCode="0.0000%"/>
    <numFmt numFmtId="174" formatCode="0.000000"/>
    <numFmt numFmtId="175" formatCode="#,##0.00\ ;\(#,##0.00\)"/>
    <numFmt numFmtId="176" formatCode="#."/>
    <numFmt numFmtId="177" formatCode="mmmm\ d\,\ yyyy"/>
    <numFmt numFmtId="178" formatCode="_(&quot;$&quot;* #,##0.0000_);_(&quot;$&quot;* \(#,##0.0000\);_(&quot;$&quot;* &quot;-&quot;????_);_(@_)"/>
    <numFmt numFmtId="179" formatCode="&quot;$&quot;#,##0.00"/>
    <numFmt numFmtId="180" formatCode="_(&quot;$&quot;* #,##0.0000000_);_(&quot;$&quot;* \(#,##0.0000000\);_(&quot;$&quot;* &quot;-&quot;??_);_(@_)"/>
    <numFmt numFmtId="181" formatCode="_(* #,##0.0000_);_(* \(#,##0.0000\);_(* &quot;-&quot;??_);_(@_)"/>
    <numFmt numFmtId="182" formatCode="_(* #,##0.00000_);_(* \(#,##0.00000\);_(* &quot;-&quot;??_);_(@_)"/>
    <numFmt numFmtId="183" formatCode="_(* #,##0.0_);_(* \(#,##0.0\);_(* &quot;-&quot;_);_(@_)"/>
    <numFmt numFmtId="184" formatCode="d\.mmm\.yy"/>
    <numFmt numFmtId="185" formatCode="0.0000000"/>
    <numFmt numFmtId="186" formatCode="0.000000000"/>
    <numFmt numFmtId="187" formatCode="&quot;$&quot;#,##0;\-&quot;$&quot;#,##0"/>
    <numFmt numFmtId="188" formatCode="_(&quot;$&quot;* #,##0.000000_);_(&quot;$&quot;* \(#,##0.000000\);_(&quot;$&quot;* &quot;-&quot;??????_);_(@_)"/>
    <numFmt numFmtId="189" formatCode="_(* ###0_);_(* \(###0\);_(* &quot;-&quot;_);_(@_)"/>
    <numFmt numFmtId="190" formatCode="0.00_)"/>
    <numFmt numFmtId="191" formatCode="_([$€-2]* #,##0.00_);_([$€-2]* \(#,##0.00\);_([$€-2]* &quot;-&quot;??_)"/>
    <numFmt numFmtId="192" formatCode="0000000"/>
    <numFmt numFmtId="193" formatCode="[$-409]d\-mmm\-yy;@"/>
    <numFmt numFmtId="194" formatCode="_-* #,##0.00\ &quot;DM&quot;_-;\-* #,##0.00\ &quot;DM&quot;_-;_-* &quot;-&quot;??\ &quot;DM&quot;_-;_-@_-"/>
    <numFmt numFmtId="195" formatCode="[Blue]#,##0_);[Magenta]\(#,##0\)"/>
  </numFmts>
  <fonts count="10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Helv"/>
    </font>
    <font>
      <sz val="12"/>
      <name val="TIMES"/>
    </font>
    <font>
      <sz val="1"/>
      <color indexed="16"/>
      <name val="Courier"/>
      <family val="3"/>
    </font>
    <font>
      <sz val="8"/>
      <name val="Arial"/>
      <family val="2"/>
    </font>
    <font>
      <sz val="18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2"/>
      <color indexed="10"/>
      <name val="Arial"/>
      <family val="2"/>
    </font>
    <font>
      <sz val="12"/>
      <color indexed="10"/>
      <name val="TIMES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0"/>
      <color indexed="48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sz val="10"/>
      <name val="MS Serif"/>
      <family val="1"/>
    </font>
    <font>
      <sz val="10"/>
      <name val="Courier"/>
      <family val="3"/>
    </font>
    <font>
      <b/>
      <sz val="12"/>
      <name val="Arial"/>
      <family val="2"/>
    </font>
    <font>
      <b/>
      <sz val="10"/>
      <name val="Arial"/>
      <family val="2"/>
    </font>
    <font>
      <sz val="7"/>
      <name val="Small Fonts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8"/>
      <name val="Helv"/>
    </font>
    <font>
      <b/>
      <sz val="8"/>
      <color indexed="8"/>
      <name val="Helv"/>
    </font>
    <font>
      <sz val="8"/>
      <name val="Times New Roman"/>
      <family val="1"/>
    </font>
    <font>
      <sz val="12"/>
      <name val="Times New Roman"/>
      <family val="1"/>
    </font>
    <font>
      <sz val="10"/>
      <color indexed="24"/>
      <name val="Arial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22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Arial"/>
      <family val="2"/>
    </font>
    <font>
      <sz val="10"/>
      <color indexed="10"/>
      <name val="Arial"/>
      <family val="2"/>
    </font>
    <font>
      <b/>
      <i/>
      <sz val="16"/>
      <name val="Helv"/>
    </font>
    <font>
      <sz val="10"/>
      <color indexed="8"/>
      <name val="MS Sans Serif"/>
      <family val="2"/>
    </font>
    <font>
      <sz val="10"/>
      <name val="MS Serif"/>
      <family val="1"/>
    </font>
    <font>
      <sz val="10"/>
      <name val="Courier"/>
      <family val="3"/>
    </font>
    <font>
      <sz val="7"/>
      <name val="Small Fonts"/>
      <family val="2"/>
    </font>
    <font>
      <b/>
      <sz val="10"/>
      <name val="MS Sans Serif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2"/>
      <color indexed="24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</font>
    <font>
      <sz val="11"/>
      <name val="univers (E1)"/>
    </font>
    <font>
      <sz val="12"/>
      <name val="Times"/>
      <family val="1"/>
    </font>
    <font>
      <sz val="12"/>
      <color indexed="10"/>
      <name val="Times"/>
      <family val="1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name val="Geneva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b/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MS Sans Serif"/>
      <family val="2"/>
    </font>
    <font>
      <sz val="8"/>
      <color theme="1"/>
      <name val="Arial"/>
      <family val="2"/>
    </font>
    <font>
      <sz val="8"/>
      <name val="MS Sans Serif"/>
      <family val="2"/>
    </font>
    <font>
      <sz val="8"/>
      <color indexed="12"/>
      <name val="Arial"/>
      <family val="2"/>
    </font>
    <font>
      <sz val="8"/>
      <color indexed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10"/>
      <name val="Calibri"/>
      <family val="2"/>
      <scheme val="minor"/>
    </font>
    <font>
      <sz val="11"/>
      <color indexed="19"/>
      <name val="Calibri"/>
      <family val="2"/>
      <scheme val="minor"/>
    </font>
  </fonts>
  <fills count="9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23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</fills>
  <borders count="6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3707">
    <xf numFmtId="0" fontId="0" fillId="0" borderId="0"/>
    <xf numFmtId="0" fontId="6" fillId="0" borderId="0"/>
    <xf numFmtId="174" fontId="5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82" fontId="5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5" fontId="6" fillId="0" borderId="0">
      <alignment horizontal="left" wrapText="1"/>
    </xf>
    <xf numFmtId="182" fontId="5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5" fontId="5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2" fontId="5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74" fontId="5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82" fontId="5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5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5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74" fontId="5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5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5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39" fillId="0" borderId="0"/>
    <xf numFmtId="182" fontId="6" fillId="0" borderId="0">
      <alignment horizontal="left" wrapText="1"/>
    </xf>
    <xf numFmtId="174" fontId="5" fillId="0" borderId="0">
      <alignment horizontal="left" wrapText="1"/>
    </xf>
    <xf numFmtId="174" fontId="6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85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5" fillId="0" borderId="0">
      <alignment horizontal="left" wrapText="1"/>
    </xf>
    <xf numFmtId="182" fontId="6" fillId="0" borderId="0">
      <alignment horizontal="left" wrapText="1"/>
    </xf>
    <xf numFmtId="182" fontId="5" fillId="0" borderId="0">
      <alignment horizontal="left" wrapText="1"/>
    </xf>
    <xf numFmtId="182" fontId="5" fillId="0" borderId="0">
      <alignment horizontal="left" wrapText="1"/>
    </xf>
    <xf numFmtId="182" fontId="5" fillId="0" borderId="0">
      <alignment horizontal="left" wrapText="1"/>
    </xf>
    <xf numFmtId="182" fontId="5" fillId="0" borderId="0">
      <alignment horizontal="left" wrapText="1"/>
    </xf>
    <xf numFmtId="182" fontId="5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74" fontId="5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5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82" fontId="5" fillId="0" borderId="0">
      <alignment horizontal="left" wrapText="1"/>
    </xf>
    <xf numFmtId="182" fontId="6" fillId="0" borderId="0">
      <alignment horizontal="left" wrapText="1"/>
    </xf>
    <xf numFmtId="182" fontId="5" fillId="0" borderId="0">
      <alignment horizontal="left" wrapText="1"/>
    </xf>
    <xf numFmtId="182" fontId="5" fillId="0" borderId="0">
      <alignment horizontal="left" wrapText="1"/>
    </xf>
    <xf numFmtId="182" fontId="5" fillId="0" borderId="0">
      <alignment horizontal="left" wrapText="1"/>
    </xf>
    <xf numFmtId="182" fontId="5" fillId="0" borderId="0">
      <alignment horizontal="left" wrapText="1"/>
    </xf>
    <xf numFmtId="182" fontId="5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5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5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5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39" fillId="0" borderId="0"/>
    <xf numFmtId="0" fontId="27" fillId="2" borderId="0" applyNumberFormat="0" applyBorder="0" applyAlignment="0" applyProtection="0"/>
    <xf numFmtId="0" fontId="27" fillId="2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184" fontId="28" fillId="0" borderId="0" applyFill="0" applyBorder="0" applyAlignment="0"/>
    <xf numFmtId="41" fontId="5" fillId="12" borderId="0"/>
    <xf numFmtId="41" fontId="6" fillId="13" borderId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3" fontId="7" fillId="0" borderId="0" applyFill="0" applyBorder="0" applyAlignment="0" applyProtection="0"/>
    <xf numFmtId="0" fontId="8" fillId="0" borderId="0"/>
    <xf numFmtId="0" fontId="8" fillId="0" borderId="0"/>
    <xf numFmtId="0" fontId="9" fillId="0" borderId="0"/>
    <xf numFmtId="3" fontId="40" fillId="0" borderId="0" applyFont="0" applyFill="0" applyBorder="0" applyAlignment="0" applyProtection="0"/>
    <xf numFmtId="3" fontId="40" fillId="0" borderId="0" applyFont="0" applyFill="0" applyBorder="0" applyAlignment="0" applyProtection="0"/>
    <xf numFmtId="3" fontId="40" fillId="0" borderId="0" applyFont="0" applyFill="0" applyBorder="0" applyAlignment="0" applyProtection="0"/>
    <xf numFmtId="176" fontId="10" fillId="0" borderId="0">
      <protection locked="0"/>
    </xf>
    <xf numFmtId="0" fontId="9" fillId="0" borderId="0"/>
    <xf numFmtId="0" fontId="29" fillId="0" borderId="0" applyNumberFormat="0" applyAlignment="0">
      <alignment horizontal="left"/>
    </xf>
    <xf numFmtId="0" fontId="30" fillId="0" borderId="0" applyNumberFormat="0" applyAlignment="0"/>
    <xf numFmtId="0" fontId="8" fillId="0" borderId="0"/>
    <xf numFmtId="0" fontId="9" fillId="0" borderId="0"/>
    <xf numFmtId="0" fontId="8" fillId="0" borderId="0"/>
    <xf numFmtId="0" fontId="9" fillId="0" borderId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5" fontId="7" fillId="0" borderId="0" applyFill="0" applyBorder="0" applyAlignment="0" applyProtection="0"/>
    <xf numFmtId="177" fontId="7" fillId="0" borderId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5" fillId="0" borderId="0" applyFont="0" applyFill="0" applyBorder="0" applyAlignment="0" applyProtection="0"/>
    <xf numFmtId="174" fontId="5" fillId="0" borderId="0"/>
    <xf numFmtId="2" fontId="7" fillId="0" borderId="0" applyFill="0" applyBorder="0" applyAlignment="0" applyProtection="0"/>
    <xf numFmtId="0" fontId="8" fillId="0" borderId="0"/>
    <xf numFmtId="38" fontId="11" fillId="13" borderId="0" applyNumberFormat="0" applyBorder="0" applyAlignment="0" applyProtection="0"/>
    <xf numFmtId="38" fontId="11" fillId="13" borderId="0" applyNumberFormat="0" applyBorder="0" applyAlignment="0" applyProtection="0"/>
    <xf numFmtId="38" fontId="11" fillId="13" borderId="0" applyNumberFormat="0" applyBorder="0" applyAlignment="0" applyProtection="0"/>
    <xf numFmtId="38" fontId="11" fillId="13" borderId="0" applyNumberFormat="0" applyBorder="0" applyAlignment="0" applyProtection="0"/>
    <xf numFmtId="0" fontId="31" fillId="0" borderId="1" applyNumberFormat="0" applyAlignment="0" applyProtection="0">
      <alignment horizontal="left"/>
    </xf>
    <xf numFmtId="0" fontId="31" fillId="0" borderId="2">
      <alignment horizontal="left"/>
    </xf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38" fontId="13" fillId="0" borderId="0"/>
    <xf numFmtId="40" fontId="13" fillId="0" borderId="0"/>
    <xf numFmtId="10" fontId="11" fillId="12" borderId="3" applyNumberFormat="0" applyBorder="0" applyAlignment="0" applyProtection="0"/>
    <xf numFmtId="10" fontId="11" fillId="12" borderId="3" applyNumberFormat="0" applyBorder="0" applyAlignment="0" applyProtection="0"/>
    <xf numFmtId="10" fontId="11" fillId="12" borderId="3" applyNumberFormat="0" applyBorder="0" applyAlignment="0" applyProtection="0"/>
    <xf numFmtId="10" fontId="11" fillId="12" borderId="3" applyNumberFormat="0" applyBorder="0" applyAlignment="0" applyProtection="0"/>
    <xf numFmtId="41" fontId="14" fillId="14" borderId="4">
      <alignment horizontal="left"/>
      <protection locked="0"/>
    </xf>
    <xf numFmtId="10" fontId="14" fillId="14" borderId="4">
      <alignment horizontal="right"/>
      <protection locked="0"/>
    </xf>
    <xf numFmtId="0" fontId="11" fillId="13" borderId="0"/>
    <xf numFmtId="3" fontId="15" fillId="0" borderId="0" applyFill="0" applyBorder="0" applyAlignment="0" applyProtection="0"/>
    <xf numFmtId="44" fontId="32" fillId="0" borderId="5" applyNumberFormat="0" applyFont="0" applyAlignment="0">
      <alignment horizontal="center"/>
    </xf>
    <xf numFmtId="44" fontId="18" fillId="0" borderId="5" applyNumberFormat="0" applyFont="0" applyAlignment="0">
      <alignment horizontal="center"/>
    </xf>
    <xf numFmtId="44" fontId="18" fillId="0" borderId="5" applyNumberFormat="0" applyFont="0" applyAlignment="0">
      <alignment horizontal="center"/>
    </xf>
    <xf numFmtId="44" fontId="18" fillId="0" borderId="5" applyNumberFormat="0" applyFont="0" applyAlignment="0">
      <alignment horizontal="center"/>
    </xf>
    <xf numFmtId="44" fontId="32" fillId="0" borderId="6" applyNumberFormat="0" applyFont="0" applyAlignment="0">
      <alignment horizontal="center"/>
    </xf>
    <xf numFmtId="44" fontId="18" fillId="0" borderId="6" applyNumberFormat="0" applyFont="0" applyAlignment="0">
      <alignment horizontal="center"/>
    </xf>
    <xf numFmtId="44" fontId="18" fillId="0" borderId="6" applyNumberFormat="0" applyFont="0" applyAlignment="0">
      <alignment horizontal="center"/>
    </xf>
    <xf numFmtId="44" fontId="18" fillId="0" borderId="6" applyNumberFormat="0" applyFont="0" applyAlignment="0">
      <alignment horizontal="center"/>
    </xf>
    <xf numFmtId="37" fontId="33" fillId="0" borderId="0"/>
    <xf numFmtId="175" fontId="5" fillId="0" borderId="0"/>
    <xf numFmtId="187" fontId="6" fillId="0" borderId="0"/>
    <xf numFmtId="187" fontId="6" fillId="0" borderId="0"/>
    <xf numFmtId="187" fontId="6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41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15" borderId="7" applyNumberFormat="0" applyFont="0" applyAlignment="0" applyProtection="0"/>
    <xf numFmtId="0" fontId="27" fillId="15" borderId="7" applyNumberFormat="0" applyFont="0" applyAlignment="0" applyProtection="0"/>
    <xf numFmtId="0" fontId="27" fillId="15" borderId="7" applyNumberFormat="0" applyFont="0" applyAlignment="0" applyProtection="0"/>
    <xf numFmtId="0" fontId="27" fillId="15" borderId="7" applyNumberFormat="0" applyFont="0" applyAlignment="0" applyProtection="0"/>
    <xf numFmtId="0" fontId="27" fillId="15" borderId="7" applyNumberFormat="0" applyFont="0" applyAlignment="0" applyProtection="0"/>
    <xf numFmtId="0" fontId="27" fillId="15" borderId="7" applyNumberFormat="0" applyFont="0" applyAlignment="0" applyProtection="0"/>
    <xf numFmtId="0" fontId="27" fillId="15" borderId="7" applyNumberFormat="0" applyFont="0" applyAlignment="0" applyProtection="0"/>
    <xf numFmtId="0" fontId="27" fillId="15" borderId="7" applyNumberFormat="0" applyFont="0" applyAlignment="0" applyProtection="0"/>
    <xf numFmtId="0" fontId="27" fillId="15" borderId="7" applyNumberFormat="0" applyFont="0" applyAlignment="0" applyProtection="0"/>
    <xf numFmtId="0" fontId="27" fillId="15" borderId="7" applyNumberFormat="0" applyFont="0" applyAlignment="0" applyProtection="0"/>
    <xf numFmtId="0" fontId="8" fillId="0" borderId="0"/>
    <xf numFmtId="0" fontId="8" fillId="0" borderId="0"/>
    <xf numFmtId="0" fontId="9" fillId="0" borderId="0"/>
    <xf numFmtId="9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1" fontId="6" fillId="16" borderId="4"/>
    <xf numFmtId="0" fontId="34" fillId="0" borderId="0" applyNumberFormat="0" applyFont="0" applyFill="0" applyBorder="0" applyAlignment="0" applyProtection="0">
      <alignment horizontal="left"/>
    </xf>
    <xf numFmtId="15" fontId="34" fillId="0" borderId="0" applyFont="0" applyFill="0" applyBorder="0" applyAlignment="0" applyProtection="0"/>
    <xf numFmtId="4" fontId="34" fillId="0" borderId="0" applyFont="0" applyFill="0" applyBorder="0" applyAlignment="0" applyProtection="0"/>
    <xf numFmtId="0" fontId="35" fillId="0" borderId="9">
      <alignment horizontal="center"/>
    </xf>
    <xf numFmtId="3" fontId="34" fillId="0" borderId="0" applyFont="0" applyFill="0" applyBorder="0" applyAlignment="0" applyProtection="0"/>
    <xf numFmtId="0" fontId="34" fillId="17" borderId="0" applyNumberFormat="0" applyFont="0" applyBorder="0" applyAlignment="0" applyProtection="0"/>
    <xf numFmtId="0" fontId="9" fillId="0" borderId="0"/>
    <xf numFmtId="3" fontId="16" fillId="0" borderId="0" applyFill="0" applyBorder="0" applyAlignment="0" applyProtection="0"/>
    <xf numFmtId="0" fontId="17" fillId="0" borderId="0"/>
    <xf numFmtId="3" fontId="16" fillId="0" borderId="0" applyFill="0" applyBorder="0" applyAlignment="0" applyProtection="0"/>
    <xf numFmtId="42" fontId="6" fillId="12" borderId="0"/>
    <xf numFmtId="42" fontId="6" fillId="12" borderId="10">
      <alignment vertical="center"/>
    </xf>
    <xf numFmtId="0" fontId="18" fillId="12" borderId="11" applyNumberFormat="0">
      <alignment horizontal="center" vertical="center" wrapText="1"/>
    </xf>
    <xf numFmtId="10" fontId="5" fillId="12" borderId="0"/>
    <xf numFmtId="178" fontId="5" fillId="12" borderId="0"/>
    <xf numFmtId="164" fontId="13" fillId="0" borderId="0" applyBorder="0" applyAlignment="0"/>
    <xf numFmtId="42" fontId="6" fillId="12" borderId="12">
      <alignment horizontal="left"/>
    </xf>
    <xf numFmtId="178" fontId="19" fillId="12" borderId="12">
      <alignment horizontal="left"/>
    </xf>
    <xf numFmtId="14" fontId="36" fillId="0" borderId="0" applyNumberFormat="0" applyFill="0" applyBorder="0" applyAlignment="0" applyProtection="0">
      <alignment horizontal="left"/>
    </xf>
    <xf numFmtId="183" fontId="5" fillId="0" borderId="0" applyFont="0" applyFill="0" applyAlignment="0">
      <alignment horizontal="right"/>
    </xf>
    <xf numFmtId="4" fontId="42" fillId="14" borderId="8" applyNumberFormat="0" applyProtection="0">
      <alignment vertical="center"/>
    </xf>
    <xf numFmtId="4" fontId="42" fillId="14" borderId="8" applyNumberFormat="0" applyProtection="0">
      <alignment horizontal="left" vertical="center" indent="1"/>
    </xf>
    <xf numFmtId="0" fontId="5" fillId="18" borderId="8" applyNumberFormat="0" applyProtection="0">
      <alignment horizontal="left" vertical="center" indent="1"/>
    </xf>
    <xf numFmtId="4" fontId="43" fillId="19" borderId="8" applyNumberFormat="0" applyProtection="0">
      <alignment horizontal="left" vertical="center" indent="1"/>
    </xf>
    <xf numFmtId="4" fontId="42" fillId="20" borderId="13" applyNumberFormat="0" applyProtection="0">
      <alignment horizontal="left" vertical="center" indent="1"/>
    </xf>
    <xf numFmtId="4" fontId="42" fillId="20" borderId="8" applyNumberFormat="0" applyProtection="0">
      <alignment horizontal="left" vertical="center" indent="1"/>
    </xf>
    <xf numFmtId="4" fontId="42" fillId="21" borderId="8" applyNumberFormat="0" applyProtection="0">
      <alignment horizontal="left" vertical="center" indent="1"/>
    </xf>
    <xf numFmtId="0" fontId="5" fillId="21" borderId="8" applyNumberFormat="0" applyProtection="0">
      <alignment horizontal="left" vertical="center" indent="1"/>
    </xf>
    <xf numFmtId="4" fontId="42" fillId="20" borderId="8" applyNumberFormat="0" applyProtection="0">
      <alignment horizontal="right" vertical="center"/>
    </xf>
    <xf numFmtId="0" fontId="5" fillId="18" borderId="8" applyNumberFormat="0" applyProtection="0">
      <alignment horizontal="left" vertical="center" indent="1"/>
    </xf>
    <xf numFmtId="0" fontId="5" fillId="18" borderId="8" applyNumberFormat="0" applyProtection="0">
      <alignment horizontal="left" vertical="center" indent="1"/>
    </xf>
    <xf numFmtId="0" fontId="44" fillId="0" borderId="0"/>
    <xf numFmtId="39" fontId="5" fillId="22" borderId="0"/>
    <xf numFmtId="38" fontId="11" fillId="0" borderId="14"/>
    <xf numFmtId="38" fontId="11" fillId="0" borderId="14"/>
    <xf numFmtId="38" fontId="11" fillId="0" borderId="14"/>
    <xf numFmtId="38" fontId="11" fillId="0" borderId="14"/>
    <xf numFmtId="38" fontId="13" fillId="0" borderId="12"/>
    <xf numFmtId="39" fontId="36" fillId="23" borderId="0"/>
    <xf numFmtId="174" fontId="5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40" fontId="37" fillId="0" borderId="0" applyBorder="0">
      <alignment horizontal="right"/>
    </xf>
    <xf numFmtId="41" fontId="20" fillId="12" borderId="0">
      <alignment horizontal="left"/>
    </xf>
    <xf numFmtId="179" fontId="21" fillId="12" borderId="0">
      <alignment horizontal="left" vertical="center"/>
    </xf>
    <xf numFmtId="0" fontId="18" fillId="12" borderId="0">
      <alignment horizontal="left" wrapText="1"/>
    </xf>
    <xf numFmtId="0" fontId="22" fillId="0" borderId="0">
      <alignment horizontal="left" vertical="center"/>
    </xf>
    <xf numFmtId="41" fontId="18" fillId="12" borderId="0">
      <alignment horizontal="left"/>
    </xf>
    <xf numFmtId="0" fontId="9" fillId="0" borderId="15"/>
    <xf numFmtId="0" fontId="54" fillId="29" borderId="48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" fillId="37" borderId="0" applyNumberFormat="0" applyBorder="0" applyAlignment="0" applyProtection="0"/>
    <xf numFmtId="0" fontId="57" fillId="47" borderId="0" applyNumberFormat="0" applyBorder="0" applyAlignment="0" applyProtection="0"/>
    <xf numFmtId="0" fontId="4" fillId="48" borderId="0" applyNumberFormat="0" applyBorder="0" applyAlignment="0" applyProtection="0"/>
    <xf numFmtId="174" fontId="5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6" fillId="0" borderId="0"/>
    <xf numFmtId="174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0" fontId="6" fillId="0" borderId="0"/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6" fillId="0" borderId="0"/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39" fillId="0" borderId="0"/>
    <xf numFmtId="0" fontId="39" fillId="0" borderId="0"/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0" fontId="39" fillId="0" borderId="0"/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0" fontId="39" fillId="0" borderId="0"/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82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0" fontId="39" fillId="0" borderId="0"/>
    <xf numFmtId="0" fontId="39" fillId="0" borderId="0"/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0" fontId="6" fillId="0" borderId="0"/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27" fillId="2" borderId="0" applyNumberFormat="0" applyBorder="0" applyAlignment="0" applyProtection="0"/>
    <xf numFmtId="0" fontId="4" fillId="32" borderId="0" applyNumberFormat="0" applyBorder="0" applyAlignment="0" applyProtection="0"/>
    <xf numFmtId="0" fontId="27" fillId="3" borderId="0" applyNumberFormat="0" applyBorder="0" applyAlignment="0" applyProtection="0"/>
    <xf numFmtId="0" fontId="4" fillId="36" borderId="0" applyNumberFormat="0" applyBorder="0" applyAlignment="0" applyProtection="0"/>
    <xf numFmtId="0" fontId="27" fillId="4" borderId="0" applyNumberFormat="0" applyBorder="0" applyAlignment="0" applyProtection="0"/>
    <xf numFmtId="0" fontId="4" fillId="40" borderId="0" applyNumberFormat="0" applyBorder="0" applyAlignment="0" applyProtection="0"/>
    <xf numFmtId="0" fontId="27" fillId="5" borderId="0" applyNumberFormat="0" applyBorder="0" applyAlignment="0" applyProtection="0"/>
    <xf numFmtId="0" fontId="4" fillId="44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4" fillId="52" borderId="0" applyNumberFormat="0" applyBorder="0" applyAlignment="0" applyProtection="0"/>
    <xf numFmtId="0" fontId="27" fillId="8" borderId="0" applyNumberFormat="0" applyBorder="0" applyAlignment="0" applyProtection="0"/>
    <xf numFmtId="0" fontId="4" fillId="33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4" fillId="41" borderId="0" applyNumberFormat="0" applyBorder="0" applyAlignment="0" applyProtection="0"/>
    <xf numFmtId="0" fontId="27" fillId="5" borderId="0" applyNumberFormat="0" applyBorder="0" applyAlignment="0" applyProtection="0"/>
    <xf numFmtId="0" fontId="4" fillId="45" borderId="0" applyNumberFormat="0" applyBorder="0" applyAlignment="0" applyProtection="0"/>
    <xf numFmtId="0" fontId="27" fillId="8" borderId="0" applyNumberFormat="0" applyBorder="0" applyAlignment="0" applyProtection="0"/>
    <xf numFmtId="0" fontId="4" fillId="49" borderId="0" applyNumberFormat="0" applyBorder="0" applyAlignment="0" applyProtection="0"/>
    <xf numFmtId="0" fontId="27" fillId="11" borderId="0" applyNumberFormat="0" applyBorder="0" applyAlignment="0" applyProtection="0"/>
    <xf numFmtId="0" fontId="4" fillId="53" borderId="0" applyNumberFormat="0" applyBorder="0" applyAlignment="0" applyProtection="0"/>
    <xf numFmtId="0" fontId="66" fillId="56" borderId="0" applyNumberFormat="0" applyBorder="0" applyAlignment="0" applyProtection="0"/>
    <xf numFmtId="0" fontId="66" fillId="56" borderId="0" applyNumberFormat="0" applyBorder="0" applyAlignment="0" applyProtection="0"/>
    <xf numFmtId="0" fontId="57" fillId="34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57" fillId="38" borderId="0" applyNumberFormat="0" applyBorder="0" applyAlignment="0" applyProtection="0"/>
    <xf numFmtId="0" fontId="66" fillId="10" borderId="0" applyNumberFormat="0" applyBorder="0" applyAlignment="0" applyProtection="0"/>
    <xf numFmtId="0" fontId="66" fillId="10" borderId="0" applyNumberFormat="0" applyBorder="0" applyAlignment="0" applyProtection="0"/>
    <xf numFmtId="0" fontId="57" fillId="42" borderId="0" applyNumberFormat="0" applyBorder="0" applyAlignment="0" applyProtection="0"/>
    <xf numFmtId="0" fontId="66" fillId="58" borderId="0" applyNumberFormat="0" applyBorder="0" applyAlignment="0" applyProtection="0"/>
    <xf numFmtId="0" fontId="66" fillId="58" borderId="0" applyNumberFormat="0" applyBorder="0" applyAlignment="0" applyProtection="0"/>
    <xf numFmtId="0" fontId="57" fillId="46" borderId="0" applyNumberFormat="0" applyBorder="0" applyAlignment="0" applyProtection="0"/>
    <xf numFmtId="0" fontId="66" fillId="59" borderId="0" applyNumberFormat="0" applyBorder="0" applyAlignment="0" applyProtection="0"/>
    <xf numFmtId="0" fontId="66" fillId="59" borderId="0" applyNumberFormat="0" applyBorder="0" applyAlignment="0" applyProtection="0"/>
    <xf numFmtId="0" fontId="57" fillId="50" borderId="0" applyNumberFormat="0" applyBorder="0" applyAlignment="0" applyProtection="0"/>
    <xf numFmtId="0" fontId="66" fillId="60" borderId="0" applyNumberFormat="0" applyBorder="0" applyAlignment="0" applyProtection="0"/>
    <xf numFmtId="0" fontId="66" fillId="60" borderId="0" applyNumberFormat="0" applyBorder="0" applyAlignment="0" applyProtection="0"/>
    <xf numFmtId="0" fontId="57" fillId="54" borderId="0" applyNumberFormat="0" applyBorder="0" applyAlignment="0" applyProtection="0"/>
    <xf numFmtId="0" fontId="27" fillId="62" borderId="0" applyNumberFormat="0" applyBorder="0" applyAlignment="0" applyProtection="0"/>
    <xf numFmtId="0" fontId="27" fillId="63" borderId="0" applyNumberFormat="0" applyBorder="0" applyAlignment="0" applyProtection="0"/>
    <xf numFmtId="0" fontId="66" fillId="64" borderId="0" applyNumberFormat="0" applyBorder="0" applyAlignment="0" applyProtection="0"/>
    <xf numFmtId="0" fontId="66" fillId="61" borderId="0" applyNumberFormat="0" applyBorder="0" applyAlignment="0" applyProtection="0"/>
    <xf numFmtId="0" fontId="66" fillId="61" borderId="0" applyNumberFormat="0" applyBorder="0" applyAlignment="0" applyProtection="0"/>
    <xf numFmtId="0" fontId="57" fillId="31" borderId="0" applyNumberFormat="0" applyBorder="0" applyAlignment="0" applyProtection="0"/>
    <xf numFmtId="0" fontId="27" fillId="66" borderId="0" applyNumberFormat="0" applyBorder="0" applyAlignment="0" applyProtection="0"/>
    <xf numFmtId="0" fontId="27" fillId="67" borderId="0" applyNumberFormat="0" applyBorder="0" applyAlignment="0" applyProtection="0"/>
    <xf numFmtId="0" fontId="66" fillId="68" borderId="0" applyNumberFormat="0" applyBorder="0" applyAlignment="0" applyProtection="0"/>
    <xf numFmtId="0" fontId="66" fillId="65" borderId="0" applyNumberFormat="0" applyBorder="0" applyAlignment="0" applyProtection="0"/>
    <xf numFmtId="0" fontId="66" fillId="65" borderId="0" applyNumberFormat="0" applyBorder="0" applyAlignment="0" applyProtection="0"/>
    <xf numFmtId="0" fontId="57" fillId="35" borderId="0" applyNumberFormat="0" applyBorder="0" applyAlignment="0" applyProtection="0"/>
    <xf numFmtId="0" fontId="27" fillId="70" borderId="0" applyNumberFormat="0" applyBorder="0" applyAlignment="0" applyProtection="0"/>
    <xf numFmtId="0" fontId="27" fillId="71" borderId="0" applyNumberFormat="0" applyBorder="0" applyAlignment="0" applyProtection="0"/>
    <xf numFmtId="0" fontId="66" fillId="72" borderId="0" applyNumberFormat="0" applyBorder="0" applyAlignment="0" applyProtection="0"/>
    <xf numFmtId="0" fontId="66" fillId="69" borderId="0" applyNumberFormat="0" applyBorder="0" applyAlignment="0" applyProtection="0"/>
    <xf numFmtId="0" fontId="66" fillId="69" borderId="0" applyNumberFormat="0" applyBorder="0" applyAlignment="0" applyProtection="0"/>
    <xf numFmtId="0" fontId="57" fillId="39" borderId="0" applyNumberFormat="0" applyBorder="0" applyAlignment="0" applyProtection="0"/>
    <xf numFmtId="0" fontId="27" fillId="71" borderId="0" applyNumberFormat="0" applyBorder="0" applyAlignment="0" applyProtection="0"/>
    <xf numFmtId="0" fontId="27" fillId="72" borderId="0" applyNumberFormat="0" applyBorder="0" applyAlignment="0" applyProtection="0"/>
    <xf numFmtId="0" fontId="66" fillId="72" borderId="0" applyNumberFormat="0" applyBorder="0" applyAlignment="0" applyProtection="0"/>
    <xf numFmtId="0" fontId="66" fillId="58" borderId="0" applyNumberFormat="0" applyBorder="0" applyAlignment="0" applyProtection="0"/>
    <xf numFmtId="0" fontId="66" fillId="58" borderId="0" applyNumberFormat="0" applyBorder="0" applyAlignment="0" applyProtection="0"/>
    <xf numFmtId="0" fontId="57" fillId="43" borderId="0" applyNumberFormat="0" applyBorder="0" applyAlignment="0" applyProtection="0"/>
    <xf numFmtId="0" fontId="27" fillId="62" borderId="0" applyNumberFormat="0" applyBorder="0" applyAlignment="0" applyProtection="0"/>
    <xf numFmtId="0" fontId="27" fillId="63" borderId="0" applyNumberFormat="0" applyBorder="0" applyAlignment="0" applyProtection="0"/>
    <xf numFmtId="0" fontId="66" fillId="63" borderId="0" applyNumberFormat="0" applyBorder="0" applyAlignment="0" applyProtection="0"/>
    <xf numFmtId="0" fontId="66" fillId="59" borderId="0" applyNumberFormat="0" applyBorder="0" applyAlignment="0" applyProtection="0"/>
    <xf numFmtId="0" fontId="66" fillId="59" borderId="0" applyNumberFormat="0" applyBorder="0" applyAlignment="0" applyProtection="0"/>
    <xf numFmtId="0" fontId="27" fillId="73" borderId="0" applyNumberFormat="0" applyBorder="0" applyAlignment="0" applyProtection="0"/>
    <xf numFmtId="0" fontId="27" fillId="67" borderId="0" applyNumberFormat="0" applyBorder="0" applyAlignment="0" applyProtection="0"/>
    <xf numFmtId="0" fontId="66" fillId="74" borderId="0" applyNumberFormat="0" applyBorder="0" applyAlignment="0" applyProtection="0"/>
    <xf numFmtId="0" fontId="66" fillId="57" borderId="0" applyNumberFormat="0" applyBorder="0" applyAlignment="0" applyProtection="0"/>
    <xf numFmtId="0" fontId="66" fillId="57" borderId="0" applyNumberFormat="0" applyBorder="0" applyAlignment="0" applyProtection="0"/>
    <xf numFmtId="0" fontId="57" fillId="51" borderId="0" applyNumberFormat="0" applyBorder="0" applyAlignment="0" applyProtection="0"/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49" fillId="25" borderId="0" applyNumberFormat="0" applyBorder="0" applyAlignment="0" applyProtection="0"/>
    <xf numFmtId="184" fontId="61" fillId="0" borderId="0" applyFill="0" applyBorder="0" applyAlignment="0"/>
    <xf numFmtId="41" fontId="6" fillId="12" borderId="0"/>
    <xf numFmtId="0" fontId="84" fillId="75" borderId="50" applyNumberFormat="0" applyAlignment="0" applyProtection="0"/>
    <xf numFmtId="0" fontId="90" fillId="28" borderId="45" applyNumberFormat="0" applyAlignment="0" applyProtection="0"/>
    <xf numFmtId="0" fontId="90" fillId="28" borderId="45" applyNumberFormat="0" applyAlignment="0" applyProtection="0"/>
    <xf numFmtId="0" fontId="68" fillId="77" borderId="51" applyNumberFormat="0" applyAlignment="0" applyProtection="0"/>
    <xf numFmtId="0" fontId="68" fillId="77" borderId="51" applyNumberFormat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7" fillId="0" borderId="0" applyFont="0" applyFill="0" applyBorder="0" applyAlignment="0" applyProtection="0"/>
    <xf numFmtId="4" fontId="8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82" fillId="0" borderId="0"/>
    <xf numFmtId="3" fontId="78" fillId="0" borderId="0" applyFont="0" applyFill="0" applyBorder="0" applyAlignment="0" applyProtection="0"/>
    <xf numFmtId="3" fontId="78" fillId="0" borderId="0" applyFont="0" applyFill="0" applyBorder="0" applyAlignment="0" applyProtection="0"/>
    <xf numFmtId="0" fontId="82" fillId="0" borderId="0"/>
    <xf numFmtId="0" fontId="62" fillId="0" borderId="0" applyNumberFormat="0" applyAlignment="0">
      <alignment horizontal="left"/>
    </xf>
    <xf numFmtId="0" fontId="63" fillId="0" borderId="0" applyNumberFormat="0" applyAlignment="0"/>
    <xf numFmtId="0" fontId="82" fillId="0" borderId="0"/>
    <xf numFmtId="10" fontId="5" fillId="0" borderId="4"/>
    <xf numFmtId="10" fontId="5" fillId="0" borderId="4"/>
    <xf numFmtId="0" fontId="82" fillId="0" borderId="0"/>
    <xf numFmtId="10" fontId="5" fillId="0" borderId="4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7" fillId="0" borderId="0" applyFont="0" applyFill="0" applyBorder="0" applyAlignment="0" applyProtection="0"/>
    <xf numFmtId="8" fontId="81" fillId="0" borderId="0" applyFont="0" applyFill="0" applyBorder="0" applyAlignment="0" applyProtection="0"/>
    <xf numFmtId="10" fontId="5" fillId="0" borderId="4"/>
    <xf numFmtId="44" fontId="6" fillId="0" borderId="0" applyFont="0" applyFill="0" applyBorder="0" applyAlignment="0" applyProtection="0"/>
    <xf numFmtId="10" fontId="5" fillId="0" borderId="4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189" fontId="6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88" fillId="78" borderId="0" applyNumberFormat="0" applyBorder="0" applyAlignment="0" applyProtection="0"/>
    <xf numFmtId="0" fontId="88" fillId="79" borderId="0" applyNumberFormat="0" applyBorder="0" applyAlignment="0" applyProtection="0"/>
    <xf numFmtId="0" fontId="88" fillId="80" borderId="0" applyNumberFormat="0" applyBorder="0" applyAlignment="0" applyProtection="0"/>
    <xf numFmtId="174" fontId="6" fillId="0" borderId="0"/>
    <xf numFmtId="174" fontId="6" fillId="0" borderId="0"/>
    <xf numFmtId="191" fontId="6" fillId="0" borderId="0" applyFont="0" applyFill="0" applyBorder="0" applyAlignment="0" applyProtection="0">
      <alignment horizontal="left" wrapText="1"/>
    </xf>
    <xf numFmtId="191" fontId="6" fillId="0" borderId="0" applyFont="0" applyFill="0" applyBorder="0" applyAlignment="0" applyProtection="0">
      <alignment horizontal="left" wrapText="1"/>
    </xf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2" fontId="78" fillId="0" borderId="0" applyFont="0" applyFill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48" fillId="24" borderId="0" applyNumberFormat="0" applyBorder="0" applyAlignment="0" applyProtection="0"/>
    <xf numFmtId="38" fontId="11" fillId="13" borderId="0" applyNumberFormat="0" applyBorder="0" applyAlignment="0" applyProtection="0"/>
    <xf numFmtId="38" fontId="11" fillId="13" borderId="0" applyNumberFormat="0" applyBorder="0" applyAlignment="0" applyProtection="0"/>
    <xf numFmtId="38" fontId="11" fillId="13" borderId="0" applyNumberFormat="0" applyBorder="0" applyAlignment="0" applyProtection="0"/>
    <xf numFmtId="38" fontId="11" fillId="13" borderId="0" applyNumberFormat="0" applyBorder="0" applyAlignment="0" applyProtection="0"/>
    <xf numFmtId="0" fontId="58" fillId="0" borderId="1" applyNumberFormat="0" applyAlignment="0" applyProtection="0">
      <alignment horizontal="left"/>
    </xf>
    <xf numFmtId="0" fontId="58" fillId="0" borderId="2">
      <alignment horizontal="left"/>
    </xf>
    <xf numFmtId="0" fontId="78" fillId="0" borderId="0" applyNumberFormat="0" applyFill="0" applyBorder="0" applyAlignment="0" applyProtection="0"/>
    <xf numFmtId="0" fontId="85" fillId="0" borderId="52" applyNumberFormat="0" applyFill="0" applyAlignment="0" applyProtection="0"/>
    <xf numFmtId="0" fontId="91" fillId="0" borderId="58" applyNumberFormat="0" applyFill="0" applyAlignment="0" applyProtection="0"/>
    <xf numFmtId="0" fontId="91" fillId="0" borderId="58" applyNumberFormat="0" applyFill="0" applyAlignment="0" applyProtection="0"/>
    <xf numFmtId="0" fontId="78" fillId="0" borderId="0" applyNumberFormat="0" applyFill="0" applyBorder="0" applyAlignment="0" applyProtection="0"/>
    <xf numFmtId="0" fontId="86" fillId="0" borderId="53" applyNumberFormat="0" applyFill="0" applyAlignment="0" applyProtection="0"/>
    <xf numFmtId="0" fontId="92" fillId="0" borderId="59" applyNumberFormat="0" applyFill="0" applyAlignment="0" applyProtection="0"/>
    <xf numFmtId="0" fontId="92" fillId="0" borderId="59" applyNumberFormat="0" applyFill="0" applyAlignment="0" applyProtection="0"/>
    <xf numFmtId="0" fontId="71" fillId="0" borderId="54" applyNumberFormat="0" applyFill="0" applyAlignment="0" applyProtection="0"/>
    <xf numFmtId="0" fontId="71" fillId="0" borderId="54" applyNumberFormat="0" applyFill="0" applyAlignment="0" applyProtection="0"/>
    <xf numFmtId="0" fontId="47" fillId="0" borderId="44" applyNumberFormat="0" applyFill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10" fontId="11" fillId="12" borderId="3" applyNumberFormat="0" applyBorder="0" applyAlignment="0" applyProtection="0"/>
    <xf numFmtId="10" fontId="11" fillId="12" borderId="3" applyNumberFormat="0" applyBorder="0" applyAlignment="0" applyProtection="0"/>
    <xf numFmtId="10" fontId="11" fillId="12" borderId="3" applyNumberFormat="0" applyBorder="0" applyAlignment="0" applyProtection="0"/>
    <xf numFmtId="10" fontId="11" fillId="12" borderId="3" applyNumberFormat="0" applyBorder="0" applyAlignment="0" applyProtection="0"/>
    <xf numFmtId="0" fontId="72" fillId="7" borderId="50" applyNumberFormat="0" applyAlignment="0" applyProtection="0"/>
    <xf numFmtId="0" fontId="72" fillId="7" borderId="50" applyNumberFormat="0" applyAlignment="0" applyProtection="0"/>
    <xf numFmtId="0" fontId="51" fillId="27" borderId="45" applyNumberFormat="0" applyAlignment="0" applyProtection="0"/>
    <xf numFmtId="41" fontId="14" fillId="14" borderId="4">
      <alignment horizontal="left"/>
      <protection locked="0"/>
    </xf>
    <xf numFmtId="0" fontId="11" fillId="13" borderId="0"/>
    <xf numFmtId="0" fontId="73" fillId="0" borderId="55" applyNumberFormat="0" applyFill="0" applyAlignment="0" applyProtection="0"/>
    <xf numFmtId="0" fontId="73" fillId="0" borderId="55" applyNumberFormat="0" applyFill="0" applyAlignment="0" applyProtection="0"/>
    <xf numFmtId="0" fontId="53" fillId="0" borderId="47" applyNumberFormat="0" applyFill="0" applyAlignment="0" applyProtection="0"/>
    <xf numFmtId="44" fontId="18" fillId="0" borderId="5" applyNumberFormat="0" applyFont="0" applyAlignment="0">
      <alignment horizontal="center"/>
    </xf>
    <xf numFmtId="44" fontId="18" fillId="0" borderId="6" applyNumberFormat="0" applyFont="0" applyAlignment="0">
      <alignment horizontal="center"/>
    </xf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50" fillId="26" borderId="0" applyNumberFormat="0" applyBorder="0" applyAlignment="0" applyProtection="0"/>
    <xf numFmtId="37" fontId="64" fillId="0" borderId="0"/>
    <xf numFmtId="190" fontId="60" fillId="0" borderId="0"/>
    <xf numFmtId="188" fontId="36" fillId="0" borderId="0"/>
    <xf numFmtId="192" fontId="87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4" fillId="0" borderId="0"/>
    <xf numFmtId="187" fontId="36" fillId="0" borderId="0">
      <alignment horizontal="left" wrapText="1"/>
    </xf>
    <xf numFmtId="0" fontId="4" fillId="0" borderId="0"/>
    <xf numFmtId="187" fontId="36" fillId="0" borderId="0">
      <alignment horizontal="left" wrapText="1"/>
    </xf>
    <xf numFmtId="0" fontId="6" fillId="0" borderId="0"/>
    <xf numFmtId="187" fontId="36" fillId="0" borderId="0">
      <alignment horizontal="left" wrapText="1"/>
    </xf>
    <xf numFmtId="174" fontId="6" fillId="0" borderId="0">
      <alignment horizontal="left" wrapText="1"/>
    </xf>
    <xf numFmtId="187" fontId="36" fillId="0" borderId="0">
      <alignment horizontal="left" wrapText="1"/>
    </xf>
    <xf numFmtId="187" fontId="36" fillId="0" borderId="0">
      <alignment horizontal="left" wrapText="1"/>
    </xf>
    <xf numFmtId="0" fontId="41" fillId="0" borderId="0"/>
    <xf numFmtId="0" fontId="41" fillId="0" borderId="0"/>
    <xf numFmtId="0" fontId="41" fillId="0" borderId="0"/>
    <xf numFmtId="0" fontId="6" fillId="0" borderId="0"/>
    <xf numFmtId="0" fontId="6" fillId="0" borderId="0"/>
    <xf numFmtId="174" fontId="6" fillId="0" borderId="0">
      <alignment horizontal="left" wrapText="1"/>
    </xf>
    <xf numFmtId="0" fontId="6" fillId="0" borderId="0"/>
    <xf numFmtId="0" fontId="6" fillId="0" borderId="0"/>
    <xf numFmtId="173" fontId="6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4" fontId="3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27" fillId="30" borderId="49" applyNumberFormat="0" applyFont="0" applyAlignment="0" applyProtection="0"/>
    <xf numFmtId="0" fontId="27" fillId="30" borderId="49" applyNumberFormat="0" applyFont="0" applyAlignment="0" applyProtection="0"/>
    <xf numFmtId="0" fontId="6" fillId="15" borderId="7" applyNumberFormat="0" applyFont="0" applyAlignment="0" applyProtection="0"/>
    <xf numFmtId="0" fontId="27" fillId="30" borderId="49" applyNumberFormat="0" applyFont="0" applyAlignment="0" applyProtection="0"/>
    <xf numFmtId="0" fontId="27" fillId="15" borderId="7" applyNumberFormat="0" applyFont="0" applyAlignment="0" applyProtection="0"/>
    <xf numFmtId="0" fontId="75" fillId="75" borderId="8" applyNumberFormat="0" applyAlignment="0" applyProtection="0"/>
    <xf numFmtId="0" fontId="75" fillId="75" borderId="8" applyNumberFormat="0" applyAlignment="0" applyProtection="0"/>
    <xf numFmtId="0" fontId="52" fillId="28" borderId="46" applyNumberFormat="0" applyAlignment="0" applyProtection="0"/>
    <xf numFmtId="0" fontId="82" fillId="0" borderId="0"/>
    <xf numFmtId="10" fontId="5" fillId="0" borderId="4"/>
    <xf numFmtId="10" fontId="6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1" fillId="0" borderId="0" applyNumberFormat="0" applyFont="0" applyFill="0" applyBorder="0" applyAlignment="0" applyProtection="0">
      <alignment horizontal="left"/>
    </xf>
    <xf numFmtId="15" fontId="41" fillId="0" borderId="0" applyFont="0" applyFill="0" applyBorder="0" applyAlignment="0" applyProtection="0"/>
    <xf numFmtId="4" fontId="41" fillId="0" borderId="0" applyFont="0" applyFill="0" applyBorder="0" applyAlignment="0" applyProtection="0"/>
    <xf numFmtId="0" fontId="65" fillId="0" borderId="9">
      <alignment horizontal="center"/>
    </xf>
    <xf numFmtId="3" fontId="41" fillId="0" borderId="0" applyFont="0" applyFill="0" applyBorder="0" applyAlignment="0" applyProtection="0"/>
    <xf numFmtId="0" fontId="41" fillId="17" borderId="0" applyNumberFormat="0" applyFont="0" applyBorder="0" applyAlignment="0" applyProtection="0"/>
    <xf numFmtId="0" fontId="82" fillId="0" borderId="0"/>
    <xf numFmtId="0" fontId="83" fillId="0" borderId="0"/>
    <xf numFmtId="0" fontId="18" fillId="12" borderId="11" applyNumberFormat="0">
      <alignment horizontal="center" vertical="center" wrapText="1"/>
    </xf>
    <xf numFmtId="10" fontId="6" fillId="12" borderId="0"/>
    <xf numFmtId="178" fontId="6" fillId="12" borderId="0"/>
    <xf numFmtId="42" fontId="6" fillId="12" borderId="0"/>
    <xf numFmtId="164" fontId="13" fillId="0" borderId="0" applyBorder="0" applyAlignment="0"/>
    <xf numFmtId="164" fontId="13" fillId="0" borderId="0" applyBorder="0" applyAlignment="0"/>
    <xf numFmtId="183" fontId="6" fillId="0" borderId="0" applyFont="0" applyFill="0" applyAlignment="0">
      <alignment horizontal="right"/>
    </xf>
    <xf numFmtId="4" fontId="79" fillId="14" borderId="8" applyNumberFormat="0" applyProtection="0">
      <alignment vertical="center"/>
    </xf>
    <xf numFmtId="4" fontId="42" fillId="14" borderId="8" applyNumberFormat="0" applyProtection="0">
      <alignment horizontal="left" vertical="center" indent="1"/>
    </xf>
    <xf numFmtId="0" fontId="6" fillId="18" borderId="8" applyNumberFormat="0" applyProtection="0">
      <alignment horizontal="left" vertical="center" indent="1"/>
    </xf>
    <xf numFmtId="4" fontId="42" fillId="81" borderId="8" applyNumberFormat="0" applyProtection="0">
      <alignment horizontal="right" vertical="center"/>
    </xf>
    <xf numFmtId="4" fontId="42" fillId="82" borderId="8" applyNumberFormat="0" applyProtection="0">
      <alignment horizontal="right" vertical="center"/>
    </xf>
    <xf numFmtId="4" fontId="42" fillId="83" borderId="8" applyNumberFormat="0" applyProtection="0">
      <alignment horizontal="right" vertical="center"/>
    </xf>
    <xf numFmtId="4" fontId="42" fillId="84" borderId="8" applyNumberFormat="0" applyProtection="0">
      <alignment horizontal="right" vertical="center"/>
    </xf>
    <xf numFmtId="4" fontId="42" fillId="85" borderId="8" applyNumberFormat="0" applyProtection="0">
      <alignment horizontal="right" vertical="center"/>
    </xf>
    <xf numFmtId="4" fontId="42" fillId="86" borderId="8" applyNumberFormat="0" applyProtection="0">
      <alignment horizontal="right" vertical="center"/>
    </xf>
    <xf numFmtId="4" fontId="42" fillId="87" borderId="8" applyNumberFormat="0" applyProtection="0">
      <alignment horizontal="right" vertical="center"/>
    </xf>
    <xf numFmtId="4" fontId="42" fillId="88" borderId="8" applyNumberFormat="0" applyProtection="0">
      <alignment horizontal="right" vertical="center"/>
    </xf>
    <xf numFmtId="4" fontId="42" fillId="89" borderId="8" applyNumberFormat="0" applyProtection="0">
      <alignment horizontal="right" vertical="center"/>
    </xf>
    <xf numFmtId="4" fontId="80" fillId="90" borderId="0" applyNumberFormat="0" applyProtection="0">
      <alignment horizontal="left" vertical="center" indent="1"/>
    </xf>
    <xf numFmtId="0" fontId="6" fillId="18" borderId="8" applyNumberFormat="0" applyProtection="0">
      <alignment horizontal="left" vertical="center" indent="1"/>
    </xf>
    <xf numFmtId="0" fontId="6" fillId="21" borderId="8" applyNumberFormat="0" applyProtection="0">
      <alignment horizontal="left" vertical="center" indent="1"/>
    </xf>
    <xf numFmtId="0" fontId="6" fillId="21" borderId="8" applyNumberFormat="0" applyProtection="0">
      <alignment horizontal="left" vertical="center" indent="1"/>
    </xf>
    <xf numFmtId="0" fontId="6" fillId="91" borderId="8" applyNumberFormat="0" applyProtection="0">
      <alignment horizontal="left" vertical="center" indent="1"/>
    </xf>
    <xf numFmtId="0" fontId="6" fillId="91" borderId="8" applyNumberFormat="0" applyProtection="0">
      <alignment horizontal="left" vertical="center" indent="1"/>
    </xf>
    <xf numFmtId="0" fontId="6" fillId="13" borderId="8" applyNumberFormat="0" applyProtection="0">
      <alignment horizontal="left" vertical="center" indent="1"/>
    </xf>
    <xf numFmtId="0" fontId="6" fillId="13" borderId="8" applyNumberFormat="0" applyProtection="0">
      <alignment horizontal="left" vertical="center" indent="1"/>
    </xf>
    <xf numFmtId="0" fontId="6" fillId="18" borderId="8" applyNumberFormat="0" applyProtection="0">
      <alignment horizontal="left" vertical="center" indent="1"/>
    </xf>
    <xf numFmtId="0" fontId="6" fillId="18" borderId="8" applyNumberFormat="0" applyProtection="0">
      <alignment horizontal="left" vertical="center" indent="1"/>
    </xf>
    <xf numFmtId="0" fontId="6" fillId="76" borderId="3" applyNumberFormat="0">
      <protection locked="0"/>
    </xf>
    <xf numFmtId="4" fontId="42" fillId="92" borderId="8" applyNumberFormat="0" applyProtection="0">
      <alignment vertical="center"/>
    </xf>
    <xf numFmtId="4" fontId="79" fillId="92" borderId="8" applyNumberFormat="0" applyProtection="0">
      <alignment vertical="center"/>
    </xf>
    <xf numFmtId="4" fontId="42" fillId="92" borderId="8" applyNumberFormat="0" applyProtection="0">
      <alignment horizontal="left" vertical="center" indent="1"/>
    </xf>
    <xf numFmtId="4" fontId="42" fillId="92" borderId="8" applyNumberFormat="0" applyProtection="0">
      <alignment horizontal="left" vertical="center" indent="1"/>
    </xf>
    <xf numFmtId="4" fontId="79" fillId="20" borderId="8" applyNumberFormat="0" applyProtection="0">
      <alignment horizontal="right" vertical="center"/>
    </xf>
    <xf numFmtId="0" fontId="6" fillId="18" borderId="8" applyNumberFormat="0" applyProtection="0">
      <alignment horizontal="left" vertical="center" indent="1"/>
    </xf>
    <xf numFmtId="0" fontId="6" fillId="18" borderId="8" applyNumberFormat="0" applyProtection="0">
      <alignment horizontal="left" vertical="center" indent="1"/>
    </xf>
    <xf numFmtId="4" fontId="59" fillId="20" borderId="8" applyNumberFormat="0" applyProtection="0">
      <alignment horizontal="right" vertical="center"/>
    </xf>
    <xf numFmtId="39" fontId="6" fillId="22" borderId="0"/>
    <xf numFmtId="0" fontId="89" fillId="0" borderId="0" applyNumberFormat="0" applyFill="0" applyBorder="0" applyAlignment="0" applyProtection="0"/>
    <xf numFmtId="38" fontId="11" fillId="0" borderId="14"/>
    <xf numFmtId="38" fontId="11" fillId="0" borderId="14"/>
    <xf numFmtId="38" fontId="11" fillId="0" borderId="14"/>
    <xf numFmtId="38" fontId="11" fillId="0" borderId="14"/>
    <xf numFmtId="166" fontId="6" fillId="0" borderId="0">
      <alignment horizontal="left" wrapText="1"/>
    </xf>
    <xf numFmtId="172" fontId="6" fillId="0" borderId="0">
      <alignment horizontal="left" wrapText="1"/>
    </xf>
    <xf numFmtId="193" fontId="6" fillId="0" borderId="0">
      <alignment horizontal="left" wrapText="1"/>
    </xf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8" fillId="12" borderId="0">
      <alignment horizontal="left" wrapText="1"/>
    </xf>
    <xf numFmtId="0" fontId="78" fillId="0" borderId="56" applyNumberFormat="0" applyFont="0" applyFill="0" applyAlignment="0" applyProtection="0"/>
    <xf numFmtId="0" fontId="88" fillId="0" borderId="57" applyNumberFormat="0" applyFill="0" applyAlignment="0" applyProtection="0"/>
    <xf numFmtId="0" fontId="93" fillId="0" borderId="60" applyNumberFormat="0" applyFill="0" applyAlignment="0" applyProtection="0"/>
    <xf numFmtId="0" fontId="93" fillId="0" borderId="60" applyNumberFormat="0" applyFill="0" applyAlignment="0" applyProtection="0"/>
    <xf numFmtId="0" fontId="82" fillId="0" borderId="15"/>
    <xf numFmtId="174" fontId="5" fillId="0" borderId="0">
      <alignment horizontal="left" wrapText="1"/>
    </xf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10" fontId="5" fillId="0" borderId="4"/>
    <xf numFmtId="10" fontId="5" fillId="0" borderId="4"/>
    <xf numFmtId="10" fontId="5" fillId="0" borderId="4"/>
    <xf numFmtId="10" fontId="5" fillId="0" borderId="4"/>
    <xf numFmtId="10" fontId="5" fillId="0" borderId="4"/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0" fontId="5" fillId="0" borderId="4"/>
    <xf numFmtId="10" fontId="5" fillId="0" borderId="4"/>
    <xf numFmtId="182" fontId="5" fillId="0" borderId="0">
      <alignment horizontal="left" wrapText="1"/>
    </xf>
    <xf numFmtId="182" fontId="5" fillId="0" borderId="0">
      <alignment horizontal="left" wrapText="1"/>
    </xf>
    <xf numFmtId="185" fontId="5" fillId="0" borderId="0">
      <alignment horizontal="left" wrapText="1"/>
    </xf>
    <xf numFmtId="182" fontId="5" fillId="0" borderId="0">
      <alignment horizontal="left" wrapText="1"/>
    </xf>
    <xf numFmtId="182" fontId="5" fillId="0" borderId="0">
      <alignment horizontal="left" wrapText="1"/>
    </xf>
    <xf numFmtId="182" fontId="6" fillId="0" borderId="0">
      <alignment horizontal="left" wrapText="1"/>
    </xf>
    <xf numFmtId="174" fontId="5" fillId="0" borderId="0">
      <alignment horizontal="left" wrapText="1"/>
    </xf>
    <xf numFmtId="182" fontId="5" fillId="0" borderId="0">
      <alignment horizontal="left" wrapText="1"/>
    </xf>
    <xf numFmtId="182" fontId="5" fillId="0" borderId="0">
      <alignment horizontal="left" wrapText="1"/>
    </xf>
    <xf numFmtId="182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82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82" fontId="5" fillId="0" borderId="0">
      <alignment horizontal="left" wrapText="1"/>
    </xf>
    <xf numFmtId="182" fontId="5" fillId="0" borderId="0">
      <alignment horizontal="left" wrapText="1"/>
    </xf>
    <xf numFmtId="182" fontId="5" fillId="0" borderId="0">
      <alignment horizontal="left" wrapText="1"/>
    </xf>
    <xf numFmtId="182" fontId="5" fillId="0" borderId="0">
      <alignment horizontal="left" wrapText="1"/>
    </xf>
    <xf numFmtId="182" fontId="5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82" fontId="5" fillId="0" borderId="0">
      <alignment horizontal="left" wrapText="1"/>
    </xf>
    <xf numFmtId="182" fontId="5" fillId="0" borderId="0">
      <alignment horizontal="left" wrapText="1"/>
    </xf>
    <xf numFmtId="182" fontId="5" fillId="0" borderId="0">
      <alignment horizontal="left" wrapText="1"/>
    </xf>
    <xf numFmtId="182" fontId="5" fillId="0" borderId="0">
      <alignment horizontal="left" wrapText="1"/>
    </xf>
    <xf numFmtId="182" fontId="5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5" fillId="0" borderId="0">
      <alignment horizontal="left" wrapText="1"/>
    </xf>
    <xf numFmtId="182" fontId="5" fillId="0" borderId="0">
      <alignment horizontal="left" wrapText="1"/>
    </xf>
    <xf numFmtId="182" fontId="5" fillId="0" borderId="0">
      <alignment horizontal="left" wrapText="1"/>
    </xf>
    <xf numFmtId="0" fontId="3" fillId="32" borderId="0" applyNumberFormat="0" applyBorder="0" applyAlignment="0" applyProtection="0"/>
    <xf numFmtId="0" fontId="3" fillId="36" borderId="0" applyNumberFormat="0" applyBorder="0" applyAlignment="0" applyProtection="0"/>
    <xf numFmtId="0" fontId="3" fillId="40" borderId="0" applyNumberFormat="0" applyBorder="0" applyAlignment="0" applyProtection="0"/>
    <xf numFmtId="0" fontId="3" fillId="44" borderId="0" applyNumberFormat="0" applyBorder="0" applyAlignment="0" applyProtection="0"/>
    <xf numFmtId="0" fontId="3" fillId="48" borderId="0" applyNumberFormat="0" applyBorder="0" applyAlignment="0" applyProtection="0"/>
    <xf numFmtId="0" fontId="3" fillId="52" borderId="0" applyNumberFormat="0" applyBorder="0" applyAlignment="0" applyProtection="0"/>
    <xf numFmtId="0" fontId="3" fillId="33" borderId="0" applyNumberFormat="0" applyBorder="0" applyAlignment="0" applyProtection="0"/>
    <xf numFmtId="0" fontId="3" fillId="37" borderId="0" applyNumberFormat="0" applyBorder="0" applyAlignment="0" applyProtection="0"/>
    <xf numFmtId="0" fontId="3" fillId="41" borderId="0" applyNumberFormat="0" applyBorder="0" applyAlignment="0" applyProtection="0"/>
    <xf numFmtId="0" fontId="3" fillId="45" borderId="0" applyNumberFormat="0" applyBorder="0" applyAlignment="0" applyProtection="0"/>
    <xf numFmtId="0" fontId="3" fillId="49" borderId="0" applyNumberFormat="0" applyBorder="0" applyAlignment="0" applyProtection="0"/>
    <xf numFmtId="0" fontId="3" fillId="53" borderId="0" applyNumberFormat="0" applyBorder="0" applyAlignment="0" applyProtection="0"/>
    <xf numFmtId="0" fontId="57" fillId="31" borderId="0" applyNumberFormat="0" applyBorder="0" applyAlignment="0" applyProtection="0"/>
    <xf numFmtId="0" fontId="57" fillId="35" borderId="0" applyNumberFormat="0" applyBorder="0" applyAlignment="0" applyProtection="0"/>
    <xf numFmtId="0" fontId="57" fillId="39" borderId="0" applyNumberFormat="0" applyBorder="0" applyAlignment="0" applyProtection="0"/>
    <xf numFmtId="0" fontId="57" fillId="43" borderId="0" applyNumberFormat="0" applyBorder="0" applyAlignment="0" applyProtection="0"/>
    <xf numFmtId="0" fontId="57" fillId="51" borderId="0" applyNumberFormat="0" applyBorder="0" applyAlignment="0" applyProtection="0"/>
    <xf numFmtId="41" fontId="5" fillId="12" borderId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7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5" fillId="0" borderId="0" applyFont="0" applyFill="0" applyBorder="0" applyAlignment="0" applyProtection="0"/>
    <xf numFmtId="8" fontId="8" fillId="0" borderId="0" applyFont="0" applyFill="0" applyBorder="0" applyAlignment="0" applyProtection="0"/>
    <xf numFmtId="19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4" fontId="5" fillId="0" borderId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51" fillId="27" borderId="45" applyNumberForma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95" fillId="0" borderId="0"/>
    <xf numFmtId="39" fontId="94" fillId="0" borderId="0" applyNumberFormat="0" applyFill="0" applyBorder="0" applyAlignment="0" applyProtection="0"/>
    <xf numFmtId="0" fontId="34" fillId="0" borderId="0"/>
    <xf numFmtId="0" fontId="3" fillId="0" borderId="0"/>
    <xf numFmtId="0" fontId="3" fillId="0" borderId="0"/>
    <xf numFmtId="174" fontId="36" fillId="0" borderId="0">
      <alignment horizontal="left" wrapText="1"/>
    </xf>
    <xf numFmtId="10" fontId="5" fillId="0" borderId="4"/>
    <xf numFmtId="10" fontId="5" fillId="0" borderId="4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3" fillId="0" borderId="0" applyFont="0" applyFill="0" applyBorder="0" applyAlignment="0" applyProtection="0"/>
    <xf numFmtId="10" fontId="5" fillId="12" borderId="0"/>
    <xf numFmtId="178" fontId="5" fillId="12" borderId="0"/>
    <xf numFmtId="183" fontId="5" fillId="0" borderId="0" applyFont="0" applyFill="0" applyAlignment="0">
      <alignment horizontal="right"/>
    </xf>
    <xf numFmtId="0" fontId="5" fillId="18" borderId="8" applyNumberFormat="0" applyProtection="0">
      <alignment horizontal="left" vertical="center" indent="1"/>
    </xf>
    <xf numFmtId="0" fontId="5" fillId="21" borderId="8" applyNumberFormat="0" applyProtection="0">
      <alignment horizontal="left" vertical="center" indent="1"/>
    </xf>
    <xf numFmtId="0" fontId="5" fillId="18" borderId="8" applyNumberFormat="0" applyProtection="0">
      <alignment horizontal="left" vertical="center" indent="1"/>
    </xf>
    <xf numFmtId="0" fontId="5" fillId="18" borderId="8" applyNumberFormat="0" applyProtection="0">
      <alignment horizontal="left" vertical="center" indent="1"/>
    </xf>
    <xf numFmtId="39" fontId="5" fillId="22" borderId="0"/>
    <xf numFmtId="41" fontId="18" fillId="12" borderId="0">
      <alignment horizontal="left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0" fontId="6" fillId="0" borderId="0"/>
    <xf numFmtId="182" fontId="6" fillId="0" borderId="0">
      <alignment horizontal="left" wrapText="1"/>
    </xf>
    <xf numFmtId="182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6" fillId="0" borderId="0"/>
    <xf numFmtId="174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6" fillId="0" borderId="0"/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6" fillId="0" borderId="0"/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6" fillId="0" borderId="0"/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6" fillId="0" borderId="0"/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6" fillId="0" borderId="0"/>
    <xf numFmtId="182" fontId="6" fillId="0" borderId="0">
      <alignment horizontal="left" wrapText="1"/>
    </xf>
    <xf numFmtId="0" fontId="6" fillId="0" borderId="0"/>
    <xf numFmtId="182" fontId="6" fillId="0" borderId="0">
      <alignment horizontal="left" wrapText="1"/>
    </xf>
    <xf numFmtId="0" fontId="6" fillId="0" borderId="0"/>
    <xf numFmtId="182" fontId="6" fillId="0" borderId="0">
      <alignment horizontal="left" wrapText="1"/>
    </xf>
    <xf numFmtId="0" fontId="6" fillId="0" borderId="0"/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6" fillId="0" borderId="0"/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82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0" fontId="6" fillId="0" borderId="0"/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57" fillId="6" borderId="0" applyNumberFormat="0" applyBorder="0" applyAlignment="0" applyProtection="0"/>
    <xf numFmtId="0" fontId="57" fillId="57" borderId="0" applyNumberFormat="0" applyBorder="0" applyAlignment="0" applyProtection="0"/>
    <xf numFmtId="0" fontId="57" fillId="11" borderId="0" applyNumberFormat="0" applyBorder="0" applyAlignment="0" applyProtection="0"/>
    <xf numFmtId="0" fontId="57" fillId="3" borderId="0" applyNumberFormat="0" applyBorder="0" applyAlignment="0" applyProtection="0"/>
    <xf numFmtId="0" fontId="57" fillId="6" borderId="0" applyNumberFormat="0" applyBorder="0" applyAlignment="0" applyProtection="0"/>
    <xf numFmtId="0" fontId="57" fillId="9" borderId="0" applyNumberFormat="0" applyBorder="0" applyAlignment="0" applyProtection="0"/>
    <xf numFmtId="0" fontId="57" fillId="93" borderId="0" applyNumberFormat="0" applyBorder="0" applyAlignment="0" applyProtection="0"/>
    <xf numFmtId="0" fontId="57" fillId="93" borderId="0" applyNumberFormat="0" applyBorder="0" applyAlignment="0" applyProtection="0"/>
    <xf numFmtId="0" fontId="66" fillId="61" borderId="0" applyNumberFormat="0" applyBorder="0" applyAlignment="0" applyProtection="0"/>
    <xf numFmtId="0" fontId="66" fillId="61" borderId="0" applyNumberFormat="0" applyBorder="0" applyAlignment="0" applyProtection="0"/>
    <xf numFmtId="0" fontId="66" fillId="61" borderId="0" applyNumberFormat="0" applyBorder="0" applyAlignment="0" applyProtection="0"/>
    <xf numFmtId="0" fontId="66" fillId="61" borderId="0" applyNumberFormat="0" applyBorder="0" applyAlignment="0" applyProtection="0"/>
    <xf numFmtId="0" fontId="66" fillId="61" borderId="0" applyNumberFormat="0" applyBorder="0" applyAlignment="0" applyProtection="0"/>
    <xf numFmtId="182" fontId="6" fillId="0" borderId="0">
      <alignment horizontal="left" wrapText="1"/>
    </xf>
    <xf numFmtId="0" fontId="57" fillId="57" borderId="0" applyNumberFormat="0" applyBorder="0" applyAlignment="0" applyProtection="0"/>
    <xf numFmtId="0" fontId="57" fillId="57" borderId="0" applyNumberFormat="0" applyBorder="0" applyAlignment="0" applyProtection="0"/>
    <xf numFmtId="0" fontId="66" fillId="65" borderId="0" applyNumberFormat="0" applyBorder="0" applyAlignment="0" applyProtection="0"/>
    <xf numFmtId="0" fontId="66" fillId="65" borderId="0" applyNumberFormat="0" applyBorder="0" applyAlignment="0" applyProtection="0"/>
    <xf numFmtId="0" fontId="66" fillId="65" borderId="0" applyNumberFormat="0" applyBorder="0" applyAlignment="0" applyProtection="0"/>
    <xf numFmtId="0" fontId="66" fillId="65" borderId="0" applyNumberFormat="0" applyBorder="0" applyAlignment="0" applyProtection="0"/>
    <xf numFmtId="0" fontId="66" fillId="65" borderId="0" applyNumberFormat="0" applyBorder="0" applyAlignment="0" applyProtection="0"/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66" fillId="69" borderId="0" applyNumberFormat="0" applyBorder="0" applyAlignment="0" applyProtection="0"/>
    <xf numFmtId="0" fontId="66" fillId="69" borderId="0" applyNumberFormat="0" applyBorder="0" applyAlignment="0" applyProtection="0"/>
    <xf numFmtId="0" fontId="66" fillId="69" borderId="0" applyNumberFormat="0" applyBorder="0" applyAlignment="0" applyProtection="0"/>
    <xf numFmtId="0" fontId="66" fillId="69" borderId="0" applyNumberFormat="0" applyBorder="0" applyAlignment="0" applyProtection="0"/>
    <xf numFmtId="0" fontId="66" fillId="69" borderId="0" applyNumberFormat="0" applyBorder="0" applyAlignment="0" applyProtection="0"/>
    <xf numFmtId="182" fontId="6" fillId="0" borderId="0">
      <alignment horizontal="left" wrapText="1"/>
    </xf>
    <xf numFmtId="0" fontId="57" fillId="94" borderId="0" applyNumberFormat="0" applyBorder="0" applyAlignment="0" applyProtection="0"/>
    <xf numFmtId="0" fontId="57" fillId="94" borderId="0" applyNumberFormat="0" applyBorder="0" applyAlignment="0" applyProtection="0"/>
    <xf numFmtId="0" fontId="66" fillId="58" borderId="0" applyNumberFormat="0" applyBorder="0" applyAlignment="0" applyProtection="0"/>
    <xf numFmtId="0" fontId="66" fillId="58" borderId="0" applyNumberFormat="0" applyBorder="0" applyAlignment="0" applyProtection="0"/>
    <xf numFmtId="0" fontId="66" fillId="58" borderId="0" applyNumberFormat="0" applyBorder="0" applyAlignment="0" applyProtection="0"/>
    <xf numFmtId="0" fontId="66" fillId="58" borderId="0" applyNumberFormat="0" applyBorder="0" applyAlignment="0" applyProtection="0"/>
    <xf numFmtId="0" fontId="66" fillId="58" borderId="0" applyNumberFormat="0" applyBorder="0" applyAlignment="0" applyProtection="0"/>
    <xf numFmtId="182" fontId="6" fillId="0" borderId="0">
      <alignment horizontal="left" wrapText="1"/>
    </xf>
    <xf numFmtId="182" fontId="6" fillId="0" borderId="0">
      <alignment horizontal="left" wrapText="1"/>
    </xf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182" fontId="6" fillId="0" borderId="0">
      <alignment horizontal="left" wrapText="1"/>
    </xf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66" fillId="59" borderId="0" applyNumberFormat="0" applyBorder="0" applyAlignment="0" applyProtection="0"/>
    <xf numFmtId="0" fontId="66" fillId="59" borderId="0" applyNumberFormat="0" applyBorder="0" applyAlignment="0" applyProtection="0"/>
    <xf numFmtId="0" fontId="66" fillId="59" borderId="0" applyNumberFormat="0" applyBorder="0" applyAlignment="0" applyProtection="0"/>
    <xf numFmtId="0" fontId="66" fillId="59" borderId="0" applyNumberFormat="0" applyBorder="0" applyAlignment="0" applyProtection="0"/>
    <xf numFmtId="0" fontId="66" fillId="59" borderId="0" applyNumberFormat="0" applyBorder="0" applyAlignment="0" applyProtection="0"/>
    <xf numFmtId="0" fontId="57" fillId="47" borderId="0" applyNumberFormat="0" applyBorder="0" applyAlignment="0" applyProtection="0"/>
    <xf numFmtId="0" fontId="66" fillId="59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182" fontId="6" fillId="0" borderId="0">
      <alignment horizontal="left" wrapText="1"/>
    </xf>
    <xf numFmtId="182" fontId="6" fillId="0" borderId="0">
      <alignment horizontal="left" wrapText="1"/>
    </xf>
    <xf numFmtId="0" fontId="57" fillId="65" borderId="0" applyNumberFormat="0" applyBorder="0" applyAlignment="0" applyProtection="0"/>
    <xf numFmtId="0" fontId="57" fillId="65" borderId="0" applyNumberFormat="0" applyBorder="0" applyAlignment="0" applyProtection="0"/>
    <xf numFmtId="0" fontId="66" fillId="57" borderId="0" applyNumberFormat="0" applyBorder="0" applyAlignment="0" applyProtection="0"/>
    <xf numFmtId="0" fontId="66" fillId="57" borderId="0" applyNumberFormat="0" applyBorder="0" applyAlignment="0" applyProtection="0"/>
    <xf numFmtId="0" fontId="66" fillId="57" borderId="0" applyNumberFormat="0" applyBorder="0" applyAlignment="0" applyProtection="0"/>
    <xf numFmtId="0" fontId="66" fillId="57" borderId="0" applyNumberFormat="0" applyBorder="0" applyAlignment="0" applyProtection="0"/>
    <xf numFmtId="0" fontId="66" fillId="57" borderId="0" applyNumberFormat="0" applyBorder="0" applyAlignment="0" applyProtection="0"/>
    <xf numFmtId="0" fontId="49" fillId="5" borderId="0" applyNumberFormat="0" applyBorder="0" applyAlignment="0" applyProtection="0"/>
    <xf numFmtId="0" fontId="102" fillId="76" borderId="45" applyNumberFormat="0" applyAlignment="0" applyProtection="0"/>
    <xf numFmtId="41" fontId="6" fillId="12" borderId="0"/>
    <xf numFmtId="0" fontId="102" fillId="76" borderId="45" applyNumberFormat="0" applyAlignment="0" applyProtection="0"/>
    <xf numFmtId="41" fontId="6" fillId="12" borderId="0"/>
    <xf numFmtId="41" fontId="6" fillId="12" borderId="0"/>
    <xf numFmtId="41" fontId="6" fillId="12" borderId="0"/>
    <xf numFmtId="41" fontId="6" fillId="12" borderId="0"/>
    <xf numFmtId="0" fontId="54" fillId="29" borderId="48" applyNumberFormat="0" applyAlignment="0" applyProtection="0"/>
    <xf numFmtId="41" fontId="6" fillId="13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3" fontId="78" fillId="0" borderId="0" applyFont="0" applyFill="0" applyBorder="0" applyAlignment="0" applyProtection="0"/>
    <xf numFmtId="3" fontId="78" fillId="0" borderId="0" applyFont="0" applyFill="0" applyBorder="0" applyAlignment="0" applyProtection="0"/>
    <xf numFmtId="3" fontId="78" fillId="0" borderId="0" applyFont="0" applyFill="0" applyBorder="0" applyAlignment="0" applyProtection="0"/>
    <xf numFmtId="3" fontId="7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98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189" fontId="6" fillId="0" borderId="0" applyFont="0" applyFill="0" applyBorder="0" applyAlignment="0" applyProtection="0"/>
    <xf numFmtId="10" fontId="5" fillId="0" borderId="4"/>
    <xf numFmtId="174" fontId="6" fillId="0" borderId="0"/>
    <xf numFmtId="174" fontId="6" fillId="0" borderId="0"/>
    <xf numFmtId="174" fontId="6" fillId="0" borderId="0"/>
    <xf numFmtId="174" fontId="6" fillId="0" borderId="0"/>
    <xf numFmtId="195" fontId="97" fillId="0" borderId="0"/>
    <xf numFmtId="174" fontId="6" fillId="0" borderId="0"/>
    <xf numFmtId="10" fontId="5" fillId="0" borderId="4"/>
    <xf numFmtId="191" fontId="6" fillId="0" borderId="0" applyFont="0" applyFill="0" applyBorder="0" applyAlignment="0" applyProtection="0">
      <alignment horizontal="left" wrapText="1"/>
    </xf>
    <xf numFmtId="191" fontId="6" fillId="0" borderId="0" applyFont="0" applyFill="0" applyBorder="0" applyAlignment="0" applyProtection="0">
      <alignment horizontal="left" wrapText="1"/>
    </xf>
    <xf numFmtId="10" fontId="5" fillId="0" borderId="4"/>
    <xf numFmtId="0" fontId="56" fillId="0" borderId="0" applyNumberFormat="0" applyFill="0" applyBorder="0" applyAlignment="0" applyProtection="0"/>
    <xf numFmtId="10" fontId="5" fillId="0" borderId="4"/>
    <xf numFmtId="10" fontId="5" fillId="0" borderId="4"/>
    <xf numFmtId="0" fontId="48" fillId="6" borderId="0" applyNumberFormat="0" applyBorder="0" applyAlignment="0" applyProtection="0"/>
    <xf numFmtId="38" fontId="11" fillId="13" borderId="0" applyNumberFormat="0" applyBorder="0" applyAlignment="0" applyProtection="0"/>
    <xf numFmtId="38" fontId="11" fillId="13" borderId="0" applyNumberFormat="0" applyBorder="0" applyAlignment="0" applyProtection="0"/>
    <xf numFmtId="38" fontId="11" fillId="13" borderId="0" applyNumberFormat="0" applyBorder="0" applyAlignment="0" applyProtection="0"/>
    <xf numFmtId="38" fontId="11" fillId="13" borderId="0" applyNumberFormat="0" applyBorder="0" applyAlignment="0" applyProtection="0"/>
    <xf numFmtId="0" fontId="99" fillId="0" borderId="61" applyNumberFormat="0" applyFill="0" applyAlignment="0" applyProtection="0"/>
    <xf numFmtId="0" fontId="99" fillId="0" borderId="61" applyNumberFormat="0" applyFill="0" applyAlignment="0" applyProtection="0"/>
    <xf numFmtId="0" fontId="100" fillId="0" borderId="62" applyNumberFormat="0" applyFill="0" applyAlignment="0" applyProtection="0"/>
    <xf numFmtId="0" fontId="100" fillId="0" borderId="62" applyNumberFormat="0" applyFill="0" applyAlignment="0" applyProtection="0"/>
    <xf numFmtId="0" fontId="101" fillId="0" borderId="63" applyNumberFormat="0" applyFill="0" applyAlignment="0" applyProtection="0"/>
    <xf numFmtId="0" fontId="101" fillId="0" borderId="0" applyNumberFormat="0" applyFill="0" applyBorder="0" applyAlignment="0" applyProtection="0"/>
    <xf numFmtId="10" fontId="11" fillId="12" borderId="3" applyNumberFormat="0" applyBorder="0" applyAlignment="0" applyProtection="0"/>
    <xf numFmtId="10" fontId="11" fillId="12" borderId="3" applyNumberFormat="0" applyBorder="0" applyAlignment="0" applyProtection="0"/>
    <xf numFmtId="10" fontId="11" fillId="12" borderId="3" applyNumberFormat="0" applyBorder="0" applyAlignment="0" applyProtection="0"/>
    <xf numFmtId="10" fontId="11" fillId="12" borderId="3" applyNumberFormat="0" applyBorder="0" applyAlignment="0" applyProtection="0"/>
    <xf numFmtId="0" fontId="51" fillId="55" borderId="45" applyNumberFormat="0" applyAlignment="0" applyProtection="0"/>
    <xf numFmtId="0" fontId="51" fillId="55" borderId="45" applyNumberFormat="0" applyAlignment="0" applyProtection="0"/>
    <xf numFmtId="0" fontId="72" fillId="7" borderId="50" applyNumberFormat="0" applyAlignment="0" applyProtection="0"/>
    <xf numFmtId="0" fontId="72" fillId="7" borderId="50" applyNumberFormat="0" applyAlignment="0" applyProtection="0"/>
    <xf numFmtId="0" fontId="72" fillId="7" borderId="50" applyNumberFormat="0" applyAlignment="0" applyProtection="0"/>
    <xf numFmtId="0" fontId="72" fillId="7" borderId="50" applyNumberFormat="0" applyAlignment="0" applyProtection="0"/>
    <xf numFmtId="0" fontId="72" fillId="7" borderId="50" applyNumberFormat="0" applyAlignment="0" applyProtection="0"/>
    <xf numFmtId="0" fontId="11" fillId="13" borderId="0"/>
    <xf numFmtId="0" fontId="77" fillId="0" borderId="64" applyNumberFormat="0" applyFill="0" applyAlignment="0" applyProtection="0"/>
    <xf numFmtId="0" fontId="103" fillId="26" borderId="0" applyNumberFormat="0" applyBorder="0" applyAlignment="0" applyProtection="0"/>
    <xf numFmtId="187" fontId="6" fillId="0" borderId="0"/>
    <xf numFmtId="187" fontId="6" fillId="0" borderId="0"/>
    <xf numFmtId="187" fontId="6" fillId="0" borderId="0"/>
    <xf numFmtId="188" fontId="36" fillId="0" borderId="0"/>
    <xf numFmtId="190" fontId="60" fillId="0" borderId="0"/>
    <xf numFmtId="175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174" fontId="6" fillId="0" borderId="0">
      <alignment horizontal="left" wrapText="1"/>
    </xf>
    <xf numFmtId="187" fontId="36" fillId="0" borderId="0">
      <alignment horizontal="left" wrapText="1"/>
    </xf>
    <xf numFmtId="174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174" fontId="6" fillId="0" borderId="0">
      <alignment horizontal="left" wrapText="1"/>
    </xf>
    <xf numFmtId="0" fontId="6" fillId="0" borderId="0"/>
    <xf numFmtId="0" fontId="6" fillId="0" borderId="0"/>
    <xf numFmtId="173" fontId="6" fillId="0" borderId="0">
      <alignment horizontal="left" wrapText="1"/>
    </xf>
    <xf numFmtId="173" fontId="6" fillId="0" borderId="0">
      <alignment horizontal="left" wrapText="1"/>
    </xf>
    <xf numFmtId="174" fontId="6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174" fontId="6" fillId="0" borderId="0">
      <alignment horizontal="left" wrapText="1"/>
    </xf>
    <xf numFmtId="174" fontId="6" fillId="0" borderId="0">
      <alignment horizontal="left" wrapText="1"/>
    </xf>
    <xf numFmtId="39" fontId="96" fillId="0" borderId="0" applyNumberFormat="0" applyFill="0" applyBorder="0" applyAlignment="0" applyProtection="0"/>
    <xf numFmtId="39" fontId="96" fillId="0" borderId="0" applyNumberFormat="0" applyFill="0" applyBorder="0" applyAlignment="0" applyProtection="0"/>
    <xf numFmtId="39" fontId="96" fillId="0" borderId="0" applyNumberFormat="0" applyFill="0" applyBorder="0" applyAlignment="0" applyProtection="0"/>
    <xf numFmtId="174" fontId="6" fillId="0" borderId="0">
      <alignment horizontal="left" wrapText="1"/>
    </xf>
    <xf numFmtId="0" fontId="41" fillId="0" borderId="0"/>
    <xf numFmtId="0" fontId="41" fillId="0" borderId="0"/>
    <xf numFmtId="0" fontId="41" fillId="0" borderId="0"/>
    <xf numFmtId="0" fontId="2" fillId="0" borderId="0"/>
    <xf numFmtId="0" fontId="2" fillId="0" borderId="0"/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0" fontId="6" fillId="0" borderId="0"/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0" fontId="2" fillId="0" borderId="0"/>
    <xf numFmtId="0" fontId="2" fillId="0" borderId="0"/>
    <xf numFmtId="0" fontId="41" fillId="0" borderId="0"/>
    <xf numFmtId="0" fontId="41" fillId="0" borderId="0"/>
    <xf numFmtId="174" fontId="6" fillId="0" borderId="0">
      <alignment horizontal="left" wrapText="1"/>
    </xf>
    <xf numFmtId="0" fontId="41" fillId="0" borderId="0"/>
    <xf numFmtId="0" fontId="41" fillId="0" borderId="0"/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0" fontId="6" fillId="0" borderId="0"/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0" fontId="6" fillId="0" borderId="0"/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15" borderId="7" applyNumberFormat="0" applyFont="0" applyAlignment="0" applyProtection="0"/>
    <xf numFmtId="0" fontId="52" fillId="76" borderId="46" applyNumberFormat="0" applyAlignment="0" applyProtection="0"/>
    <xf numFmtId="10" fontId="5" fillId="0" borderId="4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81" fillId="0" borderId="0" applyFont="0" applyFill="0" applyBorder="0" applyAlignment="0" applyProtection="0"/>
    <xf numFmtId="10" fontId="6" fillId="0" borderId="4"/>
    <xf numFmtId="10" fontId="6" fillId="0" borderId="4"/>
    <xf numFmtId="10" fontId="6" fillId="0" borderId="4"/>
    <xf numFmtId="10" fontId="6" fillId="0" borderId="4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0" fontId="6" fillId="0" borderId="4"/>
    <xf numFmtId="9" fontId="98" fillId="0" borderId="0" applyFont="0" applyFill="0" applyBorder="0" applyAlignment="0" applyProtection="0"/>
    <xf numFmtId="9" fontId="98" fillId="0" borderId="0" applyFont="0" applyFill="0" applyBorder="0" applyAlignment="0" applyProtection="0"/>
    <xf numFmtId="10" fontId="6" fillId="0" borderId="4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10" fontId="6" fillId="0" borderId="4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10" fontId="6" fillId="0" borderId="4"/>
    <xf numFmtId="10" fontId="6" fillId="0" borderId="4"/>
    <xf numFmtId="10" fontId="6" fillId="0" borderId="4"/>
    <xf numFmtId="10" fontId="6" fillId="0" borderId="4"/>
    <xf numFmtId="10" fontId="6" fillId="0" borderId="4"/>
    <xf numFmtId="10" fontId="6" fillId="0" borderId="4"/>
    <xf numFmtId="10" fontId="6" fillId="0" borderId="4"/>
    <xf numFmtId="10" fontId="6" fillId="0" borderId="4"/>
    <xf numFmtId="10" fontId="6" fillId="0" borderId="4"/>
    <xf numFmtId="10" fontId="6" fillId="0" borderId="4"/>
    <xf numFmtId="10" fontId="6" fillId="0" borderId="4"/>
    <xf numFmtId="10" fontId="6" fillId="0" borderId="4"/>
    <xf numFmtId="10" fontId="6" fillId="0" borderId="4"/>
    <xf numFmtId="9" fontId="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10" fontId="6" fillId="0" borderId="4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10" fontId="6" fillId="0" borderId="4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0" fontId="6" fillId="0" borderId="4"/>
    <xf numFmtId="10" fontId="6" fillId="0" borderId="4"/>
    <xf numFmtId="10" fontId="6" fillId="0" borderId="4"/>
    <xf numFmtId="10" fontId="6" fillId="0" borderId="4"/>
    <xf numFmtId="10" fontId="6" fillId="0" borderId="4"/>
    <xf numFmtId="10" fontId="6" fillId="0" borderId="4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0" fontId="6" fillId="0" borderId="4"/>
    <xf numFmtId="10" fontId="6" fillId="0" borderId="4"/>
    <xf numFmtId="10" fontId="6" fillId="0" borderId="4"/>
    <xf numFmtId="10" fontId="6" fillId="0" borderId="4"/>
    <xf numFmtId="10" fontId="6" fillId="0" borderId="4"/>
    <xf numFmtId="10" fontId="6" fillId="0" borderId="4"/>
    <xf numFmtId="10" fontId="6" fillId="0" borderId="4"/>
    <xf numFmtId="10" fontId="6" fillId="0" borderId="4"/>
    <xf numFmtId="10" fontId="6" fillId="0" borderId="4"/>
    <xf numFmtId="10" fontId="6" fillId="0" borderId="4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0" fontId="6" fillId="0" borderId="4"/>
    <xf numFmtId="10" fontId="6" fillId="0" borderId="4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6" fillId="0" borderId="0" applyFont="0" applyFill="0" applyBorder="0" applyAlignment="0" applyProtection="0"/>
    <xf numFmtId="41" fontId="6" fillId="16" borderId="4"/>
    <xf numFmtId="42" fontId="6" fillId="12" borderId="0"/>
    <xf numFmtId="42" fontId="6" fillId="12" borderId="10">
      <alignment vertical="center"/>
    </xf>
    <xf numFmtId="10" fontId="6" fillId="12" borderId="0"/>
    <xf numFmtId="10" fontId="6" fillId="12" borderId="0"/>
    <xf numFmtId="10" fontId="6" fillId="12" borderId="0"/>
    <xf numFmtId="10" fontId="6" fillId="12" borderId="0"/>
    <xf numFmtId="10" fontId="6" fillId="12" borderId="0"/>
    <xf numFmtId="178" fontId="6" fillId="12" borderId="0"/>
    <xf numFmtId="178" fontId="6" fillId="12" borderId="0"/>
    <xf numFmtId="178" fontId="6" fillId="12" borderId="0"/>
    <xf numFmtId="178" fontId="6" fillId="12" borderId="0"/>
    <xf numFmtId="178" fontId="6" fillId="12" borderId="0"/>
    <xf numFmtId="42" fontId="6" fillId="12" borderId="12">
      <alignment horizontal="left"/>
    </xf>
    <xf numFmtId="183" fontId="6" fillId="0" borderId="0" applyFont="0" applyFill="0" applyAlignment="0">
      <alignment horizontal="right"/>
    </xf>
    <xf numFmtId="183" fontId="6" fillId="0" borderId="0" applyFont="0" applyFill="0" applyAlignment="0">
      <alignment horizontal="right"/>
    </xf>
    <xf numFmtId="183" fontId="6" fillId="0" borderId="0" applyFont="0" applyFill="0" applyAlignment="0">
      <alignment horizontal="right"/>
    </xf>
    <xf numFmtId="183" fontId="6" fillId="0" borderId="0" applyFont="0" applyFill="0" applyAlignment="0">
      <alignment horizontal="right"/>
    </xf>
    <xf numFmtId="183" fontId="6" fillId="0" borderId="0" applyFont="0" applyFill="0" applyAlignment="0">
      <alignment horizontal="right"/>
    </xf>
    <xf numFmtId="0" fontId="6" fillId="18" borderId="8" applyNumberFormat="0" applyProtection="0">
      <alignment horizontal="left" vertical="center" indent="1"/>
    </xf>
    <xf numFmtId="0" fontId="6" fillId="18" borderId="8" applyNumberFormat="0" applyProtection="0">
      <alignment horizontal="left" vertical="center" indent="1"/>
    </xf>
    <xf numFmtId="0" fontId="6" fillId="18" borderId="8" applyNumberFormat="0" applyProtection="0">
      <alignment horizontal="left" vertical="center" indent="1"/>
    </xf>
    <xf numFmtId="0" fontId="6" fillId="18" borderId="8" applyNumberFormat="0" applyProtection="0">
      <alignment horizontal="left" vertical="center" indent="1"/>
    </xf>
    <xf numFmtId="0" fontId="6" fillId="18" borderId="8" applyNumberFormat="0" applyProtection="0">
      <alignment horizontal="left" vertical="center" indent="1"/>
    </xf>
    <xf numFmtId="0" fontId="6" fillId="18" borderId="8" applyNumberFormat="0" applyProtection="0">
      <alignment horizontal="left" vertical="center" indent="1"/>
    </xf>
    <xf numFmtId="0" fontId="6" fillId="21" borderId="8" applyNumberFormat="0" applyProtection="0">
      <alignment horizontal="left" vertical="center" indent="1"/>
    </xf>
    <xf numFmtId="0" fontId="6" fillId="21" borderId="8" applyNumberFormat="0" applyProtection="0">
      <alignment horizontal="left" vertical="center" indent="1"/>
    </xf>
    <xf numFmtId="0" fontId="6" fillId="21" borderId="8" applyNumberFormat="0" applyProtection="0">
      <alignment horizontal="left" vertical="center" indent="1"/>
    </xf>
    <xf numFmtId="0" fontId="6" fillId="21" borderId="8" applyNumberFormat="0" applyProtection="0">
      <alignment horizontal="left" vertical="center" indent="1"/>
    </xf>
    <xf numFmtId="0" fontId="6" fillId="21" borderId="8" applyNumberFormat="0" applyProtection="0">
      <alignment horizontal="left" vertical="center" indent="1"/>
    </xf>
    <xf numFmtId="0" fontId="6" fillId="21" borderId="8" applyNumberFormat="0" applyProtection="0">
      <alignment horizontal="left" vertical="center" indent="1"/>
    </xf>
    <xf numFmtId="0" fontId="6" fillId="91" borderId="8" applyNumberFormat="0" applyProtection="0">
      <alignment horizontal="left" vertical="center" indent="1"/>
    </xf>
    <xf numFmtId="0" fontId="6" fillId="91" borderId="8" applyNumberFormat="0" applyProtection="0">
      <alignment horizontal="left" vertical="center" indent="1"/>
    </xf>
    <xf numFmtId="0" fontId="6" fillId="13" borderId="8" applyNumberFormat="0" applyProtection="0">
      <alignment horizontal="left" vertical="center" indent="1"/>
    </xf>
    <xf numFmtId="0" fontId="6" fillId="13" borderId="8" applyNumberFormat="0" applyProtection="0">
      <alignment horizontal="left" vertical="center" indent="1"/>
    </xf>
    <xf numFmtId="0" fontId="6" fillId="18" borderId="8" applyNumberFormat="0" applyProtection="0">
      <alignment horizontal="left" vertical="center" indent="1"/>
    </xf>
    <xf numFmtId="0" fontId="6" fillId="18" borderId="8" applyNumberFormat="0" applyProtection="0">
      <alignment horizontal="left" vertical="center" indent="1"/>
    </xf>
    <xf numFmtId="0" fontId="6" fillId="76" borderId="3" applyNumberFormat="0">
      <protection locked="0"/>
    </xf>
    <xf numFmtId="0" fontId="6" fillId="18" borderId="8" applyNumberFormat="0" applyProtection="0">
      <alignment horizontal="left" vertical="center" indent="1"/>
    </xf>
    <xf numFmtId="0" fontId="6" fillId="18" borderId="8" applyNumberFormat="0" applyProtection="0">
      <alignment horizontal="left" vertical="center" indent="1"/>
    </xf>
    <xf numFmtId="0" fontId="6" fillId="18" borderId="8" applyNumberFormat="0" applyProtection="0">
      <alignment horizontal="left" vertical="center" indent="1"/>
    </xf>
    <xf numFmtId="0" fontId="6" fillId="18" borderId="8" applyNumberFormat="0" applyProtection="0">
      <alignment horizontal="left" vertical="center" indent="1"/>
    </xf>
    <xf numFmtId="0" fontId="6" fillId="18" borderId="8" applyNumberFormat="0" applyProtection="0">
      <alignment horizontal="left" vertical="center" indent="1"/>
    </xf>
    <xf numFmtId="0" fontId="6" fillId="18" borderId="8" applyNumberFormat="0" applyProtection="0">
      <alignment horizontal="left" vertical="center" indent="1"/>
    </xf>
    <xf numFmtId="0" fontId="6" fillId="18" borderId="8" applyNumberFormat="0" applyProtection="0">
      <alignment horizontal="left" vertical="center" indent="1"/>
    </xf>
    <xf numFmtId="0" fontId="6" fillId="18" borderId="8" applyNumberFormat="0" applyProtection="0">
      <alignment horizontal="left" vertical="center" indent="1"/>
    </xf>
    <xf numFmtId="0" fontId="6" fillId="18" borderId="8" applyNumberFormat="0" applyProtection="0">
      <alignment horizontal="left" vertical="center" indent="1"/>
    </xf>
    <xf numFmtId="0" fontId="6" fillId="18" borderId="8" applyNumberFormat="0" applyProtection="0">
      <alignment horizontal="left" vertical="center" indent="1"/>
    </xf>
    <xf numFmtId="39" fontId="6" fillId="22" borderId="0"/>
    <xf numFmtId="39" fontId="6" fillId="22" borderId="0"/>
    <xf numFmtId="39" fontId="6" fillId="22" borderId="0"/>
    <xf numFmtId="39" fontId="6" fillId="22" borderId="0"/>
    <xf numFmtId="39" fontId="6" fillId="22" borderId="0"/>
    <xf numFmtId="38" fontId="11" fillId="0" borderId="14"/>
    <xf numFmtId="38" fontId="11" fillId="0" borderId="14"/>
    <xf numFmtId="38" fontId="11" fillId="0" borderId="14"/>
    <xf numFmtId="38" fontId="11" fillId="0" borderId="14"/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66" fontId="6" fillId="0" borderId="0">
      <alignment horizontal="left" wrapText="1"/>
    </xf>
    <xf numFmtId="172" fontId="6" fillId="0" borderId="0">
      <alignment horizontal="left" wrapText="1"/>
    </xf>
    <xf numFmtId="0" fontId="89" fillId="0" borderId="0" applyNumberFormat="0" applyFill="0" applyBorder="0" applyAlignment="0" applyProtection="0"/>
    <xf numFmtId="0" fontId="93" fillId="0" borderId="65" applyNumberFormat="0" applyFill="0" applyAlignment="0" applyProtection="0"/>
    <xf numFmtId="0" fontId="93" fillId="0" borderId="65" applyNumberFormat="0" applyFill="0" applyAlignment="0" applyProtection="0"/>
    <xf numFmtId="174" fontId="5" fillId="0" borderId="0">
      <alignment horizontal="left" wrapText="1"/>
    </xf>
    <xf numFmtId="0" fontId="55" fillId="0" borderId="0" applyNumberFormat="0" applyFill="0" applyBorder="0" applyAlignment="0" applyProtection="0"/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0" fontId="5" fillId="0" borderId="4"/>
    <xf numFmtId="10" fontId="5" fillId="0" borderId="4"/>
    <xf numFmtId="10" fontId="5" fillId="0" borderId="4"/>
    <xf numFmtId="10" fontId="5" fillId="0" borderId="4"/>
    <xf numFmtId="10" fontId="5" fillId="0" borderId="4"/>
    <xf numFmtId="10" fontId="5" fillId="0" borderId="4"/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0" fontId="5" fillId="0" borderId="4"/>
    <xf numFmtId="10" fontId="5" fillId="0" borderId="4"/>
    <xf numFmtId="10" fontId="5" fillId="0" borderId="4"/>
    <xf numFmtId="10" fontId="5" fillId="0" borderId="4"/>
    <xf numFmtId="10" fontId="5" fillId="0" borderId="4"/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10" fontId="5" fillId="0" borderId="4"/>
    <xf numFmtId="10" fontId="5" fillId="0" borderId="4"/>
    <xf numFmtId="10" fontId="5" fillId="0" borderId="4"/>
    <xf numFmtId="10" fontId="5" fillId="0" borderId="4"/>
    <xf numFmtId="10" fontId="5" fillId="0" borderId="4"/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</cellStyleXfs>
  <cellXfs count="365">
    <xf numFmtId="0" fontId="0" fillId="0" borderId="0" xfId="0"/>
    <xf numFmtId="0" fontId="24" fillId="0" borderId="0" xfId="0" applyFont="1" applyFill="1" applyAlignment="1">
      <alignment horizontal="centerContinuous"/>
    </xf>
    <xf numFmtId="0" fontId="24" fillId="0" borderId="0" xfId="0" applyFont="1" applyFill="1"/>
    <xf numFmtId="0" fontId="24" fillId="0" borderId="11" xfId="0" applyFont="1" applyFill="1" applyBorder="1" applyAlignment="1">
      <alignment horizontal="center" wrapText="1"/>
    </xf>
    <xf numFmtId="0" fontId="24" fillId="0" borderId="11" xfId="0" quotePrefix="1" applyFont="1" applyFill="1" applyBorder="1" applyAlignment="1">
      <alignment horizontal="center" wrapText="1"/>
    </xf>
    <xf numFmtId="0" fontId="24" fillId="0" borderId="0" xfId="0" applyFont="1" applyFill="1" applyAlignment="1">
      <alignment horizontal="center" wrapText="1"/>
    </xf>
    <xf numFmtId="0" fontId="24" fillId="0" borderId="0" xfId="0" applyFont="1" applyFill="1" applyBorder="1" applyAlignment="1">
      <alignment horizontal="left" vertical="top" wrapText="1"/>
    </xf>
    <xf numFmtId="0" fontId="24" fillId="0" borderId="0" xfId="0" applyFont="1" applyFill="1" applyBorder="1" applyAlignment="1">
      <alignment horizontal="center" vertical="top" wrapText="1"/>
    </xf>
    <xf numFmtId="0" fontId="24" fillId="0" borderId="0" xfId="0" applyFont="1" applyFill="1" applyAlignment="1">
      <alignment horizontal="center" vertical="top" wrapText="1"/>
    </xf>
    <xf numFmtId="0" fontId="24" fillId="0" borderId="0" xfId="0" quotePrefix="1" applyFont="1" applyFill="1" applyAlignment="1">
      <alignment horizontal="center" vertical="top" wrapText="1"/>
    </xf>
    <xf numFmtId="0" fontId="24" fillId="0" borderId="0" xfId="0" applyFont="1" applyFill="1" applyAlignment="1">
      <alignment horizontal="left"/>
    </xf>
    <xf numFmtId="0" fontId="24" fillId="0" borderId="0" xfId="0" applyFont="1" applyFill="1" applyAlignment="1">
      <alignment horizontal="center"/>
    </xf>
    <xf numFmtId="164" fontId="24" fillId="0" borderId="2" xfId="202" applyNumberFormat="1" applyFont="1" applyFill="1" applyBorder="1"/>
    <xf numFmtId="165" fontId="24" fillId="0" borderId="2" xfId="226" applyNumberFormat="1" applyFont="1" applyFill="1" applyBorder="1"/>
    <xf numFmtId="10" fontId="24" fillId="0" borderId="0" xfId="306" applyNumberFormat="1" applyFont="1" applyFill="1" applyBorder="1"/>
    <xf numFmtId="9" fontId="24" fillId="0" borderId="0" xfId="306" applyFont="1" applyFill="1"/>
    <xf numFmtId="10" fontId="24" fillId="0" borderId="0" xfId="306" applyNumberFormat="1" applyFont="1" applyFill="1"/>
    <xf numFmtId="165" fontId="24" fillId="0" borderId="0" xfId="226" applyNumberFormat="1" applyFont="1" applyFill="1" applyBorder="1"/>
    <xf numFmtId="164" fontId="24" fillId="0" borderId="0" xfId="202" applyNumberFormat="1" applyFont="1" applyFill="1"/>
    <xf numFmtId="164" fontId="24" fillId="0" borderId="0" xfId="202" applyNumberFormat="1" applyFont="1" applyFill="1" applyBorder="1"/>
    <xf numFmtId="10" fontId="24" fillId="0" borderId="0" xfId="226" applyNumberFormat="1" applyFont="1" applyFill="1" applyBorder="1"/>
    <xf numFmtId="169" fontId="24" fillId="0" borderId="0" xfId="306" applyNumberFormat="1" applyFont="1" applyFill="1"/>
    <xf numFmtId="0" fontId="24" fillId="0" borderId="0" xfId="0" quotePrefix="1" applyFont="1" applyFill="1" applyAlignment="1">
      <alignment horizontal="left" indent="1"/>
    </xf>
    <xf numFmtId="3" fontId="24" fillId="0" borderId="0" xfId="226" applyNumberFormat="1" applyFont="1" applyFill="1" applyBorder="1"/>
    <xf numFmtId="0" fontId="24" fillId="0" borderId="0" xfId="0" quotePrefix="1" applyFont="1" applyFill="1" applyAlignment="1">
      <alignment horizontal="left"/>
    </xf>
    <xf numFmtId="3" fontId="24" fillId="0" borderId="2" xfId="202" applyNumberFormat="1" applyFont="1" applyFill="1" applyBorder="1"/>
    <xf numFmtId="3" fontId="24" fillId="0" borderId="0" xfId="202" applyNumberFormat="1" applyFont="1" applyFill="1" applyBorder="1"/>
    <xf numFmtId="0" fontId="24" fillId="0" borderId="0" xfId="0" applyFont="1" applyFill="1" applyAlignment="1">
      <alignment horizontal="left" indent="1"/>
    </xf>
    <xf numFmtId="3" fontId="24" fillId="0" borderId="0" xfId="202" applyNumberFormat="1" applyFont="1" applyFill="1"/>
    <xf numFmtId="165" fontId="24" fillId="0" borderId="0" xfId="226" applyNumberFormat="1" applyFont="1" applyFill="1"/>
    <xf numFmtId="10" fontId="24" fillId="0" borderId="0" xfId="226" applyNumberFormat="1" applyFont="1" applyFill="1"/>
    <xf numFmtId="3" fontId="24" fillId="0" borderId="2" xfId="226" applyNumberFormat="1" applyFont="1" applyFill="1" applyBorder="1"/>
    <xf numFmtId="0" fontId="24" fillId="0" borderId="0" xfId="0" applyFont="1" applyFill="1" applyBorder="1"/>
    <xf numFmtId="0" fontId="24" fillId="0" borderId="0" xfId="0" quotePrefix="1" applyFont="1" applyFill="1" applyAlignment="1">
      <alignment horizontal="center"/>
    </xf>
    <xf numFmtId="164" fontId="24" fillId="0" borderId="10" xfId="202" applyNumberFormat="1" applyFont="1" applyFill="1" applyBorder="1"/>
    <xf numFmtId="165" fontId="24" fillId="0" borderId="10" xfId="226" applyNumberFormat="1" applyFont="1" applyFill="1" applyBorder="1"/>
    <xf numFmtId="10" fontId="24" fillId="0" borderId="10" xfId="306" applyNumberFormat="1" applyFont="1" applyFill="1" applyBorder="1"/>
    <xf numFmtId="165" fontId="24" fillId="0" borderId="0" xfId="0" applyNumberFormat="1" applyFont="1" applyFill="1"/>
    <xf numFmtId="0" fontId="24" fillId="0" borderId="16" xfId="0" quotePrefix="1" applyFont="1" applyFill="1" applyBorder="1" applyAlignment="1">
      <alignment horizontal="left"/>
    </xf>
    <xf numFmtId="0" fontId="24" fillId="0" borderId="17" xfId="0" applyFont="1" applyFill="1" applyBorder="1" applyAlignment="1">
      <alignment horizontal="center"/>
    </xf>
    <xf numFmtId="0" fontId="24" fillId="0" borderId="17" xfId="0" applyFont="1" applyFill="1" applyBorder="1"/>
    <xf numFmtId="9" fontId="25" fillId="0" borderId="17" xfId="306" applyFont="1" applyFill="1" applyBorder="1"/>
    <xf numFmtId="172" fontId="24" fillId="0" borderId="18" xfId="0" applyNumberFormat="1" applyFont="1" applyFill="1" applyBorder="1"/>
    <xf numFmtId="0" fontId="24" fillId="0" borderId="19" xfId="0" quotePrefix="1" applyFont="1" applyFill="1" applyBorder="1" applyAlignment="1">
      <alignment horizontal="left"/>
    </xf>
    <xf numFmtId="0" fontId="24" fillId="0" borderId="0" xfId="0" applyFont="1" applyFill="1" applyBorder="1" applyAlignment="1">
      <alignment horizontal="center"/>
    </xf>
    <xf numFmtId="172" fontId="24" fillId="0" borderId="20" xfId="306" applyNumberFormat="1" applyFont="1" applyFill="1" applyBorder="1"/>
    <xf numFmtId="0" fontId="24" fillId="0" borderId="19" xfId="0" applyFont="1" applyFill="1" applyBorder="1" applyAlignment="1">
      <alignment horizontal="left"/>
    </xf>
    <xf numFmtId="0" fontId="24" fillId="0" borderId="20" xfId="0" applyFont="1" applyFill="1" applyBorder="1"/>
    <xf numFmtId="0" fontId="24" fillId="0" borderId="1" xfId="0" applyFont="1" applyFill="1" applyBorder="1" applyAlignment="1">
      <alignment horizontal="center"/>
    </xf>
    <xf numFmtId="0" fontId="24" fillId="0" borderId="1" xfId="0" applyFont="1" applyFill="1" applyBorder="1"/>
    <xf numFmtId="172" fontId="25" fillId="0" borderId="21" xfId="306" applyNumberFormat="1" applyFont="1" applyFill="1" applyBorder="1"/>
    <xf numFmtId="165" fontId="24" fillId="0" borderId="2" xfId="226" quotePrefix="1" applyNumberFormat="1" applyFont="1" applyFill="1" applyBorder="1" applyAlignment="1">
      <alignment horizontal="left"/>
    </xf>
    <xf numFmtId="169" fontId="24" fillId="0" borderId="2" xfId="306" applyNumberFormat="1" applyFont="1" applyFill="1" applyBorder="1"/>
    <xf numFmtId="44" fontId="24" fillId="0" borderId="0" xfId="0" applyNumberFormat="1" applyFont="1" applyFill="1"/>
    <xf numFmtId="165" fontId="24" fillId="0" borderId="2" xfId="0" applyNumberFormat="1" applyFont="1" applyFill="1" applyBorder="1"/>
    <xf numFmtId="165" fontId="24" fillId="0" borderId="0" xfId="0" applyNumberFormat="1" applyFont="1" applyFill="1" applyBorder="1"/>
    <xf numFmtId="169" fontId="24" fillId="0" borderId="0" xfId="306" applyNumberFormat="1" applyFont="1" applyFill="1" applyBorder="1"/>
    <xf numFmtId="0" fontId="24" fillId="0" borderId="0" xfId="0" quotePrefix="1" applyFont="1" applyFill="1" applyAlignment="1">
      <alignment horizontal="left" indent="2"/>
    </xf>
    <xf numFmtId="168" fontId="24" fillId="0" borderId="0" xfId="226" applyNumberFormat="1" applyFont="1" applyFill="1"/>
    <xf numFmtId="0" fontId="24" fillId="0" borderId="0" xfId="0" applyFont="1" applyFill="1" applyAlignment="1">
      <alignment horizontal="left" indent="2"/>
    </xf>
    <xf numFmtId="0" fontId="24" fillId="0" borderId="0" xfId="0" quotePrefix="1" applyFont="1" applyFill="1" applyAlignment="1">
      <alignment horizontal="left" indent="3"/>
    </xf>
    <xf numFmtId="0" fontId="24" fillId="0" borderId="0" xfId="0" applyFont="1" applyFill="1" applyAlignment="1">
      <alignment horizontal="left" indent="3"/>
    </xf>
    <xf numFmtId="167" fontId="24" fillId="0" borderId="0" xfId="0" applyNumberFormat="1" applyFont="1" applyFill="1"/>
    <xf numFmtId="165" fontId="24" fillId="0" borderId="10" xfId="0" applyNumberFormat="1" applyFont="1" applyFill="1" applyBorder="1"/>
    <xf numFmtId="169" fontId="24" fillId="0" borderId="10" xfId="306" applyNumberFormat="1" applyFont="1" applyFill="1" applyBorder="1"/>
    <xf numFmtId="0" fontId="24" fillId="0" borderId="11" xfId="0" applyFont="1" applyFill="1" applyBorder="1" applyAlignment="1">
      <alignment horizontal="center" wrapText="1" shrinkToFit="1"/>
    </xf>
    <xf numFmtId="0" fontId="24" fillId="0" borderId="11" xfId="0" applyFont="1" applyFill="1" applyBorder="1" applyAlignment="1">
      <alignment horizontal="left" wrapText="1" shrinkToFit="1"/>
    </xf>
    <xf numFmtId="0" fontId="24" fillId="0" borderId="11" xfId="0" quotePrefix="1" applyFont="1" applyFill="1" applyBorder="1" applyAlignment="1">
      <alignment horizontal="center" wrapText="1" shrinkToFit="1"/>
    </xf>
    <xf numFmtId="0" fontId="24" fillId="0" borderId="11" xfId="0" quotePrefix="1" applyFont="1" applyFill="1" applyBorder="1" applyAlignment="1">
      <alignment horizontal="left" wrapText="1" shrinkToFit="1"/>
    </xf>
    <xf numFmtId="44" fontId="25" fillId="0" borderId="0" xfId="0" applyNumberFormat="1" applyFont="1" applyFill="1"/>
    <xf numFmtId="0" fontId="25" fillId="0" borderId="0" xfId="0" quotePrefix="1" applyFont="1" applyFill="1" applyAlignment="1">
      <alignment horizontal="left" vertical="center" wrapText="1"/>
    </xf>
    <xf numFmtId="43" fontId="24" fillId="0" borderId="0" xfId="0" applyNumberFormat="1" applyFont="1" applyFill="1"/>
    <xf numFmtId="164" fontId="24" fillId="0" borderId="2" xfId="0" applyNumberFormat="1" applyFont="1" applyFill="1" applyBorder="1"/>
    <xf numFmtId="165" fontId="25" fillId="0" borderId="0" xfId="0" applyNumberFormat="1" applyFont="1" applyFill="1" applyAlignment="1">
      <alignment horizontal="left"/>
    </xf>
    <xf numFmtId="44" fontId="24" fillId="0" borderId="0" xfId="226" applyFont="1" applyFill="1"/>
    <xf numFmtId="9" fontId="25" fillId="0" borderId="0" xfId="306" applyFont="1" applyFill="1" applyAlignment="1">
      <alignment horizontal="left"/>
    </xf>
    <xf numFmtId="0" fontId="25" fillId="0" borderId="0" xfId="0" applyFont="1" applyFill="1" applyAlignment="1">
      <alignment horizontal="left"/>
    </xf>
    <xf numFmtId="168" fontId="25" fillId="0" borderId="0" xfId="226" applyNumberFormat="1" applyFont="1" applyFill="1" applyBorder="1"/>
    <xf numFmtId="0" fontId="25" fillId="0" borderId="0" xfId="0" quotePrefix="1" applyFont="1" applyFill="1" applyAlignment="1">
      <alignment horizontal="left"/>
    </xf>
    <xf numFmtId="164" fontId="24" fillId="0" borderId="10" xfId="0" applyNumberFormat="1" applyFont="1" applyFill="1" applyBorder="1"/>
    <xf numFmtId="0" fontId="24" fillId="0" borderId="0" xfId="0" quotePrefix="1" applyFont="1" applyFill="1" applyAlignment="1"/>
    <xf numFmtId="164" fontId="24" fillId="0" borderId="0" xfId="0" applyNumberFormat="1" applyFont="1" applyFill="1"/>
    <xf numFmtId="165" fontId="25" fillId="0" borderId="22" xfId="0" applyNumberFormat="1" applyFont="1" applyFill="1" applyBorder="1"/>
    <xf numFmtId="0" fontId="25" fillId="0" borderId="0" xfId="0" applyFont="1" applyFill="1" applyAlignment="1">
      <alignment horizontal="left" wrapText="1"/>
    </xf>
    <xf numFmtId="43" fontId="24" fillId="0" borderId="0" xfId="0" applyNumberFormat="1" applyFont="1" applyFill="1" applyBorder="1"/>
    <xf numFmtId="167" fontId="24" fillId="0" borderId="0" xfId="226" applyNumberFormat="1" applyFont="1" applyFill="1"/>
    <xf numFmtId="0" fontId="26" fillId="0" borderId="0" xfId="0" applyFont="1" applyFill="1" applyBorder="1" applyAlignment="1">
      <alignment horizontal="left" wrapText="1" shrinkToFit="1"/>
    </xf>
    <xf numFmtId="0" fontId="26" fillId="0" borderId="0" xfId="0" quotePrefix="1" applyFont="1" applyFill="1" applyBorder="1" applyAlignment="1">
      <alignment horizontal="center" wrapText="1" shrinkToFit="1"/>
    </xf>
    <xf numFmtId="0" fontId="26" fillId="0" borderId="0" xfId="0" applyFont="1" applyFill="1" applyBorder="1" applyAlignment="1">
      <alignment horizontal="center" wrapText="1" shrinkToFit="1"/>
    </xf>
    <xf numFmtId="0" fontId="26" fillId="0" borderId="0" xfId="0" quotePrefix="1" applyFont="1" applyFill="1" applyBorder="1" applyAlignment="1">
      <alignment horizontal="left" wrapText="1" shrinkToFit="1"/>
    </xf>
    <xf numFmtId="44" fontId="24" fillId="0" borderId="0" xfId="0" quotePrefix="1" applyNumberFormat="1" applyFont="1" applyFill="1" applyAlignment="1">
      <alignment horizontal="left"/>
    </xf>
    <xf numFmtId="44" fontId="25" fillId="0" borderId="0" xfId="0" applyNumberFormat="1" applyFont="1" applyFill="1" applyBorder="1"/>
    <xf numFmtId="168" fontId="25" fillId="0" borderId="0" xfId="226" applyNumberFormat="1" applyFont="1" applyFill="1"/>
    <xf numFmtId="164" fontId="24" fillId="0" borderId="0" xfId="0" applyNumberFormat="1" applyFont="1" applyFill="1" applyBorder="1"/>
    <xf numFmtId="44" fontId="25" fillId="0" borderId="0" xfId="226" applyFont="1" applyFill="1" applyBorder="1"/>
    <xf numFmtId="43" fontId="25" fillId="0" borderId="0" xfId="0" applyNumberFormat="1" applyFont="1" applyFill="1" applyBorder="1"/>
    <xf numFmtId="0" fontId="24" fillId="0" borderId="19" xfId="0" applyFont="1" applyFill="1" applyBorder="1"/>
    <xf numFmtId="43" fontId="24" fillId="0" borderId="0" xfId="202" applyFont="1" applyFill="1" applyBorder="1"/>
    <xf numFmtId="44" fontId="24" fillId="0" borderId="0" xfId="226" applyFont="1" applyFill="1" applyBorder="1"/>
    <xf numFmtId="167" fontId="25" fillId="0" borderId="0" xfId="226" applyNumberFormat="1" applyFont="1" applyFill="1" applyBorder="1"/>
    <xf numFmtId="0" fontId="24" fillId="0" borderId="23" xfId="0" applyFont="1" applyFill="1" applyBorder="1"/>
    <xf numFmtId="0" fontId="24" fillId="0" borderId="0" xfId="0" applyFont="1" applyFill="1" applyBorder="1" applyAlignment="1">
      <alignment horizontal="left"/>
    </xf>
    <xf numFmtId="165" fontId="25" fillId="0" borderId="0" xfId="226" applyNumberFormat="1" applyFont="1" applyFill="1"/>
    <xf numFmtId="0" fontId="24" fillId="0" borderId="0" xfId="0" quotePrefix="1" applyFont="1" applyFill="1" applyBorder="1" applyAlignment="1">
      <alignment horizontal="left"/>
    </xf>
    <xf numFmtId="165" fontId="25" fillId="0" borderId="22" xfId="226" applyNumberFormat="1" applyFont="1" applyFill="1" applyBorder="1"/>
    <xf numFmtId="10" fontId="25" fillId="0" borderId="0" xfId="306" applyNumberFormat="1" applyFont="1" applyFill="1"/>
    <xf numFmtId="0" fontId="24" fillId="0" borderId="0" xfId="0" applyFont="1" applyFill="1" applyBorder="1" applyAlignment="1">
      <alignment horizontal="left" wrapText="1" shrinkToFit="1"/>
    </xf>
    <xf numFmtId="9" fontId="24" fillId="0" borderId="0" xfId="306" applyFont="1" applyFill="1" applyBorder="1"/>
    <xf numFmtId="0" fontId="24" fillId="0" borderId="24" xfId="0" applyFont="1" applyFill="1" applyBorder="1"/>
    <xf numFmtId="6" fontId="25" fillId="0" borderId="0" xfId="0" applyNumberFormat="1" applyFont="1" applyFill="1" applyBorder="1" applyAlignment="1">
      <alignment horizontal="right"/>
    </xf>
    <xf numFmtId="0" fontId="25" fillId="0" borderId="0" xfId="0" applyFont="1" applyFill="1"/>
    <xf numFmtId="10" fontId="25" fillId="0" borderId="0" xfId="306" applyNumberFormat="1" applyFont="1" applyFill="1" applyBorder="1"/>
    <xf numFmtId="10" fontId="24" fillId="0" borderId="0" xfId="0" applyNumberFormat="1" applyFont="1" applyFill="1" applyBorder="1" applyAlignment="1">
      <alignment horizontal="right"/>
    </xf>
    <xf numFmtId="166" fontId="24" fillId="0" borderId="0" xfId="0" applyNumberFormat="1" applyFont="1" applyFill="1"/>
    <xf numFmtId="165" fontId="24" fillId="0" borderId="0" xfId="306" applyNumberFormat="1" applyFont="1" applyFill="1"/>
    <xf numFmtId="10" fontId="24" fillId="0" borderId="0" xfId="0" applyNumberFormat="1" applyFont="1" applyFill="1"/>
    <xf numFmtId="166" fontId="24" fillId="0" borderId="0" xfId="226" applyNumberFormat="1" applyFont="1" applyFill="1"/>
    <xf numFmtId="0" fontId="24" fillId="0" borderId="19" xfId="0" applyFont="1" applyFill="1" applyBorder="1" applyAlignment="1">
      <alignment horizontal="left" indent="1"/>
    </xf>
    <xf numFmtId="44" fontId="24" fillId="0" borderId="0" xfId="0" applyNumberFormat="1" applyFont="1" applyFill="1" applyBorder="1"/>
    <xf numFmtId="0" fontId="24" fillId="0" borderId="19" xfId="0" applyFont="1" applyFill="1" applyBorder="1" applyAlignment="1">
      <alignment horizontal="left" indent="2"/>
    </xf>
    <xf numFmtId="44" fontId="24" fillId="0" borderId="20" xfId="226" applyFont="1" applyFill="1" applyBorder="1"/>
    <xf numFmtId="0" fontId="24" fillId="0" borderId="23" xfId="0" applyFont="1" applyFill="1" applyBorder="1" applyAlignment="1">
      <alignment horizontal="left" indent="2"/>
    </xf>
    <xf numFmtId="168" fontId="24" fillId="0" borderId="24" xfId="226" applyNumberFormat="1" applyFont="1" applyFill="1" applyBorder="1"/>
    <xf numFmtId="0" fontId="24" fillId="0" borderId="18" xfId="0" applyFont="1" applyFill="1" applyBorder="1"/>
    <xf numFmtId="171" fontId="24" fillId="0" borderId="0" xfId="202" applyNumberFormat="1" applyFont="1" applyFill="1" applyBorder="1"/>
    <xf numFmtId="0" fontId="24" fillId="0" borderId="16" xfId="0" applyFont="1" applyFill="1" applyBorder="1"/>
    <xf numFmtId="37" fontId="24" fillId="0" borderId="0" xfId="0" applyNumberFormat="1" applyFont="1" applyFill="1" applyBorder="1"/>
    <xf numFmtId="0" fontId="24" fillId="0" borderId="23" xfId="0" quotePrefix="1" applyFont="1" applyFill="1" applyBorder="1" applyAlignment="1">
      <alignment horizontal="left" indent="1"/>
    </xf>
    <xf numFmtId="37" fontId="24" fillId="0" borderId="9" xfId="0" applyNumberFormat="1" applyFont="1" applyFill="1" applyBorder="1"/>
    <xf numFmtId="10" fontId="24" fillId="0" borderId="24" xfId="306" applyNumberFormat="1" applyFont="1" applyFill="1" applyBorder="1"/>
    <xf numFmtId="10" fontId="24" fillId="0" borderId="0" xfId="0" applyNumberFormat="1" applyFont="1" applyFill="1" applyBorder="1"/>
    <xf numFmtId="10" fontId="24" fillId="0" borderId="9" xfId="0" applyNumberFormat="1" applyFont="1" applyFill="1" applyBorder="1"/>
    <xf numFmtId="10" fontId="24" fillId="0" borderId="0" xfId="202" applyNumberFormat="1" applyFont="1" applyFill="1" applyBorder="1"/>
    <xf numFmtId="0" fontId="24" fillId="0" borderId="0" xfId="0" quotePrefix="1" applyFont="1" applyFill="1" applyBorder="1" applyAlignment="1">
      <alignment horizontal="center" wrapText="1"/>
    </xf>
    <xf numFmtId="43" fontId="24" fillId="0" borderId="0" xfId="202" quotePrefix="1" applyFont="1" applyFill="1" applyBorder="1" applyAlignment="1">
      <alignment horizontal="left"/>
    </xf>
    <xf numFmtId="0" fontId="25" fillId="0" borderId="0" xfId="0" quotePrefix="1" applyFont="1" applyFill="1" applyAlignment="1">
      <alignment wrapText="1"/>
    </xf>
    <xf numFmtId="44" fontId="25" fillId="0" borderId="0" xfId="226" quotePrefix="1" applyFont="1" applyFill="1" applyAlignment="1">
      <alignment horizontal="left" vertical="center" wrapText="1"/>
    </xf>
    <xf numFmtId="0" fontId="25" fillId="0" borderId="25" xfId="0" applyFont="1" applyFill="1" applyBorder="1" applyAlignment="1">
      <alignment horizontal="center" wrapText="1"/>
    </xf>
    <xf numFmtId="10" fontId="25" fillId="0" borderId="1" xfId="306" applyNumberFormat="1" applyFont="1" applyFill="1" applyBorder="1" applyAlignment="1">
      <alignment horizontal="center" wrapText="1"/>
    </xf>
    <xf numFmtId="10" fontId="25" fillId="0" borderId="21" xfId="306" applyNumberFormat="1" applyFont="1" applyFill="1" applyBorder="1" applyAlignment="1">
      <alignment horizontal="center" wrapText="1"/>
    </xf>
    <xf numFmtId="168" fontId="25" fillId="0" borderId="0" xfId="0" applyNumberFormat="1" applyFont="1" applyFill="1" applyBorder="1"/>
    <xf numFmtId="44" fontId="25" fillId="0" borderId="0" xfId="226" applyNumberFormat="1" applyFont="1" applyFill="1" applyBorder="1"/>
    <xf numFmtId="44" fontId="25" fillId="0" borderId="0" xfId="226" applyNumberFormat="1" applyFont="1" applyFill="1"/>
    <xf numFmtId="9" fontId="24" fillId="0" borderId="0" xfId="0" applyNumberFormat="1" applyFont="1" applyFill="1" applyBorder="1"/>
    <xf numFmtId="0" fontId="24" fillId="0" borderId="23" xfId="0" quotePrefix="1" applyFont="1" applyFill="1" applyBorder="1" applyAlignment="1">
      <alignment horizontal="left"/>
    </xf>
    <xf numFmtId="9" fontId="24" fillId="0" borderId="9" xfId="0" applyNumberFormat="1" applyFont="1" applyFill="1" applyBorder="1"/>
    <xf numFmtId="181" fontId="24" fillId="0" borderId="0" xfId="202" applyNumberFormat="1" applyFont="1" applyFill="1" applyBorder="1" applyAlignment="1">
      <alignment horizontal="left" wrapText="1" shrinkToFit="1"/>
    </xf>
    <xf numFmtId="172" fontId="25" fillId="0" borderId="0" xfId="306" applyNumberFormat="1" applyFont="1" applyFill="1"/>
    <xf numFmtId="172" fontId="24" fillId="0" borderId="0" xfId="306" applyNumberFormat="1" applyFont="1" applyFill="1"/>
    <xf numFmtId="172" fontId="24" fillId="0" borderId="0" xfId="0" applyNumberFormat="1" applyFont="1" applyFill="1"/>
    <xf numFmtId="0" fontId="24" fillId="0" borderId="25" xfId="0" quotePrefix="1" applyFont="1" applyFill="1" applyBorder="1" applyAlignment="1">
      <alignment horizontal="left"/>
    </xf>
    <xf numFmtId="0" fontId="24" fillId="0" borderId="11" xfId="0" applyFont="1" applyFill="1" applyBorder="1" applyAlignment="1">
      <alignment wrapText="1" shrinkToFit="1"/>
    </xf>
    <xf numFmtId="0" fontId="26" fillId="0" borderId="0" xfId="0" quotePrefix="1" applyFont="1" applyFill="1" applyBorder="1" applyAlignment="1">
      <alignment wrapText="1" shrinkToFit="1"/>
    </xf>
    <xf numFmtId="0" fontId="25" fillId="0" borderId="0" xfId="0" applyFont="1" applyFill="1" applyAlignment="1"/>
    <xf numFmtId="0" fontId="25" fillId="0" borderId="0" xfId="0" quotePrefix="1" applyFont="1" applyFill="1" applyAlignment="1">
      <alignment vertical="center"/>
    </xf>
    <xf numFmtId="0" fontId="24" fillId="0" borderId="0" xfId="0" applyFont="1" applyFill="1" applyAlignment="1"/>
    <xf numFmtId="42" fontId="24" fillId="0" borderId="0" xfId="0" applyNumberFormat="1" applyFont="1" applyFill="1"/>
    <xf numFmtId="170" fontId="25" fillId="0" borderId="0" xfId="202" applyNumberFormat="1" applyFont="1" applyFill="1"/>
    <xf numFmtId="0" fontId="25" fillId="0" borderId="0" xfId="0" applyFont="1" applyFill="1" applyAlignment="1">
      <alignment vertical="center" wrapText="1"/>
    </xf>
    <xf numFmtId="0" fontId="25" fillId="0" borderId="0" xfId="0" quotePrefix="1" applyFont="1" applyFill="1" applyAlignment="1">
      <alignment vertical="center" wrapText="1"/>
    </xf>
    <xf numFmtId="0" fontId="25" fillId="0" borderId="0" xfId="0" quotePrefix="1" applyFont="1" applyFill="1" applyAlignment="1">
      <alignment horizontal="left" wrapText="1"/>
    </xf>
    <xf numFmtId="166" fontId="25" fillId="0" borderId="0" xfId="226" applyNumberFormat="1" applyFont="1" applyFill="1" applyBorder="1"/>
    <xf numFmtId="0" fontId="24" fillId="0" borderId="3" xfId="0" quotePrefix="1" applyFont="1" applyFill="1" applyBorder="1" applyAlignment="1">
      <alignment horizontal="center" wrapText="1"/>
    </xf>
    <xf numFmtId="44" fontId="24" fillId="0" borderId="26" xfId="226" applyFont="1" applyFill="1" applyBorder="1"/>
    <xf numFmtId="0" fontId="24" fillId="0" borderId="27" xfId="0" applyFont="1" applyFill="1" applyBorder="1"/>
    <xf numFmtId="181" fontId="24" fillId="0" borderId="27" xfId="202" applyNumberFormat="1" applyFont="1" applyFill="1" applyBorder="1"/>
    <xf numFmtId="181" fontId="24" fillId="0" borderId="28" xfId="202" applyNumberFormat="1" applyFont="1" applyFill="1" applyBorder="1"/>
    <xf numFmtId="0" fontId="24" fillId="0" borderId="0" xfId="0" applyFont="1" applyFill="1" applyBorder="1" applyAlignment="1">
      <alignment horizontal="center" wrapText="1"/>
    </xf>
    <xf numFmtId="0" fontId="24" fillId="0" borderId="0" xfId="0" applyFont="1" applyFill="1" applyBorder="1" applyAlignment="1">
      <alignment horizontal="left" indent="2"/>
    </xf>
    <xf numFmtId="44" fontId="24" fillId="0" borderId="0" xfId="226" applyFont="1" applyFill="1" applyBorder="1" applyAlignment="1">
      <alignment horizontal="left" indent="2"/>
    </xf>
    <xf numFmtId="168" fontId="24" fillId="0" borderId="0" xfId="226" applyNumberFormat="1" applyFont="1" applyFill="1" applyBorder="1" applyAlignment="1">
      <alignment horizontal="left" indent="2"/>
    </xf>
    <xf numFmtId="168" fontId="24" fillId="0" borderId="0" xfId="226" applyNumberFormat="1" applyFont="1" applyFill="1" applyBorder="1"/>
    <xf numFmtId="168" fontId="24" fillId="0" borderId="0" xfId="0" applyNumberFormat="1" applyFont="1" applyFill="1" applyBorder="1"/>
    <xf numFmtId="44" fontId="25" fillId="0" borderId="0" xfId="226" applyFont="1" applyFill="1" applyBorder="1" applyAlignment="1">
      <alignment vertical="center"/>
    </xf>
    <xf numFmtId="42" fontId="24" fillId="0" borderId="0" xfId="324" applyFont="1" applyFill="1"/>
    <xf numFmtId="0" fontId="24" fillId="0" borderId="3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/>
    </xf>
    <xf numFmtId="44" fontId="24" fillId="0" borderId="10" xfId="226" applyFont="1" applyFill="1" applyBorder="1"/>
    <xf numFmtId="0" fontId="24" fillId="0" borderId="11" xfId="0" applyFont="1" applyFill="1" applyBorder="1" applyAlignment="1">
      <alignment horizontal="left"/>
    </xf>
    <xf numFmtId="0" fontId="24" fillId="0" borderId="11" xfId="0" applyFont="1" applyFill="1" applyBorder="1"/>
    <xf numFmtId="0" fontId="24" fillId="0" borderId="29" xfId="0" applyFont="1" applyFill="1" applyBorder="1"/>
    <xf numFmtId="44" fontId="24" fillId="0" borderId="0" xfId="226" applyNumberFormat="1" applyFont="1" applyFill="1" applyBorder="1"/>
    <xf numFmtId="169" fontId="24" fillId="0" borderId="0" xfId="306" applyNumberFormat="1" applyFont="1" applyFill="1" applyBorder="1" applyAlignment="1">
      <alignment horizontal="right"/>
    </xf>
    <xf numFmtId="168" fontId="24" fillId="0" borderId="0" xfId="0" applyNumberFormat="1" applyFont="1" applyFill="1"/>
    <xf numFmtId="44" fontId="24" fillId="0" borderId="0" xfId="226" applyNumberFormat="1" applyFont="1" applyFill="1"/>
    <xf numFmtId="169" fontId="24" fillId="0" borderId="0" xfId="306" applyNumberFormat="1" applyFont="1" applyFill="1" applyAlignment="1">
      <alignment horizontal="right"/>
    </xf>
    <xf numFmtId="165" fontId="24" fillId="0" borderId="12" xfId="226" applyNumberFormat="1" applyFont="1" applyFill="1" applyBorder="1"/>
    <xf numFmtId="169" fontId="24" fillId="0" borderId="12" xfId="306" applyNumberFormat="1" applyFont="1" applyFill="1" applyBorder="1"/>
    <xf numFmtId="169" fontId="24" fillId="0" borderId="10" xfId="306" applyNumberFormat="1" applyFont="1" applyFill="1" applyBorder="1" applyAlignment="1">
      <alignment horizontal="right"/>
    </xf>
    <xf numFmtId="0" fontId="24" fillId="0" borderId="0" xfId="0" quotePrefix="1" applyFont="1" applyFill="1" applyBorder="1" applyAlignment="1">
      <alignment horizontal="left" wrapText="1"/>
    </xf>
    <xf numFmtId="164" fontId="24" fillId="0" borderId="0" xfId="202" applyNumberFormat="1" applyFont="1" applyFill="1" applyBorder="1" applyAlignment="1">
      <alignment wrapText="1"/>
    </xf>
    <xf numFmtId="42" fontId="24" fillId="0" borderId="0" xfId="226" applyNumberFormat="1" applyFont="1" applyFill="1" applyBorder="1" applyAlignment="1">
      <alignment wrapText="1"/>
    </xf>
    <xf numFmtId="42" fontId="24" fillId="0" borderId="0" xfId="226" applyNumberFormat="1" applyFont="1" applyFill="1" applyAlignment="1"/>
    <xf numFmtId="164" fontId="24" fillId="0" borderId="0" xfId="202" applyNumberFormat="1" applyFont="1" applyFill="1" applyAlignment="1"/>
    <xf numFmtId="164" fontId="24" fillId="0" borderId="10" xfId="202" applyNumberFormat="1" applyFont="1" applyFill="1" applyBorder="1" applyAlignment="1"/>
    <xf numFmtId="42" fontId="24" fillId="0" borderId="10" xfId="226" applyNumberFormat="1" applyFont="1" applyFill="1" applyBorder="1" applyAlignment="1"/>
    <xf numFmtId="168" fontId="24" fillId="0" borderId="10" xfId="226" applyNumberFormat="1" applyFont="1" applyFill="1" applyBorder="1"/>
    <xf numFmtId="164" fontId="24" fillId="0" borderId="0" xfId="202" applyNumberFormat="1" applyFont="1" applyFill="1" applyAlignment="1">
      <alignment horizontal="right"/>
    </xf>
    <xf numFmtId="42" fontId="24" fillId="0" borderId="0" xfId="0" applyNumberFormat="1" applyFont="1" applyFill="1" applyAlignment="1">
      <alignment horizontal="right"/>
    </xf>
    <xf numFmtId="164" fontId="24" fillId="0" borderId="0" xfId="0" applyNumberFormat="1" applyFont="1" applyFill="1" applyAlignment="1">
      <alignment horizontal="right"/>
    </xf>
    <xf numFmtId="0" fontId="24" fillId="0" borderId="0" xfId="0" applyFont="1" applyFill="1" applyAlignment="1">
      <alignment horizontal="right"/>
    </xf>
    <xf numFmtId="44" fontId="24" fillId="0" borderId="0" xfId="0" applyNumberFormat="1" applyFont="1" applyFill="1" applyAlignment="1">
      <alignment horizontal="right"/>
    </xf>
    <xf numFmtId="173" fontId="24" fillId="0" borderId="0" xfId="306" applyNumberFormat="1" applyFont="1" applyFill="1"/>
    <xf numFmtId="0" fontId="24" fillId="0" borderId="30" xfId="0" applyFont="1" applyFill="1" applyBorder="1" applyAlignment="1">
      <alignment horizontal="center"/>
    </xf>
    <xf numFmtId="0" fontId="24" fillId="0" borderId="29" xfId="0" applyFont="1" applyFill="1" applyBorder="1" applyAlignment="1">
      <alignment horizontal="center"/>
    </xf>
    <xf numFmtId="0" fontId="24" fillId="0" borderId="0" xfId="0" quotePrefix="1" applyFont="1" applyFill="1" applyBorder="1" applyAlignment="1">
      <alignment horizontal="centerContinuous"/>
    </xf>
    <xf numFmtId="164" fontId="24" fillId="0" borderId="0" xfId="202" quotePrefix="1" applyNumberFormat="1" applyFont="1" applyFill="1" applyBorder="1" applyAlignment="1">
      <alignment horizontal="left"/>
    </xf>
    <xf numFmtId="167" fontId="24" fillId="0" borderId="0" xfId="226" applyNumberFormat="1" applyFont="1" applyFill="1" applyBorder="1"/>
    <xf numFmtId="170" fontId="24" fillId="0" borderId="0" xfId="202" applyNumberFormat="1" applyFont="1" applyFill="1"/>
    <xf numFmtId="9" fontId="24" fillId="0" borderId="0" xfId="0" applyNumberFormat="1" applyFont="1" applyFill="1"/>
    <xf numFmtId="164" fontId="24" fillId="0" borderId="2" xfId="202" quotePrefix="1" applyNumberFormat="1" applyFont="1" applyFill="1" applyBorder="1" applyAlignment="1">
      <alignment horizontal="left"/>
    </xf>
    <xf numFmtId="164" fontId="24" fillId="0" borderId="0" xfId="202" quotePrefix="1" applyNumberFormat="1" applyFont="1" applyFill="1" applyAlignment="1">
      <alignment horizontal="left"/>
    </xf>
    <xf numFmtId="7" fontId="24" fillId="0" borderId="0" xfId="226" applyNumberFormat="1" applyFont="1" applyFill="1"/>
    <xf numFmtId="180" fontId="24" fillId="0" borderId="0" xfId="226" applyNumberFormat="1" applyFont="1" applyFill="1"/>
    <xf numFmtId="186" fontId="24" fillId="0" borderId="0" xfId="0" applyNumberFormat="1" applyFont="1" applyFill="1"/>
    <xf numFmtId="0" fontId="24" fillId="0" borderId="0" xfId="0" applyFont="1" applyFill="1" applyBorder="1" applyAlignment="1">
      <alignment horizontal="left" wrapText="1"/>
    </xf>
    <xf numFmtId="165" fontId="24" fillId="0" borderId="0" xfId="0" quotePrefix="1" applyNumberFormat="1" applyFont="1" applyFill="1" applyBorder="1" applyAlignment="1">
      <alignment horizontal="center" wrapText="1"/>
    </xf>
    <xf numFmtId="165" fontId="24" fillId="0" borderId="0" xfId="226" quotePrefix="1" applyNumberFormat="1" applyFont="1" applyFill="1" applyAlignment="1">
      <alignment horizontal="left"/>
    </xf>
    <xf numFmtId="169" fontId="24" fillId="0" borderId="0" xfId="306" quotePrefix="1" applyNumberFormat="1" applyFont="1" applyFill="1" applyAlignment="1">
      <alignment horizontal="center"/>
    </xf>
    <xf numFmtId="164" fontId="24" fillId="0" borderId="12" xfId="0" applyNumberFormat="1" applyFont="1" applyFill="1" applyBorder="1"/>
    <xf numFmtId="0" fontId="24" fillId="0" borderId="31" xfId="0" applyFont="1" applyFill="1" applyBorder="1" applyAlignment="1">
      <alignment horizontal="center" wrapText="1"/>
    </xf>
    <xf numFmtId="0" fontId="24" fillId="0" borderId="32" xfId="0" applyFont="1" applyFill="1" applyBorder="1" applyAlignment="1">
      <alignment horizontal="center" wrapText="1"/>
    </xf>
    <xf numFmtId="0" fontId="24" fillId="0" borderId="33" xfId="0" applyFont="1" applyFill="1" applyBorder="1" applyAlignment="1">
      <alignment horizontal="center" wrapText="1"/>
    </xf>
    <xf numFmtId="0" fontId="24" fillId="0" borderId="34" xfId="0" applyFont="1" applyFill="1" applyBorder="1" applyAlignment="1">
      <alignment horizontal="center" vertical="center" wrapText="1"/>
    </xf>
    <xf numFmtId="0" fontId="24" fillId="0" borderId="28" xfId="0" applyFont="1" applyFill="1" applyBorder="1" applyAlignment="1">
      <alignment horizontal="left" vertical="center" wrapText="1"/>
    </xf>
    <xf numFmtId="0" fontId="24" fillId="0" borderId="28" xfId="0" applyFont="1" applyFill="1" applyBorder="1" applyAlignment="1">
      <alignment horizontal="center" vertical="center" wrapText="1"/>
    </xf>
    <xf numFmtId="0" fontId="24" fillId="0" borderId="28" xfId="0" quotePrefix="1" applyFont="1" applyFill="1" applyBorder="1" applyAlignment="1">
      <alignment horizontal="center" vertical="center" wrapText="1"/>
    </xf>
    <xf numFmtId="0" fontId="24" fillId="0" borderId="35" xfId="0" applyFont="1" applyFill="1" applyBorder="1" applyAlignment="1">
      <alignment horizontal="center" vertical="center" wrapText="1"/>
    </xf>
    <xf numFmtId="0" fontId="24" fillId="0" borderId="36" xfId="0" applyFont="1" applyFill="1" applyBorder="1" applyAlignment="1">
      <alignment horizontal="center" vertical="center" wrapText="1"/>
    </xf>
    <xf numFmtId="0" fontId="24" fillId="0" borderId="3" xfId="0" quotePrefix="1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37" xfId="0" applyFont="1" applyFill="1" applyBorder="1" applyAlignment="1">
      <alignment horizontal="center" vertical="center" wrapText="1"/>
    </xf>
    <xf numFmtId="6" fontId="24" fillId="0" borderId="3" xfId="0" quotePrefix="1" applyNumberFormat="1" applyFont="1" applyFill="1" applyBorder="1" applyAlignment="1">
      <alignment horizontal="center" vertical="center" wrapText="1"/>
    </xf>
    <xf numFmtId="0" fontId="24" fillId="0" borderId="3" xfId="0" quotePrefix="1" applyFont="1" applyFill="1" applyBorder="1" applyAlignment="1">
      <alignment horizontal="center" vertical="center" wrapText="1"/>
    </xf>
    <xf numFmtId="6" fontId="24" fillId="0" borderId="3" xfId="0" applyNumberFormat="1" applyFont="1" applyFill="1" applyBorder="1" applyAlignment="1">
      <alignment horizontal="center" vertical="center" wrapText="1"/>
    </xf>
    <xf numFmtId="0" fontId="24" fillId="0" borderId="38" xfId="0" applyFont="1" applyFill="1" applyBorder="1" applyAlignment="1">
      <alignment horizontal="center"/>
    </xf>
    <xf numFmtId="0" fontId="24" fillId="0" borderId="39" xfId="0" applyFont="1" applyFill="1" applyBorder="1" applyAlignment="1">
      <alignment horizontal="center"/>
    </xf>
    <xf numFmtId="0" fontId="24" fillId="0" borderId="2" xfId="0" applyFont="1" applyFill="1" applyBorder="1" applyAlignment="1">
      <alignment horizontal="center"/>
    </xf>
    <xf numFmtId="0" fontId="24" fillId="0" borderId="40" xfId="0" applyFont="1" applyFill="1" applyBorder="1"/>
    <xf numFmtId="0" fontId="24" fillId="0" borderId="22" xfId="0" applyFont="1" applyFill="1" applyBorder="1" applyAlignment="1">
      <alignment horizontal="center" wrapText="1"/>
    </xf>
    <xf numFmtId="0" fontId="24" fillId="0" borderId="0" xfId="0" applyFont="1" applyFill="1" applyBorder="1" applyAlignment="1">
      <alignment horizontal="centerContinuous"/>
    </xf>
    <xf numFmtId="0" fontId="24" fillId="0" borderId="0" xfId="0" applyFont="1" applyFill="1" applyBorder="1" applyAlignment="1">
      <alignment horizontal="left" indent="1"/>
    </xf>
    <xf numFmtId="0" fontId="24" fillId="0" borderId="0" xfId="0" applyFont="1" applyFill="1" applyBorder="1" applyAlignment="1"/>
    <xf numFmtId="0" fontId="24" fillId="0" borderId="12" xfId="0" quotePrefix="1" applyFont="1" applyFill="1" applyBorder="1" applyAlignment="1">
      <alignment horizontal="center" wrapText="1"/>
    </xf>
    <xf numFmtId="0" fontId="24" fillId="0" borderId="41" xfId="0" quotePrefix="1" applyFont="1" applyFill="1" applyBorder="1" applyAlignment="1">
      <alignment horizontal="center" wrapText="1"/>
    </xf>
    <xf numFmtId="0" fontId="24" fillId="0" borderId="42" xfId="0" applyFont="1" applyFill="1" applyBorder="1" applyAlignment="1">
      <alignment horizontal="left" indent="1"/>
    </xf>
    <xf numFmtId="0" fontId="24" fillId="0" borderId="43" xfId="0" applyFont="1" applyFill="1" applyBorder="1"/>
    <xf numFmtId="0" fontId="24" fillId="0" borderId="30" xfId="0" applyFont="1" applyFill="1" applyBorder="1" applyAlignment="1">
      <alignment horizontal="left" indent="1"/>
    </xf>
    <xf numFmtId="44" fontId="24" fillId="0" borderId="11" xfId="0" applyNumberFormat="1" applyFont="1" applyFill="1" applyBorder="1"/>
    <xf numFmtId="0" fontId="24" fillId="0" borderId="11" xfId="0" quotePrefix="1" applyFont="1" applyFill="1" applyBorder="1" applyAlignment="1">
      <alignment horizontal="left"/>
    </xf>
    <xf numFmtId="0" fontId="24" fillId="0" borderId="40" xfId="0" applyFont="1" applyFill="1" applyBorder="1" applyAlignment="1"/>
    <xf numFmtId="0" fontId="24" fillId="0" borderId="12" xfId="0" applyFont="1" applyFill="1" applyBorder="1"/>
    <xf numFmtId="0" fontId="24" fillId="0" borderId="42" xfId="0" applyFont="1" applyFill="1" applyBorder="1" applyAlignment="1">
      <alignment horizontal="left" indent="2"/>
    </xf>
    <xf numFmtId="0" fontId="24" fillId="0" borderId="30" xfId="0" applyFont="1" applyFill="1" applyBorder="1" applyAlignment="1">
      <alignment horizontal="left" indent="2"/>
    </xf>
    <xf numFmtId="168" fontId="24" fillId="0" borderId="11" xfId="226" applyNumberFormat="1" applyFont="1" applyFill="1" applyBorder="1"/>
    <xf numFmtId="0" fontId="24" fillId="0" borderId="40" xfId="0" quotePrefix="1" applyFont="1" applyFill="1" applyBorder="1" applyAlignment="1">
      <alignment horizontal="left" indent="1"/>
    </xf>
    <xf numFmtId="0" fontId="24" fillId="0" borderId="41" xfId="0" applyFont="1" applyFill="1" applyBorder="1"/>
    <xf numFmtId="171" fontId="24" fillId="0" borderId="11" xfId="202" applyNumberFormat="1" applyFont="1" applyFill="1" applyBorder="1"/>
    <xf numFmtId="0" fontId="24" fillId="0" borderId="42" xfId="0" quotePrefix="1" applyFont="1" applyFill="1" applyBorder="1" applyAlignment="1">
      <alignment horizontal="left" indent="1"/>
    </xf>
    <xf numFmtId="44" fontId="24" fillId="0" borderId="43" xfId="226" applyFont="1" applyFill="1" applyBorder="1"/>
    <xf numFmtId="0" fontId="24" fillId="0" borderId="30" xfId="0" quotePrefix="1" applyFont="1" applyFill="1" applyBorder="1" applyAlignment="1">
      <alignment horizontal="left" indent="1"/>
    </xf>
    <xf numFmtId="44" fontId="24" fillId="0" borderId="11" xfId="226" applyFont="1" applyFill="1" applyBorder="1"/>
    <xf numFmtId="44" fontId="24" fillId="0" borderId="29" xfId="226" applyFont="1" applyFill="1" applyBorder="1"/>
    <xf numFmtId="0" fontId="24" fillId="0" borderId="38" xfId="0" quotePrefix="1" applyFont="1" applyFill="1" applyBorder="1" applyAlignment="1">
      <alignment horizontal="center" wrapText="1"/>
    </xf>
    <xf numFmtId="0" fontId="24" fillId="0" borderId="2" xfId="0" applyFont="1" applyFill="1" applyBorder="1" applyAlignment="1">
      <alignment horizontal="left" indent="1"/>
    </xf>
    <xf numFmtId="0" fontId="24" fillId="0" borderId="2" xfId="0" quotePrefix="1" applyFont="1" applyFill="1" applyBorder="1" applyAlignment="1">
      <alignment horizontal="center" wrapText="1"/>
    </xf>
    <xf numFmtId="0" fontId="24" fillId="0" borderId="2" xfId="0" applyFont="1" applyFill="1" applyBorder="1" applyAlignment="1">
      <alignment horizontal="center" wrapText="1"/>
    </xf>
    <xf numFmtId="0" fontId="24" fillId="0" borderId="39" xfId="0" quotePrefix="1" applyFont="1" applyFill="1" applyBorder="1" applyAlignment="1">
      <alignment horizontal="center" wrapText="1"/>
    </xf>
    <xf numFmtId="173" fontId="24" fillId="0" borderId="17" xfId="306" applyNumberFormat="1" applyFont="1" applyFill="1" applyBorder="1"/>
    <xf numFmtId="173" fontId="24" fillId="0" borderId="18" xfId="306" applyNumberFormat="1" applyFont="1" applyFill="1" applyBorder="1"/>
    <xf numFmtId="173" fontId="24" fillId="0" borderId="0" xfId="306" applyNumberFormat="1" applyFont="1" applyFill="1" applyBorder="1"/>
    <xf numFmtId="173" fontId="24" fillId="0" borderId="20" xfId="306" applyNumberFormat="1" applyFont="1" applyFill="1" applyBorder="1"/>
    <xf numFmtId="173" fontId="24" fillId="0" borderId="9" xfId="306" applyNumberFormat="1" applyFont="1" applyFill="1" applyBorder="1"/>
    <xf numFmtId="173" fontId="24" fillId="0" borderId="24" xfId="306" applyNumberFormat="1" applyFont="1" applyFill="1" applyBorder="1"/>
    <xf numFmtId="0" fontId="0" fillId="0" borderId="0" xfId="0" applyAlignment="1">
      <alignment horizontal="center" wrapText="1"/>
    </xf>
    <xf numFmtId="0" fontId="0" fillId="0" borderId="0" xfId="0" quotePrefix="1" applyAlignment="1">
      <alignment horizontal="left"/>
    </xf>
    <xf numFmtId="44" fontId="24" fillId="0" borderId="12" xfId="226" applyFont="1" applyFill="1" applyBorder="1"/>
    <xf numFmtId="44" fontId="24" fillId="0" borderId="41" xfId="226" applyFont="1" applyFill="1" applyBorder="1"/>
    <xf numFmtId="165" fontId="24" fillId="14" borderId="10" xfId="226" applyNumberFormat="1" applyFont="1" applyFill="1" applyBorder="1"/>
    <xf numFmtId="165" fontId="24" fillId="14" borderId="0" xfId="226" applyNumberFormat="1" applyFont="1" applyFill="1"/>
    <xf numFmtId="0" fontId="24" fillId="0" borderId="0" xfId="0" applyFont="1" applyFill="1" applyAlignment="1">
      <alignment horizontal="center"/>
    </xf>
    <xf numFmtId="165" fontId="6" fillId="0" borderId="0" xfId="227" applyNumberFormat="1"/>
    <xf numFmtId="165" fontId="0" fillId="0" borderId="0" xfId="0" applyNumberFormat="1"/>
    <xf numFmtId="10" fontId="0" fillId="0" borderId="0" xfId="0" applyNumberFormat="1"/>
    <xf numFmtId="0" fontId="24" fillId="0" borderId="0" xfId="0" applyFont="1" applyAlignment="1">
      <alignment horizontal="left"/>
    </xf>
    <xf numFmtId="164" fontId="24" fillId="0" borderId="0" xfId="203" applyNumberFormat="1" applyFont="1"/>
    <xf numFmtId="164" fontId="24" fillId="0" borderId="0" xfId="203" applyNumberFormat="1" applyFont="1" applyFill="1"/>
    <xf numFmtId="165" fontId="24" fillId="0" borderId="0" xfId="227" applyNumberFormat="1" applyFont="1"/>
    <xf numFmtId="169" fontId="24" fillId="0" borderId="0" xfId="308" applyNumberFormat="1" applyFont="1" applyAlignment="1">
      <alignment horizontal="right"/>
    </xf>
    <xf numFmtId="168" fontId="24" fillId="0" borderId="0" xfId="227" applyNumberFormat="1" applyFont="1" applyFill="1"/>
    <xf numFmtId="44" fontId="24" fillId="0" borderId="0" xfId="227" applyFont="1"/>
    <xf numFmtId="169" fontId="24" fillId="0" borderId="0" xfId="308" applyNumberFormat="1" applyFont="1"/>
    <xf numFmtId="0" fontId="24" fillId="0" borderId="0" xfId="0" applyFont="1"/>
    <xf numFmtId="164" fontId="24" fillId="0" borderId="10" xfId="203" applyNumberFormat="1" applyFont="1" applyBorder="1"/>
    <xf numFmtId="164" fontId="24" fillId="0" borderId="10" xfId="203" applyNumberFormat="1" applyFont="1" applyFill="1" applyBorder="1"/>
    <xf numFmtId="165" fontId="24" fillId="0" borderId="10" xfId="227" applyNumberFormat="1" applyFont="1" applyBorder="1"/>
    <xf numFmtId="169" fontId="24" fillId="0" borderId="10" xfId="308" applyNumberFormat="1" applyFont="1" applyBorder="1"/>
    <xf numFmtId="164" fontId="24" fillId="0" borderId="0" xfId="0" applyNumberFormat="1" applyFont="1"/>
    <xf numFmtId="10" fontId="24" fillId="0" borderId="0" xfId="0" applyNumberFormat="1" applyFont="1"/>
    <xf numFmtId="0" fontId="25" fillId="0" borderId="16" xfId="0" applyFont="1" applyFill="1" applyBorder="1" applyAlignment="1"/>
    <xf numFmtId="0" fontId="25" fillId="0" borderId="17" xfId="0" applyFont="1" applyFill="1" applyBorder="1" applyAlignment="1"/>
    <xf numFmtId="0" fontId="25" fillId="0" borderId="18" xfId="0" applyFont="1" applyFill="1" applyBorder="1" applyAlignment="1"/>
    <xf numFmtId="172" fontId="24" fillId="0" borderId="0" xfId="306" quotePrefix="1" applyNumberFormat="1" applyFont="1" applyFill="1" applyBorder="1" applyAlignment="1">
      <alignment horizontal="right"/>
    </xf>
    <xf numFmtId="172" fontId="24" fillId="0" borderId="9" xfId="306" applyNumberFormat="1" applyFont="1" applyFill="1" applyBorder="1" applyAlignment="1">
      <alignment horizontal="right"/>
    </xf>
    <xf numFmtId="0" fontId="24" fillId="0" borderId="0" xfId="0" applyFont="1" applyFill="1" applyAlignment="1">
      <alignment horizontal="center"/>
    </xf>
    <xf numFmtId="0" fontId="25" fillId="0" borderId="0" xfId="0" quotePrefix="1" applyFont="1" applyFill="1" applyAlignment="1">
      <alignment horizontal="left" vertical="center" wrapText="1"/>
    </xf>
    <xf numFmtId="0" fontId="25" fillId="0" borderId="0" xfId="0" quotePrefix="1" applyFont="1" applyFill="1" applyAlignment="1">
      <alignment vertical="center"/>
    </xf>
    <xf numFmtId="0" fontId="25" fillId="0" borderId="0" xfId="0" applyFont="1" applyFill="1" applyAlignment="1">
      <alignment vertical="center" wrapText="1"/>
    </xf>
    <xf numFmtId="0" fontId="25" fillId="0" borderId="0" xfId="0" quotePrefix="1" applyFont="1" applyFill="1" applyAlignment="1">
      <alignment vertical="center" wrapText="1"/>
    </xf>
    <xf numFmtId="10" fontId="24" fillId="0" borderId="0" xfId="306" applyNumberFormat="1" applyFont="1" applyFill="1" applyAlignment="1">
      <alignment horizontal="right"/>
    </xf>
    <xf numFmtId="0" fontId="24" fillId="0" borderId="0" xfId="0" applyFont="1" applyFill="1" applyAlignment="1">
      <alignment horizontal="center"/>
    </xf>
    <xf numFmtId="0" fontId="25" fillId="0" borderId="0" xfId="0" quotePrefix="1" applyFont="1" applyFill="1" applyAlignment="1">
      <alignment horizontal="left" vertical="center" wrapText="1"/>
    </xf>
    <xf numFmtId="0" fontId="24" fillId="0" borderId="19" xfId="0" quotePrefix="1" applyFont="1" applyFill="1" applyBorder="1" applyAlignment="1">
      <alignment horizontal="left" indent="1"/>
    </xf>
    <xf numFmtId="10" fontId="24" fillId="0" borderId="10" xfId="306" quotePrefix="1" applyNumberFormat="1" applyFont="1" applyFill="1" applyBorder="1" applyAlignment="1">
      <alignment horizontal="center"/>
    </xf>
    <xf numFmtId="10" fontId="24" fillId="0" borderId="2" xfId="306" quotePrefix="1" applyNumberFormat="1" applyFont="1" applyFill="1" applyBorder="1" applyAlignment="1">
      <alignment horizontal="center"/>
    </xf>
    <xf numFmtId="10" fontId="24" fillId="0" borderId="0" xfId="306" quotePrefix="1" applyNumberFormat="1" applyFont="1" applyFill="1" applyAlignment="1">
      <alignment horizontal="center"/>
    </xf>
    <xf numFmtId="10" fontId="24" fillId="0" borderId="12" xfId="306" quotePrefix="1" applyNumberFormat="1" applyFont="1" applyFill="1" applyBorder="1" applyAlignment="1">
      <alignment horizontal="center"/>
    </xf>
    <xf numFmtId="0" fontId="24" fillId="0" borderId="0" xfId="0" applyFont="1" applyFill="1" applyAlignment="1">
      <alignment horizontal="center"/>
    </xf>
    <xf numFmtId="0" fontId="24" fillId="0" borderId="11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0" xfId="0" quotePrefix="1" applyFont="1" applyFill="1" applyBorder="1" applyAlignment="1">
      <alignment horizontal="center"/>
    </xf>
    <xf numFmtId="0" fontId="24" fillId="0" borderId="0" xfId="0" quotePrefix="1" applyFont="1" applyFill="1" applyBorder="1" applyAlignment="1">
      <alignment horizontal="left"/>
    </xf>
    <xf numFmtId="0" fontId="24" fillId="0" borderId="0" xfId="0" applyFont="1" applyFill="1" applyBorder="1" applyAlignment="1">
      <alignment horizontal="center"/>
    </xf>
    <xf numFmtId="44" fontId="24" fillId="0" borderId="0" xfId="0" quotePrefix="1" applyNumberFormat="1" applyFont="1" applyFill="1" applyBorder="1" applyAlignment="1">
      <alignment horizontal="left"/>
    </xf>
    <xf numFmtId="44" fontId="18" fillId="0" borderId="0" xfId="226" applyFont="1" applyFill="1" applyBorder="1" applyAlignment="1">
      <alignment vertical="center"/>
    </xf>
    <xf numFmtId="43" fontId="24" fillId="0" borderId="0" xfId="202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0" xfId="0" applyFont="1" applyFill="1" applyAlignment="1">
      <alignment horizontal="center"/>
    </xf>
    <xf numFmtId="0" fontId="24" fillId="0" borderId="0" xfId="0" quotePrefix="1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0" fontId="25" fillId="0" borderId="0" xfId="0" quotePrefix="1" applyFont="1" applyFill="1" applyAlignment="1">
      <alignment horizontal="center"/>
    </xf>
    <xf numFmtId="0" fontId="24" fillId="0" borderId="30" xfId="0" quotePrefix="1" applyFont="1" applyFill="1" applyBorder="1" applyAlignment="1">
      <alignment horizontal="center"/>
    </xf>
    <xf numFmtId="0" fontId="24" fillId="0" borderId="29" xfId="0" applyFont="1" applyFill="1" applyBorder="1" applyAlignment="1">
      <alignment horizontal="center"/>
    </xf>
    <xf numFmtId="0" fontId="24" fillId="0" borderId="38" xfId="0" applyFont="1" applyFill="1" applyBorder="1" applyAlignment="1">
      <alignment horizontal="center"/>
    </xf>
    <xf numFmtId="0" fontId="24" fillId="0" borderId="39" xfId="0" applyFont="1" applyFill="1" applyBorder="1" applyAlignment="1">
      <alignment horizontal="center"/>
    </xf>
    <xf numFmtId="0" fontId="24" fillId="0" borderId="2" xfId="0" applyFont="1" applyFill="1" applyBorder="1" applyAlignment="1">
      <alignment horizontal="center"/>
    </xf>
    <xf numFmtId="0" fontId="24" fillId="0" borderId="40" xfId="0" quotePrefix="1" applyFont="1" applyFill="1" applyBorder="1" applyAlignment="1">
      <alignment horizontal="center"/>
    </xf>
    <xf numFmtId="0" fontId="24" fillId="0" borderId="41" xfId="0" quotePrefix="1" applyFont="1" applyFill="1" applyBorder="1" applyAlignment="1">
      <alignment horizontal="center"/>
    </xf>
    <xf numFmtId="0" fontId="24" fillId="0" borderId="40" xfId="0" applyFont="1" applyFill="1" applyBorder="1" applyAlignment="1">
      <alignment horizontal="center"/>
    </xf>
    <xf numFmtId="0" fontId="24" fillId="0" borderId="41" xfId="0" applyFont="1" applyFill="1" applyBorder="1" applyAlignment="1">
      <alignment horizontal="center"/>
    </xf>
    <xf numFmtId="0" fontId="24" fillId="0" borderId="30" xfId="0" applyFont="1" applyFill="1" applyBorder="1" applyAlignment="1">
      <alignment horizontal="center"/>
    </xf>
    <xf numFmtId="0" fontId="24" fillId="0" borderId="38" xfId="0" quotePrefix="1" applyFont="1" applyFill="1" applyBorder="1" applyAlignment="1">
      <alignment horizontal="center"/>
    </xf>
    <xf numFmtId="0" fontId="25" fillId="0" borderId="0" xfId="0" quotePrefix="1" applyFont="1" applyFill="1" applyAlignment="1">
      <alignment horizontal="left" vertical="center" wrapText="1"/>
    </xf>
    <xf numFmtId="0" fontId="25" fillId="0" borderId="0" xfId="0" applyFont="1" applyFill="1" applyAlignment="1">
      <alignment horizontal="left" vertical="center" wrapText="1"/>
    </xf>
    <xf numFmtId="0" fontId="25" fillId="0" borderId="0" xfId="0" quotePrefix="1" applyFont="1" applyFill="1" applyAlignment="1">
      <alignment horizontal="left" vertical="center"/>
    </xf>
    <xf numFmtId="0" fontId="25" fillId="0" borderId="0" xfId="0" quotePrefix="1" applyFont="1" applyFill="1" applyAlignment="1">
      <alignment horizontal="center" vertical="center" wrapText="1"/>
    </xf>
    <xf numFmtId="0" fontId="38" fillId="0" borderId="0" xfId="0" quotePrefix="1" applyFont="1" applyFill="1" applyAlignment="1">
      <alignment horizontal="left" wrapText="1"/>
    </xf>
    <xf numFmtId="0" fontId="24" fillId="0" borderId="0" xfId="0" quotePrefix="1" applyFont="1" applyFill="1" applyBorder="1" applyAlignment="1">
      <alignment horizontal="center"/>
    </xf>
    <xf numFmtId="0" fontId="24" fillId="0" borderId="12" xfId="0" applyFont="1" applyFill="1" applyBorder="1" applyAlignment="1">
      <alignment horizontal="left"/>
    </xf>
    <xf numFmtId="0" fontId="24" fillId="0" borderId="41" xfId="0" applyFont="1" applyFill="1" applyBorder="1" applyAlignment="1">
      <alignment horizontal="left"/>
    </xf>
    <xf numFmtId="0" fontId="24" fillId="0" borderId="0" xfId="0" quotePrefix="1" applyFont="1" applyFill="1" applyBorder="1" applyAlignment="1">
      <alignment horizontal="left"/>
    </xf>
    <xf numFmtId="0" fontId="24" fillId="0" borderId="0" xfId="0" applyFont="1" applyFill="1" applyBorder="1" applyAlignment="1">
      <alignment horizontal="left"/>
    </xf>
    <xf numFmtId="0" fontId="24" fillId="0" borderId="43" xfId="0" applyFont="1" applyFill="1" applyBorder="1" applyAlignment="1">
      <alignment horizontal="left"/>
    </xf>
    <xf numFmtId="0" fontId="24" fillId="0" borderId="0" xfId="0" applyFont="1" applyFill="1" applyBorder="1" applyAlignment="1">
      <alignment horizontal="center"/>
    </xf>
    <xf numFmtId="0" fontId="24" fillId="0" borderId="12" xfId="0" applyFont="1" applyFill="1" applyBorder="1" applyAlignment="1">
      <alignment horizontal="center"/>
    </xf>
    <xf numFmtId="0" fontId="24" fillId="0" borderId="25" xfId="0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/>
    </xf>
    <xf numFmtId="0" fontId="24" fillId="0" borderId="21" xfId="0" applyFont="1" applyFill="1" applyBorder="1" applyAlignment="1">
      <alignment horizontal="center"/>
    </xf>
    <xf numFmtId="0" fontId="25" fillId="0" borderId="16" xfId="0" applyFont="1" applyFill="1" applyBorder="1" applyAlignment="1">
      <alignment horizontal="center"/>
    </xf>
    <xf numFmtId="0" fontId="25" fillId="0" borderId="17" xfId="0" quotePrefix="1" applyFont="1" applyFill="1" applyBorder="1" applyAlignment="1">
      <alignment horizontal="center"/>
    </xf>
    <xf numFmtId="0" fontId="25" fillId="0" borderId="18" xfId="0" quotePrefix="1" applyFont="1" applyFill="1" applyBorder="1" applyAlignment="1">
      <alignment horizontal="center"/>
    </xf>
    <xf numFmtId="0" fontId="25" fillId="0" borderId="16" xfId="0" quotePrefix="1" applyFont="1" applyFill="1" applyBorder="1" applyAlignment="1">
      <alignment horizontal="center"/>
    </xf>
    <xf numFmtId="0" fontId="24" fillId="0" borderId="0" xfId="0" quotePrefix="1" applyFont="1" applyFill="1" applyAlignment="1">
      <alignment horizontal="left" indent="1"/>
    </xf>
    <xf numFmtId="0" fontId="24" fillId="0" borderId="43" xfId="0" quotePrefix="1" applyFont="1" applyFill="1" applyBorder="1" applyAlignment="1">
      <alignment horizontal="left" indent="1"/>
    </xf>
    <xf numFmtId="0" fontId="24" fillId="0" borderId="11" xfId="0" applyFont="1" applyFill="1" applyBorder="1" applyAlignment="1">
      <alignment horizontal="center"/>
    </xf>
  </cellXfs>
  <cellStyles count="3707">
    <cellStyle name="_x0013_" xfId="1"/>
    <cellStyle name="_x0013_ 2" xfId="1733"/>
    <cellStyle name="_09GRC Gas Transport For Review" xfId="371"/>
    <cellStyle name="_09GRC Gas Transport For Review 2" xfId="1734"/>
    <cellStyle name="_09GRC Gas Transport For Review_Book4" xfId="372"/>
    <cellStyle name="_09GRC Gas Transport For Review_Book4 2" xfId="1735"/>
    <cellStyle name="_x0013__16.07E Wild Horse Wind Expansionwrkingfile" xfId="373"/>
    <cellStyle name="_x0013__16.07E Wild Horse Wind Expansionwrkingfile 2" xfId="1736"/>
    <cellStyle name="_x0013__16.07E Wild Horse Wind Expansionwrkingfile SF" xfId="374"/>
    <cellStyle name="_x0013__16.07E Wild Horse Wind Expansionwrkingfile SF 2" xfId="1737"/>
    <cellStyle name="_x0013__16.37E Wild Horse Expansion DeferralRevwrkingfile SF" xfId="375"/>
    <cellStyle name="_x0013__16.37E Wild Horse Expansion DeferralRevwrkingfile SF 2" xfId="1738"/>
    <cellStyle name="_4.06E Pass Throughs" xfId="2"/>
    <cellStyle name="_4.06E Pass Throughs 2" xfId="376"/>
    <cellStyle name="_4.06E Pass Throughs 2 2" xfId="1739"/>
    <cellStyle name="_4.06E Pass Throughs 3" xfId="1592"/>
    <cellStyle name="_4.06E Pass Throughs 3 2" xfId="1741"/>
    <cellStyle name="_4.06E Pass Throughs 3 3" xfId="1742"/>
    <cellStyle name="_4.06E Pass Throughs 3 4" xfId="1740"/>
    <cellStyle name="_4.06E Pass Throughs 4" xfId="1743"/>
    <cellStyle name="_4.06E Pass Throughs_04 07E Wild Horse Wind Expansion (C) (2)" xfId="3"/>
    <cellStyle name="_4.06E Pass Throughs_04 07E Wild Horse Wind Expansion (C) (2) 2" xfId="1744"/>
    <cellStyle name="_4.06E Pass Throughs_04 07E Wild Horse Wind Expansion (C) (2)_Adj Bench DR 3 for Initial Briefs (Electric)" xfId="377"/>
    <cellStyle name="_4.06E Pass Throughs_04 07E Wild Horse Wind Expansion (C) (2)_Adj Bench DR 3 for Initial Briefs (Electric) 2" xfId="1745"/>
    <cellStyle name="_4.06E Pass Throughs_04 07E Wild Horse Wind Expansion (C) (2)_Electric Rev Req Model (2009 GRC) " xfId="378"/>
    <cellStyle name="_4.06E Pass Throughs_04 07E Wild Horse Wind Expansion (C) (2)_Electric Rev Req Model (2009 GRC)  2" xfId="1746"/>
    <cellStyle name="_4.06E Pass Throughs_04 07E Wild Horse Wind Expansion (C) (2)_Electric Rev Req Model (2009 GRC) Rebuttal" xfId="379"/>
    <cellStyle name="_4.06E Pass Throughs_04 07E Wild Horse Wind Expansion (C) (2)_Electric Rev Req Model (2009 GRC) Rebuttal 2" xfId="1747"/>
    <cellStyle name="_4.06E Pass Throughs_04 07E Wild Horse Wind Expansion (C) (2)_Electric Rev Req Model (2009 GRC) Rebuttal REmoval of New  WH Solar AdjustMI" xfId="380"/>
    <cellStyle name="_4.06E Pass Throughs_04 07E Wild Horse Wind Expansion (C) (2)_Electric Rev Req Model (2009 GRC) Rebuttal REmoval of New  WH Solar AdjustMI 2" xfId="1748"/>
    <cellStyle name="_4.06E Pass Throughs_04 07E Wild Horse Wind Expansion (C) (2)_Electric Rev Req Model (2009 GRC) Revised 01-18-2010" xfId="381"/>
    <cellStyle name="_4.06E Pass Throughs_04 07E Wild Horse Wind Expansion (C) (2)_Electric Rev Req Model (2009 GRC) Revised 01-18-2010 2" xfId="1749"/>
    <cellStyle name="_4.06E Pass Throughs_04 07E Wild Horse Wind Expansion (C) (2)_Final Order Electric EXHIBIT A-1" xfId="382"/>
    <cellStyle name="_4.06E Pass Throughs_04 07E Wild Horse Wind Expansion (C) (2)_Final Order Electric EXHIBIT A-1 2" xfId="1750"/>
    <cellStyle name="_4.06E Pass Throughs_04 07E Wild Horse Wind Expansion (C) (2)_TENASKA REGULATORY ASSET" xfId="383"/>
    <cellStyle name="_4.06E Pass Throughs_04 07E Wild Horse Wind Expansion (C) (2)_TENASKA REGULATORY ASSET 2" xfId="1751"/>
    <cellStyle name="_4.06E Pass Throughs_16.37E Wild Horse Expansion DeferralRevwrkingfile SF" xfId="384"/>
    <cellStyle name="_4.06E Pass Throughs_16.37E Wild Horse Expansion DeferralRevwrkingfile SF 2" xfId="1752"/>
    <cellStyle name="_4.06E Pass Throughs_4 31 Regulatory Assets and Liabilities  7 06- Exhibit D" xfId="385"/>
    <cellStyle name="_4.06E Pass Throughs_4 31 Regulatory Assets and Liabilities  7 06- Exhibit D 2" xfId="1753"/>
    <cellStyle name="_4.06E Pass Throughs_4 32 Regulatory Assets and Liabilities  7 06- Exhibit D" xfId="386"/>
    <cellStyle name="_4.06E Pass Throughs_4 32 Regulatory Assets and Liabilities  7 06- Exhibit D 2" xfId="1754"/>
    <cellStyle name="_4.06E Pass Throughs_Book2" xfId="387"/>
    <cellStyle name="_4.06E Pass Throughs_Book2 2" xfId="1755"/>
    <cellStyle name="_4.06E Pass Throughs_Book2_Adj Bench DR 3 for Initial Briefs (Electric)" xfId="388"/>
    <cellStyle name="_4.06E Pass Throughs_Book2_Adj Bench DR 3 for Initial Briefs (Electric) 2" xfId="1756"/>
    <cellStyle name="_4.06E Pass Throughs_Book2_Electric Rev Req Model (2009 GRC) Rebuttal" xfId="389"/>
    <cellStyle name="_4.06E Pass Throughs_Book2_Electric Rev Req Model (2009 GRC) Rebuttal 2" xfId="1757"/>
    <cellStyle name="_4.06E Pass Throughs_Book2_Electric Rev Req Model (2009 GRC) Rebuttal REmoval of New  WH Solar AdjustMI" xfId="390"/>
    <cellStyle name="_4.06E Pass Throughs_Book2_Electric Rev Req Model (2009 GRC) Rebuttal REmoval of New  WH Solar AdjustMI 2" xfId="1758"/>
    <cellStyle name="_4.06E Pass Throughs_Book2_Electric Rev Req Model (2009 GRC) Revised 01-18-2010" xfId="391"/>
    <cellStyle name="_4.06E Pass Throughs_Book2_Electric Rev Req Model (2009 GRC) Revised 01-18-2010 2" xfId="1759"/>
    <cellStyle name="_4.06E Pass Throughs_Book2_Final Order Electric EXHIBIT A-1" xfId="392"/>
    <cellStyle name="_4.06E Pass Throughs_Book2_Final Order Electric EXHIBIT A-1 2" xfId="1760"/>
    <cellStyle name="_4.06E Pass Throughs_Book4" xfId="393"/>
    <cellStyle name="_4.06E Pass Throughs_Book4 2" xfId="1761"/>
    <cellStyle name="_4.06E Pass Throughs_Book9" xfId="394"/>
    <cellStyle name="_4.06E Pass Throughs_Book9 2" xfId="1762"/>
    <cellStyle name="_4.06E Pass Throughs_INPUTS" xfId="4"/>
    <cellStyle name="_4.06E Pass Throughs_INPUTS 2" xfId="1763"/>
    <cellStyle name="_4.06E Pass Throughs_Power Costs - Comparison bx Rbtl-Staff-Jt-PC" xfId="395"/>
    <cellStyle name="_4.06E Pass Throughs_Power Costs - Comparison bx Rbtl-Staff-Jt-PC 2" xfId="1764"/>
    <cellStyle name="_4.06E Pass Throughs_Power Costs - Comparison bx Rbtl-Staff-Jt-PC_Adj Bench DR 3 for Initial Briefs (Electric)" xfId="396"/>
    <cellStyle name="_4.06E Pass Throughs_Power Costs - Comparison bx Rbtl-Staff-Jt-PC_Adj Bench DR 3 for Initial Briefs (Electric) 2" xfId="1765"/>
    <cellStyle name="_4.06E Pass Throughs_Power Costs - Comparison bx Rbtl-Staff-Jt-PC_Electric Rev Req Model (2009 GRC) Rebuttal" xfId="397"/>
    <cellStyle name="_4.06E Pass Throughs_Power Costs - Comparison bx Rbtl-Staff-Jt-PC_Electric Rev Req Model (2009 GRC) Rebuttal 2" xfId="1766"/>
    <cellStyle name="_4.06E Pass Throughs_Power Costs - Comparison bx Rbtl-Staff-Jt-PC_Electric Rev Req Model (2009 GRC) Rebuttal REmoval of New  WH Solar AdjustMI" xfId="398"/>
    <cellStyle name="_4.06E Pass Throughs_Power Costs - Comparison bx Rbtl-Staff-Jt-PC_Electric Rev Req Model (2009 GRC) Rebuttal REmoval of New  WH Solar AdjustMI 2" xfId="1767"/>
    <cellStyle name="_4.06E Pass Throughs_Power Costs - Comparison bx Rbtl-Staff-Jt-PC_Electric Rev Req Model (2009 GRC) Revised 01-18-2010" xfId="399"/>
    <cellStyle name="_4.06E Pass Throughs_Power Costs - Comparison bx Rbtl-Staff-Jt-PC_Electric Rev Req Model (2009 GRC) Revised 01-18-2010 2" xfId="1768"/>
    <cellStyle name="_4.06E Pass Throughs_Power Costs - Comparison bx Rbtl-Staff-Jt-PC_Final Order Electric EXHIBIT A-1" xfId="400"/>
    <cellStyle name="_4.06E Pass Throughs_Power Costs - Comparison bx Rbtl-Staff-Jt-PC_Final Order Electric EXHIBIT A-1 2" xfId="1769"/>
    <cellStyle name="_4.06E Pass Throughs_Production Adj 4.37" xfId="5"/>
    <cellStyle name="_4.06E Pass Throughs_Production Adj 4.37 2" xfId="1770"/>
    <cellStyle name="_4.06E Pass Throughs_Purchased Power Adj 4.03" xfId="6"/>
    <cellStyle name="_4.06E Pass Throughs_Purchased Power Adj 4.03 2" xfId="1771"/>
    <cellStyle name="_4.06E Pass Throughs_Rebuttal Power Costs" xfId="401"/>
    <cellStyle name="_4.06E Pass Throughs_Rebuttal Power Costs 2" xfId="1772"/>
    <cellStyle name="_4.06E Pass Throughs_Rebuttal Power Costs_Adj Bench DR 3 for Initial Briefs (Electric)" xfId="402"/>
    <cellStyle name="_4.06E Pass Throughs_Rebuttal Power Costs_Adj Bench DR 3 for Initial Briefs (Electric) 2" xfId="1773"/>
    <cellStyle name="_4.06E Pass Throughs_Rebuttal Power Costs_Electric Rev Req Model (2009 GRC) Rebuttal" xfId="403"/>
    <cellStyle name="_4.06E Pass Throughs_Rebuttal Power Costs_Electric Rev Req Model (2009 GRC) Rebuttal 2" xfId="1774"/>
    <cellStyle name="_4.06E Pass Throughs_Rebuttal Power Costs_Electric Rev Req Model (2009 GRC) Rebuttal REmoval of New  WH Solar AdjustMI" xfId="404"/>
    <cellStyle name="_4.06E Pass Throughs_Rebuttal Power Costs_Electric Rev Req Model (2009 GRC) Rebuttal REmoval of New  WH Solar AdjustMI 2" xfId="1775"/>
    <cellStyle name="_4.06E Pass Throughs_Rebuttal Power Costs_Electric Rev Req Model (2009 GRC) Revised 01-18-2010" xfId="405"/>
    <cellStyle name="_4.06E Pass Throughs_Rebuttal Power Costs_Electric Rev Req Model (2009 GRC) Revised 01-18-2010 2" xfId="1776"/>
    <cellStyle name="_4.06E Pass Throughs_Rebuttal Power Costs_Final Order Electric EXHIBIT A-1" xfId="406"/>
    <cellStyle name="_4.06E Pass Throughs_Rebuttal Power Costs_Final Order Electric EXHIBIT A-1 2" xfId="1777"/>
    <cellStyle name="_4.06E Pass Throughs_ROR &amp; CONV FACTOR" xfId="7"/>
    <cellStyle name="_4.06E Pass Throughs_ROR &amp; CONV FACTOR 2" xfId="1778"/>
    <cellStyle name="_4.06E Pass Throughs_ROR 5.02" xfId="8"/>
    <cellStyle name="_4.06E Pass Throughs_ROR 5.02 2" xfId="1779"/>
    <cellStyle name="_4.13E Montana Energy Tax" xfId="9"/>
    <cellStyle name="_4.13E Montana Energy Tax 2" xfId="407"/>
    <cellStyle name="_4.13E Montana Energy Tax 2 2" xfId="1780"/>
    <cellStyle name="_4.13E Montana Energy Tax 3" xfId="1595"/>
    <cellStyle name="_4.13E Montana Energy Tax 3 2" xfId="1782"/>
    <cellStyle name="_4.13E Montana Energy Tax 3 3" xfId="1783"/>
    <cellStyle name="_4.13E Montana Energy Tax 3 4" xfId="1781"/>
    <cellStyle name="_4.13E Montana Energy Tax 4" xfId="1784"/>
    <cellStyle name="_4.13E Montana Energy Tax_04 07E Wild Horse Wind Expansion (C) (2)" xfId="10"/>
    <cellStyle name="_4.13E Montana Energy Tax_04 07E Wild Horse Wind Expansion (C) (2) 2" xfId="1785"/>
    <cellStyle name="_4.13E Montana Energy Tax_04 07E Wild Horse Wind Expansion (C) (2)_Adj Bench DR 3 for Initial Briefs (Electric)" xfId="408"/>
    <cellStyle name="_4.13E Montana Energy Tax_04 07E Wild Horse Wind Expansion (C) (2)_Adj Bench DR 3 for Initial Briefs (Electric) 2" xfId="1786"/>
    <cellStyle name="_4.13E Montana Energy Tax_04 07E Wild Horse Wind Expansion (C) (2)_Electric Rev Req Model (2009 GRC) " xfId="409"/>
    <cellStyle name="_4.13E Montana Energy Tax_04 07E Wild Horse Wind Expansion (C) (2)_Electric Rev Req Model (2009 GRC)  2" xfId="1787"/>
    <cellStyle name="_4.13E Montana Energy Tax_04 07E Wild Horse Wind Expansion (C) (2)_Electric Rev Req Model (2009 GRC) Rebuttal" xfId="410"/>
    <cellStyle name="_4.13E Montana Energy Tax_04 07E Wild Horse Wind Expansion (C) (2)_Electric Rev Req Model (2009 GRC) Rebuttal 2" xfId="1788"/>
    <cellStyle name="_4.13E Montana Energy Tax_04 07E Wild Horse Wind Expansion (C) (2)_Electric Rev Req Model (2009 GRC) Rebuttal REmoval of New  WH Solar AdjustMI" xfId="411"/>
    <cellStyle name="_4.13E Montana Energy Tax_04 07E Wild Horse Wind Expansion (C) (2)_Electric Rev Req Model (2009 GRC) Rebuttal REmoval of New  WH Solar AdjustMI 2" xfId="1789"/>
    <cellStyle name="_4.13E Montana Energy Tax_04 07E Wild Horse Wind Expansion (C) (2)_Electric Rev Req Model (2009 GRC) Revised 01-18-2010" xfId="412"/>
    <cellStyle name="_4.13E Montana Energy Tax_04 07E Wild Horse Wind Expansion (C) (2)_Electric Rev Req Model (2009 GRC) Revised 01-18-2010 2" xfId="1790"/>
    <cellStyle name="_4.13E Montana Energy Tax_04 07E Wild Horse Wind Expansion (C) (2)_Final Order Electric EXHIBIT A-1" xfId="413"/>
    <cellStyle name="_4.13E Montana Energy Tax_04 07E Wild Horse Wind Expansion (C) (2)_Final Order Electric EXHIBIT A-1 2" xfId="1791"/>
    <cellStyle name="_4.13E Montana Energy Tax_04 07E Wild Horse Wind Expansion (C) (2)_TENASKA REGULATORY ASSET" xfId="414"/>
    <cellStyle name="_4.13E Montana Energy Tax_04 07E Wild Horse Wind Expansion (C) (2)_TENASKA REGULATORY ASSET 2" xfId="1792"/>
    <cellStyle name="_4.13E Montana Energy Tax_16.37E Wild Horse Expansion DeferralRevwrkingfile SF" xfId="415"/>
    <cellStyle name="_4.13E Montana Energy Tax_16.37E Wild Horse Expansion DeferralRevwrkingfile SF 2" xfId="1793"/>
    <cellStyle name="_4.13E Montana Energy Tax_4 31 Regulatory Assets and Liabilities  7 06- Exhibit D" xfId="416"/>
    <cellStyle name="_4.13E Montana Energy Tax_4 31 Regulatory Assets and Liabilities  7 06- Exhibit D 2" xfId="1794"/>
    <cellStyle name="_4.13E Montana Energy Tax_4 32 Regulatory Assets and Liabilities  7 06- Exhibit D" xfId="417"/>
    <cellStyle name="_4.13E Montana Energy Tax_4 32 Regulatory Assets and Liabilities  7 06- Exhibit D 2" xfId="1795"/>
    <cellStyle name="_4.13E Montana Energy Tax_Book2" xfId="418"/>
    <cellStyle name="_4.13E Montana Energy Tax_Book2 2" xfId="1796"/>
    <cellStyle name="_4.13E Montana Energy Tax_Book2_Adj Bench DR 3 for Initial Briefs (Electric)" xfId="419"/>
    <cellStyle name="_4.13E Montana Energy Tax_Book2_Adj Bench DR 3 for Initial Briefs (Electric) 2" xfId="1797"/>
    <cellStyle name="_4.13E Montana Energy Tax_Book2_Electric Rev Req Model (2009 GRC) Rebuttal" xfId="420"/>
    <cellStyle name="_4.13E Montana Energy Tax_Book2_Electric Rev Req Model (2009 GRC) Rebuttal 2" xfId="1798"/>
    <cellStyle name="_4.13E Montana Energy Tax_Book2_Electric Rev Req Model (2009 GRC) Rebuttal REmoval of New  WH Solar AdjustMI" xfId="421"/>
    <cellStyle name="_4.13E Montana Energy Tax_Book2_Electric Rev Req Model (2009 GRC) Rebuttal REmoval of New  WH Solar AdjustMI 2" xfId="1799"/>
    <cellStyle name="_4.13E Montana Energy Tax_Book2_Electric Rev Req Model (2009 GRC) Revised 01-18-2010" xfId="422"/>
    <cellStyle name="_4.13E Montana Energy Tax_Book2_Electric Rev Req Model (2009 GRC) Revised 01-18-2010 2" xfId="1800"/>
    <cellStyle name="_4.13E Montana Energy Tax_Book2_Final Order Electric EXHIBIT A-1" xfId="423"/>
    <cellStyle name="_4.13E Montana Energy Tax_Book2_Final Order Electric EXHIBIT A-1 2" xfId="1801"/>
    <cellStyle name="_4.13E Montana Energy Tax_Book4" xfId="424"/>
    <cellStyle name="_4.13E Montana Energy Tax_Book4 2" xfId="1802"/>
    <cellStyle name="_4.13E Montana Energy Tax_Book9" xfId="425"/>
    <cellStyle name="_4.13E Montana Energy Tax_Book9 2" xfId="1803"/>
    <cellStyle name="_4.13E Montana Energy Tax_INPUTS" xfId="11"/>
    <cellStyle name="_4.13E Montana Energy Tax_INPUTS 2" xfId="1804"/>
    <cellStyle name="_4.13E Montana Energy Tax_Power Costs - Comparison bx Rbtl-Staff-Jt-PC" xfId="426"/>
    <cellStyle name="_4.13E Montana Energy Tax_Power Costs - Comparison bx Rbtl-Staff-Jt-PC 2" xfId="1805"/>
    <cellStyle name="_4.13E Montana Energy Tax_Power Costs - Comparison bx Rbtl-Staff-Jt-PC_Adj Bench DR 3 for Initial Briefs (Electric)" xfId="427"/>
    <cellStyle name="_4.13E Montana Energy Tax_Power Costs - Comparison bx Rbtl-Staff-Jt-PC_Adj Bench DR 3 for Initial Briefs (Electric) 2" xfId="1806"/>
    <cellStyle name="_4.13E Montana Energy Tax_Power Costs - Comparison bx Rbtl-Staff-Jt-PC_Electric Rev Req Model (2009 GRC) Rebuttal" xfId="428"/>
    <cellStyle name="_4.13E Montana Energy Tax_Power Costs - Comparison bx Rbtl-Staff-Jt-PC_Electric Rev Req Model (2009 GRC) Rebuttal 2" xfId="1807"/>
    <cellStyle name="_4.13E Montana Energy Tax_Power Costs - Comparison bx Rbtl-Staff-Jt-PC_Electric Rev Req Model (2009 GRC) Rebuttal REmoval of New  WH Solar AdjustMI" xfId="429"/>
    <cellStyle name="_4.13E Montana Energy Tax_Power Costs - Comparison bx Rbtl-Staff-Jt-PC_Electric Rev Req Model (2009 GRC) Rebuttal REmoval of New  WH Solar AdjustMI 2" xfId="1808"/>
    <cellStyle name="_4.13E Montana Energy Tax_Power Costs - Comparison bx Rbtl-Staff-Jt-PC_Electric Rev Req Model (2009 GRC) Revised 01-18-2010" xfId="430"/>
    <cellStyle name="_4.13E Montana Energy Tax_Power Costs - Comparison bx Rbtl-Staff-Jt-PC_Electric Rev Req Model (2009 GRC) Revised 01-18-2010 2" xfId="1809"/>
    <cellStyle name="_4.13E Montana Energy Tax_Power Costs - Comparison bx Rbtl-Staff-Jt-PC_Final Order Electric EXHIBIT A-1" xfId="431"/>
    <cellStyle name="_4.13E Montana Energy Tax_Power Costs - Comparison bx Rbtl-Staff-Jt-PC_Final Order Electric EXHIBIT A-1 2" xfId="1810"/>
    <cellStyle name="_4.13E Montana Energy Tax_Production Adj 4.37" xfId="12"/>
    <cellStyle name="_4.13E Montana Energy Tax_Production Adj 4.37 2" xfId="1811"/>
    <cellStyle name="_4.13E Montana Energy Tax_Purchased Power Adj 4.03" xfId="13"/>
    <cellStyle name="_4.13E Montana Energy Tax_Purchased Power Adj 4.03 2" xfId="1812"/>
    <cellStyle name="_4.13E Montana Energy Tax_Rebuttal Power Costs" xfId="432"/>
    <cellStyle name="_4.13E Montana Energy Tax_Rebuttal Power Costs 2" xfId="1813"/>
    <cellStyle name="_4.13E Montana Energy Tax_Rebuttal Power Costs_Adj Bench DR 3 for Initial Briefs (Electric)" xfId="433"/>
    <cellStyle name="_4.13E Montana Energy Tax_Rebuttal Power Costs_Adj Bench DR 3 for Initial Briefs (Electric) 2" xfId="1814"/>
    <cellStyle name="_4.13E Montana Energy Tax_Rebuttal Power Costs_Electric Rev Req Model (2009 GRC) Rebuttal" xfId="434"/>
    <cellStyle name="_4.13E Montana Energy Tax_Rebuttal Power Costs_Electric Rev Req Model (2009 GRC) Rebuttal 2" xfId="1815"/>
    <cellStyle name="_4.13E Montana Energy Tax_Rebuttal Power Costs_Electric Rev Req Model (2009 GRC) Rebuttal REmoval of New  WH Solar AdjustMI" xfId="435"/>
    <cellStyle name="_4.13E Montana Energy Tax_Rebuttal Power Costs_Electric Rev Req Model (2009 GRC) Rebuttal REmoval of New  WH Solar AdjustMI 2" xfId="1816"/>
    <cellStyle name="_4.13E Montana Energy Tax_Rebuttal Power Costs_Electric Rev Req Model (2009 GRC) Revised 01-18-2010" xfId="436"/>
    <cellStyle name="_4.13E Montana Energy Tax_Rebuttal Power Costs_Electric Rev Req Model (2009 GRC) Revised 01-18-2010 2" xfId="1817"/>
    <cellStyle name="_4.13E Montana Energy Tax_Rebuttal Power Costs_Final Order Electric EXHIBIT A-1" xfId="437"/>
    <cellStyle name="_4.13E Montana Energy Tax_Rebuttal Power Costs_Final Order Electric EXHIBIT A-1 2" xfId="1818"/>
    <cellStyle name="_4.13E Montana Energy Tax_ROR &amp; CONV FACTOR" xfId="14"/>
    <cellStyle name="_4.13E Montana Energy Tax_ROR &amp; CONV FACTOR 2" xfId="1819"/>
    <cellStyle name="_4.13E Montana Energy Tax_ROR 5.02" xfId="15"/>
    <cellStyle name="_4.13E Montana Energy Tax_ROR 5.02 2" xfId="1820"/>
    <cellStyle name="_x0013__Adj Bench DR 3 for Initial Briefs (Electric)" xfId="438"/>
    <cellStyle name="_x0013__Adj Bench DR 3 for Initial Briefs (Electric) 2" xfId="1821"/>
    <cellStyle name="_AURORA WIP" xfId="439"/>
    <cellStyle name="_AURORA WIP 2" xfId="1822"/>
    <cellStyle name="_Book1" xfId="16"/>
    <cellStyle name="_Book1 (2)" xfId="17"/>
    <cellStyle name="_Book1 (2) 2" xfId="440"/>
    <cellStyle name="_Book1 (2) 2 2" xfId="1823"/>
    <cellStyle name="_Book1 (2) 3" xfId="1596"/>
    <cellStyle name="_Book1 (2) 3 2" xfId="1825"/>
    <cellStyle name="_Book1 (2) 3 3" xfId="1826"/>
    <cellStyle name="_Book1 (2) 3 4" xfId="1824"/>
    <cellStyle name="_Book1 (2) 4" xfId="1827"/>
    <cellStyle name="_Book1 (2)_04 07E Wild Horse Wind Expansion (C) (2)" xfId="18"/>
    <cellStyle name="_Book1 (2)_04 07E Wild Horse Wind Expansion (C) (2) 2" xfId="1828"/>
    <cellStyle name="_Book1 (2)_04 07E Wild Horse Wind Expansion (C) (2)_Adj Bench DR 3 for Initial Briefs (Electric)" xfId="441"/>
    <cellStyle name="_Book1 (2)_04 07E Wild Horse Wind Expansion (C) (2)_Adj Bench DR 3 for Initial Briefs (Electric) 2" xfId="1829"/>
    <cellStyle name="_Book1 (2)_04 07E Wild Horse Wind Expansion (C) (2)_Electric Rev Req Model (2009 GRC) " xfId="442"/>
    <cellStyle name="_Book1 (2)_04 07E Wild Horse Wind Expansion (C) (2)_Electric Rev Req Model (2009 GRC)  2" xfId="1830"/>
    <cellStyle name="_Book1 (2)_04 07E Wild Horse Wind Expansion (C) (2)_Electric Rev Req Model (2009 GRC) Rebuttal" xfId="443"/>
    <cellStyle name="_Book1 (2)_04 07E Wild Horse Wind Expansion (C) (2)_Electric Rev Req Model (2009 GRC) Rebuttal 2" xfId="1831"/>
    <cellStyle name="_Book1 (2)_04 07E Wild Horse Wind Expansion (C) (2)_Electric Rev Req Model (2009 GRC) Rebuttal REmoval of New  WH Solar AdjustMI" xfId="444"/>
    <cellStyle name="_Book1 (2)_04 07E Wild Horse Wind Expansion (C) (2)_Electric Rev Req Model (2009 GRC) Rebuttal REmoval of New  WH Solar AdjustMI 2" xfId="1832"/>
    <cellStyle name="_Book1 (2)_04 07E Wild Horse Wind Expansion (C) (2)_Electric Rev Req Model (2009 GRC) Revised 01-18-2010" xfId="445"/>
    <cellStyle name="_Book1 (2)_04 07E Wild Horse Wind Expansion (C) (2)_Electric Rev Req Model (2009 GRC) Revised 01-18-2010 2" xfId="1833"/>
    <cellStyle name="_Book1 (2)_04 07E Wild Horse Wind Expansion (C) (2)_Final Order Electric EXHIBIT A-1" xfId="446"/>
    <cellStyle name="_Book1 (2)_04 07E Wild Horse Wind Expansion (C) (2)_Final Order Electric EXHIBIT A-1 2" xfId="1834"/>
    <cellStyle name="_Book1 (2)_04 07E Wild Horse Wind Expansion (C) (2)_TENASKA REGULATORY ASSET" xfId="447"/>
    <cellStyle name="_Book1 (2)_04 07E Wild Horse Wind Expansion (C) (2)_TENASKA REGULATORY ASSET 2" xfId="1835"/>
    <cellStyle name="_Book1 (2)_16.37E Wild Horse Expansion DeferralRevwrkingfile SF" xfId="448"/>
    <cellStyle name="_Book1 (2)_16.37E Wild Horse Expansion DeferralRevwrkingfile SF 2" xfId="1836"/>
    <cellStyle name="_Book1 (2)_4 31 Regulatory Assets and Liabilities  7 06- Exhibit D" xfId="449"/>
    <cellStyle name="_Book1 (2)_4 31 Regulatory Assets and Liabilities  7 06- Exhibit D 2" xfId="1837"/>
    <cellStyle name="_Book1 (2)_4 32 Regulatory Assets and Liabilities  7 06- Exhibit D" xfId="450"/>
    <cellStyle name="_Book1 (2)_4 32 Regulatory Assets and Liabilities  7 06- Exhibit D 2" xfId="1838"/>
    <cellStyle name="_Book1 (2)_Book2" xfId="451"/>
    <cellStyle name="_Book1 (2)_Book2 2" xfId="1839"/>
    <cellStyle name="_Book1 (2)_Book2_Adj Bench DR 3 for Initial Briefs (Electric)" xfId="452"/>
    <cellStyle name="_Book1 (2)_Book2_Adj Bench DR 3 for Initial Briefs (Electric) 2" xfId="1840"/>
    <cellStyle name="_Book1 (2)_Book2_Electric Rev Req Model (2009 GRC) Rebuttal" xfId="453"/>
    <cellStyle name="_Book1 (2)_Book2_Electric Rev Req Model (2009 GRC) Rebuttal 2" xfId="1841"/>
    <cellStyle name="_Book1 (2)_Book2_Electric Rev Req Model (2009 GRC) Rebuttal REmoval of New  WH Solar AdjustMI" xfId="454"/>
    <cellStyle name="_Book1 (2)_Book2_Electric Rev Req Model (2009 GRC) Rebuttal REmoval of New  WH Solar AdjustMI 2" xfId="1842"/>
    <cellStyle name="_Book1 (2)_Book2_Electric Rev Req Model (2009 GRC) Revised 01-18-2010" xfId="455"/>
    <cellStyle name="_Book1 (2)_Book2_Electric Rev Req Model (2009 GRC) Revised 01-18-2010 2" xfId="1843"/>
    <cellStyle name="_Book1 (2)_Book2_Final Order Electric EXHIBIT A-1" xfId="456"/>
    <cellStyle name="_Book1 (2)_Book2_Final Order Electric EXHIBIT A-1 2" xfId="1844"/>
    <cellStyle name="_Book1 (2)_Book4" xfId="457"/>
    <cellStyle name="_Book1 (2)_Book4 2" xfId="1845"/>
    <cellStyle name="_Book1 (2)_Book9" xfId="458"/>
    <cellStyle name="_Book1 (2)_Book9 2" xfId="1846"/>
    <cellStyle name="_Book1 (2)_INPUTS" xfId="19"/>
    <cellStyle name="_Book1 (2)_INPUTS 2" xfId="1847"/>
    <cellStyle name="_Book1 (2)_Power Costs - Comparison bx Rbtl-Staff-Jt-PC" xfId="459"/>
    <cellStyle name="_Book1 (2)_Power Costs - Comparison bx Rbtl-Staff-Jt-PC 2" xfId="1848"/>
    <cellStyle name="_Book1 (2)_Power Costs - Comparison bx Rbtl-Staff-Jt-PC_Adj Bench DR 3 for Initial Briefs (Electric)" xfId="460"/>
    <cellStyle name="_Book1 (2)_Power Costs - Comparison bx Rbtl-Staff-Jt-PC_Adj Bench DR 3 for Initial Briefs (Electric) 2" xfId="1849"/>
    <cellStyle name="_Book1 (2)_Power Costs - Comparison bx Rbtl-Staff-Jt-PC_Electric Rev Req Model (2009 GRC) Rebuttal" xfId="461"/>
    <cellStyle name="_Book1 (2)_Power Costs - Comparison bx Rbtl-Staff-Jt-PC_Electric Rev Req Model (2009 GRC) Rebuttal 2" xfId="1850"/>
    <cellStyle name="_Book1 (2)_Power Costs - Comparison bx Rbtl-Staff-Jt-PC_Electric Rev Req Model (2009 GRC) Rebuttal REmoval of New  WH Solar AdjustMI" xfId="462"/>
    <cellStyle name="_Book1 (2)_Power Costs - Comparison bx Rbtl-Staff-Jt-PC_Electric Rev Req Model (2009 GRC) Rebuttal REmoval of New  WH Solar AdjustMI 2" xfId="1851"/>
    <cellStyle name="_Book1 (2)_Power Costs - Comparison bx Rbtl-Staff-Jt-PC_Electric Rev Req Model (2009 GRC) Revised 01-18-2010" xfId="463"/>
    <cellStyle name="_Book1 (2)_Power Costs - Comparison bx Rbtl-Staff-Jt-PC_Electric Rev Req Model (2009 GRC) Revised 01-18-2010 2" xfId="1852"/>
    <cellStyle name="_Book1 (2)_Power Costs - Comparison bx Rbtl-Staff-Jt-PC_Final Order Electric EXHIBIT A-1" xfId="464"/>
    <cellStyle name="_Book1 (2)_Power Costs - Comparison bx Rbtl-Staff-Jt-PC_Final Order Electric EXHIBIT A-1 2" xfId="1853"/>
    <cellStyle name="_Book1 (2)_Production Adj 4.37" xfId="20"/>
    <cellStyle name="_Book1 (2)_Production Adj 4.37 2" xfId="1854"/>
    <cellStyle name="_Book1 (2)_Purchased Power Adj 4.03" xfId="21"/>
    <cellStyle name="_Book1 (2)_Purchased Power Adj 4.03 2" xfId="1855"/>
    <cellStyle name="_Book1 (2)_Rebuttal Power Costs" xfId="465"/>
    <cellStyle name="_Book1 (2)_Rebuttal Power Costs 2" xfId="1856"/>
    <cellStyle name="_Book1 (2)_Rebuttal Power Costs_Adj Bench DR 3 for Initial Briefs (Electric)" xfId="466"/>
    <cellStyle name="_Book1 (2)_Rebuttal Power Costs_Adj Bench DR 3 for Initial Briefs (Electric) 2" xfId="1857"/>
    <cellStyle name="_Book1 (2)_Rebuttal Power Costs_Electric Rev Req Model (2009 GRC) Rebuttal" xfId="467"/>
    <cellStyle name="_Book1 (2)_Rebuttal Power Costs_Electric Rev Req Model (2009 GRC) Rebuttal 2" xfId="1858"/>
    <cellStyle name="_Book1 (2)_Rebuttal Power Costs_Electric Rev Req Model (2009 GRC) Rebuttal REmoval of New  WH Solar AdjustMI" xfId="468"/>
    <cellStyle name="_Book1 (2)_Rebuttal Power Costs_Electric Rev Req Model (2009 GRC) Rebuttal REmoval of New  WH Solar AdjustMI 2" xfId="1859"/>
    <cellStyle name="_Book1 (2)_Rebuttal Power Costs_Electric Rev Req Model (2009 GRC) Revised 01-18-2010" xfId="469"/>
    <cellStyle name="_Book1 (2)_Rebuttal Power Costs_Electric Rev Req Model (2009 GRC) Revised 01-18-2010 2" xfId="1860"/>
    <cellStyle name="_Book1 (2)_Rebuttal Power Costs_Final Order Electric EXHIBIT A-1" xfId="470"/>
    <cellStyle name="_Book1 (2)_Rebuttal Power Costs_Final Order Electric EXHIBIT A-1 2" xfId="1861"/>
    <cellStyle name="_Book1 (2)_ROR &amp; CONV FACTOR" xfId="22"/>
    <cellStyle name="_Book1 (2)_ROR &amp; CONV FACTOR 2" xfId="1862"/>
    <cellStyle name="_Book1 (2)_ROR 5.02" xfId="23"/>
    <cellStyle name="_Book1 (2)_ROR 5.02 2" xfId="1863"/>
    <cellStyle name="_Book1 10" xfId="1864"/>
    <cellStyle name="_Book1 2" xfId="471"/>
    <cellStyle name="_Book1 2 2" xfId="1865"/>
    <cellStyle name="_Book1 3" xfId="1866"/>
    <cellStyle name="_Book1 4" xfId="1867"/>
    <cellStyle name="_Book1 5" xfId="1868"/>
    <cellStyle name="_Book1 6" xfId="1869"/>
    <cellStyle name="_Book1 7" xfId="1870"/>
    <cellStyle name="_Book1 8" xfId="1871"/>
    <cellStyle name="_Book1 9" xfId="1872"/>
    <cellStyle name="_Book1_(C) WHE Proforma with ITC cash grant 10 Yr Amort_for deferral_102809" xfId="472"/>
    <cellStyle name="_Book1_(C) WHE Proforma with ITC cash grant 10 Yr Amort_for deferral_102809 2" xfId="1873"/>
    <cellStyle name="_Book1_(C) WHE Proforma with ITC cash grant 10 Yr Amort_for deferral_102809_16.07E Wild Horse Wind Expansionwrkingfile" xfId="473"/>
    <cellStyle name="_Book1_(C) WHE Proforma with ITC cash grant 10 Yr Amort_for deferral_102809_16.07E Wild Horse Wind Expansionwrkingfile 2" xfId="1874"/>
    <cellStyle name="_Book1_(C) WHE Proforma with ITC cash grant 10 Yr Amort_for deferral_102809_16.07E Wild Horse Wind Expansionwrkingfile SF" xfId="474"/>
    <cellStyle name="_Book1_(C) WHE Proforma with ITC cash grant 10 Yr Amort_for deferral_102809_16.07E Wild Horse Wind Expansionwrkingfile SF 2" xfId="1875"/>
    <cellStyle name="_Book1_(C) WHE Proforma with ITC cash grant 10 Yr Amort_for deferral_102809_16.37E Wild Horse Expansion DeferralRevwrkingfile SF" xfId="475"/>
    <cellStyle name="_Book1_(C) WHE Proforma with ITC cash grant 10 Yr Amort_for deferral_102809_16.37E Wild Horse Expansion DeferralRevwrkingfile SF 2" xfId="1876"/>
    <cellStyle name="_Book1_(C) WHE Proforma with ITC cash grant 10 Yr Amort_for rebuttal_120709" xfId="476"/>
    <cellStyle name="_Book1_(C) WHE Proforma with ITC cash grant 10 Yr Amort_for rebuttal_120709 2" xfId="1877"/>
    <cellStyle name="_Book1_04.07E Wild Horse Wind Expansion" xfId="477"/>
    <cellStyle name="_Book1_04.07E Wild Horse Wind Expansion 2" xfId="1878"/>
    <cellStyle name="_Book1_04.07E Wild Horse Wind Expansion_16.07E Wild Horse Wind Expansionwrkingfile" xfId="478"/>
    <cellStyle name="_Book1_04.07E Wild Horse Wind Expansion_16.07E Wild Horse Wind Expansionwrkingfile 2" xfId="1879"/>
    <cellStyle name="_Book1_04.07E Wild Horse Wind Expansion_16.07E Wild Horse Wind Expansionwrkingfile SF" xfId="479"/>
    <cellStyle name="_Book1_04.07E Wild Horse Wind Expansion_16.07E Wild Horse Wind Expansionwrkingfile SF 2" xfId="1880"/>
    <cellStyle name="_Book1_04.07E Wild Horse Wind Expansion_16.37E Wild Horse Expansion DeferralRevwrkingfile SF" xfId="480"/>
    <cellStyle name="_Book1_04.07E Wild Horse Wind Expansion_16.37E Wild Horse Expansion DeferralRevwrkingfile SF 2" xfId="1881"/>
    <cellStyle name="_Book1_16.07E Wild Horse Wind Expansionwrkingfile" xfId="481"/>
    <cellStyle name="_Book1_16.07E Wild Horse Wind Expansionwrkingfile 2" xfId="1882"/>
    <cellStyle name="_Book1_16.07E Wild Horse Wind Expansionwrkingfile SF" xfId="482"/>
    <cellStyle name="_Book1_16.07E Wild Horse Wind Expansionwrkingfile SF 2" xfId="1883"/>
    <cellStyle name="_Book1_16.37E Wild Horse Expansion DeferralRevwrkingfile SF" xfId="483"/>
    <cellStyle name="_Book1_16.37E Wild Horse Expansion DeferralRevwrkingfile SF 2" xfId="1884"/>
    <cellStyle name="_Book1_4 31 Regulatory Assets and Liabilities  7 06- Exhibit D" xfId="484"/>
    <cellStyle name="_Book1_4 31 Regulatory Assets and Liabilities  7 06- Exhibit D 2" xfId="1885"/>
    <cellStyle name="_Book1_4 32 Regulatory Assets and Liabilities  7 06- Exhibit D" xfId="485"/>
    <cellStyle name="_Book1_4 32 Regulatory Assets and Liabilities  7 06- Exhibit D 2" xfId="1886"/>
    <cellStyle name="_Book1_Book2" xfId="486"/>
    <cellStyle name="_Book1_Book2 2" xfId="1887"/>
    <cellStyle name="_Book1_Book2_Adj Bench DR 3 for Initial Briefs (Electric)" xfId="487"/>
    <cellStyle name="_Book1_Book2_Adj Bench DR 3 for Initial Briefs (Electric) 2" xfId="1888"/>
    <cellStyle name="_Book1_Book2_Electric Rev Req Model (2009 GRC) Rebuttal" xfId="488"/>
    <cellStyle name="_Book1_Book2_Electric Rev Req Model (2009 GRC) Rebuttal 2" xfId="1889"/>
    <cellStyle name="_Book1_Book2_Electric Rev Req Model (2009 GRC) Rebuttal REmoval of New  WH Solar AdjustMI" xfId="489"/>
    <cellStyle name="_Book1_Book2_Electric Rev Req Model (2009 GRC) Rebuttal REmoval of New  WH Solar AdjustMI 2" xfId="1890"/>
    <cellStyle name="_Book1_Book2_Electric Rev Req Model (2009 GRC) Revised 01-18-2010" xfId="490"/>
    <cellStyle name="_Book1_Book2_Electric Rev Req Model (2009 GRC) Revised 01-18-2010 2" xfId="1891"/>
    <cellStyle name="_Book1_Book2_Final Order Electric EXHIBIT A-1" xfId="491"/>
    <cellStyle name="_Book1_Book2_Final Order Electric EXHIBIT A-1 2" xfId="1892"/>
    <cellStyle name="_Book1_Book4" xfId="492"/>
    <cellStyle name="_Book1_Book4 2" xfId="1893"/>
    <cellStyle name="_Book1_Book9" xfId="493"/>
    <cellStyle name="_Book1_Book9 2" xfId="1894"/>
    <cellStyle name="_Book1_Electric COS Inputs" xfId="24"/>
    <cellStyle name="_Book1_Electric COS Inputs 2" xfId="1597"/>
    <cellStyle name="_Book1_Electric COS Inputs 2 2" xfId="1896"/>
    <cellStyle name="_Book1_Electric COS Inputs 2 3" xfId="1897"/>
    <cellStyle name="_Book1_Electric COS Inputs 2 4" xfId="1895"/>
    <cellStyle name="_Book1_Electric COS Inputs 3" xfId="1898"/>
    <cellStyle name="_Book1_Electric COS Inputs 4" xfId="1899"/>
    <cellStyle name="_Book1_Power Costs - Comparison bx Rbtl-Staff-Jt-PC" xfId="494"/>
    <cellStyle name="_Book1_Power Costs - Comparison bx Rbtl-Staff-Jt-PC 2" xfId="1900"/>
    <cellStyle name="_Book1_Power Costs - Comparison bx Rbtl-Staff-Jt-PC_Adj Bench DR 3 for Initial Briefs (Electric)" xfId="495"/>
    <cellStyle name="_Book1_Power Costs - Comparison bx Rbtl-Staff-Jt-PC_Adj Bench DR 3 for Initial Briefs (Electric) 2" xfId="1901"/>
    <cellStyle name="_Book1_Power Costs - Comparison bx Rbtl-Staff-Jt-PC_Electric Rev Req Model (2009 GRC) Rebuttal" xfId="496"/>
    <cellStyle name="_Book1_Power Costs - Comparison bx Rbtl-Staff-Jt-PC_Electric Rev Req Model (2009 GRC) Rebuttal 2" xfId="1902"/>
    <cellStyle name="_Book1_Power Costs - Comparison bx Rbtl-Staff-Jt-PC_Electric Rev Req Model (2009 GRC) Rebuttal REmoval of New  WH Solar AdjustMI" xfId="497"/>
    <cellStyle name="_Book1_Power Costs - Comparison bx Rbtl-Staff-Jt-PC_Electric Rev Req Model (2009 GRC) Rebuttal REmoval of New  WH Solar AdjustMI 2" xfId="1903"/>
    <cellStyle name="_Book1_Power Costs - Comparison bx Rbtl-Staff-Jt-PC_Electric Rev Req Model (2009 GRC) Revised 01-18-2010" xfId="498"/>
    <cellStyle name="_Book1_Power Costs - Comparison bx Rbtl-Staff-Jt-PC_Electric Rev Req Model (2009 GRC) Revised 01-18-2010 2" xfId="1904"/>
    <cellStyle name="_Book1_Power Costs - Comparison bx Rbtl-Staff-Jt-PC_Final Order Electric EXHIBIT A-1" xfId="499"/>
    <cellStyle name="_Book1_Power Costs - Comparison bx Rbtl-Staff-Jt-PC_Final Order Electric EXHIBIT A-1 2" xfId="1905"/>
    <cellStyle name="_Book1_Production Adj 4.37" xfId="25"/>
    <cellStyle name="_Book1_Production Adj 4.37 2" xfId="1906"/>
    <cellStyle name="_Book1_Purchased Power Adj 4.03" xfId="26"/>
    <cellStyle name="_Book1_Purchased Power Adj 4.03 2" xfId="1907"/>
    <cellStyle name="_Book1_Rebuttal Power Costs" xfId="500"/>
    <cellStyle name="_Book1_Rebuttal Power Costs 2" xfId="1908"/>
    <cellStyle name="_Book1_Rebuttal Power Costs_Adj Bench DR 3 for Initial Briefs (Electric)" xfId="501"/>
    <cellStyle name="_Book1_Rebuttal Power Costs_Adj Bench DR 3 for Initial Briefs (Electric) 2" xfId="1909"/>
    <cellStyle name="_Book1_Rebuttal Power Costs_Electric Rev Req Model (2009 GRC) Rebuttal" xfId="502"/>
    <cellStyle name="_Book1_Rebuttal Power Costs_Electric Rev Req Model (2009 GRC) Rebuttal 2" xfId="1910"/>
    <cellStyle name="_Book1_Rebuttal Power Costs_Electric Rev Req Model (2009 GRC) Rebuttal REmoval of New  WH Solar AdjustMI" xfId="503"/>
    <cellStyle name="_Book1_Rebuttal Power Costs_Electric Rev Req Model (2009 GRC) Rebuttal REmoval of New  WH Solar AdjustMI 2" xfId="1911"/>
    <cellStyle name="_Book1_Rebuttal Power Costs_Electric Rev Req Model (2009 GRC) Revised 01-18-2010" xfId="504"/>
    <cellStyle name="_Book1_Rebuttal Power Costs_Electric Rev Req Model (2009 GRC) Revised 01-18-2010 2" xfId="1912"/>
    <cellStyle name="_Book1_Rebuttal Power Costs_Final Order Electric EXHIBIT A-1" xfId="505"/>
    <cellStyle name="_Book1_Rebuttal Power Costs_Final Order Electric EXHIBIT A-1 2" xfId="1913"/>
    <cellStyle name="_Book1_ROR 5.02" xfId="27"/>
    <cellStyle name="_Book1_ROR 5.02 2" xfId="1914"/>
    <cellStyle name="_Book2" xfId="28"/>
    <cellStyle name="_x0013__Book2" xfId="506"/>
    <cellStyle name="_Book2 10" xfId="1915"/>
    <cellStyle name="_Book2 11" xfId="1916"/>
    <cellStyle name="_Book2 12" xfId="1917"/>
    <cellStyle name="_Book2 13" xfId="1918"/>
    <cellStyle name="_Book2 14" xfId="1919"/>
    <cellStyle name="_Book2 15" xfId="1920"/>
    <cellStyle name="_Book2 16" xfId="1921"/>
    <cellStyle name="_Book2 17" xfId="1922"/>
    <cellStyle name="_Book2 18" xfId="1923"/>
    <cellStyle name="_Book2 2" xfId="507"/>
    <cellStyle name="_x0013__Book2 2" xfId="1924"/>
    <cellStyle name="_Book2 2 2" xfId="1925"/>
    <cellStyle name="_Book2 2 3" xfId="1926"/>
    <cellStyle name="_Book2 2 4" xfId="1927"/>
    <cellStyle name="_Book2 2 5" xfId="1928"/>
    <cellStyle name="_Book2 2 6" xfId="1929"/>
    <cellStyle name="_Book2 2 7" xfId="1930"/>
    <cellStyle name="_Book2 2 8" xfId="1931"/>
    <cellStyle name="_Book2 2 9" xfId="1932"/>
    <cellStyle name="_Book2 3" xfId="1598"/>
    <cellStyle name="_x0013__Book2 3" xfId="1934"/>
    <cellStyle name="_Book2 3 10" xfId="1933"/>
    <cellStyle name="_Book2 3 11" xfId="3031"/>
    <cellStyle name="_Book2 3 12" xfId="3525"/>
    <cellStyle name="_Book2 3 13" xfId="3039"/>
    <cellStyle name="_Book2 3 14" xfId="3526"/>
    <cellStyle name="_Book2 3 15" xfId="3040"/>
    <cellStyle name="_Book2 3 16" xfId="3527"/>
    <cellStyle name="_Book2 3 17" xfId="3051"/>
    <cellStyle name="_Book2 3 18" xfId="3528"/>
    <cellStyle name="_Book2 3 19" xfId="3072"/>
    <cellStyle name="_Book2 3 2" xfId="1935"/>
    <cellStyle name="_Book2 3 20" xfId="3529"/>
    <cellStyle name="_Book2 3 21" xfId="3073"/>
    <cellStyle name="_Book2 3 22" xfId="3560"/>
    <cellStyle name="_Book2 3 23" xfId="3684"/>
    <cellStyle name="_Book2 3 24" xfId="3555"/>
    <cellStyle name="_Book2 3 25" xfId="3685"/>
    <cellStyle name="_Book2 3 26" xfId="3554"/>
    <cellStyle name="_Book2 3 27" xfId="3687"/>
    <cellStyle name="_Book2 3 28" xfId="3553"/>
    <cellStyle name="_Book2 3 29" xfId="3686"/>
    <cellStyle name="_Book2 3 3" xfId="1936"/>
    <cellStyle name="_Book2 3 30" xfId="3552"/>
    <cellStyle name="_Book2 3 31" xfId="3688"/>
    <cellStyle name="_Book2 3 4" xfId="1937"/>
    <cellStyle name="_Book2 3 5" xfId="1938"/>
    <cellStyle name="_Book2 3 6" xfId="1939"/>
    <cellStyle name="_Book2 3 7" xfId="1940"/>
    <cellStyle name="_Book2 3 8" xfId="1941"/>
    <cellStyle name="_Book2 3 9" xfId="1942"/>
    <cellStyle name="_Book2 4" xfId="1599"/>
    <cellStyle name="_x0013__Book2 4" xfId="1944"/>
    <cellStyle name="_Book2 4 10" xfId="3011"/>
    <cellStyle name="_Book2 4 11" xfId="3520"/>
    <cellStyle name="_Book2 4 12" xfId="3019"/>
    <cellStyle name="_Book2 4 13" xfId="3521"/>
    <cellStyle name="_Book2 4 14" xfId="3020"/>
    <cellStyle name="_Book2 4 15" xfId="3522"/>
    <cellStyle name="_Book2 4 16" xfId="3021"/>
    <cellStyle name="_Book2 4 17" xfId="3523"/>
    <cellStyle name="_Book2 4 18" xfId="3022"/>
    <cellStyle name="_Book2 4 19" xfId="3524"/>
    <cellStyle name="_Book2 4 2" xfId="1945"/>
    <cellStyle name="_Book2 4 20" xfId="3023"/>
    <cellStyle name="_Book2 4 21" xfId="3561"/>
    <cellStyle name="_Book2 4 22" xfId="3647"/>
    <cellStyle name="_Book2 4 23" xfId="3559"/>
    <cellStyle name="_Book2 4 24" xfId="3648"/>
    <cellStyle name="_Book2 4 25" xfId="3558"/>
    <cellStyle name="_Book2 4 26" xfId="3649"/>
    <cellStyle name="_Book2 4 27" xfId="3557"/>
    <cellStyle name="_Book2 4 28" xfId="3645"/>
    <cellStyle name="_Book2 4 29" xfId="3556"/>
    <cellStyle name="_Book2 4 3" xfId="1946"/>
    <cellStyle name="_Book2 4 30" xfId="3646"/>
    <cellStyle name="_Book2 4 4" xfId="1947"/>
    <cellStyle name="_Book2 4 5" xfId="1948"/>
    <cellStyle name="_Book2 4 6" xfId="1949"/>
    <cellStyle name="_Book2 4 7" xfId="1950"/>
    <cellStyle name="_Book2 4 8" xfId="1951"/>
    <cellStyle name="_Book2 4 9" xfId="1943"/>
    <cellStyle name="_Book2 5" xfId="1600"/>
    <cellStyle name="_x0013__Book2 5" xfId="1952"/>
    <cellStyle name="_Book2 5 2" xfId="1953"/>
    <cellStyle name="_Book2 5 3" xfId="1954"/>
    <cellStyle name="_Book2 5 4" xfId="1955"/>
    <cellStyle name="_Book2 5 5" xfId="1956"/>
    <cellStyle name="_Book2 5 6" xfId="1957"/>
    <cellStyle name="_Book2 6" xfId="1958"/>
    <cellStyle name="_x0013__Book2 6" xfId="1959"/>
    <cellStyle name="_Book2 7" xfId="1960"/>
    <cellStyle name="_x0013__Book2 7" xfId="1961"/>
    <cellStyle name="_Book2 8" xfId="1962"/>
    <cellStyle name="_x0013__Book2 8" xfId="1963"/>
    <cellStyle name="_Book2 9" xfId="1964"/>
    <cellStyle name="_x0013__Book2 9" xfId="1965"/>
    <cellStyle name="_Book2_04 07E Wild Horse Wind Expansion (C) (2)" xfId="29"/>
    <cellStyle name="_Book2_04 07E Wild Horse Wind Expansion (C) (2) 2" xfId="1966"/>
    <cellStyle name="_Book2_04 07E Wild Horse Wind Expansion (C) (2)_Adj Bench DR 3 for Initial Briefs (Electric)" xfId="508"/>
    <cellStyle name="_Book2_04 07E Wild Horse Wind Expansion (C) (2)_Adj Bench DR 3 for Initial Briefs (Electric) 2" xfId="1967"/>
    <cellStyle name="_Book2_04 07E Wild Horse Wind Expansion (C) (2)_Electric Rev Req Model (2009 GRC) " xfId="509"/>
    <cellStyle name="_Book2_04 07E Wild Horse Wind Expansion (C) (2)_Electric Rev Req Model (2009 GRC)  2" xfId="1968"/>
    <cellStyle name="_Book2_04 07E Wild Horse Wind Expansion (C) (2)_Electric Rev Req Model (2009 GRC) Rebuttal" xfId="510"/>
    <cellStyle name="_Book2_04 07E Wild Horse Wind Expansion (C) (2)_Electric Rev Req Model (2009 GRC) Rebuttal 2" xfId="1969"/>
    <cellStyle name="_Book2_04 07E Wild Horse Wind Expansion (C) (2)_Electric Rev Req Model (2009 GRC) Rebuttal REmoval of New  WH Solar AdjustMI" xfId="511"/>
    <cellStyle name="_Book2_04 07E Wild Horse Wind Expansion (C) (2)_Electric Rev Req Model (2009 GRC) Rebuttal REmoval of New  WH Solar AdjustMI 2" xfId="1970"/>
    <cellStyle name="_Book2_04 07E Wild Horse Wind Expansion (C) (2)_Electric Rev Req Model (2009 GRC) Revised 01-18-2010" xfId="512"/>
    <cellStyle name="_Book2_04 07E Wild Horse Wind Expansion (C) (2)_Electric Rev Req Model (2009 GRC) Revised 01-18-2010 2" xfId="1971"/>
    <cellStyle name="_Book2_04 07E Wild Horse Wind Expansion (C) (2)_Final Order Electric EXHIBIT A-1" xfId="513"/>
    <cellStyle name="_Book2_04 07E Wild Horse Wind Expansion (C) (2)_Final Order Electric EXHIBIT A-1 2" xfId="1972"/>
    <cellStyle name="_Book2_04 07E Wild Horse Wind Expansion (C) (2)_TENASKA REGULATORY ASSET" xfId="514"/>
    <cellStyle name="_Book2_04 07E Wild Horse Wind Expansion (C) (2)_TENASKA REGULATORY ASSET 2" xfId="1973"/>
    <cellStyle name="_Book2_16.37E Wild Horse Expansion DeferralRevwrkingfile SF" xfId="515"/>
    <cellStyle name="_Book2_16.37E Wild Horse Expansion DeferralRevwrkingfile SF 2" xfId="1974"/>
    <cellStyle name="_Book2_4 31 Regulatory Assets and Liabilities  7 06- Exhibit D" xfId="516"/>
    <cellStyle name="_Book2_4 31 Regulatory Assets and Liabilities  7 06- Exhibit D 2" xfId="1975"/>
    <cellStyle name="_Book2_4 32 Regulatory Assets and Liabilities  7 06- Exhibit D" xfId="517"/>
    <cellStyle name="_Book2_4 32 Regulatory Assets and Liabilities  7 06- Exhibit D 2" xfId="1976"/>
    <cellStyle name="_x0013__Book2_Adj Bench DR 3 for Initial Briefs (Electric)" xfId="518"/>
    <cellStyle name="_x0013__Book2_Adj Bench DR 3 for Initial Briefs (Electric) 2" xfId="1977"/>
    <cellStyle name="_Book2_Book2" xfId="519"/>
    <cellStyle name="_Book2_Book2 2" xfId="1978"/>
    <cellStyle name="_Book2_Book2_Adj Bench DR 3 for Initial Briefs (Electric)" xfId="520"/>
    <cellStyle name="_Book2_Book2_Adj Bench DR 3 for Initial Briefs (Electric) 2" xfId="1979"/>
    <cellStyle name="_Book2_Book2_Electric Rev Req Model (2009 GRC) Rebuttal" xfId="521"/>
    <cellStyle name="_Book2_Book2_Electric Rev Req Model (2009 GRC) Rebuttal 2" xfId="1980"/>
    <cellStyle name="_Book2_Book2_Electric Rev Req Model (2009 GRC) Rebuttal REmoval of New  WH Solar AdjustMI" xfId="522"/>
    <cellStyle name="_Book2_Book2_Electric Rev Req Model (2009 GRC) Rebuttal REmoval of New  WH Solar AdjustMI 2" xfId="1981"/>
    <cellStyle name="_Book2_Book2_Electric Rev Req Model (2009 GRC) Revised 01-18-2010" xfId="523"/>
    <cellStyle name="_Book2_Book2_Electric Rev Req Model (2009 GRC) Revised 01-18-2010 2" xfId="1982"/>
    <cellStyle name="_Book2_Book2_Final Order Electric EXHIBIT A-1" xfId="524"/>
    <cellStyle name="_Book2_Book2_Final Order Electric EXHIBIT A-1 2" xfId="1983"/>
    <cellStyle name="_Book2_Book4" xfId="525"/>
    <cellStyle name="_Book2_Book4 2" xfId="1984"/>
    <cellStyle name="_Book2_Book9" xfId="526"/>
    <cellStyle name="_Book2_Book9 2" xfId="1985"/>
    <cellStyle name="_x0013__Book2_Electric Rev Req Model (2009 GRC) Rebuttal" xfId="527"/>
    <cellStyle name="_x0013__Book2_Electric Rev Req Model (2009 GRC) Rebuttal 2" xfId="1986"/>
    <cellStyle name="_x0013__Book2_Electric Rev Req Model (2009 GRC) Rebuttal REmoval of New  WH Solar AdjustMI" xfId="528"/>
    <cellStyle name="_x0013__Book2_Electric Rev Req Model (2009 GRC) Rebuttal REmoval of New  WH Solar AdjustMI 2" xfId="1987"/>
    <cellStyle name="_x0013__Book2_Electric Rev Req Model (2009 GRC) Revised 01-18-2010" xfId="529"/>
    <cellStyle name="_x0013__Book2_Electric Rev Req Model (2009 GRC) Revised 01-18-2010 2" xfId="1988"/>
    <cellStyle name="_x0013__Book2_Final Order Electric EXHIBIT A-1" xfId="530"/>
    <cellStyle name="_x0013__Book2_Final Order Electric EXHIBIT A-1 2" xfId="1989"/>
    <cellStyle name="_Book2_INPUTS" xfId="30"/>
    <cellStyle name="_Book2_INPUTS 2" xfId="1990"/>
    <cellStyle name="_Book2_Power Costs - Comparison bx Rbtl-Staff-Jt-PC" xfId="531"/>
    <cellStyle name="_Book2_Power Costs - Comparison bx Rbtl-Staff-Jt-PC 2" xfId="1991"/>
    <cellStyle name="_Book2_Power Costs - Comparison bx Rbtl-Staff-Jt-PC_Adj Bench DR 3 for Initial Briefs (Electric)" xfId="532"/>
    <cellStyle name="_Book2_Power Costs - Comparison bx Rbtl-Staff-Jt-PC_Adj Bench DR 3 for Initial Briefs (Electric) 2" xfId="1992"/>
    <cellStyle name="_Book2_Power Costs - Comparison bx Rbtl-Staff-Jt-PC_Electric Rev Req Model (2009 GRC) Rebuttal" xfId="533"/>
    <cellStyle name="_Book2_Power Costs - Comparison bx Rbtl-Staff-Jt-PC_Electric Rev Req Model (2009 GRC) Rebuttal 2" xfId="1993"/>
    <cellStyle name="_Book2_Power Costs - Comparison bx Rbtl-Staff-Jt-PC_Electric Rev Req Model (2009 GRC) Rebuttal REmoval of New  WH Solar AdjustMI" xfId="534"/>
    <cellStyle name="_Book2_Power Costs - Comparison bx Rbtl-Staff-Jt-PC_Electric Rev Req Model (2009 GRC) Rebuttal REmoval of New  WH Solar AdjustMI 2" xfId="1994"/>
    <cellStyle name="_Book2_Power Costs - Comparison bx Rbtl-Staff-Jt-PC_Electric Rev Req Model (2009 GRC) Revised 01-18-2010" xfId="535"/>
    <cellStyle name="_Book2_Power Costs - Comparison bx Rbtl-Staff-Jt-PC_Electric Rev Req Model (2009 GRC) Revised 01-18-2010 2" xfId="1995"/>
    <cellStyle name="_Book2_Power Costs - Comparison bx Rbtl-Staff-Jt-PC_Final Order Electric EXHIBIT A-1" xfId="536"/>
    <cellStyle name="_Book2_Power Costs - Comparison bx Rbtl-Staff-Jt-PC_Final Order Electric EXHIBIT A-1 2" xfId="1996"/>
    <cellStyle name="_Book2_Production Adj 4.37" xfId="31"/>
    <cellStyle name="_Book2_Production Adj 4.37 2" xfId="1997"/>
    <cellStyle name="_Book2_Purchased Power Adj 4.03" xfId="32"/>
    <cellStyle name="_Book2_Purchased Power Adj 4.03 2" xfId="1998"/>
    <cellStyle name="_Book2_Rebuttal Power Costs" xfId="537"/>
    <cellStyle name="_Book2_Rebuttal Power Costs 2" xfId="1999"/>
    <cellStyle name="_Book2_Rebuttal Power Costs_Adj Bench DR 3 for Initial Briefs (Electric)" xfId="538"/>
    <cellStyle name="_Book2_Rebuttal Power Costs_Adj Bench DR 3 for Initial Briefs (Electric) 2" xfId="2000"/>
    <cellStyle name="_Book2_Rebuttal Power Costs_Electric Rev Req Model (2009 GRC) Rebuttal" xfId="539"/>
    <cellStyle name="_Book2_Rebuttal Power Costs_Electric Rev Req Model (2009 GRC) Rebuttal 2" xfId="2001"/>
    <cellStyle name="_Book2_Rebuttal Power Costs_Electric Rev Req Model (2009 GRC) Rebuttal REmoval of New  WH Solar AdjustMI" xfId="540"/>
    <cellStyle name="_Book2_Rebuttal Power Costs_Electric Rev Req Model (2009 GRC) Rebuttal REmoval of New  WH Solar AdjustMI 2" xfId="2002"/>
    <cellStyle name="_Book2_Rebuttal Power Costs_Electric Rev Req Model (2009 GRC) Revised 01-18-2010" xfId="541"/>
    <cellStyle name="_Book2_Rebuttal Power Costs_Electric Rev Req Model (2009 GRC) Revised 01-18-2010 2" xfId="2003"/>
    <cellStyle name="_Book2_Rebuttal Power Costs_Final Order Electric EXHIBIT A-1" xfId="542"/>
    <cellStyle name="_Book2_Rebuttal Power Costs_Final Order Electric EXHIBIT A-1 2" xfId="2004"/>
    <cellStyle name="_Book2_ROR &amp; CONV FACTOR" xfId="33"/>
    <cellStyle name="_Book2_ROR &amp; CONV FACTOR 2" xfId="2005"/>
    <cellStyle name="_Book2_ROR 5.02" xfId="34"/>
    <cellStyle name="_Book2_ROR 5.02 2" xfId="2006"/>
    <cellStyle name="_Book3" xfId="543"/>
    <cellStyle name="_Book5" xfId="544"/>
    <cellStyle name="_Chelan Debt Forecast 12.19.05" xfId="35"/>
    <cellStyle name="_Chelan Debt Forecast 12.19.05 2" xfId="545"/>
    <cellStyle name="_Chelan Debt Forecast 12.19.05 2 2" xfId="2007"/>
    <cellStyle name="_Chelan Debt Forecast 12.19.05 3" xfId="1601"/>
    <cellStyle name="_Chelan Debt Forecast 12.19.05 3 2" xfId="2009"/>
    <cellStyle name="_Chelan Debt Forecast 12.19.05 3 3" xfId="2010"/>
    <cellStyle name="_Chelan Debt Forecast 12.19.05 3 4" xfId="2008"/>
    <cellStyle name="_Chelan Debt Forecast 12.19.05 4" xfId="2011"/>
    <cellStyle name="_Chelan Debt Forecast 12.19.05_(C) WHE Proforma with ITC cash grant 10 Yr Amort_for deferral_102809" xfId="546"/>
    <cellStyle name="_Chelan Debt Forecast 12.19.05_(C) WHE Proforma with ITC cash grant 10 Yr Amort_for deferral_102809 2" xfId="2012"/>
    <cellStyle name="_Chelan Debt Forecast 12.19.05_(C) WHE Proforma with ITC cash grant 10 Yr Amort_for deferral_102809_16.07E Wild Horse Wind Expansionwrkingfile" xfId="547"/>
    <cellStyle name="_Chelan Debt Forecast 12.19.05_(C) WHE Proforma with ITC cash grant 10 Yr Amort_for deferral_102809_16.07E Wild Horse Wind Expansionwrkingfile 2" xfId="2013"/>
    <cellStyle name="_Chelan Debt Forecast 12.19.05_(C) WHE Proforma with ITC cash grant 10 Yr Amort_for deferral_102809_16.07E Wild Horse Wind Expansionwrkingfile SF" xfId="548"/>
    <cellStyle name="_Chelan Debt Forecast 12.19.05_(C) WHE Proforma with ITC cash grant 10 Yr Amort_for deferral_102809_16.07E Wild Horse Wind Expansionwrkingfile SF 2" xfId="2014"/>
    <cellStyle name="_Chelan Debt Forecast 12.19.05_(C) WHE Proforma with ITC cash grant 10 Yr Amort_for deferral_102809_16.37E Wild Horse Expansion DeferralRevwrkingfile SF" xfId="549"/>
    <cellStyle name="_Chelan Debt Forecast 12.19.05_(C) WHE Proforma with ITC cash grant 10 Yr Amort_for deferral_102809_16.37E Wild Horse Expansion DeferralRevwrkingfile SF 2" xfId="2015"/>
    <cellStyle name="_Chelan Debt Forecast 12.19.05_(C) WHE Proforma with ITC cash grant 10 Yr Amort_for rebuttal_120709" xfId="550"/>
    <cellStyle name="_Chelan Debt Forecast 12.19.05_(C) WHE Proforma with ITC cash grant 10 Yr Amort_for rebuttal_120709 2" xfId="2016"/>
    <cellStyle name="_Chelan Debt Forecast 12.19.05_04.07E Wild Horse Wind Expansion" xfId="551"/>
    <cellStyle name="_Chelan Debt Forecast 12.19.05_04.07E Wild Horse Wind Expansion 2" xfId="2017"/>
    <cellStyle name="_Chelan Debt Forecast 12.19.05_04.07E Wild Horse Wind Expansion_16.07E Wild Horse Wind Expansionwrkingfile" xfId="552"/>
    <cellStyle name="_Chelan Debt Forecast 12.19.05_04.07E Wild Horse Wind Expansion_16.07E Wild Horse Wind Expansionwrkingfile 2" xfId="2018"/>
    <cellStyle name="_Chelan Debt Forecast 12.19.05_04.07E Wild Horse Wind Expansion_16.07E Wild Horse Wind Expansionwrkingfile SF" xfId="553"/>
    <cellStyle name="_Chelan Debt Forecast 12.19.05_04.07E Wild Horse Wind Expansion_16.07E Wild Horse Wind Expansionwrkingfile SF 2" xfId="2019"/>
    <cellStyle name="_Chelan Debt Forecast 12.19.05_04.07E Wild Horse Wind Expansion_16.37E Wild Horse Expansion DeferralRevwrkingfile SF" xfId="554"/>
    <cellStyle name="_Chelan Debt Forecast 12.19.05_04.07E Wild Horse Wind Expansion_16.37E Wild Horse Expansion DeferralRevwrkingfile SF 2" xfId="2020"/>
    <cellStyle name="_Chelan Debt Forecast 12.19.05_16.07E Wild Horse Wind Expansionwrkingfile" xfId="555"/>
    <cellStyle name="_Chelan Debt Forecast 12.19.05_16.07E Wild Horse Wind Expansionwrkingfile 2" xfId="2021"/>
    <cellStyle name="_Chelan Debt Forecast 12.19.05_16.07E Wild Horse Wind Expansionwrkingfile SF" xfId="556"/>
    <cellStyle name="_Chelan Debt Forecast 12.19.05_16.07E Wild Horse Wind Expansionwrkingfile SF 2" xfId="2022"/>
    <cellStyle name="_Chelan Debt Forecast 12.19.05_16.37E Wild Horse Expansion DeferralRevwrkingfile SF" xfId="557"/>
    <cellStyle name="_Chelan Debt Forecast 12.19.05_16.37E Wild Horse Expansion DeferralRevwrkingfile SF 2" xfId="2023"/>
    <cellStyle name="_Chelan Debt Forecast 12.19.05_4 31 Regulatory Assets and Liabilities  7 06- Exhibit D" xfId="558"/>
    <cellStyle name="_Chelan Debt Forecast 12.19.05_4 31 Regulatory Assets and Liabilities  7 06- Exhibit D 2" xfId="2024"/>
    <cellStyle name="_Chelan Debt Forecast 12.19.05_4 32 Regulatory Assets and Liabilities  7 06- Exhibit D" xfId="559"/>
    <cellStyle name="_Chelan Debt Forecast 12.19.05_4 32 Regulatory Assets and Liabilities  7 06- Exhibit D 2" xfId="2025"/>
    <cellStyle name="_Chelan Debt Forecast 12.19.05_Book2" xfId="560"/>
    <cellStyle name="_Chelan Debt Forecast 12.19.05_Book2 2" xfId="2026"/>
    <cellStyle name="_Chelan Debt Forecast 12.19.05_Book2_Adj Bench DR 3 for Initial Briefs (Electric)" xfId="561"/>
    <cellStyle name="_Chelan Debt Forecast 12.19.05_Book2_Adj Bench DR 3 for Initial Briefs (Electric) 2" xfId="2027"/>
    <cellStyle name="_Chelan Debt Forecast 12.19.05_Book2_Electric Rev Req Model (2009 GRC) Rebuttal" xfId="562"/>
    <cellStyle name="_Chelan Debt Forecast 12.19.05_Book2_Electric Rev Req Model (2009 GRC) Rebuttal 2" xfId="2028"/>
    <cellStyle name="_Chelan Debt Forecast 12.19.05_Book2_Electric Rev Req Model (2009 GRC) Rebuttal REmoval of New  WH Solar AdjustMI" xfId="563"/>
    <cellStyle name="_Chelan Debt Forecast 12.19.05_Book2_Electric Rev Req Model (2009 GRC) Rebuttal REmoval of New  WH Solar AdjustMI 2" xfId="2029"/>
    <cellStyle name="_Chelan Debt Forecast 12.19.05_Book2_Electric Rev Req Model (2009 GRC) Revised 01-18-2010" xfId="564"/>
    <cellStyle name="_Chelan Debt Forecast 12.19.05_Book2_Electric Rev Req Model (2009 GRC) Revised 01-18-2010 2" xfId="2030"/>
    <cellStyle name="_Chelan Debt Forecast 12.19.05_Book2_Final Order Electric EXHIBIT A-1" xfId="565"/>
    <cellStyle name="_Chelan Debt Forecast 12.19.05_Book2_Final Order Electric EXHIBIT A-1 2" xfId="2031"/>
    <cellStyle name="_Chelan Debt Forecast 12.19.05_Book4" xfId="566"/>
    <cellStyle name="_Chelan Debt Forecast 12.19.05_Book4 2" xfId="2032"/>
    <cellStyle name="_Chelan Debt Forecast 12.19.05_Book9" xfId="567"/>
    <cellStyle name="_Chelan Debt Forecast 12.19.05_Book9 2" xfId="2033"/>
    <cellStyle name="_Chelan Debt Forecast 12.19.05_INPUTS" xfId="36"/>
    <cellStyle name="_Chelan Debt Forecast 12.19.05_INPUTS 2" xfId="2034"/>
    <cellStyle name="_Chelan Debt Forecast 12.19.05_Power Costs - Comparison bx Rbtl-Staff-Jt-PC" xfId="568"/>
    <cellStyle name="_Chelan Debt Forecast 12.19.05_Power Costs - Comparison bx Rbtl-Staff-Jt-PC 2" xfId="2035"/>
    <cellStyle name="_Chelan Debt Forecast 12.19.05_Power Costs - Comparison bx Rbtl-Staff-Jt-PC_Adj Bench DR 3 for Initial Briefs (Electric)" xfId="569"/>
    <cellStyle name="_Chelan Debt Forecast 12.19.05_Power Costs - Comparison bx Rbtl-Staff-Jt-PC_Adj Bench DR 3 for Initial Briefs (Electric) 2" xfId="2036"/>
    <cellStyle name="_Chelan Debt Forecast 12.19.05_Power Costs - Comparison bx Rbtl-Staff-Jt-PC_Electric Rev Req Model (2009 GRC) Rebuttal" xfId="570"/>
    <cellStyle name="_Chelan Debt Forecast 12.19.05_Power Costs - Comparison bx Rbtl-Staff-Jt-PC_Electric Rev Req Model (2009 GRC) Rebuttal 2" xfId="2037"/>
    <cellStyle name="_Chelan Debt Forecast 12.19.05_Power Costs - Comparison bx Rbtl-Staff-Jt-PC_Electric Rev Req Model (2009 GRC) Rebuttal REmoval of New  WH Solar AdjustMI" xfId="571"/>
    <cellStyle name="_Chelan Debt Forecast 12.19.05_Power Costs - Comparison bx Rbtl-Staff-Jt-PC_Electric Rev Req Model (2009 GRC) Rebuttal REmoval of New  WH Solar AdjustMI 2" xfId="2038"/>
    <cellStyle name="_Chelan Debt Forecast 12.19.05_Power Costs - Comparison bx Rbtl-Staff-Jt-PC_Electric Rev Req Model (2009 GRC) Revised 01-18-2010" xfId="572"/>
    <cellStyle name="_Chelan Debt Forecast 12.19.05_Power Costs - Comparison bx Rbtl-Staff-Jt-PC_Electric Rev Req Model (2009 GRC) Revised 01-18-2010 2" xfId="2039"/>
    <cellStyle name="_Chelan Debt Forecast 12.19.05_Power Costs - Comparison bx Rbtl-Staff-Jt-PC_Final Order Electric EXHIBIT A-1" xfId="573"/>
    <cellStyle name="_Chelan Debt Forecast 12.19.05_Power Costs - Comparison bx Rbtl-Staff-Jt-PC_Final Order Electric EXHIBIT A-1 2" xfId="2040"/>
    <cellStyle name="_Chelan Debt Forecast 12.19.05_Production Adj 4.37" xfId="37"/>
    <cellStyle name="_Chelan Debt Forecast 12.19.05_Production Adj 4.37 2" xfId="2041"/>
    <cellStyle name="_Chelan Debt Forecast 12.19.05_Purchased Power Adj 4.03" xfId="38"/>
    <cellStyle name="_Chelan Debt Forecast 12.19.05_Purchased Power Adj 4.03 2" xfId="2042"/>
    <cellStyle name="_Chelan Debt Forecast 12.19.05_Rebuttal Power Costs" xfId="574"/>
    <cellStyle name="_Chelan Debt Forecast 12.19.05_Rebuttal Power Costs 2" xfId="2043"/>
    <cellStyle name="_Chelan Debt Forecast 12.19.05_Rebuttal Power Costs_Adj Bench DR 3 for Initial Briefs (Electric)" xfId="575"/>
    <cellStyle name="_Chelan Debt Forecast 12.19.05_Rebuttal Power Costs_Adj Bench DR 3 for Initial Briefs (Electric) 2" xfId="2044"/>
    <cellStyle name="_Chelan Debt Forecast 12.19.05_Rebuttal Power Costs_Electric Rev Req Model (2009 GRC) Rebuttal" xfId="576"/>
    <cellStyle name="_Chelan Debt Forecast 12.19.05_Rebuttal Power Costs_Electric Rev Req Model (2009 GRC) Rebuttal 2" xfId="2045"/>
    <cellStyle name="_Chelan Debt Forecast 12.19.05_Rebuttal Power Costs_Electric Rev Req Model (2009 GRC) Rebuttal REmoval of New  WH Solar AdjustMI" xfId="577"/>
    <cellStyle name="_Chelan Debt Forecast 12.19.05_Rebuttal Power Costs_Electric Rev Req Model (2009 GRC) Rebuttal REmoval of New  WH Solar AdjustMI 2" xfId="2046"/>
    <cellStyle name="_Chelan Debt Forecast 12.19.05_Rebuttal Power Costs_Electric Rev Req Model (2009 GRC) Revised 01-18-2010" xfId="578"/>
    <cellStyle name="_Chelan Debt Forecast 12.19.05_Rebuttal Power Costs_Electric Rev Req Model (2009 GRC) Revised 01-18-2010 2" xfId="2047"/>
    <cellStyle name="_Chelan Debt Forecast 12.19.05_Rebuttal Power Costs_Final Order Electric EXHIBIT A-1" xfId="579"/>
    <cellStyle name="_Chelan Debt Forecast 12.19.05_Rebuttal Power Costs_Final Order Electric EXHIBIT A-1 2" xfId="2048"/>
    <cellStyle name="_Chelan Debt Forecast 12.19.05_ROR &amp; CONV FACTOR" xfId="39"/>
    <cellStyle name="_Chelan Debt Forecast 12.19.05_ROR &amp; CONV FACTOR 2" xfId="2049"/>
    <cellStyle name="_Chelan Debt Forecast 12.19.05_ROR 5.02" xfId="40"/>
    <cellStyle name="_Chelan Debt Forecast 12.19.05_ROR 5.02 2" xfId="2050"/>
    <cellStyle name="_Copy 11-9 Sumas Proforma - Current" xfId="580"/>
    <cellStyle name="_Costs not in AURORA 06GRC" xfId="41"/>
    <cellStyle name="_Costs not in AURORA 06GRC 2" xfId="581"/>
    <cellStyle name="_Costs not in AURORA 06GRC 2 2" xfId="2051"/>
    <cellStyle name="_Costs not in AURORA 06GRC 3" xfId="1602"/>
    <cellStyle name="_Costs not in AURORA 06GRC 3 2" xfId="2053"/>
    <cellStyle name="_Costs not in AURORA 06GRC 3 3" xfId="2054"/>
    <cellStyle name="_Costs not in AURORA 06GRC 3 4" xfId="2052"/>
    <cellStyle name="_Costs not in AURORA 06GRC 4" xfId="2055"/>
    <cellStyle name="_Costs not in AURORA 06GRC_04 07E Wild Horse Wind Expansion (C) (2)" xfId="42"/>
    <cellStyle name="_Costs not in AURORA 06GRC_04 07E Wild Horse Wind Expansion (C) (2) 2" xfId="2056"/>
    <cellStyle name="_Costs not in AURORA 06GRC_04 07E Wild Horse Wind Expansion (C) (2)_Adj Bench DR 3 for Initial Briefs (Electric)" xfId="582"/>
    <cellStyle name="_Costs not in AURORA 06GRC_04 07E Wild Horse Wind Expansion (C) (2)_Adj Bench DR 3 for Initial Briefs (Electric) 2" xfId="2057"/>
    <cellStyle name="_Costs not in AURORA 06GRC_04 07E Wild Horse Wind Expansion (C) (2)_Electric Rev Req Model (2009 GRC) " xfId="583"/>
    <cellStyle name="_Costs not in AURORA 06GRC_04 07E Wild Horse Wind Expansion (C) (2)_Electric Rev Req Model (2009 GRC)  2" xfId="2058"/>
    <cellStyle name="_Costs not in AURORA 06GRC_04 07E Wild Horse Wind Expansion (C) (2)_Electric Rev Req Model (2009 GRC) Rebuttal" xfId="584"/>
    <cellStyle name="_Costs not in AURORA 06GRC_04 07E Wild Horse Wind Expansion (C) (2)_Electric Rev Req Model (2009 GRC) Rebuttal 2" xfId="2059"/>
    <cellStyle name="_Costs not in AURORA 06GRC_04 07E Wild Horse Wind Expansion (C) (2)_Electric Rev Req Model (2009 GRC) Rebuttal REmoval of New  WH Solar AdjustMI" xfId="585"/>
    <cellStyle name="_Costs not in AURORA 06GRC_04 07E Wild Horse Wind Expansion (C) (2)_Electric Rev Req Model (2009 GRC) Rebuttal REmoval of New  WH Solar AdjustMI 2" xfId="2060"/>
    <cellStyle name="_Costs not in AURORA 06GRC_04 07E Wild Horse Wind Expansion (C) (2)_Electric Rev Req Model (2009 GRC) Revised 01-18-2010" xfId="586"/>
    <cellStyle name="_Costs not in AURORA 06GRC_04 07E Wild Horse Wind Expansion (C) (2)_Electric Rev Req Model (2009 GRC) Revised 01-18-2010 2" xfId="2061"/>
    <cellStyle name="_Costs not in AURORA 06GRC_04 07E Wild Horse Wind Expansion (C) (2)_Final Order Electric EXHIBIT A-1" xfId="587"/>
    <cellStyle name="_Costs not in AURORA 06GRC_04 07E Wild Horse Wind Expansion (C) (2)_Final Order Electric EXHIBIT A-1 2" xfId="2062"/>
    <cellStyle name="_Costs not in AURORA 06GRC_04 07E Wild Horse Wind Expansion (C) (2)_TENASKA REGULATORY ASSET" xfId="588"/>
    <cellStyle name="_Costs not in AURORA 06GRC_04 07E Wild Horse Wind Expansion (C) (2)_TENASKA REGULATORY ASSET 2" xfId="2063"/>
    <cellStyle name="_Costs not in AURORA 06GRC_16.37E Wild Horse Expansion DeferralRevwrkingfile SF" xfId="589"/>
    <cellStyle name="_Costs not in AURORA 06GRC_16.37E Wild Horse Expansion DeferralRevwrkingfile SF 2" xfId="2064"/>
    <cellStyle name="_Costs not in AURORA 06GRC_4 31 Regulatory Assets and Liabilities  7 06- Exhibit D" xfId="590"/>
    <cellStyle name="_Costs not in AURORA 06GRC_4 31 Regulatory Assets and Liabilities  7 06- Exhibit D 2" xfId="2065"/>
    <cellStyle name="_Costs not in AURORA 06GRC_4 32 Regulatory Assets and Liabilities  7 06- Exhibit D" xfId="591"/>
    <cellStyle name="_Costs not in AURORA 06GRC_4 32 Regulatory Assets and Liabilities  7 06- Exhibit D 2" xfId="2066"/>
    <cellStyle name="_Costs not in AURORA 06GRC_Book2" xfId="592"/>
    <cellStyle name="_Costs not in AURORA 06GRC_Book2 2" xfId="2067"/>
    <cellStyle name="_Costs not in AURORA 06GRC_Book2_Adj Bench DR 3 for Initial Briefs (Electric)" xfId="593"/>
    <cellStyle name="_Costs not in AURORA 06GRC_Book2_Adj Bench DR 3 for Initial Briefs (Electric) 2" xfId="2068"/>
    <cellStyle name="_Costs not in AURORA 06GRC_Book2_Electric Rev Req Model (2009 GRC) Rebuttal" xfId="594"/>
    <cellStyle name="_Costs not in AURORA 06GRC_Book2_Electric Rev Req Model (2009 GRC) Rebuttal 2" xfId="2069"/>
    <cellStyle name="_Costs not in AURORA 06GRC_Book2_Electric Rev Req Model (2009 GRC) Rebuttal REmoval of New  WH Solar AdjustMI" xfId="595"/>
    <cellStyle name="_Costs not in AURORA 06GRC_Book2_Electric Rev Req Model (2009 GRC) Rebuttal REmoval of New  WH Solar AdjustMI 2" xfId="2070"/>
    <cellStyle name="_Costs not in AURORA 06GRC_Book2_Electric Rev Req Model (2009 GRC) Revised 01-18-2010" xfId="596"/>
    <cellStyle name="_Costs not in AURORA 06GRC_Book2_Electric Rev Req Model (2009 GRC) Revised 01-18-2010 2" xfId="2071"/>
    <cellStyle name="_Costs not in AURORA 06GRC_Book2_Final Order Electric EXHIBIT A-1" xfId="597"/>
    <cellStyle name="_Costs not in AURORA 06GRC_Book2_Final Order Electric EXHIBIT A-1 2" xfId="2072"/>
    <cellStyle name="_Costs not in AURORA 06GRC_Book4" xfId="598"/>
    <cellStyle name="_Costs not in AURORA 06GRC_Book4 2" xfId="2073"/>
    <cellStyle name="_Costs not in AURORA 06GRC_Book9" xfId="599"/>
    <cellStyle name="_Costs not in AURORA 06GRC_Book9 2" xfId="2074"/>
    <cellStyle name="_Costs not in AURORA 06GRC_INPUTS" xfId="43"/>
    <cellStyle name="_Costs not in AURORA 06GRC_INPUTS 2" xfId="2075"/>
    <cellStyle name="_Costs not in AURORA 06GRC_Power Costs - Comparison bx Rbtl-Staff-Jt-PC" xfId="600"/>
    <cellStyle name="_Costs not in AURORA 06GRC_Power Costs - Comparison bx Rbtl-Staff-Jt-PC 2" xfId="2076"/>
    <cellStyle name="_Costs not in AURORA 06GRC_Power Costs - Comparison bx Rbtl-Staff-Jt-PC_Adj Bench DR 3 for Initial Briefs (Electric)" xfId="601"/>
    <cellStyle name="_Costs not in AURORA 06GRC_Power Costs - Comparison bx Rbtl-Staff-Jt-PC_Adj Bench DR 3 for Initial Briefs (Electric) 2" xfId="2077"/>
    <cellStyle name="_Costs not in AURORA 06GRC_Power Costs - Comparison bx Rbtl-Staff-Jt-PC_Electric Rev Req Model (2009 GRC) Rebuttal" xfId="602"/>
    <cellStyle name="_Costs not in AURORA 06GRC_Power Costs - Comparison bx Rbtl-Staff-Jt-PC_Electric Rev Req Model (2009 GRC) Rebuttal 2" xfId="2078"/>
    <cellStyle name="_Costs not in AURORA 06GRC_Power Costs - Comparison bx Rbtl-Staff-Jt-PC_Electric Rev Req Model (2009 GRC) Rebuttal REmoval of New  WH Solar AdjustMI" xfId="603"/>
    <cellStyle name="_Costs not in AURORA 06GRC_Power Costs - Comparison bx Rbtl-Staff-Jt-PC_Electric Rev Req Model (2009 GRC) Rebuttal REmoval of New  WH Solar AdjustMI 2" xfId="2079"/>
    <cellStyle name="_Costs not in AURORA 06GRC_Power Costs - Comparison bx Rbtl-Staff-Jt-PC_Electric Rev Req Model (2009 GRC) Revised 01-18-2010" xfId="604"/>
    <cellStyle name="_Costs not in AURORA 06GRC_Power Costs - Comparison bx Rbtl-Staff-Jt-PC_Electric Rev Req Model (2009 GRC) Revised 01-18-2010 2" xfId="2080"/>
    <cellStyle name="_Costs not in AURORA 06GRC_Power Costs - Comparison bx Rbtl-Staff-Jt-PC_Final Order Electric EXHIBIT A-1" xfId="605"/>
    <cellStyle name="_Costs not in AURORA 06GRC_Power Costs - Comparison bx Rbtl-Staff-Jt-PC_Final Order Electric EXHIBIT A-1 2" xfId="2081"/>
    <cellStyle name="_Costs not in AURORA 06GRC_Production Adj 4.37" xfId="44"/>
    <cellStyle name="_Costs not in AURORA 06GRC_Production Adj 4.37 2" xfId="2082"/>
    <cellStyle name="_Costs not in AURORA 06GRC_Purchased Power Adj 4.03" xfId="45"/>
    <cellStyle name="_Costs not in AURORA 06GRC_Purchased Power Adj 4.03 2" xfId="2083"/>
    <cellStyle name="_Costs not in AURORA 06GRC_Rebuttal Power Costs" xfId="606"/>
    <cellStyle name="_Costs not in AURORA 06GRC_Rebuttal Power Costs 2" xfId="2084"/>
    <cellStyle name="_Costs not in AURORA 06GRC_Rebuttal Power Costs_Adj Bench DR 3 for Initial Briefs (Electric)" xfId="607"/>
    <cellStyle name="_Costs not in AURORA 06GRC_Rebuttal Power Costs_Adj Bench DR 3 for Initial Briefs (Electric) 2" xfId="2085"/>
    <cellStyle name="_Costs not in AURORA 06GRC_Rebuttal Power Costs_Electric Rev Req Model (2009 GRC) Rebuttal" xfId="608"/>
    <cellStyle name="_Costs not in AURORA 06GRC_Rebuttal Power Costs_Electric Rev Req Model (2009 GRC) Rebuttal 2" xfId="2086"/>
    <cellStyle name="_Costs not in AURORA 06GRC_Rebuttal Power Costs_Electric Rev Req Model (2009 GRC) Rebuttal REmoval of New  WH Solar AdjustMI" xfId="609"/>
    <cellStyle name="_Costs not in AURORA 06GRC_Rebuttal Power Costs_Electric Rev Req Model (2009 GRC) Rebuttal REmoval of New  WH Solar AdjustMI 2" xfId="2087"/>
    <cellStyle name="_Costs not in AURORA 06GRC_Rebuttal Power Costs_Electric Rev Req Model (2009 GRC) Revised 01-18-2010" xfId="610"/>
    <cellStyle name="_Costs not in AURORA 06GRC_Rebuttal Power Costs_Electric Rev Req Model (2009 GRC) Revised 01-18-2010 2" xfId="2088"/>
    <cellStyle name="_Costs not in AURORA 06GRC_Rebuttal Power Costs_Final Order Electric EXHIBIT A-1" xfId="611"/>
    <cellStyle name="_Costs not in AURORA 06GRC_Rebuttal Power Costs_Final Order Electric EXHIBIT A-1 2" xfId="2089"/>
    <cellStyle name="_Costs not in AURORA 06GRC_ROR &amp; CONV FACTOR" xfId="46"/>
    <cellStyle name="_Costs not in AURORA 06GRC_ROR &amp; CONV FACTOR 2" xfId="2090"/>
    <cellStyle name="_Costs not in AURORA 06GRC_ROR 5.02" xfId="47"/>
    <cellStyle name="_Costs not in AURORA 06GRC_ROR 5.02 2" xfId="2091"/>
    <cellStyle name="_Costs not in AURORA 2006GRC 6.15.06" xfId="48"/>
    <cellStyle name="_Costs not in AURORA 2006GRC 6.15.06 2" xfId="612"/>
    <cellStyle name="_Costs not in AURORA 2006GRC 6.15.06 2 2" xfId="2092"/>
    <cellStyle name="_Costs not in AURORA 2006GRC 6.15.06 3" xfId="1603"/>
    <cellStyle name="_Costs not in AURORA 2006GRC 6.15.06 3 2" xfId="2094"/>
    <cellStyle name="_Costs not in AURORA 2006GRC 6.15.06 3 3" xfId="2095"/>
    <cellStyle name="_Costs not in AURORA 2006GRC 6.15.06 3 4" xfId="2093"/>
    <cellStyle name="_Costs not in AURORA 2006GRC 6.15.06 4" xfId="2096"/>
    <cellStyle name="_Costs not in AURORA 2006GRC 6.15.06_04 07E Wild Horse Wind Expansion (C) (2)" xfId="49"/>
    <cellStyle name="_Costs not in AURORA 2006GRC 6.15.06_04 07E Wild Horse Wind Expansion (C) (2) 2" xfId="2097"/>
    <cellStyle name="_Costs not in AURORA 2006GRC 6.15.06_04 07E Wild Horse Wind Expansion (C) (2)_Adj Bench DR 3 for Initial Briefs (Electric)" xfId="613"/>
    <cellStyle name="_Costs not in AURORA 2006GRC 6.15.06_04 07E Wild Horse Wind Expansion (C) (2)_Adj Bench DR 3 for Initial Briefs (Electric) 2" xfId="2098"/>
    <cellStyle name="_Costs not in AURORA 2006GRC 6.15.06_04 07E Wild Horse Wind Expansion (C) (2)_Electric Rev Req Model (2009 GRC) " xfId="614"/>
    <cellStyle name="_Costs not in AURORA 2006GRC 6.15.06_04 07E Wild Horse Wind Expansion (C) (2)_Electric Rev Req Model (2009 GRC)  2" xfId="2099"/>
    <cellStyle name="_Costs not in AURORA 2006GRC 6.15.06_04 07E Wild Horse Wind Expansion (C) (2)_Electric Rev Req Model (2009 GRC) Rebuttal" xfId="615"/>
    <cellStyle name="_Costs not in AURORA 2006GRC 6.15.06_04 07E Wild Horse Wind Expansion (C) (2)_Electric Rev Req Model (2009 GRC) Rebuttal 2" xfId="2100"/>
    <cellStyle name="_Costs not in AURORA 2006GRC 6.15.06_04 07E Wild Horse Wind Expansion (C) (2)_Electric Rev Req Model (2009 GRC) Rebuttal REmoval of New  WH Solar AdjustMI" xfId="616"/>
    <cellStyle name="_Costs not in AURORA 2006GRC 6.15.06_04 07E Wild Horse Wind Expansion (C) (2)_Electric Rev Req Model (2009 GRC) Rebuttal REmoval of New  WH Solar AdjustMI 2" xfId="2101"/>
    <cellStyle name="_Costs not in AURORA 2006GRC 6.15.06_04 07E Wild Horse Wind Expansion (C) (2)_Electric Rev Req Model (2009 GRC) Revised 01-18-2010" xfId="617"/>
    <cellStyle name="_Costs not in AURORA 2006GRC 6.15.06_04 07E Wild Horse Wind Expansion (C) (2)_Electric Rev Req Model (2009 GRC) Revised 01-18-2010 2" xfId="2102"/>
    <cellStyle name="_Costs not in AURORA 2006GRC 6.15.06_04 07E Wild Horse Wind Expansion (C) (2)_Final Order Electric EXHIBIT A-1" xfId="618"/>
    <cellStyle name="_Costs not in AURORA 2006GRC 6.15.06_04 07E Wild Horse Wind Expansion (C) (2)_Final Order Electric EXHIBIT A-1 2" xfId="2103"/>
    <cellStyle name="_Costs not in AURORA 2006GRC 6.15.06_04 07E Wild Horse Wind Expansion (C) (2)_TENASKA REGULATORY ASSET" xfId="619"/>
    <cellStyle name="_Costs not in AURORA 2006GRC 6.15.06_04 07E Wild Horse Wind Expansion (C) (2)_TENASKA REGULATORY ASSET 2" xfId="2104"/>
    <cellStyle name="_Costs not in AURORA 2006GRC 6.15.06_16.37E Wild Horse Expansion DeferralRevwrkingfile SF" xfId="620"/>
    <cellStyle name="_Costs not in AURORA 2006GRC 6.15.06_16.37E Wild Horse Expansion DeferralRevwrkingfile SF 2" xfId="2105"/>
    <cellStyle name="_Costs not in AURORA 2006GRC 6.15.06_4 31 Regulatory Assets and Liabilities  7 06- Exhibit D" xfId="621"/>
    <cellStyle name="_Costs not in AURORA 2006GRC 6.15.06_4 31 Regulatory Assets and Liabilities  7 06- Exhibit D 2" xfId="2106"/>
    <cellStyle name="_Costs not in AURORA 2006GRC 6.15.06_4 32 Regulatory Assets and Liabilities  7 06- Exhibit D" xfId="622"/>
    <cellStyle name="_Costs not in AURORA 2006GRC 6.15.06_4 32 Regulatory Assets and Liabilities  7 06- Exhibit D 2" xfId="2107"/>
    <cellStyle name="_Costs not in AURORA 2006GRC 6.15.06_Book2" xfId="623"/>
    <cellStyle name="_Costs not in AURORA 2006GRC 6.15.06_Book2 2" xfId="2108"/>
    <cellStyle name="_Costs not in AURORA 2006GRC 6.15.06_Book2_Adj Bench DR 3 for Initial Briefs (Electric)" xfId="624"/>
    <cellStyle name="_Costs not in AURORA 2006GRC 6.15.06_Book2_Adj Bench DR 3 for Initial Briefs (Electric) 2" xfId="2109"/>
    <cellStyle name="_Costs not in AURORA 2006GRC 6.15.06_Book2_Electric Rev Req Model (2009 GRC) Rebuttal" xfId="625"/>
    <cellStyle name="_Costs not in AURORA 2006GRC 6.15.06_Book2_Electric Rev Req Model (2009 GRC) Rebuttal 2" xfId="2110"/>
    <cellStyle name="_Costs not in AURORA 2006GRC 6.15.06_Book2_Electric Rev Req Model (2009 GRC) Rebuttal REmoval of New  WH Solar AdjustMI" xfId="626"/>
    <cellStyle name="_Costs not in AURORA 2006GRC 6.15.06_Book2_Electric Rev Req Model (2009 GRC) Rebuttal REmoval of New  WH Solar AdjustMI 2" xfId="2111"/>
    <cellStyle name="_Costs not in AURORA 2006GRC 6.15.06_Book2_Electric Rev Req Model (2009 GRC) Revised 01-18-2010" xfId="627"/>
    <cellStyle name="_Costs not in AURORA 2006GRC 6.15.06_Book2_Electric Rev Req Model (2009 GRC) Revised 01-18-2010 2" xfId="2112"/>
    <cellStyle name="_Costs not in AURORA 2006GRC 6.15.06_Book2_Final Order Electric EXHIBIT A-1" xfId="628"/>
    <cellStyle name="_Costs not in AURORA 2006GRC 6.15.06_Book2_Final Order Electric EXHIBIT A-1 2" xfId="2113"/>
    <cellStyle name="_Costs not in AURORA 2006GRC 6.15.06_Book4" xfId="629"/>
    <cellStyle name="_Costs not in AURORA 2006GRC 6.15.06_Book4 2" xfId="2114"/>
    <cellStyle name="_Costs not in AURORA 2006GRC 6.15.06_Book9" xfId="630"/>
    <cellStyle name="_Costs not in AURORA 2006GRC 6.15.06_Book9 2" xfId="2115"/>
    <cellStyle name="_Costs not in AURORA 2006GRC 6.15.06_INPUTS" xfId="50"/>
    <cellStyle name="_Costs not in AURORA 2006GRC 6.15.06_INPUTS 2" xfId="2116"/>
    <cellStyle name="_Costs not in AURORA 2006GRC 6.15.06_Power Costs - Comparison bx Rbtl-Staff-Jt-PC" xfId="631"/>
    <cellStyle name="_Costs not in AURORA 2006GRC 6.15.06_Power Costs - Comparison bx Rbtl-Staff-Jt-PC 2" xfId="2117"/>
    <cellStyle name="_Costs not in AURORA 2006GRC 6.15.06_Power Costs - Comparison bx Rbtl-Staff-Jt-PC_Adj Bench DR 3 for Initial Briefs (Electric)" xfId="632"/>
    <cellStyle name="_Costs not in AURORA 2006GRC 6.15.06_Power Costs - Comparison bx Rbtl-Staff-Jt-PC_Adj Bench DR 3 for Initial Briefs (Electric) 2" xfId="2118"/>
    <cellStyle name="_Costs not in AURORA 2006GRC 6.15.06_Power Costs - Comparison bx Rbtl-Staff-Jt-PC_Electric Rev Req Model (2009 GRC) Rebuttal" xfId="633"/>
    <cellStyle name="_Costs not in AURORA 2006GRC 6.15.06_Power Costs - Comparison bx Rbtl-Staff-Jt-PC_Electric Rev Req Model (2009 GRC) Rebuttal 2" xfId="2119"/>
    <cellStyle name="_Costs not in AURORA 2006GRC 6.15.06_Power Costs - Comparison bx Rbtl-Staff-Jt-PC_Electric Rev Req Model (2009 GRC) Rebuttal REmoval of New  WH Solar AdjustMI" xfId="634"/>
    <cellStyle name="_Costs not in AURORA 2006GRC 6.15.06_Power Costs - Comparison bx Rbtl-Staff-Jt-PC_Electric Rev Req Model (2009 GRC) Rebuttal REmoval of New  WH Solar AdjustMI 2" xfId="2120"/>
    <cellStyle name="_Costs not in AURORA 2006GRC 6.15.06_Power Costs - Comparison bx Rbtl-Staff-Jt-PC_Electric Rev Req Model (2009 GRC) Revised 01-18-2010" xfId="635"/>
    <cellStyle name="_Costs not in AURORA 2006GRC 6.15.06_Power Costs - Comparison bx Rbtl-Staff-Jt-PC_Electric Rev Req Model (2009 GRC) Revised 01-18-2010 2" xfId="2121"/>
    <cellStyle name="_Costs not in AURORA 2006GRC 6.15.06_Power Costs - Comparison bx Rbtl-Staff-Jt-PC_Final Order Electric EXHIBIT A-1" xfId="636"/>
    <cellStyle name="_Costs not in AURORA 2006GRC 6.15.06_Power Costs - Comparison bx Rbtl-Staff-Jt-PC_Final Order Electric EXHIBIT A-1 2" xfId="2122"/>
    <cellStyle name="_Costs not in AURORA 2006GRC 6.15.06_Production Adj 4.37" xfId="51"/>
    <cellStyle name="_Costs not in AURORA 2006GRC 6.15.06_Production Adj 4.37 2" xfId="2123"/>
    <cellStyle name="_Costs not in AURORA 2006GRC 6.15.06_Purchased Power Adj 4.03" xfId="52"/>
    <cellStyle name="_Costs not in AURORA 2006GRC 6.15.06_Purchased Power Adj 4.03 2" xfId="2124"/>
    <cellStyle name="_Costs not in AURORA 2006GRC 6.15.06_Rebuttal Power Costs" xfId="637"/>
    <cellStyle name="_Costs not in AURORA 2006GRC 6.15.06_Rebuttal Power Costs 2" xfId="2125"/>
    <cellStyle name="_Costs not in AURORA 2006GRC 6.15.06_Rebuttal Power Costs_Adj Bench DR 3 for Initial Briefs (Electric)" xfId="638"/>
    <cellStyle name="_Costs not in AURORA 2006GRC 6.15.06_Rebuttal Power Costs_Adj Bench DR 3 for Initial Briefs (Electric) 2" xfId="2126"/>
    <cellStyle name="_Costs not in AURORA 2006GRC 6.15.06_Rebuttal Power Costs_Electric Rev Req Model (2009 GRC) Rebuttal" xfId="639"/>
    <cellStyle name="_Costs not in AURORA 2006GRC 6.15.06_Rebuttal Power Costs_Electric Rev Req Model (2009 GRC) Rebuttal 2" xfId="2127"/>
    <cellStyle name="_Costs not in AURORA 2006GRC 6.15.06_Rebuttal Power Costs_Electric Rev Req Model (2009 GRC) Rebuttal REmoval of New  WH Solar AdjustMI" xfId="640"/>
    <cellStyle name="_Costs not in AURORA 2006GRC 6.15.06_Rebuttal Power Costs_Electric Rev Req Model (2009 GRC) Rebuttal REmoval of New  WH Solar AdjustMI 2" xfId="2128"/>
    <cellStyle name="_Costs not in AURORA 2006GRC 6.15.06_Rebuttal Power Costs_Electric Rev Req Model (2009 GRC) Revised 01-18-2010" xfId="641"/>
    <cellStyle name="_Costs not in AURORA 2006GRC 6.15.06_Rebuttal Power Costs_Electric Rev Req Model (2009 GRC) Revised 01-18-2010 2" xfId="2129"/>
    <cellStyle name="_Costs not in AURORA 2006GRC 6.15.06_Rebuttal Power Costs_Final Order Electric EXHIBIT A-1" xfId="642"/>
    <cellStyle name="_Costs not in AURORA 2006GRC 6.15.06_Rebuttal Power Costs_Final Order Electric EXHIBIT A-1 2" xfId="2130"/>
    <cellStyle name="_Costs not in AURORA 2006GRC 6.15.06_ROR &amp; CONV FACTOR" xfId="53"/>
    <cellStyle name="_Costs not in AURORA 2006GRC 6.15.06_ROR &amp; CONV FACTOR 2" xfId="2131"/>
    <cellStyle name="_Costs not in AURORA 2006GRC 6.15.06_ROR 5.02" xfId="54"/>
    <cellStyle name="_Costs not in AURORA 2006GRC 6.15.06_ROR 5.02 2" xfId="2132"/>
    <cellStyle name="_Costs not in AURORA 2006GRC w gas price updated" xfId="55"/>
    <cellStyle name="_Costs not in AURORA 2006GRC w gas price updated 2" xfId="2133"/>
    <cellStyle name="_Costs not in AURORA 2006GRC w gas price updated_Adj Bench DR 3 for Initial Briefs (Electric)" xfId="643"/>
    <cellStyle name="_Costs not in AURORA 2006GRC w gas price updated_Adj Bench DR 3 for Initial Briefs (Electric) 2" xfId="2134"/>
    <cellStyle name="_Costs not in AURORA 2006GRC w gas price updated_Book2" xfId="644"/>
    <cellStyle name="_Costs not in AURORA 2006GRC w gas price updated_Book2 2" xfId="2135"/>
    <cellStyle name="_Costs not in AURORA 2006GRC w gas price updated_Book2_Adj Bench DR 3 for Initial Briefs (Electric)" xfId="645"/>
    <cellStyle name="_Costs not in AURORA 2006GRC w gas price updated_Book2_Adj Bench DR 3 for Initial Briefs (Electric) 2" xfId="2136"/>
    <cellStyle name="_Costs not in AURORA 2006GRC w gas price updated_Book2_Electric Rev Req Model (2009 GRC) Rebuttal" xfId="646"/>
    <cellStyle name="_Costs not in AURORA 2006GRC w gas price updated_Book2_Electric Rev Req Model (2009 GRC) Rebuttal 2" xfId="2137"/>
    <cellStyle name="_Costs not in AURORA 2006GRC w gas price updated_Book2_Electric Rev Req Model (2009 GRC) Rebuttal REmoval of New  WH Solar AdjustMI" xfId="647"/>
    <cellStyle name="_Costs not in AURORA 2006GRC w gas price updated_Book2_Electric Rev Req Model (2009 GRC) Rebuttal REmoval of New  WH Solar AdjustMI 2" xfId="2138"/>
    <cellStyle name="_Costs not in AURORA 2006GRC w gas price updated_Book2_Electric Rev Req Model (2009 GRC) Revised 01-18-2010" xfId="648"/>
    <cellStyle name="_Costs not in AURORA 2006GRC w gas price updated_Book2_Electric Rev Req Model (2009 GRC) Revised 01-18-2010 2" xfId="2139"/>
    <cellStyle name="_Costs not in AURORA 2006GRC w gas price updated_Book2_Final Order Electric EXHIBIT A-1" xfId="649"/>
    <cellStyle name="_Costs not in AURORA 2006GRC w gas price updated_Book2_Final Order Electric EXHIBIT A-1 2" xfId="2140"/>
    <cellStyle name="_Costs not in AURORA 2006GRC w gas price updated_Electric Rev Req Model (2009 GRC) " xfId="650"/>
    <cellStyle name="_Costs not in AURORA 2006GRC w gas price updated_Electric Rev Req Model (2009 GRC)  2" xfId="2141"/>
    <cellStyle name="_Costs not in AURORA 2006GRC w gas price updated_Electric Rev Req Model (2009 GRC) Rebuttal" xfId="651"/>
    <cellStyle name="_Costs not in AURORA 2006GRC w gas price updated_Electric Rev Req Model (2009 GRC) Rebuttal 2" xfId="2142"/>
    <cellStyle name="_Costs not in AURORA 2006GRC w gas price updated_Electric Rev Req Model (2009 GRC) Rebuttal REmoval of New  WH Solar AdjustMI" xfId="652"/>
    <cellStyle name="_Costs not in AURORA 2006GRC w gas price updated_Electric Rev Req Model (2009 GRC) Rebuttal REmoval of New  WH Solar AdjustMI 2" xfId="2143"/>
    <cellStyle name="_Costs not in AURORA 2006GRC w gas price updated_Electric Rev Req Model (2009 GRC) Revised 01-18-2010" xfId="653"/>
    <cellStyle name="_Costs not in AURORA 2006GRC w gas price updated_Electric Rev Req Model (2009 GRC) Revised 01-18-2010 2" xfId="2144"/>
    <cellStyle name="_Costs not in AURORA 2006GRC w gas price updated_Final Order Electric EXHIBIT A-1" xfId="654"/>
    <cellStyle name="_Costs not in AURORA 2006GRC w gas price updated_Final Order Electric EXHIBIT A-1 2" xfId="2145"/>
    <cellStyle name="_Costs not in AURORA 2006GRC w gas price updated_Rebuttal Power Costs" xfId="655"/>
    <cellStyle name="_Costs not in AURORA 2006GRC w gas price updated_Rebuttal Power Costs 2" xfId="2146"/>
    <cellStyle name="_Costs not in AURORA 2006GRC w gas price updated_Rebuttal Power Costs_Adj Bench DR 3 for Initial Briefs (Electric)" xfId="656"/>
    <cellStyle name="_Costs not in AURORA 2006GRC w gas price updated_Rebuttal Power Costs_Adj Bench DR 3 for Initial Briefs (Electric) 2" xfId="2147"/>
    <cellStyle name="_Costs not in AURORA 2006GRC w gas price updated_Rebuttal Power Costs_Electric Rev Req Model (2009 GRC) Rebuttal" xfId="657"/>
    <cellStyle name="_Costs not in AURORA 2006GRC w gas price updated_Rebuttal Power Costs_Electric Rev Req Model (2009 GRC) Rebuttal 2" xfId="2148"/>
    <cellStyle name="_Costs not in AURORA 2006GRC w gas price updated_Rebuttal Power Costs_Electric Rev Req Model (2009 GRC) Rebuttal REmoval of New  WH Solar AdjustMI" xfId="658"/>
    <cellStyle name="_Costs not in AURORA 2006GRC w gas price updated_Rebuttal Power Costs_Electric Rev Req Model (2009 GRC) Rebuttal REmoval of New  WH Solar AdjustMI 2" xfId="2149"/>
    <cellStyle name="_Costs not in AURORA 2006GRC w gas price updated_Rebuttal Power Costs_Electric Rev Req Model (2009 GRC) Revised 01-18-2010" xfId="659"/>
    <cellStyle name="_Costs not in AURORA 2006GRC w gas price updated_Rebuttal Power Costs_Electric Rev Req Model (2009 GRC) Revised 01-18-2010 2" xfId="2150"/>
    <cellStyle name="_Costs not in AURORA 2006GRC w gas price updated_Rebuttal Power Costs_Final Order Electric EXHIBIT A-1" xfId="660"/>
    <cellStyle name="_Costs not in AURORA 2006GRC w gas price updated_Rebuttal Power Costs_Final Order Electric EXHIBIT A-1 2" xfId="2151"/>
    <cellStyle name="_Costs not in AURORA 2006GRC w gas price updated_TENASKA REGULATORY ASSET" xfId="661"/>
    <cellStyle name="_Costs not in AURORA 2006GRC w gas price updated_TENASKA REGULATORY ASSET 2" xfId="2152"/>
    <cellStyle name="_Costs not in AURORA 2007 Rate Case" xfId="56"/>
    <cellStyle name="_Costs not in AURORA 2007 Rate Case 2" xfId="662"/>
    <cellStyle name="_Costs not in AURORA 2007 Rate Case 2 2" xfId="2153"/>
    <cellStyle name="_Costs not in AURORA 2007 Rate Case 3" xfId="2154"/>
    <cellStyle name="_Costs not in AURORA 2007 Rate Case_(C) WHE Proforma with ITC cash grant 10 Yr Amort_for deferral_102809" xfId="663"/>
    <cellStyle name="_Costs not in AURORA 2007 Rate Case_(C) WHE Proforma with ITC cash grant 10 Yr Amort_for deferral_102809 2" xfId="2155"/>
    <cellStyle name="_Costs not in AURORA 2007 Rate Case_(C) WHE Proforma with ITC cash grant 10 Yr Amort_for deferral_102809_16.07E Wild Horse Wind Expansionwrkingfile" xfId="664"/>
    <cellStyle name="_Costs not in AURORA 2007 Rate Case_(C) WHE Proforma with ITC cash grant 10 Yr Amort_for deferral_102809_16.07E Wild Horse Wind Expansionwrkingfile 2" xfId="2156"/>
    <cellStyle name="_Costs not in AURORA 2007 Rate Case_(C) WHE Proforma with ITC cash grant 10 Yr Amort_for deferral_102809_16.07E Wild Horse Wind Expansionwrkingfile SF" xfId="665"/>
    <cellStyle name="_Costs not in AURORA 2007 Rate Case_(C) WHE Proforma with ITC cash grant 10 Yr Amort_for deferral_102809_16.07E Wild Horse Wind Expansionwrkingfile SF 2" xfId="2157"/>
    <cellStyle name="_Costs not in AURORA 2007 Rate Case_(C) WHE Proforma with ITC cash grant 10 Yr Amort_for deferral_102809_16.37E Wild Horse Expansion DeferralRevwrkingfile SF" xfId="666"/>
    <cellStyle name="_Costs not in AURORA 2007 Rate Case_(C) WHE Proforma with ITC cash grant 10 Yr Amort_for deferral_102809_16.37E Wild Horse Expansion DeferralRevwrkingfile SF 2" xfId="2158"/>
    <cellStyle name="_Costs not in AURORA 2007 Rate Case_(C) WHE Proforma with ITC cash grant 10 Yr Amort_for rebuttal_120709" xfId="667"/>
    <cellStyle name="_Costs not in AURORA 2007 Rate Case_(C) WHE Proforma with ITC cash grant 10 Yr Amort_for rebuttal_120709 2" xfId="2159"/>
    <cellStyle name="_Costs not in AURORA 2007 Rate Case_04.07E Wild Horse Wind Expansion" xfId="668"/>
    <cellStyle name="_Costs not in AURORA 2007 Rate Case_04.07E Wild Horse Wind Expansion 2" xfId="2160"/>
    <cellStyle name="_Costs not in AURORA 2007 Rate Case_04.07E Wild Horse Wind Expansion_16.07E Wild Horse Wind Expansionwrkingfile" xfId="669"/>
    <cellStyle name="_Costs not in AURORA 2007 Rate Case_04.07E Wild Horse Wind Expansion_16.07E Wild Horse Wind Expansionwrkingfile 2" xfId="2161"/>
    <cellStyle name="_Costs not in AURORA 2007 Rate Case_04.07E Wild Horse Wind Expansion_16.07E Wild Horse Wind Expansionwrkingfile SF" xfId="670"/>
    <cellStyle name="_Costs not in AURORA 2007 Rate Case_04.07E Wild Horse Wind Expansion_16.07E Wild Horse Wind Expansionwrkingfile SF 2" xfId="2162"/>
    <cellStyle name="_Costs not in AURORA 2007 Rate Case_04.07E Wild Horse Wind Expansion_16.37E Wild Horse Expansion DeferralRevwrkingfile SF" xfId="671"/>
    <cellStyle name="_Costs not in AURORA 2007 Rate Case_04.07E Wild Horse Wind Expansion_16.37E Wild Horse Expansion DeferralRevwrkingfile SF 2" xfId="2163"/>
    <cellStyle name="_Costs not in AURORA 2007 Rate Case_16.07E Wild Horse Wind Expansionwrkingfile" xfId="672"/>
    <cellStyle name="_Costs not in AURORA 2007 Rate Case_16.07E Wild Horse Wind Expansionwrkingfile 2" xfId="2164"/>
    <cellStyle name="_Costs not in AURORA 2007 Rate Case_16.07E Wild Horse Wind Expansionwrkingfile SF" xfId="673"/>
    <cellStyle name="_Costs not in AURORA 2007 Rate Case_16.07E Wild Horse Wind Expansionwrkingfile SF 2" xfId="2165"/>
    <cellStyle name="_Costs not in AURORA 2007 Rate Case_16.37E Wild Horse Expansion DeferralRevwrkingfile SF" xfId="674"/>
    <cellStyle name="_Costs not in AURORA 2007 Rate Case_16.37E Wild Horse Expansion DeferralRevwrkingfile SF 2" xfId="2166"/>
    <cellStyle name="_Costs not in AURORA 2007 Rate Case_4 31 Regulatory Assets and Liabilities  7 06- Exhibit D" xfId="675"/>
    <cellStyle name="_Costs not in AURORA 2007 Rate Case_4 31 Regulatory Assets and Liabilities  7 06- Exhibit D 2" xfId="2167"/>
    <cellStyle name="_Costs not in AURORA 2007 Rate Case_4 32 Regulatory Assets and Liabilities  7 06- Exhibit D" xfId="676"/>
    <cellStyle name="_Costs not in AURORA 2007 Rate Case_4 32 Regulatory Assets and Liabilities  7 06- Exhibit D 2" xfId="2168"/>
    <cellStyle name="_Costs not in AURORA 2007 Rate Case_Book2" xfId="677"/>
    <cellStyle name="_Costs not in AURORA 2007 Rate Case_Book2 2" xfId="2169"/>
    <cellStyle name="_Costs not in AURORA 2007 Rate Case_Book2_Adj Bench DR 3 for Initial Briefs (Electric)" xfId="678"/>
    <cellStyle name="_Costs not in AURORA 2007 Rate Case_Book2_Adj Bench DR 3 for Initial Briefs (Electric) 2" xfId="2170"/>
    <cellStyle name="_Costs not in AURORA 2007 Rate Case_Book2_Electric Rev Req Model (2009 GRC) Rebuttal" xfId="679"/>
    <cellStyle name="_Costs not in AURORA 2007 Rate Case_Book2_Electric Rev Req Model (2009 GRC) Rebuttal 2" xfId="2171"/>
    <cellStyle name="_Costs not in AURORA 2007 Rate Case_Book2_Electric Rev Req Model (2009 GRC) Rebuttal REmoval of New  WH Solar AdjustMI" xfId="680"/>
    <cellStyle name="_Costs not in AURORA 2007 Rate Case_Book2_Electric Rev Req Model (2009 GRC) Rebuttal REmoval of New  WH Solar AdjustMI 2" xfId="2172"/>
    <cellStyle name="_Costs not in AURORA 2007 Rate Case_Book2_Electric Rev Req Model (2009 GRC) Revised 01-18-2010" xfId="681"/>
    <cellStyle name="_Costs not in AURORA 2007 Rate Case_Book2_Electric Rev Req Model (2009 GRC) Revised 01-18-2010 2" xfId="2173"/>
    <cellStyle name="_Costs not in AURORA 2007 Rate Case_Book2_Final Order Electric EXHIBIT A-1" xfId="682"/>
    <cellStyle name="_Costs not in AURORA 2007 Rate Case_Book2_Final Order Electric EXHIBIT A-1 2" xfId="2174"/>
    <cellStyle name="_Costs not in AURORA 2007 Rate Case_Book4" xfId="683"/>
    <cellStyle name="_Costs not in AURORA 2007 Rate Case_Book4 2" xfId="2175"/>
    <cellStyle name="_Costs not in AURORA 2007 Rate Case_Book9" xfId="684"/>
    <cellStyle name="_Costs not in AURORA 2007 Rate Case_Book9 2" xfId="2176"/>
    <cellStyle name="_Costs not in AURORA 2007 Rate Case_Electric COS Inputs" xfId="57"/>
    <cellStyle name="_Costs not in AURORA 2007 Rate Case_Electric COS Inputs 2" xfId="1604"/>
    <cellStyle name="_Costs not in AURORA 2007 Rate Case_Electric COS Inputs 2 2" xfId="2178"/>
    <cellStyle name="_Costs not in AURORA 2007 Rate Case_Electric COS Inputs 2 3" xfId="2179"/>
    <cellStyle name="_Costs not in AURORA 2007 Rate Case_Electric COS Inputs 2 4" xfId="2177"/>
    <cellStyle name="_Costs not in AURORA 2007 Rate Case_Electric COS Inputs 3" xfId="2180"/>
    <cellStyle name="_Costs not in AURORA 2007 Rate Case_Electric COS Inputs 4" xfId="2181"/>
    <cellStyle name="_Costs not in AURORA 2007 Rate Case_Power Costs - Comparison bx Rbtl-Staff-Jt-PC" xfId="685"/>
    <cellStyle name="_Costs not in AURORA 2007 Rate Case_Power Costs - Comparison bx Rbtl-Staff-Jt-PC 2" xfId="2182"/>
    <cellStyle name="_Costs not in AURORA 2007 Rate Case_Power Costs - Comparison bx Rbtl-Staff-Jt-PC_Adj Bench DR 3 for Initial Briefs (Electric)" xfId="686"/>
    <cellStyle name="_Costs not in AURORA 2007 Rate Case_Power Costs - Comparison bx Rbtl-Staff-Jt-PC_Adj Bench DR 3 for Initial Briefs (Electric) 2" xfId="2183"/>
    <cellStyle name="_Costs not in AURORA 2007 Rate Case_Power Costs - Comparison bx Rbtl-Staff-Jt-PC_Electric Rev Req Model (2009 GRC) Rebuttal" xfId="687"/>
    <cellStyle name="_Costs not in AURORA 2007 Rate Case_Power Costs - Comparison bx Rbtl-Staff-Jt-PC_Electric Rev Req Model (2009 GRC) Rebuttal 2" xfId="2184"/>
    <cellStyle name="_Costs not in AURORA 2007 Rate Case_Power Costs - Comparison bx Rbtl-Staff-Jt-PC_Electric Rev Req Model (2009 GRC) Rebuttal REmoval of New  WH Solar AdjustMI" xfId="688"/>
    <cellStyle name="_Costs not in AURORA 2007 Rate Case_Power Costs - Comparison bx Rbtl-Staff-Jt-PC_Electric Rev Req Model (2009 GRC) Rebuttal REmoval of New  WH Solar AdjustMI 2" xfId="2185"/>
    <cellStyle name="_Costs not in AURORA 2007 Rate Case_Power Costs - Comparison bx Rbtl-Staff-Jt-PC_Electric Rev Req Model (2009 GRC) Revised 01-18-2010" xfId="689"/>
    <cellStyle name="_Costs not in AURORA 2007 Rate Case_Power Costs - Comparison bx Rbtl-Staff-Jt-PC_Electric Rev Req Model (2009 GRC) Revised 01-18-2010 2" xfId="2186"/>
    <cellStyle name="_Costs not in AURORA 2007 Rate Case_Power Costs - Comparison bx Rbtl-Staff-Jt-PC_Final Order Electric EXHIBIT A-1" xfId="690"/>
    <cellStyle name="_Costs not in AURORA 2007 Rate Case_Power Costs - Comparison bx Rbtl-Staff-Jt-PC_Final Order Electric EXHIBIT A-1 2" xfId="2187"/>
    <cellStyle name="_Costs not in AURORA 2007 Rate Case_Production Adj 4.37" xfId="58"/>
    <cellStyle name="_Costs not in AURORA 2007 Rate Case_Production Adj 4.37 2" xfId="2188"/>
    <cellStyle name="_Costs not in AURORA 2007 Rate Case_Purchased Power Adj 4.03" xfId="59"/>
    <cellStyle name="_Costs not in AURORA 2007 Rate Case_Purchased Power Adj 4.03 2" xfId="2189"/>
    <cellStyle name="_Costs not in AURORA 2007 Rate Case_Rebuttal Power Costs" xfId="691"/>
    <cellStyle name="_Costs not in AURORA 2007 Rate Case_Rebuttal Power Costs 2" xfId="2190"/>
    <cellStyle name="_Costs not in AURORA 2007 Rate Case_Rebuttal Power Costs_Adj Bench DR 3 for Initial Briefs (Electric)" xfId="692"/>
    <cellStyle name="_Costs not in AURORA 2007 Rate Case_Rebuttal Power Costs_Adj Bench DR 3 for Initial Briefs (Electric) 2" xfId="2191"/>
    <cellStyle name="_Costs not in AURORA 2007 Rate Case_Rebuttal Power Costs_Electric Rev Req Model (2009 GRC) Rebuttal" xfId="693"/>
    <cellStyle name="_Costs not in AURORA 2007 Rate Case_Rebuttal Power Costs_Electric Rev Req Model (2009 GRC) Rebuttal 2" xfId="2192"/>
    <cellStyle name="_Costs not in AURORA 2007 Rate Case_Rebuttal Power Costs_Electric Rev Req Model (2009 GRC) Rebuttal REmoval of New  WH Solar AdjustMI" xfId="694"/>
    <cellStyle name="_Costs not in AURORA 2007 Rate Case_Rebuttal Power Costs_Electric Rev Req Model (2009 GRC) Rebuttal REmoval of New  WH Solar AdjustMI 2" xfId="2193"/>
    <cellStyle name="_Costs not in AURORA 2007 Rate Case_Rebuttal Power Costs_Electric Rev Req Model (2009 GRC) Revised 01-18-2010" xfId="695"/>
    <cellStyle name="_Costs not in AURORA 2007 Rate Case_Rebuttal Power Costs_Electric Rev Req Model (2009 GRC) Revised 01-18-2010 2" xfId="2194"/>
    <cellStyle name="_Costs not in AURORA 2007 Rate Case_Rebuttal Power Costs_Final Order Electric EXHIBIT A-1" xfId="696"/>
    <cellStyle name="_Costs not in AURORA 2007 Rate Case_Rebuttal Power Costs_Final Order Electric EXHIBIT A-1 2" xfId="2195"/>
    <cellStyle name="_Costs not in AURORA 2007 Rate Case_ROR 5.02" xfId="60"/>
    <cellStyle name="_Costs not in AURORA 2007 Rate Case_ROR 5.02 2" xfId="2196"/>
    <cellStyle name="_Costs not in KWI3000 '06Budget" xfId="61"/>
    <cellStyle name="_Costs not in KWI3000 '06Budget 2" xfId="697"/>
    <cellStyle name="_Costs not in KWI3000 '06Budget 2 2" xfId="2197"/>
    <cellStyle name="_Costs not in KWI3000 '06Budget 3" xfId="1605"/>
    <cellStyle name="_Costs not in KWI3000 '06Budget 3 2" xfId="2199"/>
    <cellStyle name="_Costs not in KWI3000 '06Budget 3 3" xfId="2200"/>
    <cellStyle name="_Costs not in KWI3000 '06Budget 3 4" xfId="2198"/>
    <cellStyle name="_Costs not in KWI3000 '06Budget 4" xfId="2201"/>
    <cellStyle name="_Costs not in KWI3000 '06Budget_(C) WHE Proforma with ITC cash grant 10 Yr Amort_for deferral_102809" xfId="698"/>
    <cellStyle name="_Costs not in KWI3000 '06Budget_(C) WHE Proforma with ITC cash grant 10 Yr Amort_for deferral_102809 2" xfId="2202"/>
    <cellStyle name="_Costs not in KWI3000 '06Budget_(C) WHE Proforma with ITC cash grant 10 Yr Amort_for deferral_102809_16.07E Wild Horse Wind Expansionwrkingfile" xfId="699"/>
    <cellStyle name="_Costs not in KWI3000 '06Budget_(C) WHE Proforma with ITC cash grant 10 Yr Amort_for deferral_102809_16.07E Wild Horse Wind Expansionwrkingfile 2" xfId="2203"/>
    <cellStyle name="_Costs not in KWI3000 '06Budget_(C) WHE Proforma with ITC cash grant 10 Yr Amort_for deferral_102809_16.07E Wild Horse Wind Expansionwrkingfile SF" xfId="700"/>
    <cellStyle name="_Costs not in KWI3000 '06Budget_(C) WHE Proforma with ITC cash grant 10 Yr Amort_for deferral_102809_16.07E Wild Horse Wind Expansionwrkingfile SF 2" xfId="2204"/>
    <cellStyle name="_Costs not in KWI3000 '06Budget_(C) WHE Proforma with ITC cash grant 10 Yr Amort_for deferral_102809_16.37E Wild Horse Expansion DeferralRevwrkingfile SF" xfId="701"/>
    <cellStyle name="_Costs not in KWI3000 '06Budget_(C) WHE Proforma with ITC cash grant 10 Yr Amort_for deferral_102809_16.37E Wild Horse Expansion DeferralRevwrkingfile SF 2" xfId="2205"/>
    <cellStyle name="_Costs not in KWI3000 '06Budget_(C) WHE Proforma with ITC cash grant 10 Yr Amort_for rebuttal_120709" xfId="702"/>
    <cellStyle name="_Costs not in KWI3000 '06Budget_(C) WHE Proforma with ITC cash grant 10 Yr Amort_for rebuttal_120709 2" xfId="2206"/>
    <cellStyle name="_Costs not in KWI3000 '06Budget_04.07E Wild Horse Wind Expansion" xfId="703"/>
    <cellStyle name="_Costs not in KWI3000 '06Budget_04.07E Wild Horse Wind Expansion 2" xfId="2207"/>
    <cellStyle name="_Costs not in KWI3000 '06Budget_04.07E Wild Horse Wind Expansion_16.07E Wild Horse Wind Expansionwrkingfile" xfId="704"/>
    <cellStyle name="_Costs not in KWI3000 '06Budget_04.07E Wild Horse Wind Expansion_16.07E Wild Horse Wind Expansionwrkingfile 2" xfId="2208"/>
    <cellStyle name="_Costs not in KWI3000 '06Budget_04.07E Wild Horse Wind Expansion_16.07E Wild Horse Wind Expansionwrkingfile SF" xfId="705"/>
    <cellStyle name="_Costs not in KWI3000 '06Budget_04.07E Wild Horse Wind Expansion_16.07E Wild Horse Wind Expansionwrkingfile SF 2" xfId="2209"/>
    <cellStyle name="_Costs not in KWI3000 '06Budget_04.07E Wild Horse Wind Expansion_16.37E Wild Horse Expansion DeferralRevwrkingfile SF" xfId="706"/>
    <cellStyle name="_Costs not in KWI3000 '06Budget_04.07E Wild Horse Wind Expansion_16.37E Wild Horse Expansion DeferralRevwrkingfile SF 2" xfId="2210"/>
    <cellStyle name="_Costs not in KWI3000 '06Budget_16.07E Wild Horse Wind Expansionwrkingfile" xfId="707"/>
    <cellStyle name="_Costs not in KWI3000 '06Budget_16.07E Wild Horse Wind Expansionwrkingfile 2" xfId="2211"/>
    <cellStyle name="_Costs not in KWI3000 '06Budget_16.07E Wild Horse Wind Expansionwrkingfile SF" xfId="708"/>
    <cellStyle name="_Costs not in KWI3000 '06Budget_16.07E Wild Horse Wind Expansionwrkingfile SF 2" xfId="2212"/>
    <cellStyle name="_Costs not in KWI3000 '06Budget_16.37E Wild Horse Expansion DeferralRevwrkingfile SF" xfId="709"/>
    <cellStyle name="_Costs not in KWI3000 '06Budget_16.37E Wild Horse Expansion DeferralRevwrkingfile SF 2" xfId="2213"/>
    <cellStyle name="_Costs not in KWI3000 '06Budget_4 31 Regulatory Assets and Liabilities  7 06- Exhibit D" xfId="710"/>
    <cellStyle name="_Costs not in KWI3000 '06Budget_4 31 Regulatory Assets and Liabilities  7 06- Exhibit D 2" xfId="2214"/>
    <cellStyle name="_Costs not in KWI3000 '06Budget_4 32 Regulatory Assets and Liabilities  7 06- Exhibit D" xfId="711"/>
    <cellStyle name="_Costs not in KWI3000 '06Budget_4 32 Regulatory Assets and Liabilities  7 06- Exhibit D 2" xfId="2215"/>
    <cellStyle name="_Costs not in KWI3000 '06Budget_Book2" xfId="712"/>
    <cellStyle name="_Costs not in KWI3000 '06Budget_Book2 2" xfId="2216"/>
    <cellStyle name="_Costs not in KWI3000 '06Budget_Book2_Adj Bench DR 3 for Initial Briefs (Electric)" xfId="713"/>
    <cellStyle name="_Costs not in KWI3000 '06Budget_Book2_Adj Bench DR 3 for Initial Briefs (Electric) 2" xfId="2217"/>
    <cellStyle name="_Costs not in KWI3000 '06Budget_Book2_Electric Rev Req Model (2009 GRC) Rebuttal" xfId="714"/>
    <cellStyle name="_Costs not in KWI3000 '06Budget_Book2_Electric Rev Req Model (2009 GRC) Rebuttal 2" xfId="2218"/>
    <cellStyle name="_Costs not in KWI3000 '06Budget_Book2_Electric Rev Req Model (2009 GRC) Rebuttal REmoval of New  WH Solar AdjustMI" xfId="715"/>
    <cellStyle name="_Costs not in KWI3000 '06Budget_Book2_Electric Rev Req Model (2009 GRC) Rebuttal REmoval of New  WH Solar AdjustMI 2" xfId="2219"/>
    <cellStyle name="_Costs not in KWI3000 '06Budget_Book2_Electric Rev Req Model (2009 GRC) Revised 01-18-2010" xfId="716"/>
    <cellStyle name="_Costs not in KWI3000 '06Budget_Book2_Electric Rev Req Model (2009 GRC) Revised 01-18-2010 2" xfId="2220"/>
    <cellStyle name="_Costs not in KWI3000 '06Budget_Book2_Final Order Electric EXHIBIT A-1" xfId="717"/>
    <cellStyle name="_Costs not in KWI3000 '06Budget_Book2_Final Order Electric EXHIBIT A-1 2" xfId="2221"/>
    <cellStyle name="_Costs not in KWI3000 '06Budget_Book4" xfId="718"/>
    <cellStyle name="_Costs not in KWI3000 '06Budget_Book4 2" xfId="2222"/>
    <cellStyle name="_Costs not in KWI3000 '06Budget_Book9" xfId="719"/>
    <cellStyle name="_Costs not in KWI3000 '06Budget_Book9 2" xfId="2223"/>
    <cellStyle name="_Costs not in KWI3000 '06Budget_INPUTS" xfId="62"/>
    <cellStyle name="_Costs not in KWI3000 '06Budget_INPUTS 2" xfId="2224"/>
    <cellStyle name="_Costs not in KWI3000 '06Budget_Power Costs - Comparison bx Rbtl-Staff-Jt-PC" xfId="720"/>
    <cellStyle name="_Costs not in KWI3000 '06Budget_Power Costs - Comparison bx Rbtl-Staff-Jt-PC 2" xfId="2225"/>
    <cellStyle name="_Costs not in KWI3000 '06Budget_Power Costs - Comparison bx Rbtl-Staff-Jt-PC_Adj Bench DR 3 for Initial Briefs (Electric)" xfId="721"/>
    <cellStyle name="_Costs not in KWI3000 '06Budget_Power Costs - Comparison bx Rbtl-Staff-Jt-PC_Adj Bench DR 3 for Initial Briefs (Electric) 2" xfId="2226"/>
    <cellStyle name="_Costs not in KWI3000 '06Budget_Power Costs - Comparison bx Rbtl-Staff-Jt-PC_Electric Rev Req Model (2009 GRC) Rebuttal" xfId="722"/>
    <cellStyle name="_Costs not in KWI3000 '06Budget_Power Costs - Comparison bx Rbtl-Staff-Jt-PC_Electric Rev Req Model (2009 GRC) Rebuttal 2" xfId="2227"/>
    <cellStyle name="_Costs not in KWI3000 '06Budget_Power Costs - Comparison bx Rbtl-Staff-Jt-PC_Electric Rev Req Model (2009 GRC) Rebuttal REmoval of New  WH Solar AdjustMI" xfId="723"/>
    <cellStyle name="_Costs not in KWI3000 '06Budget_Power Costs - Comparison bx Rbtl-Staff-Jt-PC_Electric Rev Req Model (2009 GRC) Rebuttal REmoval of New  WH Solar AdjustMI 2" xfId="2228"/>
    <cellStyle name="_Costs not in KWI3000 '06Budget_Power Costs - Comparison bx Rbtl-Staff-Jt-PC_Electric Rev Req Model (2009 GRC) Revised 01-18-2010" xfId="724"/>
    <cellStyle name="_Costs not in KWI3000 '06Budget_Power Costs - Comparison bx Rbtl-Staff-Jt-PC_Electric Rev Req Model (2009 GRC) Revised 01-18-2010 2" xfId="2229"/>
    <cellStyle name="_Costs not in KWI3000 '06Budget_Power Costs - Comparison bx Rbtl-Staff-Jt-PC_Final Order Electric EXHIBIT A-1" xfId="725"/>
    <cellStyle name="_Costs not in KWI3000 '06Budget_Power Costs - Comparison bx Rbtl-Staff-Jt-PC_Final Order Electric EXHIBIT A-1 2" xfId="2230"/>
    <cellStyle name="_Costs not in KWI3000 '06Budget_Production Adj 4.37" xfId="63"/>
    <cellStyle name="_Costs not in KWI3000 '06Budget_Production Adj 4.37 2" xfId="2231"/>
    <cellStyle name="_Costs not in KWI3000 '06Budget_Purchased Power Adj 4.03" xfId="64"/>
    <cellStyle name="_Costs not in KWI3000 '06Budget_Purchased Power Adj 4.03 2" xfId="2232"/>
    <cellStyle name="_Costs not in KWI3000 '06Budget_Rebuttal Power Costs" xfId="726"/>
    <cellStyle name="_Costs not in KWI3000 '06Budget_Rebuttal Power Costs 2" xfId="2233"/>
    <cellStyle name="_Costs not in KWI3000 '06Budget_Rebuttal Power Costs_Adj Bench DR 3 for Initial Briefs (Electric)" xfId="727"/>
    <cellStyle name="_Costs not in KWI3000 '06Budget_Rebuttal Power Costs_Adj Bench DR 3 for Initial Briefs (Electric) 2" xfId="2234"/>
    <cellStyle name="_Costs not in KWI3000 '06Budget_Rebuttal Power Costs_Electric Rev Req Model (2009 GRC) Rebuttal" xfId="728"/>
    <cellStyle name="_Costs not in KWI3000 '06Budget_Rebuttal Power Costs_Electric Rev Req Model (2009 GRC) Rebuttal 2" xfId="2235"/>
    <cellStyle name="_Costs not in KWI3000 '06Budget_Rebuttal Power Costs_Electric Rev Req Model (2009 GRC) Rebuttal REmoval of New  WH Solar AdjustMI" xfId="729"/>
    <cellStyle name="_Costs not in KWI3000 '06Budget_Rebuttal Power Costs_Electric Rev Req Model (2009 GRC) Rebuttal REmoval of New  WH Solar AdjustMI 2" xfId="2236"/>
    <cellStyle name="_Costs not in KWI3000 '06Budget_Rebuttal Power Costs_Electric Rev Req Model (2009 GRC) Revised 01-18-2010" xfId="730"/>
    <cellStyle name="_Costs not in KWI3000 '06Budget_Rebuttal Power Costs_Electric Rev Req Model (2009 GRC) Revised 01-18-2010 2" xfId="2237"/>
    <cellStyle name="_Costs not in KWI3000 '06Budget_Rebuttal Power Costs_Final Order Electric EXHIBIT A-1" xfId="731"/>
    <cellStyle name="_Costs not in KWI3000 '06Budget_Rebuttal Power Costs_Final Order Electric EXHIBIT A-1 2" xfId="2238"/>
    <cellStyle name="_Costs not in KWI3000 '06Budget_ROR &amp; CONV FACTOR" xfId="65"/>
    <cellStyle name="_Costs not in KWI3000 '06Budget_ROR &amp; CONV FACTOR 2" xfId="2239"/>
    <cellStyle name="_Costs not in KWI3000 '06Budget_ROR 5.02" xfId="66"/>
    <cellStyle name="_Costs not in KWI3000 '06Budget_ROR 5.02 2" xfId="2240"/>
    <cellStyle name="_DEM-WP (C) Power Cost 2006GRC Order" xfId="67"/>
    <cellStyle name="_DEM-WP (C) Power Cost 2006GRC Order 2" xfId="732"/>
    <cellStyle name="_DEM-WP (C) Power Cost 2006GRC Order 2 2" xfId="2241"/>
    <cellStyle name="_DEM-WP (C) Power Cost 2006GRC Order 3" xfId="2242"/>
    <cellStyle name="_DEM-WP (C) Power Cost 2006GRC Order_04 07E Wild Horse Wind Expansion (C) (2)" xfId="68"/>
    <cellStyle name="_DEM-WP (C) Power Cost 2006GRC Order_04 07E Wild Horse Wind Expansion (C) (2) 2" xfId="2243"/>
    <cellStyle name="_DEM-WP (C) Power Cost 2006GRC Order_04 07E Wild Horse Wind Expansion (C) (2)_Adj Bench DR 3 for Initial Briefs (Electric)" xfId="733"/>
    <cellStyle name="_DEM-WP (C) Power Cost 2006GRC Order_04 07E Wild Horse Wind Expansion (C) (2)_Adj Bench DR 3 for Initial Briefs (Electric) 2" xfId="2244"/>
    <cellStyle name="_DEM-WP (C) Power Cost 2006GRC Order_04 07E Wild Horse Wind Expansion (C) (2)_Electric Rev Req Model (2009 GRC) " xfId="734"/>
    <cellStyle name="_DEM-WP (C) Power Cost 2006GRC Order_04 07E Wild Horse Wind Expansion (C) (2)_Electric Rev Req Model (2009 GRC)  2" xfId="2245"/>
    <cellStyle name="_DEM-WP (C) Power Cost 2006GRC Order_04 07E Wild Horse Wind Expansion (C) (2)_Electric Rev Req Model (2009 GRC) Rebuttal" xfId="735"/>
    <cellStyle name="_DEM-WP (C) Power Cost 2006GRC Order_04 07E Wild Horse Wind Expansion (C) (2)_Electric Rev Req Model (2009 GRC) Rebuttal 2" xfId="2246"/>
    <cellStyle name="_DEM-WP (C) Power Cost 2006GRC Order_04 07E Wild Horse Wind Expansion (C) (2)_Electric Rev Req Model (2009 GRC) Rebuttal REmoval of New  WH Solar AdjustMI" xfId="736"/>
    <cellStyle name="_DEM-WP (C) Power Cost 2006GRC Order_04 07E Wild Horse Wind Expansion (C) (2)_Electric Rev Req Model (2009 GRC) Rebuttal REmoval of New  WH Solar AdjustMI 2" xfId="2247"/>
    <cellStyle name="_DEM-WP (C) Power Cost 2006GRC Order_04 07E Wild Horse Wind Expansion (C) (2)_Electric Rev Req Model (2009 GRC) Revised 01-18-2010" xfId="737"/>
    <cellStyle name="_DEM-WP (C) Power Cost 2006GRC Order_04 07E Wild Horse Wind Expansion (C) (2)_Electric Rev Req Model (2009 GRC) Revised 01-18-2010 2" xfId="2248"/>
    <cellStyle name="_DEM-WP (C) Power Cost 2006GRC Order_04 07E Wild Horse Wind Expansion (C) (2)_Final Order Electric EXHIBIT A-1" xfId="738"/>
    <cellStyle name="_DEM-WP (C) Power Cost 2006GRC Order_04 07E Wild Horse Wind Expansion (C) (2)_Final Order Electric EXHIBIT A-1 2" xfId="2249"/>
    <cellStyle name="_DEM-WP (C) Power Cost 2006GRC Order_04 07E Wild Horse Wind Expansion (C) (2)_TENASKA REGULATORY ASSET" xfId="739"/>
    <cellStyle name="_DEM-WP (C) Power Cost 2006GRC Order_04 07E Wild Horse Wind Expansion (C) (2)_TENASKA REGULATORY ASSET 2" xfId="2250"/>
    <cellStyle name="_DEM-WP (C) Power Cost 2006GRC Order_16.37E Wild Horse Expansion DeferralRevwrkingfile SF" xfId="740"/>
    <cellStyle name="_DEM-WP (C) Power Cost 2006GRC Order_16.37E Wild Horse Expansion DeferralRevwrkingfile SF 2" xfId="2251"/>
    <cellStyle name="_DEM-WP (C) Power Cost 2006GRC Order_4 31 Regulatory Assets and Liabilities  7 06- Exhibit D" xfId="741"/>
    <cellStyle name="_DEM-WP (C) Power Cost 2006GRC Order_4 31 Regulatory Assets and Liabilities  7 06- Exhibit D 2" xfId="2252"/>
    <cellStyle name="_DEM-WP (C) Power Cost 2006GRC Order_4 32 Regulatory Assets and Liabilities  7 06- Exhibit D" xfId="742"/>
    <cellStyle name="_DEM-WP (C) Power Cost 2006GRC Order_4 32 Regulatory Assets and Liabilities  7 06- Exhibit D 2" xfId="2253"/>
    <cellStyle name="_DEM-WP (C) Power Cost 2006GRC Order_Book2" xfId="743"/>
    <cellStyle name="_DEM-WP (C) Power Cost 2006GRC Order_Book2 2" xfId="2254"/>
    <cellStyle name="_DEM-WP (C) Power Cost 2006GRC Order_Book2_Adj Bench DR 3 for Initial Briefs (Electric)" xfId="744"/>
    <cellStyle name="_DEM-WP (C) Power Cost 2006GRC Order_Book2_Adj Bench DR 3 for Initial Briefs (Electric) 2" xfId="2255"/>
    <cellStyle name="_DEM-WP (C) Power Cost 2006GRC Order_Book2_Electric Rev Req Model (2009 GRC) Rebuttal" xfId="745"/>
    <cellStyle name="_DEM-WP (C) Power Cost 2006GRC Order_Book2_Electric Rev Req Model (2009 GRC) Rebuttal 2" xfId="2256"/>
    <cellStyle name="_DEM-WP (C) Power Cost 2006GRC Order_Book2_Electric Rev Req Model (2009 GRC) Rebuttal REmoval of New  WH Solar AdjustMI" xfId="746"/>
    <cellStyle name="_DEM-WP (C) Power Cost 2006GRC Order_Book2_Electric Rev Req Model (2009 GRC) Rebuttal REmoval of New  WH Solar AdjustMI 2" xfId="2257"/>
    <cellStyle name="_DEM-WP (C) Power Cost 2006GRC Order_Book2_Electric Rev Req Model (2009 GRC) Revised 01-18-2010" xfId="747"/>
    <cellStyle name="_DEM-WP (C) Power Cost 2006GRC Order_Book2_Electric Rev Req Model (2009 GRC) Revised 01-18-2010 2" xfId="2258"/>
    <cellStyle name="_DEM-WP (C) Power Cost 2006GRC Order_Book2_Final Order Electric EXHIBIT A-1" xfId="748"/>
    <cellStyle name="_DEM-WP (C) Power Cost 2006GRC Order_Book2_Final Order Electric EXHIBIT A-1 2" xfId="2259"/>
    <cellStyle name="_DEM-WP (C) Power Cost 2006GRC Order_Book4" xfId="749"/>
    <cellStyle name="_DEM-WP (C) Power Cost 2006GRC Order_Book4 2" xfId="2260"/>
    <cellStyle name="_DEM-WP (C) Power Cost 2006GRC Order_Book9" xfId="750"/>
    <cellStyle name="_DEM-WP (C) Power Cost 2006GRC Order_Book9 2" xfId="2261"/>
    <cellStyle name="_DEM-WP (C) Power Cost 2006GRC Order_Electric COS Inputs" xfId="69"/>
    <cellStyle name="_DEM-WP (C) Power Cost 2006GRC Order_Electric COS Inputs 2" xfId="1606"/>
    <cellStyle name="_DEM-WP (C) Power Cost 2006GRC Order_Electric COS Inputs 2 2" xfId="2263"/>
    <cellStyle name="_DEM-WP (C) Power Cost 2006GRC Order_Electric COS Inputs 2 3" xfId="2264"/>
    <cellStyle name="_DEM-WP (C) Power Cost 2006GRC Order_Electric COS Inputs 2 4" xfId="2262"/>
    <cellStyle name="_DEM-WP (C) Power Cost 2006GRC Order_Electric COS Inputs 3" xfId="2265"/>
    <cellStyle name="_DEM-WP (C) Power Cost 2006GRC Order_Electric COS Inputs 4" xfId="2266"/>
    <cellStyle name="_DEM-WP (C) Power Cost 2006GRC Order_Power Costs - Comparison bx Rbtl-Staff-Jt-PC" xfId="751"/>
    <cellStyle name="_DEM-WP (C) Power Cost 2006GRC Order_Power Costs - Comparison bx Rbtl-Staff-Jt-PC 2" xfId="2267"/>
    <cellStyle name="_DEM-WP (C) Power Cost 2006GRC Order_Power Costs - Comparison bx Rbtl-Staff-Jt-PC_Adj Bench DR 3 for Initial Briefs (Electric)" xfId="752"/>
    <cellStyle name="_DEM-WP (C) Power Cost 2006GRC Order_Power Costs - Comparison bx Rbtl-Staff-Jt-PC_Adj Bench DR 3 for Initial Briefs (Electric) 2" xfId="2268"/>
    <cellStyle name="_DEM-WP (C) Power Cost 2006GRC Order_Power Costs - Comparison bx Rbtl-Staff-Jt-PC_Electric Rev Req Model (2009 GRC) Rebuttal" xfId="753"/>
    <cellStyle name="_DEM-WP (C) Power Cost 2006GRC Order_Power Costs - Comparison bx Rbtl-Staff-Jt-PC_Electric Rev Req Model (2009 GRC) Rebuttal 2" xfId="2269"/>
    <cellStyle name="_DEM-WP (C) Power Cost 2006GRC Order_Power Costs - Comparison bx Rbtl-Staff-Jt-PC_Electric Rev Req Model (2009 GRC) Rebuttal REmoval of New  WH Solar AdjustMI" xfId="754"/>
    <cellStyle name="_DEM-WP (C) Power Cost 2006GRC Order_Power Costs - Comparison bx Rbtl-Staff-Jt-PC_Electric Rev Req Model (2009 GRC) Rebuttal REmoval of New  WH Solar AdjustMI 2" xfId="2270"/>
    <cellStyle name="_DEM-WP (C) Power Cost 2006GRC Order_Power Costs - Comparison bx Rbtl-Staff-Jt-PC_Electric Rev Req Model (2009 GRC) Revised 01-18-2010" xfId="755"/>
    <cellStyle name="_DEM-WP (C) Power Cost 2006GRC Order_Power Costs - Comparison bx Rbtl-Staff-Jt-PC_Electric Rev Req Model (2009 GRC) Revised 01-18-2010 2" xfId="2271"/>
    <cellStyle name="_DEM-WP (C) Power Cost 2006GRC Order_Power Costs - Comparison bx Rbtl-Staff-Jt-PC_Final Order Electric EXHIBIT A-1" xfId="756"/>
    <cellStyle name="_DEM-WP (C) Power Cost 2006GRC Order_Power Costs - Comparison bx Rbtl-Staff-Jt-PC_Final Order Electric EXHIBIT A-1 2" xfId="2272"/>
    <cellStyle name="_DEM-WP (C) Power Cost 2006GRC Order_Production Adj 4.37" xfId="70"/>
    <cellStyle name="_DEM-WP (C) Power Cost 2006GRC Order_Production Adj 4.37 2" xfId="2273"/>
    <cellStyle name="_DEM-WP (C) Power Cost 2006GRC Order_Purchased Power Adj 4.03" xfId="71"/>
    <cellStyle name="_DEM-WP (C) Power Cost 2006GRC Order_Purchased Power Adj 4.03 2" xfId="2274"/>
    <cellStyle name="_DEM-WP (C) Power Cost 2006GRC Order_Rebuttal Power Costs" xfId="757"/>
    <cellStyle name="_DEM-WP (C) Power Cost 2006GRC Order_Rebuttal Power Costs 2" xfId="2275"/>
    <cellStyle name="_DEM-WP (C) Power Cost 2006GRC Order_Rebuttal Power Costs_Adj Bench DR 3 for Initial Briefs (Electric)" xfId="758"/>
    <cellStyle name="_DEM-WP (C) Power Cost 2006GRC Order_Rebuttal Power Costs_Adj Bench DR 3 for Initial Briefs (Electric) 2" xfId="2276"/>
    <cellStyle name="_DEM-WP (C) Power Cost 2006GRC Order_Rebuttal Power Costs_Electric Rev Req Model (2009 GRC) Rebuttal" xfId="759"/>
    <cellStyle name="_DEM-WP (C) Power Cost 2006GRC Order_Rebuttal Power Costs_Electric Rev Req Model (2009 GRC) Rebuttal 2" xfId="2277"/>
    <cellStyle name="_DEM-WP (C) Power Cost 2006GRC Order_Rebuttal Power Costs_Electric Rev Req Model (2009 GRC) Rebuttal REmoval of New  WH Solar AdjustMI" xfId="760"/>
    <cellStyle name="_DEM-WP (C) Power Cost 2006GRC Order_Rebuttal Power Costs_Electric Rev Req Model (2009 GRC) Rebuttal REmoval of New  WH Solar AdjustMI 2" xfId="2278"/>
    <cellStyle name="_DEM-WP (C) Power Cost 2006GRC Order_Rebuttal Power Costs_Electric Rev Req Model (2009 GRC) Revised 01-18-2010" xfId="761"/>
    <cellStyle name="_DEM-WP (C) Power Cost 2006GRC Order_Rebuttal Power Costs_Electric Rev Req Model (2009 GRC) Revised 01-18-2010 2" xfId="2279"/>
    <cellStyle name="_DEM-WP (C) Power Cost 2006GRC Order_Rebuttal Power Costs_Final Order Electric EXHIBIT A-1" xfId="762"/>
    <cellStyle name="_DEM-WP (C) Power Cost 2006GRC Order_Rebuttal Power Costs_Final Order Electric EXHIBIT A-1 2" xfId="2280"/>
    <cellStyle name="_DEM-WP (C) Power Cost 2006GRC Order_ROR 5.02" xfId="72"/>
    <cellStyle name="_DEM-WP (C) Power Cost 2006GRC Order_ROR 5.02 2" xfId="2281"/>
    <cellStyle name="_DEM-WP Revised (HC) Wild Horse 2006GRC" xfId="73"/>
    <cellStyle name="_DEM-WP Revised (HC) Wild Horse 2006GRC 2" xfId="2282"/>
    <cellStyle name="_DEM-WP Revised (HC) Wild Horse 2006GRC_16.37E Wild Horse Expansion DeferralRevwrkingfile SF" xfId="763"/>
    <cellStyle name="_DEM-WP Revised (HC) Wild Horse 2006GRC_16.37E Wild Horse Expansion DeferralRevwrkingfile SF 2" xfId="2283"/>
    <cellStyle name="_DEM-WP Revised (HC) Wild Horse 2006GRC_Adj Bench DR 3 for Initial Briefs (Electric)" xfId="764"/>
    <cellStyle name="_DEM-WP Revised (HC) Wild Horse 2006GRC_Adj Bench DR 3 for Initial Briefs (Electric) 2" xfId="2284"/>
    <cellStyle name="_DEM-WP Revised (HC) Wild Horse 2006GRC_Book2" xfId="765"/>
    <cellStyle name="_DEM-WP Revised (HC) Wild Horse 2006GRC_Book2 2" xfId="2285"/>
    <cellStyle name="_DEM-WP Revised (HC) Wild Horse 2006GRC_Book4" xfId="766"/>
    <cellStyle name="_DEM-WP Revised (HC) Wild Horse 2006GRC_Book4 2" xfId="2286"/>
    <cellStyle name="_DEM-WP Revised (HC) Wild Horse 2006GRC_Electric Rev Req Model (2009 GRC) " xfId="767"/>
    <cellStyle name="_DEM-WP Revised (HC) Wild Horse 2006GRC_Electric Rev Req Model (2009 GRC)  2" xfId="2287"/>
    <cellStyle name="_DEM-WP Revised (HC) Wild Horse 2006GRC_Electric Rev Req Model (2009 GRC) Rebuttal" xfId="768"/>
    <cellStyle name="_DEM-WP Revised (HC) Wild Horse 2006GRC_Electric Rev Req Model (2009 GRC) Rebuttal 2" xfId="2288"/>
    <cellStyle name="_DEM-WP Revised (HC) Wild Horse 2006GRC_Electric Rev Req Model (2009 GRC) Rebuttal REmoval of New  WH Solar AdjustMI" xfId="769"/>
    <cellStyle name="_DEM-WP Revised (HC) Wild Horse 2006GRC_Electric Rev Req Model (2009 GRC) Rebuttal REmoval of New  WH Solar AdjustMI 2" xfId="2289"/>
    <cellStyle name="_DEM-WP Revised (HC) Wild Horse 2006GRC_Electric Rev Req Model (2009 GRC) Revised 01-18-2010" xfId="770"/>
    <cellStyle name="_DEM-WP Revised (HC) Wild Horse 2006GRC_Electric Rev Req Model (2009 GRC) Revised 01-18-2010 2" xfId="2290"/>
    <cellStyle name="_DEM-WP Revised (HC) Wild Horse 2006GRC_Final Order Electric EXHIBIT A-1" xfId="771"/>
    <cellStyle name="_DEM-WP Revised (HC) Wild Horse 2006GRC_Final Order Electric EXHIBIT A-1 2" xfId="2291"/>
    <cellStyle name="_DEM-WP Revised (HC) Wild Horse 2006GRC_Power Costs - Comparison bx Rbtl-Staff-Jt-PC" xfId="772"/>
    <cellStyle name="_DEM-WP Revised (HC) Wild Horse 2006GRC_Power Costs - Comparison bx Rbtl-Staff-Jt-PC 2" xfId="2292"/>
    <cellStyle name="_DEM-WP Revised (HC) Wild Horse 2006GRC_Rebuttal Power Costs" xfId="773"/>
    <cellStyle name="_DEM-WP Revised (HC) Wild Horse 2006GRC_Rebuttal Power Costs 2" xfId="2293"/>
    <cellStyle name="_DEM-WP Revised (HC) Wild Horse 2006GRC_TENASKA REGULATORY ASSET" xfId="774"/>
    <cellStyle name="_DEM-WP Revised (HC) Wild Horse 2006GRC_TENASKA REGULATORY ASSET 2" xfId="2294"/>
    <cellStyle name="_DEM-WP(C) Colstrip FOR" xfId="775"/>
    <cellStyle name="_DEM-WP(C) Colstrip FOR 2" xfId="2295"/>
    <cellStyle name="_DEM-WP(C) Colstrip FOR_(C) WHE Proforma with ITC cash grant 10 Yr Amort_for rebuttal_120709" xfId="776"/>
    <cellStyle name="_DEM-WP(C) Colstrip FOR_(C) WHE Proforma with ITC cash grant 10 Yr Amort_for rebuttal_120709 2" xfId="2296"/>
    <cellStyle name="_DEM-WP(C) Colstrip FOR_16.07E Wild Horse Wind Expansionwrkingfile" xfId="777"/>
    <cellStyle name="_DEM-WP(C) Colstrip FOR_16.07E Wild Horse Wind Expansionwrkingfile 2" xfId="2297"/>
    <cellStyle name="_DEM-WP(C) Colstrip FOR_16.07E Wild Horse Wind Expansionwrkingfile SF" xfId="778"/>
    <cellStyle name="_DEM-WP(C) Colstrip FOR_16.07E Wild Horse Wind Expansionwrkingfile SF 2" xfId="2298"/>
    <cellStyle name="_DEM-WP(C) Colstrip FOR_16.37E Wild Horse Expansion DeferralRevwrkingfile SF" xfId="779"/>
    <cellStyle name="_DEM-WP(C) Colstrip FOR_16.37E Wild Horse Expansion DeferralRevwrkingfile SF 2" xfId="2299"/>
    <cellStyle name="_DEM-WP(C) Colstrip FOR_Adj Bench DR 3 for Initial Briefs (Electric)" xfId="780"/>
    <cellStyle name="_DEM-WP(C) Colstrip FOR_Adj Bench DR 3 for Initial Briefs (Electric) 2" xfId="2300"/>
    <cellStyle name="_DEM-WP(C) Colstrip FOR_Book2" xfId="781"/>
    <cellStyle name="_DEM-WP(C) Colstrip FOR_Book2 2" xfId="2301"/>
    <cellStyle name="_DEM-WP(C) Colstrip FOR_Book2_Adj Bench DR 3 for Initial Briefs (Electric)" xfId="782"/>
    <cellStyle name="_DEM-WP(C) Colstrip FOR_Book2_Adj Bench DR 3 for Initial Briefs (Electric) 2" xfId="2302"/>
    <cellStyle name="_DEM-WP(C) Colstrip FOR_Book2_Electric Rev Req Model (2009 GRC) Rebuttal" xfId="783"/>
    <cellStyle name="_DEM-WP(C) Colstrip FOR_Book2_Electric Rev Req Model (2009 GRC) Rebuttal 2" xfId="2303"/>
    <cellStyle name="_DEM-WP(C) Colstrip FOR_Book2_Electric Rev Req Model (2009 GRC) Rebuttal REmoval of New  WH Solar AdjustMI" xfId="784"/>
    <cellStyle name="_DEM-WP(C) Colstrip FOR_Book2_Electric Rev Req Model (2009 GRC) Rebuttal REmoval of New  WH Solar AdjustMI 2" xfId="2304"/>
    <cellStyle name="_DEM-WP(C) Colstrip FOR_Book2_Electric Rev Req Model (2009 GRC) Revised 01-18-2010" xfId="785"/>
    <cellStyle name="_DEM-WP(C) Colstrip FOR_Book2_Electric Rev Req Model (2009 GRC) Revised 01-18-2010 2" xfId="2305"/>
    <cellStyle name="_DEM-WP(C) Colstrip FOR_Book2_Final Order Electric EXHIBIT A-1" xfId="786"/>
    <cellStyle name="_DEM-WP(C) Colstrip FOR_Book2_Final Order Electric EXHIBIT A-1 2" xfId="2306"/>
    <cellStyle name="_DEM-WP(C) Colstrip FOR_Electric Rev Req Model (2009 GRC) Rebuttal" xfId="787"/>
    <cellStyle name="_DEM-WP(C) Colstrip FOR_Electric Rev Req Model (2009 GRC) Rebuttal 2" xfId="2307"/>
    <cellStyle name="_DEM-WP(C) Colstrip FOR_Electric Rev Req Model (2009 GRC) Rebuttal REmoval of New  WH Solar AdjustMI" xfId="788"/>
    <cellStyle name="_DEM-WP(C) Colstrip FOR_Electric Rev Req Model (2009 GRC) Rebuttal REmoval of New  WH Solar AdjustMI 2" xfId="2308"/>
    <cellStyle name="_DEM-WP(C) Colstrip FOR_Electric Rev Req Model (2009 GRC) Revised 01-18-2010" xfId="789"/>
    <cellStyle name="_DEM-WP(C) Colstrip FOR_Electric Rev Req Model (2009 GRC) Revised 01-18-2010 2" xfId="2309"/>
    <cellStyle name="_DEM-WP(C) Colstrip FOR_Final Order Electric EXHIBIT A-1" xfId="790"/>
    <cellStyle name="_DEM-WP(C) Colstrip FOR_Final Order Electric EXHIBIT A-1 2" xfId="2310"/>
    <cellStyle name="_DEM-WP(C) Colstrip FOR_Rebuttal Power Costs" xfId="791"/>
    <cellStyle name="_DEM-WP(C) Colstrip FOR_Rebuttal Power Costs 2" xfId="2311"/>
    <cellStyle name="_DEM-WP(C) Colstrip FOR_Rebuttal Power Costs_Adj Bench DR 3 for Initial Briefs (Electric)" xfId="792"/>
    <cellStyle name="_DEM-WP(C) Colstrip FOR_Rebuttal Power Costs_Adj Bench DR 3 for Initial Briefs (Electric) 2" xfId="2312"/>
    <cellStyle name="_DEM-WP(C) Colstrip FOR_Rebuttal Power Costs_Electric Rev Req Model (2009 GRC) Rebuttal" xfId="793"/>
    <cellStyle name="_DEM-WP(C) Colstrip FOR_Rebuttal Power Costs_Electric Rev Req Model (2009 GRC) Rebuttal 2" xfId="2313"/>
    <cellStyle name="_DEM-WP(C) Colstrip FOR_Rebuttal Power Costs_Electric Rev Req Model (2009 GRC) Rebuttal REmoval of New  WH Solar AdjustMI" xfId="794"/>
    <cellStyle name="_DEM-WP(C) Colstrip FOR_Rebuttal Power Costs_Electric Rev Req Model (2009 GRC) Rebuttal REmoval of New  WH Solar AdjustMI 2" xfId="2314"/>
    <cellStyle name="_DEM-WP(C) Colstrip FOR_Rebuttal Power Costs_Electric Rev Req Model (2009 GRC) Revised 01-18-2010" xfId="795"/>
    <cellStyle name="_DEM-WP(C) Colstrip FOR_Rebuttal Power Costs_Electric Rev Req Model (2009 GRC) Revised 01-18-2010 2" xfId="2315"/>
    <cellStyle name="_DEM-WP(C) Colstrip FOR_Rebuttal Power Costs_Final Order Electric EXHIBIT A-1" xfId="796"/>
    <cellStyle name="_DEM-WP(C) Colstrip FOR_Rebuttal Power Costs_Final Order Electric EXHIBIT A-1 2" xfId="2316"/>
    <cellStyle name="_DEM-WP(C) Colstrip FOR_TENASKA REGULATORY ASSET" xfId="797"/>
    <cellStyle name="_DEM-WP(C) Colstrip FOR_TENASKA REGULATORY ASSET 2" xfId="2317"/>
    <cellStyle name="_DEM-WP(C) Costs not in AURORA 2006GRC" xfId="74"/>
    <cellStyle name="_DEM-WP(C) Costs not in AURORA 2006GRC 2" xfId="798"/>
    <cellStyle name="_DEM-WP(C) Costs not in AURORA 2006GRC 2 2" xfId="2318"/>
    <cellStyle name="_DEM-WP(C) Costs not in AURORA 2006GRC 3" xfId="2319"/>
    <cellStyle name="_DEM-WP(C) Costs not in AURORA 2006GRC_(C) WHE Proforma with ITC cash grant 10 Yr Amort_for deferral_102809" xfId="799"/>
    <cellStyle name="_DEM-WP(C) Costs not in AURORA 2006GRC_(C) WHE Proforma with ITC cash grant 10 Yr Amort_for deferral_102809 2" xfId="2320"/>
    <cellStyle name="_DEM-WP(C) Costs not in AURORA 2006GRC_(C) WHE Proforma with ITC cash grant 10 Yr Amort_for deferral_102809_16.07E Wild Horse Wind Expansionwrkingfile" xfId="800"/>
    <cellStyle name="_DEM-WP(C) Costs not in AURORA 2006GRC_(C) WHE Proforma with ITC cash grant 10 Yr Amort_for deferral_102809_16.07E Wild Horse Wind Expansionwrkingfile 2" xfId="2321"/>
    <cellStyle name="_DEM-WP(C) Costs not in AURORA 2006GRC_(C) WHE Proforma with ITC cash grant 10 Yr Amort_for deferral_102809_16.07E Wild Horse Wind Expansionwrkingfile SF" xfId="801"/>
    <cellStyle name="_DEM-WP(C) Costs not in AURORA 2006GRC_(C) WHE Proforma with ITC cash grant 10 Yr Amort_for deferral_102809_16.07E Wild Horse Wind Expansionwrkingfile SF 2" xfId="2322"/>
    <cellStyle name="_DEM-WP(C) Costs not in AURORA 2006GRC_(C) WHE Proforma with ITC cash grant 10 Yr Amort_for deferral_102809_16.37E Wild Horse Expansion DeferralRevwrkingfile SF" xfId="802"/>
    <cellStyle name="_DEM-WP(C) Costs not in AURORA 2006GRC_(C) WHE Proforma with ITC cash grant 10 Yr Amort_for deferral_102809_16.37E Wild Horse Expansion DeferralRevwrkingfile SF 2" xfId="2323"/>
    <cellStyle name="_DEM-WP(C) Costs not in AURORA 2006GRC_(C) WHE Proforma with ITC cash grant 10 Yr Amort_for rebuttal_120709" xfId="803"/>
    <cellStyle name="_DEM-WP(C) Costs not in AURORA 2006GRC_(C) WHE Proforma with ITC cash grant 10 Yr Amort_for rebuttal_120709 2" xfId="2324"/>
    <cellStyle name="_DEM-WP(C) Costs not in AURORA 2006GRC_04.07E Wild Horse Wind Expansion" xfId="804"/>
    <cellStyle name="_DEM-WP(C) Costs not in AURORA 2006GRC_04.07E Wild Horse Wind Expansion 2" xfId="2325"/>
    <cellStyle name="_DEM-WP(C) Costs not in AURORA 2006GRC_04.07E Wild Horse Wind Expansion_16.07E Wild Horse Wind Expansionwrkingfile" xfId="805"/>
    <cellStyle name="_DEM-WP(C) Costs not in AURORA 2006GRC_04.07E Wild Horse Wind Expansion_16.07E Wild Horse Wind Expansionwrkingfile 2" xfId="2326"/>
    <cellStyle name="_DEM-WP(C) Costs not in AURORA 2006GRC_04.07E Wild Horse Wind Expansion_16.07E Wild Horse Wind Expansionwrkingfile SF" xfId="806"/>
    <cellStyle name="_DEM-WP(C) Costs not in AURORA 2006GRC_04.07E Wild Horse Wind Expansion_16.07E Wild Horse Wind Expansionwrkingfile SF 2" xfId="2327"/>
    <cellStyle name="_DEM-WP(C) Costs not in AURORA 2006GRC_04.07E Wild Horse Wind Expansion_16.37E Wild Horse Expansion DeferralRevwrkingfile SF" xfId="807"/>
    <cellStyle name="_DEM-WP(C) Costs not in AURORA 2006GRC_04.07E Wild Horse Wind Expansion_16.37E Wild Horse Expansion DeferralRevwrkingfile SF 2" xfId="2328"/>
    <cellStyle name="_DEM-WP(C) Costs not in AURORA 2006GRC_16.07E Wild Horse Wind Expansionwrkingfile" xfId="808"/>
    <cellStyle name="_DEM-WP(C) Costs not in AURORA 2006GRC_16.07E Wild Horse Wind Expansionwrkingfile 2" xfId="2329"/>
    <cellStyle name="_DEM-WP(C) Costs not in AURORA 2006GRC_16.07E Wild Horse Wind Expansionwrkingfile SF" xfId="809"/>
    <cellStyle name="_DEM-WP(C) Costs not in AURORA 2006GRC_16.07E Wild Horse Wind Expansionwrkingfile SF 2" xfId="2330"/>
    <cellStyle name="_DEM-WP(C) Costs not in AURORA 2006GRC_16.37E Wild Horse Expansion DeferralRevwrkingfile SF" xfId="810"/>
    <cellStyle name="_DEM-WP(C) Costs not in AURORA 2006GRC_16.37E Wild Horse Expansion DeferralRevwrkingfile SF 2" xfId="2331"/>
    <cellStyle name="_DEM-WP(C) Costs not in AURORA 2006GRC_4 31 Regulatory Assets and Liabilities  7 06- Exhibit D" xfId="811"/>
    <cellStyle name="_DEM-WP(C) Costs not in AURORA 2006GRC_4 31 Regulatory Assets and Liabilities  7 06- Exhibit D 2" xfId="2332"/>
    <cellStyle name="_DEM-WP(C) Costs not in AURORA 2006GRC_4 32 Regulatory Assets and Liabilities  7 06- Exhibit D" xfId="812"/>
    <cellStyle name="_DEM-WP(C) Costs not in AURORA 2006GRC_4 32 Regulatory Assets and Liabilities  7 06- Exhibit D 2" xfId="2333"/>
    <cellStyle name="_DEM-WP(C) Costs not in AURORA 2006GRC_Book2" xfId="813"/>
    <cellStyle name="_DEM-WP(C) Costs not in AURORA 2006GRC_Book2 2" xfId="2334"/>
    <cellStyle name="_DEM-WP(C) Costs not in AURORA 2006GRC_Book2_Adj Bench DR 3 for Initial Briefs (Electric)" xfId="814"/>
    <cellStyle name="_DEM-WP(C) Costs not in AURORA 2006GRC_Book2_Adj Bench DR 3 for Initial Briefs (Electric) 2" xfId="2335"/>
    <cellStyle name="_DEM-WP(C) Costs not in AURORA 2006GRC_Book2_Electric Rev Req Model (2009 GRC) Rebuttal" xfId="815"/>
    <cellStyle name="_DEM-WP(C) Costs not in AURORA 2006GRC_Book2_Electric Rev Req Model (2009 GRC) Rebuttal 2" xfId="2336"/>
    <cellStyle name="_DEM-WP(C) Costs not in AURORA 2006GRC_Book2_Electric Rev Req Model (2009 GRC) Rebuttal REmoval of New  WH Solar AdjustMI" xfId="816"/>
    <cellStyle name="_DEM-WP(C) Costs not in AURORA 2006GRC_Book2_Electric Rev Req Model (2009 GRC) Rebuttal REmoval of New  WH Solar AdjustMI 2" xfId="2337"/>
    <cellStyle name="_DEM-WP(C) Costs not in AURORA 2006GRC_Book2_Electric Rev Req Model (2009 GRC) Revised 01-18-2010" xfId="817"/>
    <cellStyle name="_DEM-WP(C) Costs not in AURORA 2006GRC_Book2_Electric Rev Req Model (2009 GRC) Revised 01-18-2010 2" xfId="2338"/>
    <cellStyle name="_DEM-WP(C) Costs not in AURORA 2006GRC_Book2_Final Order Electric EXHIBIT A-1" xfId="818"/>
    <cellStyle name="_DEM-WP(C) Costs not in AURORA 2006GRC_Book2_Final Order Electric EXHIBIT A-1 2" xfId="2339"/>
    <cellStyle name="_DEM-WP(C) Costs not in AURORA 2006GRC_Book4" xfId="819"/>
    <cellStyle name="_DEM-WP(C) Costs not in AURORA 2006GRC_Book4 2" xfId="2340"/>
    <cellStyle name="_DEM-WP(C) Costs not in AURORA 2006GRC_Book9" xfId="820"/>
    <cellStyle name="_DEM-WP(C) Costs not in AURORA 2006GRC_Book9 2" xfId="2341"/>
    <cellStyle name="_DEM-WP(C) Costs not in AURORA 2006GRC_Electric COS Inputs" xfId="75"/>
    <cellStyle name="_DEM-WP(C) Costs not in AURORA 2006GRC_Electric COS Inputs 2" xfId="1607"/>
    <cellStyle name="_DEM-WP(C) Costs not in AURORA 2006GRC_Electric COS Inputs 2 2" xfId="2343"/>
    <cellStyle name="_DEM-WP(C) Costs not in AURORA 2006GRC_Electric COS Inputs 2 3" xfId="2344"/>
    <cellStyle name="_DEM-WP(C) Costs not in AURORA 2006GRC_Electric COS Inputs 2 4" xfId="2342"/>
    <cellStyle name="_DEM-WP(C) Costs not in AURORA 2006GRC_Electric COS Inputs 3" xfId="2345"/>
    <cellStyle name="_DEM-WP(C) Costs not in AURORA 2006GRC_Electric COS Inputs 4" xfId="2346"/>
    <cellStyle name="_DEM-WP(C) Costs not in AURORA 2006GRC_Power Costs - Comparison bx Rbtl-Staff-Jt-PC" xfId="821"/>
    <cellStyle name="_DEM-WP(C) Costs not in AURORA 2006GRC_Power Costs - Comparison bx Rbtl-Staff-Jt-PC 2" xfId="2347"/>
    <cellStyle name="_DEM-WP(C) Costs not in AURORA 2006GRC_Power Costs - Comparison bx Rbtl-Staff-Jt-PC_Adj Bench DR 3 for Initial Briefs (Electric)" xfId="822"/>
    <cellStyle name="_DEM-WP(C) Costs not in AURORA 2006GRC_Power Costs - Comparison bx Rbtl-Staff-Jt-PC_Adj Bench DR 3 for Initial Briefs (Electric) 2" xfId="2348"/>
    <cellStyle name="_DEM-WP(C) Costs not in AURORA 2006GRC_Power Costs - Comparison bx Rbtl-Staff-Jt-PC_Electric Rev Req Model (2009 GRC) Rebuttal" xfId="823"/>
    <cellStyle name="_DEM-WP(C) Costs not in AURORA 2006GRC_Power Costs - Comparison bx Rbtl-Staff-Jt-PC_Electric Rev Req Model (2009 GRC) Rebuttal 2" xfId="2349"/>
    <cellStyle name="_DEM-WP(C) Costs not in AURORA 2006GRC_Power Costs - Comparison bx Rbtl-Staff-Jt-PC_Electric Rev Req Model (2009 GRC) Rebuttal REmoval of New  WH Solar AdjustMI" xfId="824"/>
    <cellStyle name="_DEM-WP(C) Costs not in AURORA 2006GRC_Power Costs - Comparison bx Rbtl-Staff-Jt-PC_Electric Rev Req Model (2009 GRC) Rebuttal REmoval of New  WH Solar AdjustMI 2" xfId="2350"/>
    <cellStyle name="_DEM-WP(C) Costs not in AURORA 2006GRC_Power Costs - Comparison bx Rbtl-Staff-Jt-PC_Electric Rev Req Model (2009 GRC) Revised 01-18-2010" xfId="825"/>
    <cellStyle name="_DEM-WP(C) Costs not in AURORA 2006GRC_Power Costs - Comparison bx Rbtl-Staff-Jt-PC_Electric Rev Req Model (2009 GRC) Revised 01-18-2010 2" xfId="2351"/>
    <cellStyle name="_DEM-WP(C) Costs not in AURORA 2006GRC_Power Costs - Comparison bx Rbtl-Staff-Jt-PC_Final Order Electric EXHIBIT A-1" xfId="826"/>
    <cellStyle name="_DEM-WP(C) Costs not in AURORA 2006GRC_Power Costs - Comparison bx Rbtl-Staff-Jt-PC_Final Order Electric EXHIBIT A-1 2" xfId="2352"/>
    <cellStyle name="_DEM-WP(C) Costs not in AURORA 2006GRC_Production Adj 4.37" xfId="76"/>
    <cellStyle name="_DEM-WP(C) Costs not in AURORA 2006GRC_Production Adj 4.37 2" xfId="2353"/>
    <cellStyle name="_DEM-WP(C) Costs not in AURORA 2006GRC_Purchased Power Adj 4.03" xfId="77"/>
    <cellStyle name="_DEM-WP(C) Costs not in AURORA 2006GRC_Purchased Power Adj 4.03 2" xfId="2354"/>
    <cellStyle name="_DEM-WP(C) Costs not in AURORA 2006GRC_Rebuttal Power Costs" xfId="827"/>
    <cellStyle name="_DEM-WP(C) Costs not in AURORA 2006GRC_Rebuttal Power Costs 2" xfId="2355"/>
    <cellStyle name="_DEM-WP(C) Costs not in AURORA 2006GRC_Rebuttal Power Costs_Adj Bench DR 3 for Initial Briefs (Electric)" xfId="828"/>
    <cellStyle name="_DEM-WP(C) Costs not in AURORA 2006GRC_Rebuttal Power Costs_Adj Bench DR 3 for Initial Briefs (Electric) 2" xfId="2356"/>
    <cellStyle name="_DEM-WP(C) Costs not in AURORA 2006GRC_Rebuttal Power Costs_Electric Rev Req Model (2009 GRC) Rebuttal" xfId="829"/>
    <cellStyle name="_DEM-WP(C) Costs not in AURORA 2006GRC_Rebuttal Power Costs_Electric Rev Req Model (2009 GRC) Rebuttal 2" xfId="2357"/>
    <cellStyle name="_DEM-WP(C) Costs not in AURORA 2006GRC_Rebuttal Power Costs_Electric Rev Req Model (2009 GRC) Rebuttal REmoval of New  WH Solar AdjustMI" xfId="830"/>
    <cellStyle name="_DEM-WP(C) Costs not in AURORA 2006GRC_Rebuttal Power Costs_Electric Rev Req Model (2009 GRC) Rebuttal REmoval of New  WH Solar AdjustMI 2" xfId="2358"/>
    <cellStyle name="_DEM-WP(C) Costs not in AURORA 2006GRC_Rebuttal Power Costs_Electric Rev Req Model (2009 GRC) Revised 01-18-2010" xfId="831"/>
    <cellStyle name="_DEM-WP(C) Costs not in AURORA 2006GRC_Rebuttal Power Costs_Electric Rev Req Model (2009 GRC) Revised 01-18-2010 2" xfId="2359"/>
    <cellStyle name="_DEM-WP(C) Costs not in AURORA 2006GRC_Rebuttal Power Costs_Final Order Electric EXHIBIT A-1" xfId="832"/>
    <cellStyle name="_DEM-WP(C) Costs not in AURORA 2006GRC_Rebuttal Power Costs_Final Order Electric EXHIBIT A-1 2" xfId="2360"/>
    <cellStyle name="_DEM-WP(C) Costs not in AURORA 2006GRC_ROR 5.02" xfId="78"/>
    <cellStyle name="_DEM-WP(C) Costs not in AURORA 2006GRC_ROR 5.02 2" xfId="2361"/>
    <cellStyle name="_DEM-WP(C) Costs not in AURORA 2007GRC" xfId="79"/>
    <cellStyle name="_DEM-WP(C) Costs not in AURORA 2007GRC 2" xfId="2362"/>
    <cellStyle name="_DEM-WP(C) Costs not in AURORA 2007GRC_16.37E Wild Horse Expansion DeferralRevwrkingfile SF" xfId="833"/>
    <cellStyle name="_DEM-WP(C) Costs not in AURORA 2007GRC_16.37E Wild Horse Expansion DeferralRevwrkingfile SF 2" xfId="2363"/>
    <cellStyle name="_DEM-WP(C) Costs not in AURORA 2007GRC_Adj Bench DR 3 for Initial Briefs (Electric)" xfId="834"/>
    <cellStyle name="_DEM-WP(C) Costs not in AURORA 2007GRC_Adj Bench DR 3 for Initial Briefs (Electric) 2" xfId="2364"/>
    <cellStyle name="_DEM-WP(C) Costs not in AURORA 2007GRC_Book2" xfId="835"/>
    <cellStyle name="_DEM-WP(C) Costs not in AURORA 2007GRC_Book2 2" xfId="2365"/>
    <cellStyle name="_DEM-WP(C) Costs not in AURORA 2007GRC_Book4" xfId="836"/>
    <cellStyle name="_DEM-WP(C) Costs not in AURORA 2007GRC_Book4 2" xfId="2366"/>
    <cellStyle name="_DEM-WP(C) Costs not in AURORA 2007GRC_Electric Rev Req Model (2009 GRC) " xfId="837"/>
    <cellStyle name="_DEM-WP(C) Costs not in AURORA 2007GRC_Electric Rev Req Model (2009 GRC)  2" xfId="2367"/>
    <cellStyle name="_DEM-WP(C) Costs not in AURORA 2007GRC_Electric Rev Req Model (2009 GRC) Rebuttal" xfId="838"/>
    <cellStyle name="_DEM-WP(C) Costs not in AURORA 2007GRC_Electric Rev Req Model (2009 GRC) Rebuttal 2" xfId="2368"/>
    <cellStyle name="_DEM-WP(C) Costs not in AURORA 2007GRC_Electric Rev Req Model (2009 GRC) Rebuttal REmoval of New  WH Solar AdjustMI" xfId="839"/>
    <cellStyle name="_DEM-WP(C) Costs not in AURORA 2007GRC_Electric Rev Req Model (2009 GRC) Rebuttal REmoval of New  WH Solar AdjustMI 2" xfId="2369"/>
    <cellStyle name="_DEM-WP(C) Costs not in AURORA 2007GRC_Electric Rev Req Model (2009 GRC) Revised 01-18-2010" xfId="840"/>
    <cellStyle name="_DEM-WP(C) Costs not in AURORA 2007GRC_Electric Rev Req Model (2009 GRC) Revised 01-18-2010 2" xfId="2370"/>
    <cellStyle name="_DEM-WP(C) Costs not in AURORA 2007GRC_Final Order Electric EXHIBIT A-1" xfId="841"/>
    <cellStyle name="_DEM-WP(C) Costs not in AURORA 2007GRC_Final Order Electric EXHIBIT A-1 2" xfId="2371"/>
    <cellStyle name="_DEM-WP(C) Costs not in AURORA 2007GRC_Power Costs - Comparison bx Rbtl-Staff-Jt-PC" xfId="842"/>
    <cellStyle name="_DEM-WP(C) Costs not in AURORA 2007GRC_Power Costs - Comparison bx Rbtl-Staff-Jt-PC 2" xfId="2372"/>
    <cellStyle name="_DEM-WP(C) Costs not in AURORA 2007GRC_Rebuttal Power Costs" xfId="843"/>
    <cellStyle name="_DEM-WP(C) Costs not in AURORA 2007GRC_Rebuttal Power Costs 2" xfId="2373"/>
    <cellStyle name="_DEM-WP(C) Costs not in AURORA 2007GRC_TENASKA REGULATORY ASSET" xfId="844"/>
    <cellStyle name="_DEM-WP(C) Costs not in AURORA 2007GRC_TENASKA REGULATORY ASSET 2" xfId="2374"/>
    <cellStyle name="_DEM-WP(C) Costs not in AURORA 2007PCORC-5.07Update" xfId="80"/>
    <cellStyle name="_DEM-WP(C) Costs not in AURORA 2007PCORC-5.07Update 2" xfId="2375"/>
    <cellStyle name="_DEM-WP(C) Costs not in AURORA 2007PCORC-5.07Update_16.37E Wild Horse Expansion DeferralRevwrkingfile SF" xfId="845"/>
    <cellStyle name="_DEM-WP(C) Costs not in AURORA 2007PCORC-5.07Update_16.37E Wild Horse Expansion DeferralRevwrkingfile SF 2" xfId="2376"/>
    <cellStyle name="_DEM-WP(C) Costs not in AURORA 2007PCORC-5.07Update_Adj Bench DR 3 for Initial Briefs (Electric)" xfId="846"/>
    <cellStyle name="_DEM-WP(C) Costs not in AURORA 2007PCORC-5.07Update_Adj Bench DR 3 for Initial Briefs (Electric) 2" xfId="2377"/>
    <cellStyle name="_DEM-WP(C) Costs not in AURORA 2007PCORC-5.07Update_Book2" xfId="847"/>
    <cellStyle name="_DEM-WP(C) Costs not in AURORA 2007PCORC-5.07Update_Book2 2" xfId="2378"/>
    <cellStyle name="_DEM-WP(C) Costs not in AURORA 2007PCORC-5.07Update_Book4" xfId="848"/>
    <cellStyle name="_DEM-WP(C) Costs not in AURORA 2007PCORC-5.07Update_Book4 2" xfId="2379"/>
    <cellStyle name="_DEM-WP(C) Costs not in AURORA 2007PCORC-5.07Update_DEM-WP(C) Production O&amp;M 2009GRC Rebuttal" xfId="849"/>
    <cellStyle name="_DEM-WP(C) Costs not in AURORA 2007PCORC-5.07Update_DEM-WP(C) Production O&amp;M 2009GRC Rebuttal 2" xfId="2380"/>
    <cellStyle name="_DEM-WP(C) Costs not in AURORA 2007PCORC-5.07Update_DEM-WP(C) Production O&amp;M 2009GRC Rebuttal_Adj Bench DR 3 for Initial Briefs (Electric)" xfId="850"/>
    <cellStyle name="_DEM-WP(C) Costs not in AURORA 2007PCORC-5.07Update_DEM-WP(C) Production O&amp;M 2009GRC Rebuttal_Adj Bench DR 3 for Initial Briefs (Electric) 2" xfId="2381"/>
    <cellStyle name="_DEM-WP(C) Costs not in AURORA 2007PCORC-5.07Update_DEM-WP(C) Production O&amp;M 2009GRC Rebuttal_Book2" xfId="851"/>
    <cellStyle name="_DEM-WP(C) Costs not in AURORA 2007PCORC-5.07Update_DEM-WP(C) Production O&amp;M 2009GRC Rebuttal_Book2 2" xfId="2382"/>
    <cellStyle name="_DEM-WP(C) Costs not in AURORA 2007PCORC-5.07Update_DEM-WP(C) Production O&amp;M 2009GRC Rebuttal_Book2_Adj Bench DR 3 for Initial Briefs (Electric)" xfId="852"/>
    <cellStyle name="_DEM-WP(C) Costs not in AURORA 2007PCORC-5.07Update_DEM-WP(C) Production O&amp;M 2009GRC Rebuttal_Book2_Adj Bench DR 3 for Initial Briefs (Electric) 2" xfId="2383"/>
    <cellStyle name="_DEM-WP(C) Costs not in AURORA 2007PCORC-5.07Update_DEM-WP(C) Production O&amp;M 2009GRC Rebuttal_Book2_Electric Rev Req Model (2009 GRC) Rebuttal" xfId="853"/>
    <cellStyle name="_DEM-WP(C) Costs not in AURORA 2007PCORC-5.07Update_DEM-WP(C) Production O&amp;M 2009GRC Rebuttal_Book2_Electric Rev Req Model (2009 GRC) Rebuttal 2" xfId="2384"/>
    <cellStyle name="_DEM-WP(C) Costs not in AURORA 2007PCORC-5.07Update_DEM-WP(C) Production O&amp;M 2009GRC Rebuttal_Book2_Electric Rev Req Model (2009 GRC) Rebuttal REmoval of New  WH Solar AdjustMI" xfId="854"/>
    <cellStyle name="_DEM-WP(C) Costs not in AURORA 2007PCORC-5.07Update_DEM-WP(C) Production O&amp;M 2009GRC Rebuttal_Book2_Electric Rev Req Model (2009 GRC) Rebuttal REmoval of New  WH Solar AdjustMI 2" xfId="2385"/>
    <cellStyle name="_DEM-WP(C) Costs not in AURORA 2007PCORC-5.07Update_DEM-WP(C) Production O&amp;M 2009GRC Rebuttal_Book2_Electric Rev Req Model (2009 GRC) Revised 01-18-2010" xfId="855"/>
    <cellStyle name="_DEM-WP(C) Costs not in AURORA 2007PCORC-5.07Update_DEM-WP(C) Production O&amp;M 2009GRC Rebuttal_Book2_Electric Rev Req Model (2009 GRC) Revised 01-18-2010 2" xfId="2386"/>
    <cellStyle name="_DEM-WP(C) Costs not in AURORA 2007PCORC-5.07Update_DEM-WP(C) Production O&amp;M 2009GRC Rebuttal_Book2_Final Order Electric EXHIBIT A-1" xfId="856"/>
    <cellStyle name="_DEM-WP(C) Costs not in AURORA 2007PCORC-5.07Update_DEM-WP(C) Production O&amp;M 2009GRC Rebuttal_Book2_Final Order Electric EXHIBIT A-1 2" xfId="2387"/>
    <cellStyle name="_DEM-WP(C) Costs not in AURORA 2007PCORC-5.07Update_DEM-WP(C) Production O&amp;M 2009GRC Rebuttal_Electric Rev Req Model (2009 GRC) Rebuttal" xfId="857"/>
    <cellStyle name="_DEM-WP(C) Costs not in AURORA 2007PCORC-5.07Update_DEM-WP(C) Production O&amp;M 2009GRC Rebuttal_Electric Rev Req Model (2009 GRC) Rebuttal 2" xfId="2388"/>
    <cellStyle name="_DEM-WP(C) Costs not in AURORA 2007PCORC-5.07Update_DEM-WP(C) Production O&amp;M 2009GRC Rebuttal_Electric Rev Req Model (2009 GRC) Rebuttal REmoval of New  WH Solar AdjustMI" xfId="858"/>
    <cellStyle name="_DEM-WP(C) Costs not in AURORA 2007PCORC-5.07Update_DEM-WP(C) Production O&amp;M 2009GRC Rebuttal_Electric Rev Req Model (2009 GRC) Rebuttal REmoval of New  WH Solar AdjustMI 2" xfId="2389"/>
    <cellStyle name="_DEM-WP(C) Costs not in AURORA 2007PCORC-5.07Update_DEM-WP(C) Production O&amp;M 2009GRC Rebuttal_Electric Rev Req Model (2009 GRC) Revised 01-18-2010" xfId="859"/>
    <cellStyle name="_DEM-WP(C) Costs not in AURORA 2007PCORC-5.07Update_DEM-WP(C) Production O&amp;M 2009GRC Rebuttal_Electric Rev Req Model (2009 GRC) Revised 01-18-2010 2" xfId="2390"/>
    <cellStyle name="_DEM-WP(C) Costs not in AURORA 2007PCORC-5.07Update_DEM-WP(C) Production O&amp;M 2009GRC Rebuttal_Final Order Electric EXHIBIT A-1" xfId="860"/>
    <cellStyle name="_DEM-WP(C) Costs not in AURORA 2007PCORC-5.07Update_DEM-WP(C) Production O&amp;M 2009GRC Rebuttal_Final Order Electric EXHIBIT A-1 2" xfId="2391"/>
    <cellStyle name="_DEM-WP(C) Costs not in AURORA 2007PCORC-5.07Update_DEM-WP(C) Production O&amp;M 2009GRC Rebuttal_Rebuttal Power Costs" xfId="861"/>
    <cellStyle name="_DEM-WP(C) Costs not in AURORA 2007PCORC-5.07Update_DEM-WP(C) Production O&amp;M 2009GRC Rebuttal_Rebuttal Power Costs 2" xfId="2392"/>
    <cellStyle name="_DEM-WP(C) Costs not in AURORA 2007PCORC-5.07Update_DEM-WP(C) Production O&amp;M 2009GRC Rebuttal_Rebuttal Power Costs_Adj Bench DR 3 for Initial Briefs (Electric)" xfId="862"/>
    <cellStyle name="_DEM-WP(C) Costs not in AURORA 2007PCORC-5.07Update_DEM-WP(C) Production O&amp;M 2009GRC Rebuttal_Rebuttal Power Costs_Adj Bench DR 3 for Initial Briefs (Electric) 2" xfId="2393"/>
    <cellStyle name="_DEM-WP(C) Costs not in AURORA 2007PCORC-5.07Update_DEM-WP(C) Production O&amp;M 2009GRC Rebuttal_Rebuttal Power Costs_Electric Rev Req Model (2009 GRC) Rebuttal" xfId="863"/>
    <cellStyle name="_DEM-WP(C) Costs not in AURORA 2007PCORC-5.07Update_DEM-WP(C) Production O&amp;M 2009GRC Rebuttal_Rebuttal Power Costs_Electric Rev Req Model (2009 GRC) Rebuttal 2" xfId="2394"/>
    <cellStyle name="_DEM-WP(C) Costs not in AURORA 2007PCORC-5.07Update_DEM-WP(C) Production O&amp;M 2009GRC Rebuttal_Rebuttal Power Costs_Electric Rev Req Model (2009 GRC) Rebuttal REmoval of New  WH Solar AdjustMI" xfId="864"/>
    <cellStyle name="_DEM-WP(C) Costs not in AURORA 2007PCORC-5.07Update_DEM-WP(C) Production O&amp;M 2009GRC Rebuttal_Rebuttal Power Costs_Electric Rev Req Model (2009 GRC) Rebuttal REmoval of New  WH Solar AdjustMI 2" xfId="2395"/>
    <cellStyle name="_DEM-WP(C) Costs not in AURORA 2007PCORC-5.07Update_DEM-WP(C) Production O&amp;M 2009GRC Rebuttal_Rebuttal Power Costs_Electric Rev Req Model (2009 GRC) Revised 01-18-2010" xfId="865"/>
    <cellStyle name="_DEM-WP(C) Costs not in AURORA 2007PCORC-5.07Update_DEM-WP(C) Production O&amp;M 2009GRC Rebuttal_Rebuttal Power Costs_Electric Rev Req Model (2009 GRC) Revised 01-18-2010 2" xfId="2396"/>
    <cellStyle name="_DEM-WP(C) Costs not in AURORA 2007PCORC-5.07Update_DEM-WP(C) Production O&amp;M 2009GRC Rebuttal_Rebuttal Power Costs_Final Order Electric EXHIBIT A-1" xfId="866"/>
    <cellStyle name="_DEM-WP(C) Costs not in AURORA 2007PCORC-5.07Update_DEM-WP(C) Production O&amp;M 2009GRC Rebuttal_Rebuttal Power Costs_Final Order Electric EXHIBIT A-1 2" xfId="2397"/>
    <cellStyle name="_DEM-WP(C) Costs not in AURORA 2007PCORC-5.07Update_Electric Rev Req Model (2009 GRC) " xfId="867"/>
    <cellStyle name="_DEM-WP(C) Costs not in AURORA 2007PCORC-5.07Update_Electric Rev Req Model (2009 GRC)  2" xfId="2398"/>
    <cellStyle name="_DEM-WP(C) Costs not in AURORA 2007PCORC-5.07Update_Electric Rev Req Model (2009 GRC) Rebuttal" xfId="868"/>
    <cellStyle name="_DEM-WP(C) Costs not in AURORA 2007PCORC-5.07Update_Electric Rev Req Model (2009 GRC) Rebuttal 2" xfId="2399"/>
    <cellStyle name="_DEM-WP(C) Costs not in AURORA 2007PCORC-5.07Update_Electric Rev Req Model (2009 GRC) Rebuttal REmoval of New  WH Solar AdjustMI" xfId="869"/>
    <cellStyle name="_DEM-WP(C) Costs not in AURORA 2007PCORC-5.07Update_Electric Rev Req Model (2009 GRC) Rebuttal REmoval of New  WH Solar AdjustMI 2" xfId="2400"/>
    <cellStyle name="_DEM-WP(C) Costs not in AURORA 2007PCORC-5.07Update_Electric Rev Req Model (2009 GRC) Revised 01-18-2010" xfId="870"/>
    <cellStyle name="_DEM-WP(C) Costs not in AURORA 2007PCORC-5.07Update_Electric Rev Req Model (2009 GRC) Revised 01-18-2010 2" xfId="2401"/>
    <cellStyle name="_DEM-WP(C) Costs not in AURORA 2007PCORC-5.07Update_Final Order Electric EXHIBIT A-1" xfId="871"/>
    <cellStyle name="_DEM-WP(C) Costs not in AURORA 2007PCORC-5.07Update_Final Order Electric EXHIBIT A-1 2" xfId="2402"/>
    <cellStyle name="_DEM-WP(C) Costs not in AURORA 2007PCORC-5.07Update_Power Costs - Comparison bx Rbtl-Staff-Jt-PC" xfId="872"/>
    <cellStyle name="_DEM-WP(C) Costs not in AURORA 2007PCORC-5.07Update_Power Costs - Comparison bx Rbtl-Staff-Jt-PC 2" xfId="2403"/>
    <cellStyle name="_DEM-WP(C) Costs not in AURORA 2007PCORC-5.07Update_Rebuttal Power Costs" xfId="873"/>
    <cellStyle name="_DEM-WP(C) Costs not in AURORA 2007PCORC-5.07Update_Rebuttal Power Costs 2" xfId="2404"/>
    <cellStyle name="_DEM-WP(C) Costs not in AURORA 2007PCORC-5.07Update_TENASKA REGULATORY ASSET" xfId="874"/>
    <cellStyle name="_DEM-WP(C) Costs not in AURORA 2007PCORC-5.07Update_TENASKA REGULATORY ASSET 2" xfId="2405"/>
    <cellStyle name="_DEM-WP(C) Prod O&amp;M 2007GRC" xfId="875"/>
    <cellStyle name="_DEM-WP(C) Prod O&amp;M 2007GRC 2" xfId="2406"/>
    <cellStyle name="_DEM-WP(C) Prod O&amp;M 2007GRC_Adj Bench DR 3 for Initial Briefs (Electric)" xfId="876"/>
    <cellStyle name="_DEM-WP(C) Prod O&amp;M 2007GRC_Adj Bench DR 3 for Initial Briefs (Electric) 2" xfId="2407"/>
    <cellStyle name="_DEM-WP(C) Prod O&amp;M 2007GRC_Book2" xfId="877"/>
    <cellStyle name="_DEM-WP(C) Prod O&amp;M 2007GRC_Book2 2" xfId="2408"/>
    <cellStyle name="_DEM-WP(C) Prod O&amp;M 2007GRC_Book2_Adj Bench DR 3 for Initial Briefs (Electric)" xfId="878"/>
    <cellStyle name="_DEM-WP(C) Prod O&amp;M 2007GRC_Book2_Adj Bench DR 3 for Initial Briefs (Electric) 2" xfId="2409"/>
    <cellStyle name="_DEM-WP(C) Prod O&amp;M 2007GRC_Book2_Electric Rev Req Model (2009 GRC) Rebuttal" xfId="879"/>
    <cellStyle name="_DEM-WP(C) Prod O&amp;M 2007GRC_Book2_Electric Rev Req Model (2009 GRC) Rebuttal 2" xfId="2410"/>
    <cellStyle name="_DEM-WP(C) Prod O&amp;M 2007GRC_Book2_Electric Rev Req Model (2009 GRC) Rebuttal REmoval of New  WH Solar AdjustMI" xfId="880"/>
    <cellStyle name="_DEM-WP(C) Prod O&amp;M 2007GRC_Book2_Electric Rev Req Model (2009 GRC) Rebuttal REmoval of New  WH Solar AdjustMI 2" xfId="2411"/>
    <cellStyle name="_DEM-WP(C) Prod O&amp;M 2007GRC_Book2_Electric Rev Req Model (2009 GRC) Revised 01-18-2010" xfId="881"/>
    <cellStyle name="_DEM-WP(C) Prod O&amp;M 2007GRC_Book2_Electric Rev Req Model (2009 GRC) Revised 01-18-2010 2" xfId="2412"/>
    <cellStyle name="_DEM-WP(C) Prod O&amp;M 2007GRC_Book2_Final Order Electric EXHIBIT A-1" xfId="882"/>
    <cellStyle name="_DEM-WP(C) Prod O&amp;M 2007GRC_Book2_Final Order Electric EXHIBIT A-1 2" xfId="2413"/>
    <cellStyle name="_DEM-WP(C) Prod O&amp;M 2007GRC_Electric Rev Req Model (2009 GRC) Rebuttal" xfId="883"/>
    <cellStyle name="_DEM-WP(C) Prod O&amp;M 2007GRC_Electric Rev Req Model (2009 GRC) Rebuttal 2" xfId="2414"/>
    <cellStyle name="_DEM-WP(C) Prod O&amp;M 2007GRC_Electric Rev Req Model (2009 GRC) Rebuttal REmoval of New  WH Solar AdjustMI" xfId="884"/>
    <cellStyle name="_DEM-WP(C) Prod O&amp;M 2007GRC_Electric Rev Req Model (2009 GRC) Rebuttal REmoval of New  WH Solar AdjustMI 2" xfId="2415"/>
    <cellStyle name="_DEM-WP(C) Prod O&amp;M 2007GRC_Electric Rev Req Model (2009 GRC) Revised 01-18-2010" xfId="885"/>
    <cellStyle name="_DEM-WP(C) Prod O&amp;M 2007GRC_Electric Rev Req Model (2009 GRC) Revised 01-18-2010 2" xfId="2416"/>
    <cellStyle name="_DEM-WP(C) Prod O&amp;M 2007GRC_Final Order Electric EXHIBIT A-1" xfId="886"/>
    <cellStyle name="_DEM-WP(C) Prod O&amp;M 2007GRC_Final Order Electric EXHIBIT A-1 2" xfId="2417"/>
    <cellStyle name="_DEM-WP(C) Prod O&amp;M 2007GRC_Rebuttal Power Costs" xfId="887"/>
    <cellStyle name="_DEM-WP(C) Prod O&amp;M 2007GRC_Rebuttal Power Costs 2" xfId="2418"/>
    <cellStyle name="_DEM-WP(C) Prod O&amp;M 2007GRC_Rebuttal Power Costs_Adj Bench DR 3 for Initial Briefs (Electric)" xfId="888"/>
    <cellStyle name="_DEM-WP(C) Prod O&amp;M 2007GRC_Rebuttal Power Costs_Adj Bench DR 3 for Initial Briefs (Electric) 2" xfId="2419"/>
    <cellStyle name="_DEM-WP(C) Prod O&amp;M 2007GRC_Rebuttal Power Costs_Electric Rev Req Model (2009 GRC) Rebuttal" xfId="889"/>
    <cellStyle name="_DEM-WP(C) Prod O&amp;M 2007GRC_Rebuttal Power Costs_Electric Rev Req Model (2009 GRC) Rebuttal 2" xfId="2420"/>
    <cellStyle name="_DEM-WP(C) Prod O&amp;M 2007GRC_Rebuttal Power Costs_Electric Rev Req Model (2009 GRC) Rebuttal REmoval of New  WH Solar AdjustMI" xfId="890"/>
    <cellStyle name="_DEM-WP(C) Prod O&amp;M 2007GRC_Rebuttal Power Costs_Electric Rev Req Model (2009 GRC) Rebuttal REmoval of New  WH Solar AdjustMI 2" xfId="2421"/>
    <cellStyle name="_DEM-WP(C) Prod O&amp;M 2007GRC_Rebuttal Power Costs_Electric Rev Req Model (2009 GRC) Revised 01-18-2010" xfId="891"/>
    <cellStyle name="_DEM-WP(C) Prod O&amp;M 2007GRC_Rebuttal Power Costs_Electric Rev Req Model (2009 GRC) Revised 01-18-2010 2" xfId="2422"/>
    <cellStyle name="_DEM-WP(C) Prod O&amp;M 2007GRC_Rebuttal Power Costs_Final Order Electric EXHIBIT A-1" xfId="892"/>
    <cellStyle name="_DEM-WP(C) Prod O&amp;M 2007GRC_Rebuttal Power Costs_Final Order Electric EXHIBIT A-1 2" xfId="2423"/>
    <cellStyle name="_DEM-WP(C) Rate Year Sumas by Month Update Corrected" xfId="893"/>
    <cellStyle name="_DEM-WP(C) Sumas Proforma 11.5.07" xfId="81"/>
    <cellStyle name="_DEM-WP(C) Westside Hydro Data_051007" xfId="82"/>
    <cellStyle name="_DEM-WP(C) Westside Hydro Data_051007 2" xfId="2424"/>
    <cellStyle name="_DEM-WP(C) Westside Hydro Data_051007_16.37E Wild Horse Expansion DeferralRevwrkingfile SF" xfId="894"/>
    <cellStyle name="_DEM-WP(C) Westside Hydro Data_051007_16.37E Wild Horse Expansion DeferralRevwrkingfile SF 2" xfId="2425"/>
    <cellStyle name="_DEM-WP(C) Westside Hydro Data_051007_Adj Bench DR 3 for Initial Briefs (Electric)" xfId="895"/>
    <cellStyle name="_DEM-WP(C) Westside Hydro Data_051007_Adj Bench DR 3 for Initial Briefs (Electric) 2" xfId="2426"/>
    <cellStyle name="_DEM-WP(C) Westside Hydro Data_051007_Book2" xfId="896"/>
    <cellStyle name="_DEM-WP(C) Westside Hydro Data_051007_Book2 2" xfId="2427"/>
    <cellStyle name="_DEM-WP(C) Westside Hydro Data_051007_Book4" xfId="897"/>
    <cellStyle name="_DEM-WP(C) Westside Hydro Data_051007_Book4 2" xfId="2428"/>
    <cellStyle name="_DEM-WP(C) Westside Hydro Data_051007_Electric Rev Req Model (2009 GRC) " xfId="898"/>
    <cellStyle name="_DEM-WP(C) Westside Hydro Data_051007_Electric Rev Req Model (2009 GRC)  2" xfId="2429"/>
    <cellStyle name="_DEM-WP(C) Westside Hydro Data_051007_Electric Rev Req Model (2009 GRC) Rebuttal" xfId="899"/>
    <cellStyle name="_DEM-WP(C) Westside Hydro Data_051007_Electric Rev Req Model (2009 GRC) Rebuttal 2" xfId="2430"/>
    <cellStyle name="_DEM-WP(C) Westside Hydro Data_051007_Electric Rev Req Model (2009 GRC) Rebuttal REmoval of New  WH Solar AdjustMI" xfId="900"/>
    <cellStyle name="_DEM-WP(C) Westside Hydro Data_051007_Electric Rev Req Model (2009 GRC) Rebuttal REmoval of New  WH Solar AdjustMI 2" xfId="2431"/>
    <cellStyle name="_DEM-WP(C) Westside Hydro Data_051007_Electric Rev Req Model (2009 GRC) Revised 01-18-2010" xfId="901"/>
    <cellStyle name="_DEM-WP(C) Westside Hydro Data_051007_Electric Rev Req Model (2009 GRC) Revised 01-18-2010 2" xfId="2432"/>
    <cellStyle name="_DEM-WP(C) Westside Hydro Data_051007_Final Order Electric EXHIBIT A-1" xfId="902"/>
    <cellStyle name="_DEM-WP(C) Westside Hydro Data_051007_Final Order Electric EXHIBIT A-1 2" xfId="2433"/>
    <cellStyle name="_DEM-WP(C) Westside Hydro Data_051007_Power Costs - Comparison bx Rbtl-Staff-Jt-PC" xfId="903"/>
    <cellStyle name="_DEM-WP(C) Westside Hydro Data_051007_Power Costs - Comparison bx Rbtl-Staff-Jt-PC 2" xfId="2434"/>
    <cellStyle name="_DEM-WP(C) Westside Hydro Data_051007_Rebuttal Power Costs" xfId="904"/>
    <cellStyle name="_DEM-WP(C) Westside Hydro Data_051007_Rebuttal Power Costs 2" xfId="2435"/>
    <cellStyle name="_DEM-WP(C) Westside Hydro Data_051007_TENASKA REGULATORY ASSET" xfId="905"/>
    <cellStyle name="_DEM-WP(C) Westside Hydro Data_051007_TENASKA REGULATORY ASSET 2" xfId="2436"/>
    <cellStyle name="_x0013__Electric Rev Req Model (2009 GRC) " xfId="906"/>
    <cellStyle name="_x0013__Electric Rev Req Model (2009 GRC)  2" xfId="2437"/>
    <cellStyle name="_x0013__Electric Rev Req Model (2009 GRC) Rebuttal" xfId="907"/>
    <cellStyle name="_x0013__Electric Rev Req Model (2009 GRC) Rebuttal 2" xfId="2438"/>
    <cellStyle name="_x0013__Electric Rev Req Model (2009 GRC) Rebuttal REmoval of New  WH Solar AdjustMI" xfId="908"/>
    <cellStyle name="_x0013__Electric Rev Req Model (2009 GRC) Rebuttal REmoval of New  WH Solar AdjustMI 2" xfId="2439"/>
    <cellStyle name="_x0013__Electric Rev Req Model (2009 GRC) Revised 01-18-2010" xfId="909"/>
    <cellStyle name="_x0013__Electric Rev Req Model (2009 GRC) Revised 01-18-2010 2" xfId="2440"/>
    <cellStyle name="_x0013__Final Order Electric EXHIBIT A-1" xfId="910"/>
    <cellStyle name="_x0013__Final Order Electric EXHIBIT A-1 2" xfId="2441"/>
    <cellStyle name="_Fixed Gas Transport 1 19 09" xfId="911"/>
    <cellStyle name="_Fixed Gas Transport 1 19 09 2" xfId="2442"/>
    <cellStyle name="_Fuel Prices 4-14" xfId="83"/>
    <cellStyle name="_Fuel Prices 4-14 2" xfId="913"/>
    <cellStyle name="_Fuel Prices 4-14 2 2" xfId="2443"/>
    <cellStyle name="_Fuel Prices 4-14 3" xfId="912"/>
    <cellStyle name="_Fuel Prices 4-14_04 07E Wild Horse Wind Expansion (C) (2)" xfId="84"/>
    <cellStyle name="_Fuel Prices 4-14_04 07E Wild Horse Wind Expansion (C) (2) 2" xfId="2444"/>
    <cellStyle name="_Fuel Prices 4-14_04 07E Wild Horse Wind Expansion (C) (2)_Adj Bench DR 3 for Initial Briefs (Electric)" xfId="914"/>
    <cellStyle name="_Fuel Prices 4-14_04 07E Wild Horse Wind Expansion (C) (2)_Adj Bench DR 3 for Initial Briefs (Electric) 2" xfId="2445"/>
    <cellStyle name="_Fuel Prices 4-14_04 07E Wild Horse Wind Expansion (C) (2)_Electric Rev Req Model (2009 GRC) " xfId="915"/>
    <cellStyle name="_Fuel Prices 4-14_04 07E Wild Horse Wind Expansion (C) (2)_Electric Rev Req Model (2009 GRC)  2" xfId="2446"/>
    <cellStyle name="_Fuel Prices 4-14_04 07E Wild Horse Wind Expansion (C) (2)_Electric Rev Req Model (2009 GRC) Rebuttal" xfId="916"/>
    <cellStyle name="_Fuel Prices 4-14_04 07E Wild Horse Wind Expansion (C) (2)_Electric Rev Req Model (2009 GRC) Rebuttal 2" xfId="2447"/>
    <cellStyle name="_Fuel Prices 4-14_04 07E Wild Horse Wind Expansion (C) (2)_Electric Rev Req Model (2009 GRC) Rebuttal REmoval of New  WH Solar AdjustMI" xfId="917"/>
    <cellStyle name="_Fuel Prices 4-14_04 07E Wild Horse Wind Expansion (C) (2)_Electric Rev Req Model (2009 GRC) Rebuttal REmoval of New  WH Solar AdjustMI 2" xfId="2448"/>
    <cellStyle name="_Fuel Prices 4-14_04 07E Wild Horse Wind Expansion (C) (2)_Electric Rev Req Model (2009 GRC) Revised 01-18-2010" xfId="918"/>
    <cellStyle name="_Fuel Prices 4-14_04 07E Wild Horse Wind Expansion (C) (2)_Electric Rev Req Model (2009 GRC) Revised 01-18-2010 2" xfId="2449"/>
    <cellStyle name="_Fuel Prices 4-14_04 07E Wild Horse Wind Expansion (C) (2)_Final Order Electric EXHIBIT A-1" xfId="919"/>
    <cellStyle name="_Fuel Prices 4-14_04 07E Wild Horse Wind Expansion (C) (2)_Final Order Electric EXHIBIT A-1 2" xfId="2450"/>
    <cellStyle name="_Fuel Prices 4-14_04 07E Wild Horse Wind Expansion (C) (2)_TENASKA REGULATORY ASSET" xfId="920"/>
    <cellStyle name="_Fuel Prices 4-14_04 07E Wild Horse Wind Expansion (C) (2)_TENASKA REGULATORY ASSET 2" xfId="2451"/>
    <cellStyle name="_Fuel Prices 4-14_16.37E Wild Horse Expansion DeferralRevwrkingfile SF" xfId="921"/>
    <cellStyle name="_Fuel Prices 4-14_16.37E Wild Horse Expansion DeferralRevwrkingfile SF 2" xfId="2452"/>
    <cellStyle name="_Fuel Prices 4-14_4 31 Regulatory Assets and Liabilities  7 06- Exhibit D" xfId="922"/>
    <cellStyle name="_Fuel Prices 4-14_4 31 Regulatory Assets and Liabilities  7 06- Exhibit D 2" xfId="2453"/>
    <cellStyle name="_Fuel Prices 4-14_4 32 Regulatory Assets and Liabilities  7 06- Exhibit D" xfId="923"/>
    <cellStyle name="_Fuel Prices 4-14_4 32 Regulatory Assets and Liabilities  7 06- Exhibit D 2" xfId="2454"/>
    <cellStyle name="_Fuel Prices 4-14_Book2" xfId="924"/>
    <cellStyle name="_Fuel Prices 4-14_Book2 2" xfId="2455"/>
    <cellStyle name="_Fuel Prices 4-14_Book2_Adj Bench DR 3 for Initial Briefs (Electric)" xfId="925"/>
    <cellStyle name="_Fuel Prices 4-14_Book2_Adj Bench DR 3 for Initial Briefs (Electric) 2" xfId="2456"/>
    <cellStyle name="_Fuel Prices 4-14_Book2_Electric Rev Req Model (2009 GRC) Rebuttal" xfId="926"/>
    <cellStyle name="_Fuel Prices 4-14_Book2_Electric Rev Req Model (2009 GRC) Rebuttal 2" xfId="2457"/>
    <cellStyle name="_Fuel Prices 4-14_Book2_Electric Rev Req Model (2009 GRC) Rebuttal REmoval of New  WH Solar AdjustMI" xfId="927"/>
    <cellStyle name="_Fuel Prices 4-14_Book2_Electric Rev Req Model (2009 GRC) Rebuttal REmoval of New  WH Solar AdjustMI 2" xfId="2458"/>
    <cellStyle name="_Fuel Prices 4-14_Book2_Electric Rev Req Model (2009 GRC) Revised 01-18-2010" xfId="928"/>
    <cellStyle name="_Fuel Prices 4-14_Book2_Electric Rev Req Model (2009 GRC) Revised 01-18-2010 2" xfId="2459"/>
    <cellStyle name="_Fuel Prices 4-14_Book2_Final Order Electric EXHIBIT A-1" xfId="929"/>
    <cellStyle name="_Fuel Prices 4-14_Book2_Final Order Electric EXHIBIT A-1 2" xfId="2460"/>
    <cellStyle name="_Fuel Prices 4-14_Book4" xfId="930"/>
    <cellStyle name="_Fuel Prices 4-14_Book4 2" xfId="2461"/>
    <cellStyle name="_Fuel Prices 4-14_Book9" xfId="931"/>
    <cellStyle name="_Fuel Prices 4-14_Book9 2" xfId="2462"/>
    <cellStyle name="_Fuel Prices 4-14_Direct Assignment Distribution Plant 2008" xfId="85"/>
    <cellStyle name="_Fuel Prices 4-14_Direct Assignment Distribution Plant 2008 2" xfId="1608"/>
    <cellStyle name="_Fuel Prices 4-14_Direct Assignment Distribution Plant 2008 2 2" xfId="2464"/>
    <cellStyle name="_Fuel Prices 4-14_Direct Assignment Distribution Plant 2008 2 3" xfId="2465"/>
    <cellStyle name="_Fuel Prices 4-14_Direct Assignment Distribution Plant 2008 2 4" xfId="2463"/>
    <cellStyle name="_Fuel Prices 4-14_Direct Assignment Distribution Plant 2008 3" xfId="2466"/>
    <cellStyle name="_Fuel Prices 4-14_Direct Assignment Distribution Plant 2008 4" xfId="2467"/>
    <cellStyle name="_Fuel Prices 4-14_Electric COS Inputs" xfId="86"/>
    <cellStyle name="_Fuel Prices 4-14_Electric COS Inputs 2" xfId="1609"/>
    <cellStyle name="_Fuel Prices 4-14_Electric COS Inputs 2 2" xfId="2469"/>
    <cellStyle name="_Fuel Prices 4-14_Electric COS Inputs 2 3" xfId="2470"/>
    <cellStyle name="_Fuel Prices 4-14_Electric COS Inputs 2 4" xfId="2468"/>
    <cellStyle name="_Fuel Prices 4-14_Electric COS Inputs 3" xfId="2471"/>
    <cellStyle name="_Fuel Prices 4-14_Electric COS Inputs 4" xfId="2472"/>
    <cellStyle name="_Fuel Prices 4-14_Electric Rate Spread and Rate Design 3.23.09" xfId="87"/>
    <cellStyle name="_Fuel Prices 4-14_Electric Rate Spread and Rate Design 3.23.09 2" xfId="1610"/>
    <cellStyle name="_Fuel Prices 4-14_Electric Rate Spread and Rate Design 3.23.09 2 2" xfId="2474"/>
    <cellStyle name="_Fuel Prices 4-14_Electric Rate Spread and Rate Design 3.23.09 2 3" xfId="2475"/>
    <cellStyle name="_Fuel Prices 4-14_Electric Rate Spread and Rate Design 3.23.09 2 4" xfId="2473"/>
    <cellStyle name="_Fuel Prices 4-14_Electric Rate Spread and Rate Design 3.23.09 3" xfId="2476"/>
    <cellStyle name="_Fuel Prices 4-14_Electric Rate Spread and Rate Design 3.23.09 4" xfId="2477"/>
    <cellStyle name="_Fuel Prices 4-14_INPUTS" xfId="88"/>
    <cellStyle name="_Fuel Prices 4-14_INPUTS 2" xfId="1611"/>
    <cellStyle name="_Fuel Prices 4-14_INPUTS 2 2" xfId="2479"/>
    <cellStyle name="_Fuel Prices 4-14_INPUTS 2 3" xfId="2480"/>
    <cellStyle name="_Fuel Prices 4-14_INPUTS 2 4" xfId="2478"/>
    <cellStyle name="_Fuel Prices 4-14_INPUTS 3" xfId="2481"/>
    <cellStyle name="_Fuel Prices 4-14_INPUTS 4" xfId="2482"/>
    <cellStyle name="_Fuel Prices 4-14_Leased Transformer &amp; Substation Plant &amp; Rev 12-2009" xfId="89"/>
    <cellStyle name="_Fuel Prices 4-14_Leased Transformer &amp; Substation Plant &amp; Rev 12-2009 2" xfId="1612"/>
    <cellStyle name="_Fuel Prices 4-14_Leased Transformer &amp; Substation Plant &amp; Rev 12-2009 2 2" xfId="2484"/>
    <cellStyle name="_Fuel Prices 4-14_Leased Transformer &amp; Substation Plant &amp; Rev 12-2009 2 3" xfId="2485"/>
    <cellStyle name="_Fuel Prices 4-14_Leased Transformer &amp; Substation Plant &amp; Rev 12-2009 2 4" xfId="2483"/>
    <cellStyle name="_Fuel Prices 4-14_Leased Transformer &amp; Substation Plant &amp; Rev 12-2009 3" xfId="2486"/>
    <cellStyle name="_Fuel Prices 4-14_Leased Transformer &amp; Substation Plant &amp; Rev 12-2009 4" xfId="2487"/>
    <cellStyle name="_Fuel Prices 4-14_Peak Credit Exhibits for 2009 GRC" xfId="90"/>
    <cellStyle name="_Fuel Prices 4-14_Peak Credit Exhibits for 2009 GRC 2" xfId="1613"/>
    <cellStyle name="_Fuel Prices 4-14_Peak Credit Exhibits for 2009 GRC 2 2" xfId="2489"/>
    <cellStyle name="_Fuel Prices 4-14_Peak Credit Exhibits for 2009 GRC 2 3" xfId="2490"/>
    <cellStyle name="_Fuel Prices 4-14_Peak Credit Exhibits for 2009 GRC 2 4" xfId="2488"/>
    <cellStyle name="_Fuel Prices 4-14_Peak Credit Exhibits for 2009 GRC 3" xfId="2491"/>
    <cellStyle name="_Fuel Prices 4-14_Peak Credit Exhibits for 2009 GRC 4" xfId="2492"/>
    <cellStyle name="_Fuel Prices 4-14_Power Costs - Comparison bx Rbtl-Staff-Jt-PC" xfId="932"/>
    <cellStyle name="_Fuel Prices 4-14_Power Costs - Comparison bx Rbtl-Staff-Jt-PC 2" xfId="2493"/>
    <cellStyle name="_Fuel Prices 4-14_Power Costs - Comparison bx Rbtl-Staff-Jt-PC_Adj Bench DR 3 for Initial Briefs (Electric)" xfId="933"/>
    <cellStyle name="_Fuel Prices 4-14_Power Costs - Comparison bx Rbtl-Staff-Jt-PC_Adj Bench DR 3 for Initial Briefs (Electric) 2" xfId="2494"/>
    <cellStyle name="_Fuel Prices 4-14_Power Costs - Comparison bx Rbtl-Staff-Jt-PC_Electric Rev Req Model (2009 GRC) Rebuttal" xfId="934"/>
    <cellStyle name="_Fuel Prices 4-14_Power Costs - Comparison bx Rbtl-Staff-Jt-PC_Electric Rev Req Model (2009 GRC) Rebuttal 2" xfId="2495"/>
    <cellStyle name="_Fuel Prices 4-14_Power Costs - Comparison bx Rbtl-Staff-Jt-PC_Electric Rev Req Model (2009 GRC) Rebuttal REmoval of New  WH Solar AdjustMI" xfId="935"/>
    <cellStyle name="_Fuel Prices 4-14_Power Costs - Comparison bx Rbtl-Staff-Jt-PC_Electric Rev Req Model (2009 GRC) Rebuttal REmoval of New  WH Solar AdjustMI 2" xfId="2496"/>
    <cellStyle name="_Fuel Prices 4-14_Power Costs - Comparison bx Rbtl-Staff-Jt-PC_Electric Rev Req Model (2009 GRC) Revised 01-18-2010" xfId="936"/>
    <cellStyle name="_Fuel Prices 4-14_Power Costs - Comparison bx Rbtl-Staff-Jt-PC_Electric Rev Req Model (2009 GRC) Revised 01-18-2010 2" xfId="2497"/>
    <cellStyle name="_Fuel Prices 4-14_Power Costs - Comparison bx Rbtl-Staff-Jt-PC_Final Order Electric EXHIBIT A-1" xfId="937"/>
    <cellStyle name="_Fuel Prices 4-14_Power Costs - Comparison bx Rbtl-Staff-Jt-PC_Final Order Electric EXHIBIT A-1 2" xfId="2498"/>
    <cellStyle name="_Fuel Prices 4-14_Production Adj 4.37" xfId="91"/>
    <cellStyle name="_Fuel Prices 4-14_Production Adj 4.37 2" xfId="2499"/>
    <cellStyle name="_Fuel Prices 4-14_Purchased Power Adj 4.03" xfId="92"/>
    <cellStyle name="_Fuel Prices 4-14_Purchased Power Adj 4.03 2" xfId="2500"/>
    <cellStyle name="_Fuel Prices 4-14_Rate Design Sch 24" xfId="93"/>
    <cellStyle name="_Fuel Prices 4-14_Rate Design Sch 25" xfId="94"/>
    <cellStyle name="_Fuel Prices 4-14_Rate Design Sch 25 2" xfId="2501"/>
    <cellStyle name="_Fuel Prices 4-14_Rate Design Sch 26" xfId="95"/>
    <cellStyle name="_Fuel Prices 4-14_Rate Design Sch 26 2" xfId="2502"/>
    <cellStyle name="_Fuel Prices 4-14_Rate Design Sch 31" xfId="96"/>
    <cellStyle name="_Fuel Prices 4-14_Rate Design Sch 31 2" xfId="2503"/>
    <cellStyle name="_Fuel Prices 4-14_Rate Design Sch 43" xfId="97"/>
    <cellStyle name="_Fuel Prices 4-14_Rate Design Sch 43 2" xfId="2504"/>
    <cellStyle name="_Fuel Prices 4-14_Rate Design Sch 448-449" xfId="98"/>
    <cellStyle name="_Fuel Prices 4-14_Rate Design Sch 46" xfId="99"/>
    <cellStyle name="_Fuel Prices 4-14_Rate Design Sch 46 2" xfId="2505"/>
    <cellStyle name="_Fuel Prices 4-14_Rate Spread" xfId="100"/>
    <cellStyle name="_Fuel Prices 4-14_Rate Spread 2" xfId="2506"/>
    <cellStyle name="_Fuel Prices 4-14_Rebuttal Power Costs" xfId="938"/>
    <cellStyle name="_Fuel Prices 4-14_Rebuttal Power Costs 2" xfId="2507"/>
    <cellStyle name="_Fuel Prices 4-14_Rebuttal Power Costs_Adj Bench DR 3 for Initial Briefs (Electric)" xfId="939"/>
    <cellStyle name="_Fuel Prices 4-14_Rebuttal Power Costs_Adj Bench DR 3 for Initial Briefs (Electric) 2" xfId="2508"/>
    <cellStyle name="_Fuel Prices 4-14_Rebuttal Power Costs_Electric Rev Req Model (2009 GRC) Rebuttal" xfId="940"/>
    <cellStyle name="_Fuel Prices 4-14_Rebuttal Power Costs_Electric Rev Req Model (2009 GRC) Rebuttal 2" xfId="2509"/>
    <cellStyle name="_Fuel Prices 4-14_Rebuttal Power Costs_Electric Rev Req Model (2009 GRC) Rebuttal REmoval of New  WH Solar AdjustMI" xfId="941"/>
    <cellStyle name="_Fuel Prices 4-14_Rebuttal Power Costs_Electric Rev Req Model (2009 GRC) Rebuttal REmoval of New  WH Solar AdjustMI 2" xfId="2510"/>
    <cellStyle name="_Fuel Prices 4-14_Rebuttal Power Costs_Electric Rev Req Model (2009 GRC) Revised 01-18-2010" xfId="942"/>
    <cellStyle name="_Fuel Prices 4-14_Rebuttal Power Costs_Electric Rev Req Model (2009 GRC) Revised 01-18-2010 2" xfId="2511"/>
    <cellStyle name="_Fuel Prices 4-14_Rebuttal Power Costs_Final Order Electric EXHIBIT A-1" xfId="943"/>
    <cellStyle name="_Fuel Prices 4-14_Rebuttal Power Costs_Final Order Electric EXHIBIT A-1 2" xfId="2512"/>
    <cellStyle name="_Fuel Prices 4-14_ROR 5.02" xfId="101"/>
    <cellStyle name="_Fuel Prices 4-14_ROR 5.02 2" xfId="2513"/>
    <cellStyle name="_Fuel Prices 4-14_Sch 40 Feeder OH 2008" xfId="1614"/>
    <cellStyle name="_Fuel Prices 4-14_Sch 40 Feeder OH 2008 2" xfId="2514"/>
    <cellStyle name="_Fuel Prices 4-14_Sch 40 Interim Energy Rates " xfId="1615"/>
    <cellStyle name="_Fuel Prices 4-14_Sch 40 Interim Energy Rates  2" xfId="2515"/>
    <cellStyle name="_Fuel Prices 4-14_Sch 40 Substation A&amp;G 2008" xfId="1616"/>
    <cellStyle name="_Fuel Prices 4-14_Sch 40 Substation A&amp;G 2008 2" xfId="2516"/>
    <cellStyle name="_Fuel Prices 4-14_Sch 40 Substation O&amp;M 2008" xfId="1617"/>
    <cellStyle name="_Fuel Prices 4-14_Sch 40 Substation O&amp;M 2008 2" xfId="2517"/>
    <cellStyle name="_Fuel Prices 4-14_Subs 2008" xfId="1618"/>
    <cellStyle name="_Fuel Prices 4-14_Subs 2008 2" xfId="2518"/>
    <cellStyle name="_Gas Transportation Charges_2009GRC_120308" xfId="944"/>
    <cellStyle name="_Gas Transportation Charges_2009GRC_120308 2" xfId="2519"/>
    <cellStyle name="_NIM 06 Base Case Current Trends" xfId="102"/>
    <cellStyle name="_NIM 06 Base Case Current Trends 2" xfId="2520"/>
    <cellStyle name="_NIM 06 Base Case Current Trends_Adj Bench DR 3 for Initial Briefs (Electric)" xfId="945"/>
    <cellStyle name="_NIM 06 Base Case Current Trends_Adj Bench DR 3 for Initial Briefs (Electric) 2" xfId="2521"/>
    <cellStyle name="_NIM 06 Base Case Current Trends_Book2" xfId="946"/>
    <cellStyle name="_NIM 06 Base Case Current Trends_Book2 2" xfId="2522"/>
    <cellStyle name="_NIM 06 Base Case Current Trends_Book2_Adj Bench DR 3 for Initial Briefs (Electric)" xfId="947"/>
    <cellStyle name="_NIM 06 Base Case Current Trends_Book2_Adj Bench DR 3 for Initial Briefs (Electric) 2" xfId="2523"/>
    <cellStyle name="_NIM 06 Base Case Current Trends_Book2_Electric Rev Req Model (2009 GRC) Rebuttal" xfId="948"/>
    <cellStyle name="_NIM 06 Base Case Current Trends_Book2_Electric Rev Req Model (2009 GRC) Rebuttal 2" xfId="2524"/>
    <cellStyle name="_NIM 06 Base Case Current Trends_Book2_Electric Rev Req Model (2009 GRC) Rebuttal REmoval of New  WH Solar AdjustMI" xfId="949"/>
    <cellStyle name="_NIM 06 Base Case Current Trends_Book2_Electric Rev Req Model (2009 GRC) Rebuttal REmoval of New  WH Solar AdjustMI 2" xfId="2525"/>
    <cellStyle name="_NIM 06 Base Case Current Trends_Book2_Electric Rev Req Model (2009 GRC) Revised 01-18-2010" xfId="950"/>
    <cellStyle name="_NIM 06 Base Case Current Trends_Book2_Electric Rev Req Model (2009 GRC) Revised 01-18-2010 2" xfId="2526"/>
    <cellStyle name="_NIM 06 Base Case Current Trends_Book2_Final Order Electric EXHIBIT A-1" xfId="951"/>
    <cellStyle name="_NIM 06 Base Case Current Trends_Book2_Final Order Electric EXHIBIT A-1 2" xfId="2527"/>
    <cellStyle name="_NIM 06 Base Case Current Trends_Electric Rev Req Model (2009 GRC) " xfId="952"/>
    <cellStyle name="_NIM 06 Base Case Current Trends_Electric Rev Req Model (2009 GRC)  2" xfId="2528"/>
    <cellStyle name="_NIM 06 Base Case Current Trends_Electric Rev Req Model (2009 GRC) Rebuttal" xfId="953"/>
    <cellStyle name="_NIM 06 Base Case Current Trends_Electric Rev Req Model (2009 GRC) Rebuttal 2" xfId="2529"/>
    <cellStyle name="_NIM 06 Base Case Current Trends_Electric Rev Req Model (2009 GRC) Rebuttal REmoval of New  WH Solar AdjustMI" xfId="954"/>
    <cellStyle name="_NIM 06 Base Case Current Trends_Electric Rev Req Model (2009 GRC) Rebuttal REmoval of New  WH Solar AdjustMI 2" xfId="2530"/>
    <cellStyle name="_NIM 06 Base Case Current Trends_Electric Rev Req Model (2009 GRC) Revised 01-18-2010" xfId="955"/>
    <cellStyle name="_NIM 06 Base Case Current Trends_Electric Rev Req Model (2009 GRC) Revised 01-18-2010 2" xfId="2531"/>
    <cellStyle name="_NIM 06 Base Case Current Trends_Final Order Electric EXHIBIT A-1" xfId="956"/>
    <cellStyle name="_NIM 06 Base Case Current Trends_Final Order Electric EXHIBIT A-1 2" xfId="2532"/>
    <cellStyle name="_NIM 06 Base Case Current Trends_Rebuttal Power Costs" xfId="957"/>
    <cellStyle name="_NIM 06 Base Case Current Trends_Rebuttal Power Costs 2" xfId="2533"/>
    <cellStyle name="_NIM 06 Base Case Current Trends_Rebuttal Power Costs_Adj Bench DR 3 for Initial Briefs (Electric)" xfId="958"/>
    <cellStyle name="_NIM 06 Base Case Current Trends_Rebuttal Power Costs_Adj Bench DR 3 for Initial Briefs (Electric) 2" xfId="2534"/>
    <cellStyle name="_NIM 06 Base Case Current Trends_Rebuttal Power Costs_Electric Rev Req Model (2009 GRC) Rebuttal" xfId="959"/>
    <cellStyle name="_NIM 06 Base Case Current Trends_Rebuttal Power Costs_Electric Rev Req Model (2009 GRC) Rebuttal 2" xfId="2535"/>
    <cellStyle name="_NIM 06 Base Case Current Trends_Rebuttal Power Costs_Electric Rev Req Model (2009 GRC) Rebuttal REmoval of New  WH Solar AdjustMI" xfId="960"/>
    <cellStyle name="_NIM 06 Base Case Current Trends_Rebuttal Power Costs_Electric Rev Req Model (2009 GRC) Rebuttal REmoval of New  WH Solar AdjustMI 2" xfId="2536"/>
    <cellStyle name="_NIM 06 Base Case Current Trends_Rebuttal Power Costs_Electric Rev Req Model (2009 GRC) Revised 01-18-2010" xfId="961"/>
    <cellStyle name="_NIM 06 Base Case Current Trends_Rebuttal Power Costs_Electric Rev Req Model (2009 GRC) Revised 01-18-2010 2" xfId="2537"/>
    <cellStyle name="_NIM 06 Base Case Current Trends_Rebuttal Power Costs_Final Order Electric EXHIBIT A-1" xfId="962"/>
    <cellStyle name="_NIM 06 Base Case Current Trends_Rebuttal Power Costs_Final Order Electric EXHIBIT A-1 2" xfId="2538"/>
    <cellStyle name="_NIM 06 Base Case Current Trends_TENASKA REGULATORY ASSET" xfId="963"/>
    <cellStyle name="_NIM 06 Base Case Current Trends_TENASKA REGULATORY ASSET 2" xfId="2539"/>
    <cellStyle name="_Portfolio SPlan Base Case.xls Chart 1" xfId="103"/>
    <cellStyle name="_Portfolio SPlan Base Case.xls Chart 1 2" xfId="2540"/>
    <cellStyle name="_Portfolio SPlan Base Case.xls Chart 1_Adj Bench DR 3 for Initial Briefs (Electric)" xfId="964"/>
    <cellStyle name="_Portfolio SPlan Base Case.xls Chart 1_Adj Bench DR 3 for Initial Briefs (Electric) 2" xfId="2541"/>
    <cellStyle name="_Portfolio SPlan Base Case.xls Chart 1_Book2" xfId="965"/>
    <cellStyle name="_Portfolio SPlan Base Case.xls Chart 1_Book2 2" xfId="2542"/>
    <cellStyle name="_Portfolio SPlan Base Case.xls Chart 1_Book2_Adj Bench DR 3 for Initial Briefs (Electric)" xfId="966"/>
    <cellStyle name="_Portfolio SPlan Base Case.xls Chart 1_Book2_Adj Bench DR 3 for Initial Briefs (Electric) 2" xfId="2543"/>
    <cellStyle name="_Portfolio SPlan Base Case.xls Chart 1_Book2_Electric Rev Req Model (2009 GRC) Rebuttal" xfId="967"/>
    <cellStyle name="_Portfolio SPlan Base Case.xls Chart 1_Book2_Electric Rev Req Model (2009 GRC) Rebuttal 2" xfId="2544"/>
    <cellStyle name="_Portfolio SPlan Base Case.xls Chart 1_Book2_Electric Rev Req Model (2009 GRC) Rebuttal REmoval of New  WH Solar AdjustMI" xfId="968"/>
    <cellStyle name="_Portfolio SPlan Base Case.xls Chart 1_Book2_Electric Rev Req Model (2009 GRC) Rebuttal REmoval of New  WH Solar AdjustMI 2" xfId="2545"/>
    <cellStyle name="_Portfolio SPlan Base Case.xls Chart 1_Book2_Electric Rev Req Model (2009 GRC) Revised 01-18-2010" xfId="969"/>
    <cellStyle name="_Portfolio SPlan Base Case.xls Chart 1_Book2_Electric Rev Req Model (2009 GRC) Revised 01-18-2010 2" xfId="2546"/>
    <cellStyle name="_Portfolio SPlan Base Case.xls Chart 1_Book2_Final Order Electric EXHIBIT A-1" xfId="970"/>
    <cellStyle name="_Portfolio SPlan Base Case.xls Chart 1_Book2_Final Order Electric EXHIBIT A-1 2" xfId="2547"/>
    <cellStyle name="_Portfolio SPlan Base Case.xls Chart 1_Electric Rev Req Model (2009 GRC) " xfId="971"/>
    <cellStyle name="_Portfolio SPlan Base Case.xls Chart 1_Electric Rev Req Model (2009 GRC)  2" xfId="2548"/>
    <cellStyle name="_Portfolio SPlan Base Case.xls Chart 1_Electric Rev Req Model (2009 GRC) Rebuttal" xfId="972"/>
    <cellStyle name="_Portfolio SPlan Base Case.xls Chart 1_Electric Rev Req Model (2009 GRC) Rebuttal 2" xfId="2549"/>
    <cellStyle name="_Portfolio SPlan Base Case.xls Chart 1_Electric Rev Req Model (2009 GRC) Rebuttal REmoval of New  WH Solar AdjustMI" xfId="973"/>
    <cellStyle name="_Portfolio SPlan Base Case.xls Chart 1_Electric Rev Req Model (2009 GRC) Rebuttal REmoval of New  WH Solar AdjustMI 2" xfId="2550"/>
    <cellStyle name="_Portfolio SPlan Base Case.xls Chart 1_Electric Rev Req Model (2009 GRC) Revised 01-18-2010" xfId="974"/>
    <cellStyle name="_Portfolio SPlan Base Case.xls Chart 1_Electric Rev Req Model (2009 GRC) Revised 01-18-2010 2" xfId="2551"/>
    <cellStyle name="_Portfolio SPlan Base Case.xls Chart 1_Final Order Electric EXHIBIT A-1" xfId="975"/>
    <cellStyle name="_Portfolio SPlan Base Case.xls Chart 1_Final Order Electric EXHIBIT A-1 2" xfId="2552"/>
    <cellStyle name="_Portfolio SPlan Base Case.xls Chart 1_Rebuttal Power Costs" xfId="976"/>
    <cellStyle name="_Portfolio SPlan Base Case.xls Chart 1_Rebuttal Power Costs 2" xfId="2553"/>
    <cellStyle name="_Portfolio SPlan Base Case.xls Chart 1_Rebuttal Power Costs_Adj Bench DR 3 for Initial Briefs (Electric)" xfId="977"/>
    <cellStyle name="_Portfolio SPlan Base Case.xls Chart 1_Rebuttal Power Costs_Adj Bench DR 3 for Initial Briefs (Electric) 2" xfId="2554"/>
    <cellStyle name="_Portfolio SPlan Base Case.xls Chart 1_Rebuttal Power Costs_Electric Rev Req Model (2009 GRC) Rebuttal" xfId="978"/>
    <cellStyle name="_Portfolio SPlan Base Case.xls Chart 1_Rebuttal Power Costs_Electric Rev Req Model (2009 GRC) Rebuttal 2" xfId="2555"/>
    <cellStyle name="_Portfolio SPlan Base Case.xls Chart 1_Rebuttal Power Costs_Electric Rev Req Model (2009 GRC) Rebuttal REmoval of New  WH Solar AdjustMI" xfId="979"/>
    <cellStyle name="_Portfolio SPlan Base Case.xls Chart 1_Rebuttal Power Costs_Electric Rev Req Model (2009 GRC) Rebuttal REmoval of New  WH Solar AdjustMI 2" xfId="2556"/>
    <cellStyle name="_Portfolio SPlan Base Case.xls Chart 1_Rebuttal Power Costs_Electric Rev Req Model (2009 GRC) Revised 01-18-2010" xfId="980"/>
    <cellStyle name="_Portfolio SPlan Base Case.xls Chart 1_Rebuttal Power Costs_Electric Rev Req Model (2009 GRC) Revised 01-18-2010 2" xfId="2557"/>
    <cellStyle name="_Portfolio SPlan Base Case.xls Chart 1_Rebuttal Power Costs_Final Order Electric EXHIBIT A-1" xfId="981"/>
    <cellStyle name="_Portfolio SPlan Base Case.xls Chart 1_Rebuttal Power Costs_Final Order Electric EXHIBIT A-1 2" xfId="2558"/>
    <cellStyle name="_Portfolio SPlan Base Case.xls Chart 1_TENASKA REGULATORY ASSET" xfId="982"/>
    <cellStyle name="_Portfolio SPlan Base Case.xls Chart 1_TENASKA REGULATORY ASSET 2" xfId="2559"/>
    <cellStyle name="_Portfolio SPlan Base Case.xls Chart 2" xfId="104"/>
    <cellStyle name="_Portfolio SPlan Base Case.xls Chart 2 2" xfId="2560"/>
    <cellStyle name="_Portfolio SPlan Base Case.xls Chart 2_Adj Bench DR 3 for Initial Briefs (Electric)" xfId="983"/>
    <cellStyle name="_Portfolio SPlan Base Case.xls Chart 2_Adj Bench DR 3 for Initial Briefs (Electric) 2" xfId="2561"/>
    <cellStyle name="_Portfolio SPlan Base Case.xls Chart 2_Book2" xfId="984"/>
    <cellStyle name="_Portfolio SPlan Base Case.xls Chart 2_Book2 2" xfId="2562"/>
    <cellStyle name="_Portfolio SPlan Base Case.xls Chart 2_Book2_Adj Bench DR 3 for Initial Briefs (Electric)" xfId="985"/>
    <cellStyle name="_Portfolio SPlan Base Case.xls Chart 2_Book2_Adj Bench DR 3 for Initial Briefs (Electric) 2" xfId="2563"/>
    <cellStyle name="_Portfolio SPlan Base Case.xls Chart 2_Book2_Electric Rev Req Model (2009 GRC) Rebuttal" xfId="986"/>
    <cellStyle name="_Portfolio SPlan Base Case.xls Chart 2_Book2_Electric Rev Req Model (2009 GRC) Rebuttal 2" xfId="2564"/>
    <cellStyle name="_Portfolio SPlan Base Case.xls Chart 2_Book2_Electric Rev Req Model (2009 GRC) Rebuttal REmoval of New  WH Solar AdjustMI" xfId="987"/>
    <cellStyle name="_Portfolio SPlan Base Case.xls Chart 2_Book2_Electric Rev Req Model (2009 GRC) Rebuttal REmoval of New  WH Solar AdjustMI 2" xfId="2565"/>
    <cellStyle name="_Portfolio SPlan Base Case.xls Chart 2_Book2_Electric Rev Req Model (2009 GRC) Revised 01-18-2010" xfId="988"/>
    <cellStyle name="_Portfolio SPlan Base Case.xls Chart 2_Book2_Electric Rev Req Model (2009 GRC) Revised 01-18-2010 2" xfId="2566"/>
    <cellStyle name="_Portfolio SPlan Base Case.xls Chart 2_Book2_Final Order Electric EXHIBIT A-1" xfId="989"/>
    <cellStyle name="_Portfolio SPlan Base Case.xls Chart 2_Book2_Final Order Electric EXHIBIT A-1 2" xfId="2567"/>
    <cellStyle name="_Portfolio SPlan Base Case.xls Chart 2_Electric Rev Req Model (2009 GRC) " xfId="990"/>
    <cellStyle name="_Portfolio SPlan Base Case.xls Chart 2_Electric Rev Req Model (2009 GRC)  2" xfId="2568"/>
    <cellStyle name="_Portfolio SPlan Base Case.xls Chart 2_Electric Rev Req Model (2009 GRC) Rebuttal" xfId="991"/>
    <cellStyle name="_Portfolio SPlan Base Case.xls Chart 2_Electric Rev Req Model (2009 GRC) Rebuttal 2" xfId="2569"/>
    <cellStyle name="_Portfolio SPlan Base Case.xls Chart 2_Electric Rev Req Model (2009 GRC) Rebuttal REmoval of New  WH Solar AdjustMI" xfId="992"/>
    <cellStyle name="_Portfolio SPlan Base Case.xls Chart 2_Electric Rev Req Model (2009 GRC) Rebuttal REmoval of New  WH Solar AdjustMI 2" xfId="2570"/>
    <cellStyle name="_Portfolio SPlan Base Case.xls Chart 2_Electric Rev Req Model (2009 GRC) Revised 01-18-2010" xfId="993"/>
    <cellStyle name="_Portfolio SPlan Base Case.xls Chart 2_Electric Rev Req Model (2009 GRC) Revised 01-18-2010 2" xfId="2571"/>
    <cellStyle name="_Portfolio SPlan Base Case.xls Chart 2_Final Order Electric EXHIBIT A-1" xfId="994"/>
    <cellStyle name="_Portfolio SPlan Base Case.xls Chart 2_Final Order Electric EXHIBIT A-1 2" xfId="2572"/>
    <cellStyle name="_Portfolio SPlan Base Case.xls Chart 2_Rebuttal Power Costs" xfId="995"/>
    <cellStyle name="_Portfolio SPlan Base Case.xls Chart 2_Rebuttal Power Costs 2" xfId="2573"/>
    <cellStyle name="_Portfolio SPlan Base Case.xls Chart 2_Rebuttal Power Costs_Adj Bench DR 3 for Initial Briefs (Electric)" xfId="996"/>
    <cellStyle name="_Portfolio SPlan Base Case.xls Chart 2_Rebuttal Power Costs_Adj Bench DR 3 for Initial Briefs (Electric) 2" xfId="2574"/>
    <cellStyle name="_Portfolio SPlan Base Case.xls Chart 2_Rebuttal Power Costs_Electric Rev Req Model (2009 GRC) Rebuttal" xfId="997"/>
    <cellStyle name="_Portfolio SPlan Base Case.xls Chart 2_Rebuttal Power Costs_Electric Rev Req Model (2009 GRC) Rebuttal 2" xfId="2575"/>
    <cellStyle name="_Portfolio SPlan Base Case.xls Chart 2_Rebuttal Power Costs_Electric Rev Req Model (2009 GRC) Rebuttal REmoval of New  WH Solar AdjustMI" xfId="998"/>
    <cellStyle name="_Portfolio SPlan Base Case.xls Chart 2_Rebuttal Power Costs_Electric Rev Req Model (2009 GRC) Rebuttal REmoval of New  WH Solar AdjustMI 2" xfId="2576"/>
    <cellStyle name="_Portfolio SPlan Base Case.xls Chart 2_Rebuttal Power Costs_Electric Rev Req Model (2009 GRC) Revised 01-18-2010" xfId="999"/>
    <cellStyle name="_Portfolio SPlan Base Case.xls Chart 2_Rebuttal Power Costs_Electric Rev Req Model (2009 GRC) Revised 01-18-2010 2" xfId="2577"/>
    <cellStyle name="_Portfolio SPlan Base Case.xls Chart 2_Rebuttal Power Costs_Final Order Electric EXHIBIT A-1" xfId="1000"/>
    <cellStyle name="_Portfolio SPlan Base Case.xls Chart 2_Rebuttal Power Costs_Final Order Electric EXHIBIT A-1 2" xfId="2578"/>
    <cellStyle name="_Portfolio SPlan Base Case.xls Chart 2_TENASKA REGULATORY ASSET" xfId="1001"/>
    <cellStyle name="_Portfolio SPlan Base Case.xls Chart 2_TENASKA REGULATORY ASSET 2" xfId="2579"/>
    <cellStyle name="_Portfolio SPlan Base Case.xls Chart 3" xfId="105"/>
    <cellStyle name="_Portfolio SPlan Base Case.xls Chart 3 2" xfId="2580"/>
    <cellStyle name="_Portfolio SPlan Base Case.xls Chart 3_Adj Bench DR 3 for Initial Briefs (Electric)" xfId="1002"/>
    <cellStyle name="_Portfolio SPlan Base Case.xls Chart 3_Adj Bench DR 3 for Initial Briefs (Electric) 2" xfId="2581"/>
    <cellStyle name="_Portfolio SPlan Base Case.xls Chart 3_Book2" xfId="1003"/>
    <cellStyle name="_Portfolio SPlan Base Case.xls Chart 3_Book2 2" xfId="2582"/>
    <cellStyle name="_Portfolio SPlan Base Case.xls Chart 3_Book2_Adj Bench DR 3 for Initial Briefs (Electric)" xfId="1004"/>
    <cellStyle name="_Portfolio SPlan Base Case.xls Chart 3_Book2_Adj Bench DR 3 for Initial Briefs (Electric) 2" xfId="2583"/>
    <cellStyle name="_Portfolio SPlan Base Case.xls Chart 3_Book2_Electric Rev Req Model (2009 GRC) Rebuttal" xfId="1005"/>
    <cellStyle name="_Portfolio SPlan Base Case.xls Chart 3_Book2_Electric Rev Req Model (2009 GRC) Rebuttal 2" xfId="2584"/>
    <cellStyle name="_Portfolio SPlan Base Case.xls Chart 3_Book2_Electric Rev Req Model (2009 GRC) Rebuttal REmoval of New  WH Solar AdjustMI" xfId="1006"/>
    <cellStyle name="_Portfolio SPlan Base Case.xls Chart 3_Book2_Electric Rev Req Model (2009 GRC) Rebuttal REmoval of New  WH Solar AdjustMI 2" xfId="2585"/>
    <cellStyle name="_Portfolio SPlan Base Case.xls Chart 3_Book2_Electric Rev Req Model (2009 GRC) Revised 01-18-2010" xfId="1007"/>
    <cellStyle name="_Portfolio SPlan Base Case.xls Chart 3_Book2_Electric Rev Req Model (2009 GRC) Revised 01-18-2010 2" xfId="2586"/>
    <cellStyle name="_Portfolio SPlan Base Case.xls Chart 3_Book2_Final Order Electric EXHIBIT A-1" xfId="1008"/>
    <cellStyle name="_Portfolio SPlan Base Case.xls Chart 3_Book2_Final Order Electric EXHIBIT A-1 2" xfId="2587"/>
    <cellStyle name="_Portfolio SPlan Base Case.xls Chart 3_Electric Rev Req Model (2009 GRC) " xfId="1009"/>
    <cellStyle name="_Portfolio SPlan Base Case.xls Chart 3_Electric Rev Req Model (2009 GRC)  2" xfId="2588"/>
    <cellStyle name="_Portfolio SPlan Base Case.xls Chart 3_Electric Rev Req Model (2009 GRC) Rebuttal" xfId="1010"/>
    <cellStyle name="_Portfolio SPlan Base Case.xls Chart 3_Electric Rev Req Model (2009 GRC) Rebuttal 2" xfId="2589"/>
    <cellStyle name="_Portfolio SPlan Base Case.xls Chart 3_Electric Rev Req Model (2009 GRC) Rebuttal REmoval of New  WH Solar AdjustMI" xfId="1011"/>
    <cellStyle name="_Portfolio SPlan Base Case.xls Chart 3_Electric Rev Req Model (2009 GRC) Rebuttal REmoval of New  WH Solar AdjustMI 2" xfId="2590"/>
    <cellStyle name="_Portfolio SPlan Base Case.xls Chart 3_Electric Rev Req Model (2009 GRC) Revised 01-18-2010" xfId="1012"/>
    <cellStyle name="_Portfolio SPlan Base Case.xls Chart 3_Electric Rev Req Model (2009 GRC) Revised 01-18-2010 2" xfId="2591"/>
    <cellStyle name="_Portfolio SPlan Base Case.xls Chart 3_Final Order Electric EXHIBIT A-1" xfId="1013"/>
    <cellStyle name="_Portfolio SPlan Base Case.xls Chart 3_Final Order Electric EXHIBIT A-1 2" xfId="2592"/>
    <cellStyle name="_Portfolio SPlan Base Case.xls Chart 3_Rebuttal Power Costs" xfId="1014"/>
    <cellStyle name="_Portfolio SPlan Base Case.xls Chart 3_Rebuttal Power Costs 2" xfId="2593"/>
    <cellStyle name="_Portfolio SPlan Base Case.xls Chart 3_Rebuttal Power Costs_Adj Bench DR 3 for Initial Briefs (Electric)" xfId="1015"/>
    <cellStyle name="_Portfolio SPlan Base Case.xls Chart 3_Rebuttal Power Costs_Adj Bench DR 3 for Initial Briefs (Electric) 2" xfId="2594"/>
    <cellStyle name="_Portfolio SPlan Base Case.xls Chart 3_Rebuttal Power Costs_Electric Rev Req Model (2009 GRC) Rebuttal" xfId="1016"/>
    <cellStyle name="_Portfolio SPlan Base Case.xls Chart 3_Rebuttal Power Costs_Electric Rev Req Model (2009 GRC) Rebuttal 2" xfId="2595"/>
    <cellStyle name="_Portfolio SPlan Base Case.xls Chart 3_Rebuttal Power Costs_Electric Rev Req Model (2009 GRC) Rebuttal REmoval of New  WH Solar AdjustMI" xfId="1017"/>
    <cellStyle name="_Portfolio SPlan Base Case.xls Chart 3_Rebuttal Power Costs_Electric Rev Req Model (2009 GRC) Rebuttal REmoval of New  WH Solar AdjustMI 2" xfId="2596"/>
    <cellStyle name="_Portfolio SPlan Base Case.xls Chart 3_Rebuttal Power Costs_Electric Rev Req Model (2009 GRC) Revised 01-18-2010" xfId="1018"/>
    <cellStyle name="_Portfolio SPlan Base Case.xls Chart 3_Rebuttal Power Costs_Electric Rev Req Model (2009 GRC) Revised 01-18-2010 2" xfId="2597"/>
    <cellStyle name="_Portfolio SPlan Base Case.xls Chart 3_Rebuttal Power Costs_Final Order Electric EXHIBIT A-1" xfId="1019"/>
    <cellStyle name="_Portfolio SPlan Base Case.xls Chart 3_Rebuttal Power Costs_Final Order Electric EXHIBIT A-1 2" xfId="2598"/>
    <cellStyle name="_Portfolio SPlan Base Case.xls Chart 3_TENASKA REGULATORY ASSET" xfId="1020"/>
    <cellStyle name="_Portfolio SPlan Base Case.xls Chart 3_TENASKA REGULATORY ASSET 2" xfId="2599"/>
    <cellStyle name="_Power Cost Value Copy 11.30.05 gas 1.09.06 AURORA at 1.10.06" xfId="106"/>
    <cellStyle name="_Power Cost Value Copy 11.30.05 gas 1.09.06 AURORA at 1.10.06 2" xfId="1022"/>
    <cellStyle name="_Power Cost Value Copy 11.30.05 gas 1.09.06 AURORA at 1.10.06 2 2" xfId="2600"/>
    <cellStyle name="_Power Cost Value Copy 11.30.05 gas 1.09.06 AURORA at 1.10.06 3" xfId="1021"/>
    <cellStyle name="_Power Cost Value Copy 11.30.05 gas 1.09.06 AURORA at 1.10.06_04 07E Wild Horse Wind Expansion (C) (2)" xfId="107"/>
    <cellStyle name="_Power Cost Value Copy 11.30.05 gas 1.09.06 AURORA at 1.10.06_04 07E Wild Horse Wind Expansion (C) (2) 2" xfId="2601"/>
    <cellStyle name="_Power Cost Value Copy 11.30.05 gas 1.09.06 AURORA at 1.10.06_04 07E Wild Horse Wind Expansion (C) (2)_Adj Bench DR 3 for Initial Briefs (Electric)" xfId="1023"/>
    <cellStyle name="_Power Cost Value Copy 11.30.05 gas 1.09.06 AURORA at 1.10.06_04 07E Wild Horse Wind Expansion (C) (2)_Adj Bench DR 3 for Initial Briefs (Electric) 2" xfId="2602"/>
    <cellStyle name="_Power Cost Value Copy 11.30.05 gas 1.09.06 AURORA at 1.10.06_04 07E Wild Horse Wind Expansion (C) (2)_Electric Rev Req Model (2009 GRC) " xfId="1024"/>
    <cellStyle name="_Power Cost Value Copy 11.30.05 gas 1.09.06 AURORA at 1.10.06_04 07E Wild Horse Wind Expansion (C) (2)_Electric Rev Req Model (2009 GRC)  2" xfId="2603"/>
    <cellStyle name="_Power Cost Value Copy 11.30.05 gas 1.09.06 AURORA at 1.10.06_04 07E Wild Horse Wind Expansion (C) (2)_Electric Rev Req Model (2009 GRC) Rebuttal" xfId="1025"/>
    <cellStyle name="_Power Cost Value Copy 11.30.05 gas 1.09.06 AURORA at 1.10.06_04 07E Wild Horse Wind Expansion (C) (2)_Electric Rev Req Model (2009 GRC) Rebuttal 2" xfId="2604"/>
    <cellStyle name="_Power Cost Value Copy 11.30.05 gas 1.09.06 AURORA at 1.10.06_04 07E Wild Horse Wind Expansion (C) (2)_Electric Rev Req Model (2009 GRC) Rebuttal REmoval of New  WH Solar AdjustMI" xfId="1026"/>
    <cellStyle name="_Power Cost Value Copy 11.30.05 gas 1.09.06 AURORA at 1.10.06_04 07E Wild Horse Wind Expansion (C) (2)_Electric Rev Req Model (2009 GRC) Rebuttal REmoval of New  WH Solar AdjustMI 2" xfId="2605"/>
    <cellStyle name="_Power Cost Value Copy 11.30.05 gas 1.09.06 AURORA at 1.10.06_04 07E Wild Horse Wind Expansion (C) (2)_Electric Rev Req Model (2009 GRC) Revised 01-18-2010" xfId="1027"/>
    <cellStyle name="_Power Cost Value Copy 11.30.05 gas 1.09.06 AURORA at 1.10.06_04 07E Wild Horse Wind Expansion (C) (2)_Electric Rev Req Model (2009 GRC) Revised 01-18-2010 2" xfId="2606"/>
    <cellStyle name="_Power Cost Value Copy 11.30.05 gas 1.09.06 AURORA at 1.10.06_04 07E Wild Horse Wind Expansion (C) (2)_Final Order Electric EXHIBIT A-1" xfId="1028"/>
    <cellStyle name="_Power Cost Value Copy 11.30.05 gas 1.09.06 AURORA at 1.10.06_04 07E Wild Horse Wind Expansion (C) (2)_Final Order Electric EXHIBIT A-1 2" xfId="2607"/>
    <cellStyle name="_Power Cost Value Copy 11.30.05 gas 1.09.06 AURORA at 1.10.06_04 07E Wild Horse Wind Expansion (C) (2)_TENASKA REGULATORY ASSET" xfId="1029"/>
    <cellStyle name="_Power Cost Value Copy 11.30.05 gas 1.09.06 AURORA at 1.10.06_04 07E Wild Horse Wind Expansion (C) (2)_TENASKA REGULATORY ASSET 2" xfId="2608"/>
    <cellStyle name="_Power Cost Value Copy 11.30.05 gas 1.09.06 AURORA at 1.10.06_16.37E Wild Horse Expansion DeferralRevwrkingfile SF" xfId="1030"/>
    <cellStyle name="_Power Cost Value Copy 11.30.05 gas 1.09.06 AURORA at 1.10.06_16.37E Wild Horse Expansion DeferralRevwrkingfile SF 2" xfId="2609"/>
    <cellStyle name="_Power Cost Value Copy 11.30.05 gas 1.09.06 AURORA at 1.10.06_4 31 Regulatory Assets and Liabilities  7 06- Exhibit D" xfId="1031"/>
    <cellStyle name="_Power Cost Value Copy 11.30.05 gas 1.09.06 AURORA at 1.10.06_4 31 Regulatory Assets and Liabilities  7 06- Exhibit D 2" xfId="2610"/>
    <cellStyle name="_Power Cost Value Copy 11.30.05 gas 1.09.06 AURORA at 1.10.06_4 32 Regulatory Assets and Liabilities  7 06- Exhibit D" xfId="1032"/>
    <cellStyle name="_Power Cost Value Copy 11.30.05 gas 1.09.06 AURORA at 1.10.06_4 32 Regulatory Assets and Liabilities  7 06- Exhibit D 2" xfId="2611"/>
    <cellStyle name="_Power Cost Value Copy 11.30.05 gas 1.09.06 AURORA at 1.10.06_Book2" xfId="1033"/>
    <cellStyle name="_Power Cost Value Copy 11.30.05 gas 1.09.06 AURORA at 1.10.06_Book2 2" xfId="2612"/>
    <cellStyle name="_Power Cost Value Copy 11.30.05 gas 1.09.06 AURORA at 1.10.06_Book2_Adj Bench DR 3 for Initial Briefs (Electric)" xfId="1034"/>
    <cellStyle name="_Power Cost Value Copy 11.30.05 gas 1.09.06 AURORA at 1.10.06_Book2_Adj Bench DR 3 for Initial Briefs (Electric) 2" xfId="2613"/>
    <cellStyle name="_Power Cost Value Copy 11.30.05 gas 1.09.06 AURORA at 1.10.06_Book2_Electric Rev Req Model (2009 GRC) Rebuttal" xfId="1035"/>
    <cellStyle name="_Power Cost Value Copy 11.30.05 gas 1.09.06 AURORA at 1.10.06_Book2_Electric Rev Req Model (2009 GRC) Rebuttal 2" xfId="2614"/>
    <cellStyle name="_Power Cost Value Copy 11.30.05 gas 1.09.06 AURORA at 1.10.06_Book2_Electric Rev Req Model (2009 GRC) Rebuttal REmoval of New  WH Solar AdjustMI" xfId="1036"/>
    <cellStyle name="_Power Cost Value Copy 11.30.05 gas 1.09.06 AURORA at 1.10.06_Book2_Electric Rev Req Model (2009 GRC) Rebuttal REmoval of New  WH Solar AdjustMI 2" xfId="2615"/>
    <cellStyle name="_Power Cost Value Copy 11.30.05 gas 1.09.06 AURORA at 1.10.06_Book2_Electric Rev Req Model (2009 GRC) Revised 01-18-2010" xfId="1037"/>
    <cellStyle name="_Power Cost Value Copy 11.30.05 gas 1.09.06 AURORA at 1.10.06_Book2_Electric Rev Req Model (2009 GRC) Revised 01-18-2010 2" xfId="2616"/>
    <cellStyle name="_Power Cost Value Copy 11.30.05 gas 1.09.06 AURORA at 1.10.06_Book2_Final Order Electric EXHIBIT A-1" xfId="1038"/>
    <cellStyle name="_Power Cost Value Copy 11.30.05 gas 1.09.06 AURORA at 1.10.06_Book2_Final Order Electric EXHIBIT A-1 2" xfId="2617"/>
    <cellStyle name="_Power Cost Value Copy 11.30.05 gas 1.09.06 AURORA at 1.10.06_Book4" xfId="1039"/>
    <cellStyle name="_Power Cost Value Copy 11.30.05 gas 1.09.06 AURORA at 1.10.06_Book4 2" xfId="2618"/>
    <cellStyle name="_Power Cost Value Copy 11.30.05 gas 1.09.06 AURORA at 1.10.06_Book9" xfId="1040"/>
    <cellStyle name="_Power Cost Value Copy 11.30.05 gas 1.09.06 AURORA at 1.10.06_Book9 2" xfId="2619"/>
    <cellStyle name="_Power Cost Value Copy 11.30.05 gas 1.09.06 AURORA at 1.10.06_Direct Assignment Distribution Plant 2008" xfId="108"/>
    <cellStyle name="_Power Cost Value Copy 11.30.05 gas 1.09.06 AURORA at 1.10.06_Direct Assignment Distribution Plant 2008 2" xfId="1619"/>
    <cellStyle name="_Power Cost Value Copy 11.30.05 gas 1.09.06 AURORA at 1.10.06_Direct Assignment Distribution Plant 2008 2 2" xfId="2621"/>
    <cellStyle name="_Power Cost Value Copy 11.30.05 gas 1.09.06 AURORA at 1.10.06_Direct Assignment Distribution Plant 2008 2 3" xfId="2622"/>
    <cellStyle name="_Power Cost Value Copy 11.30.05 gas 1.09.06 AURORA at 1.10.06_Direct Assignment Distribution Plant 2008 2 4" xfId="2620"/>
    <cellStyle name="_Power Cost Value Copy 11.30.05 gas 1.09.06 AURORA at 1.10.06_Direct Assignment Distribution Plant 2008 3" xfId="2623"/>
    <cellStyle name="_Power Cost Value Copy 11.30.05 gas 1.09.06 AURORA at 1.10.06_Direct Assignment Distribution Plant 2008 4" xfId="2624"/>
    <cellStyle name="_Power Cost Value Copy 11.30.05 gas 1.09.06 AURORA at 1.10.06_Electric COS Inputs" xfId="109"/>
    <cellStyle name="_Power Cost Value Copy 11.30.05 gas 1.09.06 AURORA at 1.10.06_Electric COS Inputs 2" xfId="1620"/>
    <cellStyle name="_Power Cost Value Copy 11.30.05 gas 1.09.06 AURORA at 1.10.06_Electric COS Inputs 2 2" xfId="2626"/>
    <cellStyle name="_Power Cost Value Copy 11.30.05 gas 1.09.06 AURORA at 1.10.06_Electric COS Inputs 2 3" xfId="2627"/>
    <cellStyle name="_Power Cost Value Copy 11.30.05 gas 1.09.06 AURORA at 1.10.06_Electric COS Inputs 2 4" xfId="2625"/>
    <cellStyle name="_Power Cost Value Copy 11.30.05 gas 1.09.06 AURORA at 1.10.06_Electric COS Inputs 3" xfId="2628"/>
    <cellStyle name="_Power Cost Value Copy 11.30.05 gas 1.09.06 AURORA at 1.10.06_Electric COS Inputs 4" xfId="2629"/>
    <cellStyle name="_Power Cost Value Copy 11.30.05 gas 1.09.06 AURORA at 1.10.06_Electric Rate Spread and Rate Design 3.23.09" xfId="110"/>
    <cellStyle name="_Power Cost Value Copy 11.30.05 gas 1.09.06 AURORA at 1.10.06_Electric Rate Spread and Rate Design 3.23.09 2" xfId="1621"/>
    <cellStyle name="_Power Cost Value Copy 11.30.05 gas 1.09.06 AURORA at 1.10.06_Electric Rate Spread and Rate Design 3.23.09 2 2" xfId="2631"/>
    <cellStyle name="_Power Cost Value Copy 11.30.05 gas 1.09.06 AURORA at 1.10.06_Electric Rate Spread and Rate Design 3.23.09 2 3" xfId="2632"/>
    <cellStyle name="_Power Cost Value Copy 11.30.05 gas 1.09.06 AURORA at 1.10.06_Electric Rate Spread and Rate Design 3.23.09 2 4" xfId="2630"/>
    <cellStyle name="_Power Cost Value Copy 11.30.05 gas 1.09.06 AURORA at 1.10.06_Electric Rate Spread and Rate Design 3.23.09 3" xfId="2633"/>
    <cellStyle name="_Power Cost Value Copy 11.30.05 gas 1.09.06 AURORA at 1.10.06_Electric Rate Spread and Rate Design 3.23.09 4" xfId="2634"/>
    <cellStyle name="_Power Cost Value Copy 11.30.05 gas 1.09.06 AURORA at 1.10.06_INPUTS" xfId="111"/>
    <cellStyle name="_Power Cost Value Copy 11.30.05 gas 1.09.06 AURORA at 1.10.06_INPUTS 2" xfId="1622"/>
    <cellStyle name="_Power Cost Value Copy 11.30.05 gas 1.09.06 AURORA at 1.10.06_INPUTS 2 2" xfId="2636"/>
    <cellStyle name="_Power Cost Value Copy 11.30.05 gas 1.09.06 AURORA at 1.10.06_INPUTS 2 3" xfId="2637"/>
    <cellStyle name="_Power Cost Value Copy 11.30.05 gas 1.09.06 AURORA at 1.10.06_INPUTS 2 4" xfId="2635"/>
    <cellStyle name="_Power Cost Value Copy 11.30.05 gas 1.09.06 AURORA at 1.10.06_INPUTS 3" xfId="2638"/>
    <cellStyle name="_Power Cost Value Copy 11.30.05 gas 1.09.06 AURORA at 1.10.06_INPUTS 4" xfId="2639"/>
    <cellStyle name="_Power Cost Value Copy 11.30.05 gas 1.09.06 AURORA at 1.10.06_Leased Transformer &amp; Substation Plant &amp; Rev 12-2009" xfId="112"/>
    <cellStyle name="_Power Cost Value Copy 11.30.05 gas 1.09.06 AURORA at 1.10.06_Leased Transformer &amp; Substation Plant &amp; Rev 12-2009 2" xfId="1623"/>
    <cellStyle name="_Power Cost Value Copy 11.30.05 gas 1.09.06 AURORA at 1.10.06_Leased Transformer &amp; Substation Plant &amp; Rev 12-2009 2 2" xfId="2641"/>
    <cellStyle name="_Power Cost Value Copy 11.30.05 gas 1.09.06 AURORA at 1.10.06_Leased Transformer &amp; Substation Plant &amp; Rev 12-2009 2 3" xfId="2642"/>
    <cellStyle name="_Power Cost Value Copy 11.30.05 gas 1.09.06 AURORA at 1.10.06_Leased Transformer &amp; Substation Plant &amp; Rev 12-2009 2 4" xfId="2640"/>
    <cellStyle name="_Power Cost Value Copy 11.30.05 gas 1.09.06 AURORA at 1.10.06_Leased Transformer &amp; Substation Plant &amp; Rev 12-2009 3" xfId="2643"/>
    <cellStyle name="_Power Cost Value Copy 11.30.05 gas 1.09.06 AURORA at 1.10.06_Leased Transformer &amp; Substation Plant &amp; Rev 12-2009 4" xfId="2644"/>
    <cellStyle name="_Power Cost Value Copy 11.30.05 gas 1.09.06 AURORA at 1.10.06_Power Costs - Comparison bx Rbtl-Staff-Jt-PC" xfId="1041"/>
    <cellStyle name="_Power Cost Value Copy 11.30.05 gas 1.09.06 AURORA at 1.10.06_Power Costs - Comparison bx Rbtl-Staff-Jt-PC 2" xfId="2645"/>
    <cellStyle name="_Power Cost Value Copy 11.30.05 gas 1.09.06 AURORA at 1.10.06_Power Costs - Comparison bx Rbtl-Staff-Jt-PC_Adj Bench DR 3 for Initial Briefs (Electric)" xfId="1042"/>
    <cellStyle name="_Power Cost Value Copy 11.30.05 gas 1.09.06 AURORA at 1.10.06_Power Costs - Comparison bx Rbtl-Staff-Jt-PC_Adj Bench DR 3 for Initial Briefs (Electric) 2" xfId="2646"/>
    <cellStyle name="_Power Cost Value Copy 11.30.05 gas 1.09.06 AURORA at 1.10.06_Power Costs - Comparison bx Rbtl-Staff-Jt-PC_Electric Rev Req Model (2009 GRC) Rebuttal" xfId="1043"/>
    <cellStyle name="_Power Cost Value Copy 11.30.05 gas 1.09.06 AURORA at 1.10.06_Power Costs - Comparison bx Rbtl-Staff-Jt-PC_Electric Rev Req Model (2009 GRC) Rebuttal 2" xfId="2647"/>
    <cellStyle name="_Power Cost Value Copy 11.30.05 gas 1.09.06 AURORA at 1.10.06_Power Costs - Comparison bx Rbtl-Staff-Jt-PC_Electric Rev Req Model (2009 GRC) Rebuttal REmoval of New  WH Solar AdjustMI" xfId="1044"/>
    <cellStyle name="_Power Cost Value Copy 11.30.05 gas 1.09.06 AURORA at 1.10.06_Power Costs - Comparison bx Rbtl-Staff-Jt-PC_Electric Rev Req Model (2009 GRC) Rebuttal REmoval of New  WH Solar AdjustMI 2" xfId="2648"/>
    <cellStyle name="_Power Cost Value Copy 11.30.05 gas 1.09.06 AURORA at 1.10.06_Power Costs - Comparison bx Rbtl-Staff-Jt-PC_Electric Rev Req Model (2009 GRC) Revised 01-18-2010" xfId="1045"/>
    <cellStyle name="_Power Cost Value Copy 11.30.05 gas 1.09.06 AURORA at 1.10.06_Power Costs - Comparison bx Rbtl-Staff-Jt-PC_Electric Rev Req Model (2009 GRC) Revised 01-18-2010 2" xfId="2649"/>
    <cellStyle name="_Power Cost Value Copy 11.30.05 gas 1.09.06 AURORA at 1.10.06_Power Costs - Comparison bx Rbtl-Staff-Jt-PC_Final Order Electric EXHIBIT A-1" xfId="1046"/>
    <cellStyle name="_Power Cost Value Copy 11.30.05 gas 1.09.06 AURORA at 1.10.06_Power Costs - Comparison bx Rbtl-Staff-Jt-PC_Final Order Electric EXHIBIT A-1 2" xfId="2650"/>
    <cellStyle name="_Power Cost Value Copy 11.30.05 gas 1.09.06 AURORA at 1.10.06_Production Adj 4.37" xfId="113"/>
    <cellStyle name="_Power Cost Value Copy 11.30.05 gas 1.09.06 AURORA at 1.10.06_Production Adj 4.37 2" xfId="2651"/>
    <cellStyle name="_Power Cost Value Copy 11.30.05 gas 1.09.06 AURORA at 1.10.06_Purchased Power Adj 4.03" xfId="114"/>
    <cellStyle name="_Power Cost Value Copy 11.30.05 gas 1.09.06 AURORA at 1.10.06_Purchased Power Adj 4.03 2" xfId="2652"/>
    <cellStyle name="_Power Cost Value Copy 11.30.05 gas 1.09.06 AURORA at 1.10.06_Rate Design Sch 24" xfId="115"/>
    <cellStyle name="_Power Cost Value Copy 11.30.05 gas 1.09.06 AURORA at 1.10.06_Rate Design Sch 25" xfId="116"/>
    <cellStyle name="_Power Cost Value Copy 11.30.05 gas 1.09.06 AURORA at 1.10.06_Rate Design Sch 25 2" xfId="2653"/>
    <cellStyle name="_Power Cost Value Copy 11.30.05 gas 1.09.06 AURORA at 1.10.06_Rate Design Sch 26" xfId="117"/>
    <cellStyle name="_Power Cost Value Copy 11.30.05 gas 1.09.06 AURORA at 1.10.06_Rate Design Sch 26 2" xfId="2654"/>
    <cellStyle name="_Power Cost Value Copy 11.30.05 gas 1.09.06 AURORA at 1.10.06_Rate Design Sch 31" xfId="118"/>
    <cellStyle name="_Power Cost Value Copy 11.30.05 gas 1.09.06 AURORA at 1.10.06_Rate Design Sch 31 2" xfId="2655"/>
    <cellStyle name="_Power Cost Value Copy 11.30.05 gas 1.09.06 AURORA at 1.10.06_Rate Design Sch 43" xfId="119"/>
    <cellStyle name="_Power Cost Value Copy 11.30.05 gas 1.09.06 AURORA at 1.10.06_Rate Design Sch 43 2" xfId="2656"/>
    <cellStyle name="_Power Cost Value Copy 11.30.05 gas 1.09.06 AURORA at 1.10.06_Rate Design Sch 448-449" xfId="120"/>
    <cellStyle name="_Power Cost Value Copy 11.30.05 gas 1.09.06 AURORA at 1.10.06_Rate Design Sch 46" xfId="121"/>
    <cellStyle name="_Power Cost Value Copy 11.30.05 gas 1.09.06 AURORA at 1.10.06_Rate Design Sch 46 2" xfId="2657"/>
    <cellStyle name="_Power Cost Value Copy 11.30.05 gas 1.09.06 AURORA at 1.10.06_Rate Spread" xfId="122"/>
    <cellStyle name="_Power Cost Value Copy 11.30.05 gas 1.09.06 AURORA at 1.10.06_Rate Spread 2" xfId="2658"/>
    <cellStyle name="_Power Cost Value Copy 11.30.05 gas 1.09.06 AURORA at 1.10.06_Rebuttal Power Costs" xfId="1047"/>
    <cellStyle name="_Power Cost Value Copy 11.30.05 gas 1.09.06 AURORA at 1.10.06_Rebuttal Power Costs 2" xfId="2659"/>
    <cellStyle name="_Power Cost Value Copy 11.30.05 gas 1.09.06 AURORA at 1.10.06_Rebuttal Power Costs_Adj Bench DR 3 for Initial Briefs (Electric)" xfId="1048"/>
    <cellStyle name="_Power Cost Value Copy 11.30.05 gas 1.09.06 AURORA at 1.10.06_Rebuttal Power Costs_Adj Bench DR 3 for Initial Briefs (Electric) 2" xfId="2660"/>
    <cellStyle name="_Power Cost Value Copy 11.30.05 gas 1.09.06 AURORA at 1.10.06_Rebuttal Power Costs_Electric Rev Req Model (2009 GRC) Rebuttal" xfId="1049"/>
    <cellStyle name="_Power Cost Value Copy 11.30.05 gas 1.09.06 AURORA at 1.10.06_Rebuttal Power Costs_Electric Rev Req Model (2009 GRC) Rebuttal 2" xfId="2661"/>
    <cellStyle name="_Power Cost Value Copy 11.30.05 gas 1.09.06 AURORA at 1.10.06_Rebuttal Power Costs_Electric Rev Req Model (2009 GRC) Rebuttal REmoval of New  WH Solar AdjustMI" xfId="1050"/>
    <cellStyle name="_Power Cost Value Copy 11.30.05 gas 1.09.06 AURORA at 1.10.06_Rebuttal Power Costs_Electric Rev Req Model (2009 GRC) Rebuttal REmoval of New  WH Solar AdjustMI 2" xfId="2662"/>
    <cellStyle name="_Power Cost Value Copy 11.30.05 gas 1.09.06 AURORA at 1.10.06_Rebuttal Power Costs_Electric Rev Req Model (2009 GRC) Revised 01-18-2010" xfId="1051"/>
    <cellStyle name="_Power Cost Value Copy 11.30.05 gas 1.09.06 AURORA at 1.10.06_Rebuttal Power Costs_Electric Rev Req Model (2009 GRC) Revised 01-18-2010 2" xfId="2663"/>
    <cellStyle name="_Power Cost Value Copy 11.30.05 gas 1.09.06 AURORA at 1.10.06_Rebuttal Power Costs_Final Order Electric EXHIBIT A-1" xfId="1052"/>
    <cellStyle name="_Power Cost Value Copy 11.30.05 gas 1.09.06 AURORA at 1.10.06_Rebuttal Power Costs_Final Order Electric EXHIBIT A-1 2" xfId="2664"/>
    <cellStyle name="_Power Cost Value Copy 11.30.05 gas 1.09.06 AURORA at 1.10.06_ROR 5.02" xfId="123"/>
    <cellStyle name="_Power Cost Value Copy 11.30.05 gas 1.09.06 AURORA at 1.10.06_ROR 5.02 2" xfId="2665"/>
    <cellStyle name="_Power Cost Value Copy 11.30.05 gas 1.09.06 AURORA at 1.10.06_Sch 40 Feeder OH 2008" xfId="1624"/>
    <cellStyle name="_Power Cost Value Copy 11.30.05 gas 1.09.06 AURORA at 1.10.06_Sch 40 Feeder OH 2008 2" xfId="2666"/>
    <cellStyle name="_Power Cost Value Copy 11.30.05 gas 1.09.06 AURORA at 1.10.06_Sch 40 Interim Energy Rates " xfId="1625"/>
    <cellStyle name="_Power Cost Value Copy 11.30.05 gas 1.09.06 AURORA at 1.10.06_Sch 40 Interim Energy Rates  2" xfId="2667"/>
    <cellStyle name="_Power Cost Value Copy 11.30.05 gas 1.09.06 AURORA at 1.10.06_Sch 40 Substation A&amp;G 2008" xfId="1626"/>
    <cellStyle name="_Power Cost Value Copy 11.30.05 gas 1.09.06 AURORA at 1.10.06_Sch 40 Substation A&amp;G 2008 2" xfId="2668"/>
    <cellStyle name="_Power Cost Value Copy 11.30.05 gas 1.09.06 AURORA at 1.10.06_Sch 40 Substation O&amp;M 2008" xfId="1627"/>
    <cellStyle name="_Power Cost Value Copy 11.30.05 gas 1.09.06 AURORA at 1.10.06_Sch 40 Substation O&amp;M 2008 2" xfId="2669"/>
    <cellStyle name="_Power Cost Value Copy 11.30.05 gas 1.09.06 AURORA at 1.10.06_Subs 2008" xfId="1628"/>
    <cellStyle name="_Power Cost Value Copy 11.30.05 gas 1.09.06 AURORA at 1.10.06_Subs 2008 2" xfId="2670"/>
    <cellStyle name="_x0013__Rebuttal Power Costs" xfId="1053"/>
    <cellStyle name="_x0013__Rebuttal Power Costs 2" xfId="2671"/>
    <cellStyle name="_x0013__Rebuttal Power Costs_Adj Bench DR 3 for Initial Briefs (Electric)" xfId="1054"/>
    <cellStyle name="_x0013__Rebuttal Power Costs_Adj Bench DR 3 for Initial Briefs (Electric) 2" xfId="2672"/>
    <cellStyle name="_x0013__Rebuttal Power Costs_Electric Rev Req Model (2009 GRC) Rebuttal" xfId="1055"/>
    <cellStyle name="_x0013__Rebuttal Power Costs_Electric Rev Req Model (2009 GRC) Rebuttal 2" xfId="2673"/>
    <cellStyle name="_x0013__Rebuttal Power Costs_Electric Rev Req Model (2009 GRC) Rebuttal REmoval of New  WH Solar AdjustMI" xfId="1056"/>
    <cellStyle name="_x0013__Rebuttal Power Costs_Electric Rev Req Model (2009 GRC) Rebuttal REmoval of New  WH Solar AdjustMI 2" xfId="2674"/>
    <cellStyle name="_x0013__Rebuttal Power Costs_Electric Rev Req Model (2009 GRC) Revised 01-18-2010" xfId="1057"/>
    <cellStyle name="_x0013__Rebuttal Power Costs_Electric Rev Req Model (2009 GRC) Revised 01-18-2010 2" xfId="2675"/>
    <cellStyle name="_x0013__Rebuttal Power Costs_Final Order Electric EXHIBIT A-1" xfId="1058"/>
    <cellStyle name="_x0013__Rebuttal Power Costs_Final Order Electric EXHIBIT A-1 2" xfId="2676"/>
    <cellStyle name="_Recon to Darrin's 5.11.05 proforma" xfId="124"/>
    <cellStyle name="_Recon to Darrin's 5.11.05 proforma 2" xfId="1059"/>
    <cellStyle name="_Recon to Darrin's 5.11.05 proforma 2 2" xfId="2677"/>
    <cellStyle name="_Recon to Darrin's 5.11.05 proforma 3" xfId="1629"/>
    <cellStyle name="_Recon to Darrin's 5.11.05 proforma 3 2" xfId="2679"/>
    <cellStyle name="_Recon to Darrin's 5.11.05 proforma 3 3" xfId="2680"/>
    <cellStyle name="_Recon to Darrin's 5.11.05 proforma 3 4" xfId="2678"/>
    <cellStyle name="_Recon to Darrin's 5.11.05 proforma 4" xfId="2681"/>
    <cellStyle name="_Recon to Darrin's 5.11.05 proforma_(C) WHE Proforma with ITC cash grant 10 Yr Amort_for deferral_102809" xfId="1060"/>
    <cellStyle name="_Recon to Darrin's 5.11.05 proforma_(C) WHE Proforma with ITC cash grant 10 Yr Amort_for deferral_102809 2" xfId="2682"/>
    <cellStyle name="_Recon to Darrin's 5.11.05 proforma_(C) WHE Proforma with ITC cash grant 10 Yr Amort_for deferral_102809_16.07E Wild Horse Wind Expansionwrkingfile" xfId="1061"/>
    <cellStyle name="_Recon to Darrin's 5.11.05 proforma_(C) WHE Proforma with ITC cash grant 10 Yr Amort_for deferral_102809_16.07E Wild Horse Wind Expansionwrkingfile 2" xfId="2683"/>
    <cellStyle name="_Recon to Darrin's 5.11.05 proforma_(C) WHE Proforma with ITC cash grant 10 Yr Amort_for deferral_102809_16.07E Wild Horse Wind Expansionwrkingfile SF" xfId="1062"/>
    <cellStyle name="_Recon to Darrin's 5.11.05 proforma_(C) WHE Proforma with ITC cash grant 10 Yr Amort_for deferral_102809_16.07E Wild Horse Wind Expansionwrkingfile SF 2" xfId="2684"/>
    <cellStyle name="_Recon to Darrin's 5.11.05 proforma_(C) WHE Proforma with ITC cash grant 10 Yr Amort_for deferral_102809_16.37E Wild Horse Expansion DeferralRevwrkingfile SF" xfId="1063"/>
    <cellStyle name="_Recon to Darrin's 5.11.05 proforma_(C) WHE Proforma with ITC cash grant 10 Yr Amort_for deferral_102809_16.37E Wild Horse Expansion DeferralRevwrkingfile SF 2" xfId="2685"/>
    <cellStyle name="_Recon to Darrin's 5.11.05 proforma_(C) WHE Proforma with ITC cash grant 10 Yr Amort_for rebuttal_120709" xfId="1064"/>
    <cellStyle name="_Recon to Darrin's 5.11.05 proforma_(C) WHE Proforma with ITC cash grant 10 Yr Amort_for rebuttal_120709 2" xfId="2686"/>
    <cellStyle name="_Recon to Darrin's 5.11.05 proforma_04.07E Wild Horse Wind Expansion" xfId="1065"/>
    <cellStyle name="_Recon to Darrin's 5.11.05 proforma_04.07E Wild Horse Wind Expansion 2" xfId="2687"/>
    <cellStyle name="_Recon to Darrin's 5.11.05 proforma_04.07E Wild Horse Wind Expansion_16.07E Wild Horse Wind Expansionwrkingfile" xfId="1066"/>
    <cellStyle name="_Recon to Darrin's 5.11.05 proforma_04.07E Wild Horse Wind Expansion_16.07E Wild Horse Wind Expansionwrkingfile 2" xfId="2688"/>
    <cellStyle name="_Recon to Darrin's 5.11.05 proforma_04.07E Wild Horse Wind Expansion_16.07E Wild Horse Wind Expansionwrkingfile SF" xfId="1067"/>
    <cellStyle name="_Recon to Darrin's 5.11.05 proforma_04.07E Wild Horse Wind Expansion_16.07E Wild Horse Wind Expansionwrkingfile SF 2" xfId="2689"/>
    <cellStyle name="_Recon to Darrin's 5.11.05 proforma_04.07E Wild Horse Wind Expansion_16.37E Wild Horse Expansion DeferralRevwrkingfile SF" xfId="1068"/>
    <cellStyle name="_Recon to Darrin's 5.11.05 proforma_04.07E Wild Horse Wind Expansion_16.37E Wild Horse Expansion DeferralRevwrkingfile SF 2" xfId="2690"/>
    <cellStyle name="_Recon to Darrin's 5.11.05 proforma_16.07E Wild Horse Wind Expansionwrkingfile" xfId="1069"/>
    <cellStyle name="_Recon to Darrin's 5.11.05 proforma_16.07E Wild Horse Wind Expansionwrkingfile 2" xfId="2691"/>
    <cellStyle name="_Recon to Darrin's 5.11.05 proforma_16.07E Wild Horse Wind Expansionwrkingfile SF" xfId="1070"/>
    <cellStyle name="_Recon to Darrin's 5.11.05 proforma_16.07E Wild Horse Wind Expansionwrkingfile SF 2" xfId="2692"/>
    <cellStyle name="_Recon to Darrin's 5.11.05 proforma_16.37E Wild Horse Expansion DeferralRevwrkingfile SF" xfId="1071"/>
    <cellStyle name="_Recon to Darrin's 5.11.05 proforma_16.37E Wild Horse Expansion DeferralRevwrkingfile SF 2" xfId="2693"/>
    <cellStyle name="_Recon to Darrin's 5.11.05 proforma_4 31 Regulatory Assets and Liabilities  7 06- Exhibit D" xfId="1072"/>
    <cellStyle name="_Recon to Darrin's 5.11.05 proforma_4 31 Regulatory Assets and Liabilities  7 06- Exhibit D 2" xfId="2694"/>
    <cellStyle name="_Recon to Darrin's 5.11.05 proforma_4 32 Regulatory Assets and Liabilities  7 06- Exhibit D" xfId="1073"/>
    <cellStyle name="_Recon to Darrin's 5.11.05 proforma_4 32 Regulatory Assets and Liabilities  7 06- Exhibit D 2" xfId="2695"/>
    <cellStyle name="_Recon to Darrin's 5.11.05 proforma_Book2" xfId="1074"/>
    <cellStyle name="_Recon to Darrin's 5.11.05 proforma_Book2 2" xfId="2696"/>
    <cellStyle name="_Recon to Darrin's 5.11.05 proforma_Book2_Adj Bench DR 3 for Initial Briefs (Electric)" xfId="1075"/>
    <cellStyle name="_Recon to Darrin's 5.11.05 proforma_Book2_Adj Bench DR 3 for Initial Briefs (Electric) 2" xfId="2697"/>
    <cellStyle name="_Recon to Darrin's 5.11.05 proforma_Book2_Electric Rev Req Model (2009 GRC) Rebuttal" xfId="1076"/>
    <cellStyle name="_Recon to Darrin's 5.11.05 proforma_Book2_Electric Rev Req Model (2009 GRC) Rebuttal 2" xfId="2698"/>
    <cellStyle name="_Recon to Darrin's 5.11.05 proforma_Book2_Electric Rev Req Model (2009 GRC) Rebuttal REmoval of New  WH Solar AdjustMI" xfId="1077"/>
    <cellStyle name="_Recon to Darrin's 5.11.05 proforma_Book2_Electric Rev Req Model (2009 GRC) Rebuttal REmoval of New  WH Solar AdjustMI 2" xfId="2699"/>
    <cellStyle name="_Recon to Darrin's 5.11.05 proforma_Book2_Electric Rev Req Model (2009 GRC) Revised 01-18-2010" xfId="1078"/>
    <cellStyle name="_Recon to Darrin's 5.11.05 proforma_Book2_Electric Rev Req Model (2009 GRC) Revised 01-18-2010 2" xfId="2700"/>
    <cellStyle name="_Recon to Darrin's 5.11.05 proforma_Book2_Final Order Electric EXHIBIT A-1" xfId="1079"/>
    <cellStyle name="_Recon to Darrin's 5.11.05 proforma_Book2_Final Order Electric EXHIBIT A-1 2" xfId="2701"/>
    <cellStyle name="_Recon to Darrin's 5.11.05 proforma_Book4" xfId="1080"/>
    <cellStyle name="_Recon to Darrin's 5.11.05 proforma_Book4 2" xfId="2702"/>
    <cellStyle name="_Recon to Darrin's 5.11.05 proforma_Book9" xfId="1081"/>
    <cellStyle name="_Recon to Darrin's 5.11.05 proforma_Book9 2" xfId="2703"/>
    <cellStyle name="_Recon to Darrin's 5.11.05 proforma_INPUTS" xfId="125"/>
    <cellStyle name="_Recon to Darrin's 5.11.05 proforma_INPUTS 2" xfId="2704"/>
    <cellStyle name="_Recon to Darrin's 5.11.05 proforma_Power Costs - Comparison bx Rbtl-Staff-Jt-PC" xfId="1082"/>
    <cellStyle name="_Recon to Darrin's 5.11.05 proforma_Power Costs - Comparison bx Rbtl-Staff-Jt-PC 2" xfId="2705"/>
    <cellStyle name="_Recon to Darrin's 5.11.05 proforma_Power Costs - Comparison bx Rbtl-Staff-Jt-PC_Adj Bench DR 3 for Initial Briefs (Electric)" xfId="1083"/>
    <cellStyle name="_Recon to Darrin's 5.11.05 proforma_Power Costs - Comparison bx Rbtl-Staff-Jt-PC_Adj Bench DR 3 for Initial Briefs (Electric) 2" xfId="2706"/>
    <cellStyle name="_Recon to Darrin's 5.11.05 proforma_Power Costs - Comparison bx Rbtl-Staff-Jt-PC_Electric Rev Req Model (2009 GRC) Rebuttal" xfId="1084"/>
    <cellStyle name="_Recon to Darrin's 5.11.05 proforma_Power Costs - Comparison bx Rbtl-Staff-Jt-PC_Electric Rev Req Model (2009 GRC) Rebuttal 2" xfId="2707"/>
    <cellStyle name="_Recon to Darrin's 5.11.05 proforma_Power Costs - Comparison bx Rbtl-Staff-Jt-PC_Electric Rev Req Model (2009 GRC) Rebuttal REmoval of New  WH Solar AdjustMI" xfId="1085"/>
    <cellStyle name="_Recon to Darrin's 5.11.05 proforma_Power Costs - Comparison bx Rbtl-Staff-Jt-PC_Electric Rev Req Model (2009 GRC) Rebuttal REmoval of New  WH Solar AdjustMI 2" xfId="2708"/>
    <cellStyle name="_Recon to Darrin's 5.11.05 proforma_Power Costs - Comparison bx Rbtl-Staff-Jt-PC_Electric Rev Req Model (2009 GRC) Revised 01-18-2010" xfId="1086"/>
    <cellStyle name="_Recon to Darrin's 5.11.05 proforma_Power Costs - Comparison bx Rbtl-Staff-Jt-PC_Electric Rev Req Model (2009 GRC) Revised 01-18-2010 2" xfId="2709"/>
    <cellStyle name="_Recon to Darrin's 5.11.05 proforma_Power Costs - Comparison bx Rbtl-Staff-Jt-PC_Final Order Electric EXHIBIT A-1" xfId="1087"/>
    <cellStyle name="_Recon to Darrin's 5.11.05 proforma_Power Costs - Comparison bx Rbtl-Staff-Jt-PC_Final Order Electric EXHIBIT A-1 2" xfId="2710"/>
    <cellStyle name="_Recon to Darrin's 5.11.05 proforma_Production Adj 4.37" xfId="126"/>
    <cellStyle name="_Recon to Darrin's 5.11.05 proforma_Production Adj 4.37 2" xfId="2711"/>
    <cellStyle name="_Recon to Darrin's 5.11.05 proforma_Purchased Power Adj 4.03" xfId="127"/>
    <cellStyle name="_Recon to Darrin's 5.11.05 proforma_Purchased Power Adj 4.03 2" xfId="2712"/>
    <cellStyle name="_Recon to Darrin's 5.11.05 proforma_Rebuttal Power Costs" xfId="1088"/>
    <cellStyle name="_Recon to Darrin's 5.11.05 proforma_Rebuttal Power Costs 2" xfId="2713"/>
    <cellStyle name="_Recon to Darrin's 5.11.05 proforma_Rebuttal Power Costs_Adj Bench DR 3 for Initial Briefs (Electric)" xfId="1089"/>
    <cellStyle name="_Recon to Darrin's 5.11.05 proforma_Rebuttal Power Costs_Adj Bench DR 3 for Initial Briefs (Electric) 2" xfId="2714"/>
    <cellStyle name="_Recon to Darrin's 5.11.05 proforma_Rebuttal Power Costs_Electric Rev Req Model (2009 GRC) Rebuttal" xfId="1090"/>
    <cellStyle name="_Recon to Darrin's 5.11.05 proforma_Rebuttal Power Costs_Electric Rev Req Model (2009 GRC) Rebuttal 2" xfId="2715"/>
    <cellStyle name="_Recon to Darrin's 5.11.05 proforma_Rebuttal Power Costs_Electric Rev Req Model (2009 GRC) Rebuttal REmoval of New  WH Solar AdjustMI" xfId="1091"/>
    <cellStyle name="_Recon to Darrin's 5.11.05 proforma_Rebuttal Power Costs_Electric Rev Req Model (2009 GRC) Rebuttal REmoval of New  WH Solar AdjustMI 2" xfId="2716"/>
    <cellStyle name="_Recon to Darrin's 5.11.05 proforma_Rebuttal Power Costs_Electric Rev Req Model (2009 GRC) Revised 01-18-2010" xfId="1092"/>
    <cellStyle name="_Recon to Darrin's 5.11.05 proforma_Rebuttal Power Costs_Electric Rev Req Model (2009 GRC) Revised 01-18-2010 2" xfId="2717"/>
    <cellStyle name="_Recon to Darrin's 5.11.05 proforma_Rebuttal Power Costs_Final Order Electric EXHIBIT A-1" xfId="1093"/>
    <cellStyle name="_Recon to Darrin's 5.11.05 proforma_Rebuttal Power Costs_Final Order Electric EXHIBIT A-1 2" xfId="2718"/>
    <cellStyle name="_Recon to Darrin's 5.11.05 proforma_ROR &amp; CONV FACTOR" xfId="128"/>
    <cellStyle name="_Recon to Darrin's 5.11.05 proforma_ROR &amp; CONV FACTOR 2" xfId="2719"/>
    <cellStyle name="_Recon to Darrin's 5.11.05 proforma_ROR 5.02" xfId="129"/>
    <cellStyle name="_Recon to Darrin's 5.11.05 proforma_ROR 5.02 2" xfId="2720"/>
    <cellStyle name="_Sumas Proforma - 11-09-07" xfId="1094"/>
    <cellStyle name="_Sumas Property Taxes v1" xfId="1095"/>
    <cellStyle name="_Tenaska Comparison" xfId="130"/>
    <cellStyle name="_Tenaska Comparison 2" xfId="1096"/>
    <cellStyle name="_Tenaska Comparison 2 2" xfId="2721"/>
    <cellStyle name="_Tenaska Comparison 3" xfId="2722"/>
    <cellStyle name="_Tenaska Comparison_(C) WHE Proforma with ITC cash grant 10 Yr Amort_for deferral_102809" xfId="1097"/>
    <cellStyle name="_Tenaska Comparison_(C) WHE Proforma with ITC cash grant 10 Yr Amort_for deferral_102809 2" xfId="2723"/>
    <cellStyle name="_Tenaska Comparison_(C) WHE Proforma with ITC cash grant 10 Yr Amort_for deferral_102809_16.07E Wild Horse Wind Expansionwrkingfile" xfId="1098"/>
    <cellStyle name="_Tenaska Comparison_(C) WHE Proforma with ITC cash grant 10 Yr Amort_for deferral_102809_16.07E Wild Horse Wind Expansionwrkingfile 2" xfId="2724"/>
    <cellStyle name="_Tenaska Comparison_(C) WHE Proforma with ITC cash grant 10 Yr Amort_for deferral_102809_16.07E Wild Horse Wind Expansionwrkingfile SF" xfId="1099"/>
    <cellStyle name="_Tenaska Comparison_(C) WHE Proforma with ITC cash grant 10 Yr Amort_for deferral_102809_16.07E Wild Horse Wind Expansionwrkingfile SF 2" xfId="2725"/>
    <cellStyle name="_Tenaska Comparison_(C) WHE Proforma with ITC cash grant 10 Yr Amort_for deferral_102809_16.37E Wild Horse Expansion DeferralRevwrkingfile SF" xfId="1100"/>
    <cellStyle name="_Tenaska Comparison_(C) WHE Proforma with ITC cash grant 10 Yr Amort_for deferral_102809_16.37E Wild Horse Expansion DeferralRevwrkingfile SF 2" xfId="2726"/>
    <cellStyle name="_Tenaska Comparison_(C) WHE Proforma with ITC cash grant 10 Yr Amort_for rebuttal_120709" xfId="1101"/>
    <cellStyle name="_Tenaska Comparison_(C) WHE Proforma with ITC cash grant 10 Yr Amort_for rebuttal_120709 2" xfId="2727"/>
    <cellStyle name="_Tenaska Comparison_04.07E Wild Horse Wind Expansion" xfId="1102"/>
    <cellStyle name="_Tenaska Comparison_04.07E Wild Horse Wind Expansion 2" xfId="2728"/>
    <cellStyle name="_Tenaska Comparison_04.07E Wild Horse Wind Expansion_16.07E Wild Horse Wind Expansionwrkingfile" xfId="1103"/>
    <cellStyle name="_Tenaska Comparison_04.07E Wild Horse Wind Expansion_16.07E Wild Horse Wind Expansionwrkingfile 2" xfId="2729"/>
    <cellStyle name="_Tenaska Comparison_04.07E Wild Horse Wind Expansion_16.07E Wild Horse Wind Expansionwrkingfile SF" xfId="1104"/>
    <cellStyle name="_Tenaska Comparison_04.07E Wild Horse Wind Expansion_16.07E Wild Horse Wind Expansionwrkingfile SF 2" xfId="2730"/>
    <cellStyle name="_Tenaska Comparison_04.07E Wild Horse Wind Expansion_16.37E Wild Horse Expansion DeferralRevwrkingfile SF" xfId="1105"/>
    <cellStyle name="_Tenaska Comparison_04.07E Wild Horse Wind Expansion_16.37E Wild Horse Expansion DeferralRevwrkingfile SF 2" xfId="2731"/>
    <cellStyle name="_Tenaska Comparison_16.07E Wild Horse Wind Expansionwrkingfile" xfId="1106"/>
    <cellStyle name="_Tenaska Comparison_16.07E Wild Horse Wind Expansionwrkingfile 2" xfId="2732"/>
    <cellStyle name="_Tenaska Comparison_16.07E Wild Horse Wind Expansionwrkingfile SF" xfId="1107"/>
    <cellStyle name="_Tenaska Comparison_16.07E Wild Horse Wind Expansionwrkingfile SF 2" xfId="2733"/>
    <cellStyle name="_Tenaska Comparison_16.37E Wild Horse Expansion DeferralRevwrkingfile SF" xfId="1108"/>
    <cellStyle name="_Tenaska Comparison_16.37E Wild Horse Expansion DeferralRevwrkingfile SF 2" xfId="2734"/>
    <cellStyle name="_Tenaska Comparison_4 31 Regulatory Assets and Liabilities  7 06- Exhibit D" xfId="1109"/>
    <cellStyle name="_Tenaska Comparison_4 31 Regulatory Assets and Liabilities  7 06- Exhibit D 2" xfId="2735"/>
    <cellStyle name="_Tenaska Comparison_4 32 Regulatory Assets and Liabilities  7 06- Exhibit D" xfId="1110"/>
    <cellStyle name="_Tenaska Comparison_4 32 Regulatory Assets and Liabilities  7 06- Exhibit D 2" xfId="2736"/>
    <cellStyle name="_Tenaska Comparison_Book2" xfId="1111"/>
    <cellStyle name="_Tenaska Comparison_Book2 2" xfId="2737"/>
    <cellStyle name="_Tenaska Comparison_Book2_Adj Bench DR 3 for Initial Briefs (Electric)" xfId="1112"/>
    <cellStyle name="_Tenaska Comparison_Book2_Adj Bench DR 3 for Initial Briefs (Electric) 2" xfId="2738"/>
    <cellStyle name="_Tenaska Comparison_Book2_Electric Rev Req Model (2009 GRC) Rebuttal" xfId="1113"/>
    <cellStyle name="_Tenaska Comparison_Book2_Electric Rev Req Model (2009 GRC) Rebuttal 2" xfId="2739"/>
    <cellStyle name="_Tenaska Comparison_Book2_Electric Rev Req Model (2009 GRC) Rebuttal REmoval of New  WH Solar AdjustMI" xfId="1114"/>
    <cellStyle name="_Tenaska Comparison_Book2_Electric Rev Req Model (2009 GRC) Rebuttal REmoval of New  WH Solar AdjustMI 2" xfId="2740"/>
    <cellStyle name="_Tenaska Comparison_Book2_Electric Rev Req Model (2009 GRC) Revised 01-18-2010" xfId="1115"/>
    <cellStyle name="_Tenaska Comparison_Book2_Electric Rev Req Model (2009 GRC) Revised 01-18-2010 2" xfId="2741"/>
    <cellStyle name="_Tenaska Comparison_Book2_Final Order Electric EXHIBIT A-1" xfId="1116"/>
    <cellStyle name="_Tenaska Comparison_Book2_Final Order Electric EXHIBIT A-1 2" xfId="2742"/>
    <cellStyle name="_Tenaska Comparison_Book4" xfId="1117"/>
    <cellStyle name="_Tenaska Comparison_Book4 2" xfId="2743"/>
    <cellStyle name="_Tenaska Comparison_Book9" xfId="1118"/>
    <cellStyle name="_Tenaska Comparison_Book9 2" xfId="2744"/>
    <cellStyle name="_Tenaska Comparison_Electric COS Inputs" xfId="131"/>
    <cellStyle name="_Tenaska Comparison_Electric COS Inputs 2" xfId="1630"/>
    <cellStyle name="_Tenaska Comparison_Electric COS Inputs 2 2" xfId="2746"/>
    <cellStyle name="_Tenaska Comparison_Electric COS Inputs 2 3" xfId="2747"/>
    <cellStyle name="_Tenaska Comparison_Electric COS Inputs 2 4" xfId="2745"/>
    <cellStyle name="_Tenaska Comparison_Electric COS Inputs 3" xfId="2748"/>
    <cellStyle name="_Tenaska Comparison_Electric COS Inputs 4" xfId="2749"/>
    <cellStyle name="_Tenaska Comparison_Power Costs - Comparison bx Rbtl-Staff-Jt-PC" xfId="1119"/>
    <cellStyle name="_Tenaska Comparison_Power Costs - Comparison bx Rbtl-Staff-Jt-PC 2" xfId="2750"/>
    <cellStyle name="_Tenaska Comparison_Power Costs - Comparison bx Rbtl-Staff-Jt-PC_Adj Bench DR 3 for Initial Briefs (Electric)" xfId="1120"/>
    <cellStyle name="_Tenaska Comparison_Power Costs - Comparison bx Rbtl-Staff-Jt-PC_Adj Bench DR 3 for Initial Briefs (Electric) 2" xfId="2751"/>
    <cellStyle name="_Tenaska Comparison_Power Costs - Comparison bx Rbtl-Staff-Jt-PC_Electric Rev Req Model (2009 GRC) Rebuttal" xfId="1121"/>
    <cellStyle name="_Tenaska Comparison_Power Costs - Comparison bx Rbtl-Staff-Jt-PC_Electric Rev Req Model (2009 GRC) Rebuttal 2" xfId="2752"/>
    <cellStyle name="_Tenaska Comparison_Power Costs - Comparison bx Rbtl-Staff-Jt-PC_Electric Rev Req Model (2009 GRC) Rebuttal REmoval of New  WH Solar AdjustMI" xfId="1122"/>
    <cellStyle name="_Tenaska Comparison_Power Costs - Comparison bx Rbtl-Staff-Jt-PC_Electric Rev Req Model (2009 GRC) Rebuttal REmoval of New  WH Solar AdjustMI 2" xfId="2753"/>
    <cellStyle name="_Tenaska Comparison_Power Costs - Comparison bx Rbtl-Staff-Jt-PC_Electric Rev Req Model (2009 GRC) Revised 01-18-2010" xfId="1123"/>
    <cellStyle name="_Tenaska Comparison_Power Costs - Comparison bx Rbtl-Staff-Jt-PC_Electric Rev Req Model (2009 GRC) Revised 01-18-2010 2" xfId="2754"/>
    <cellStyle name="_Tenaska Comparison_Power Costs - Comparison bx Rbtl-Staff-Jt-PC_Final Order Electric EXHIBIT A-1" xfId="1124"/>
    <cellStyle name="_Tenaska Comparison_Power Costs - Comparison bx Rbtl-Staff-Jt-PC_Final Order Electric EXHIBIT A-1 2" xfId="2755"/>
    <cellStyle name="_Tenaska Comparison_Production Adj 4.37" xfId="132"/>
    <cellStyle name="_Tenaska Comparison_Production Adj 4.37 2" xfId="2756"/>
    <cellStyle name="_Tenaska Comparison_Purchased Power Adj 4.03" xfId="133"/>
    <cellStyle name="_Tenaska Comparison_Purchased Power Adj 4.03 2" xfId="2757"/>
    <cellStyle name="_Tenaska Comparison_Rebuttal Power Costs" xfId="1125"/>
    <cellStyle name="_Tenaska Comparison_Rebuttal Power Costs 2" xfId="2758"/>
    <cellStyle name="_Tenaska Comparison_Rebuttal Power Costs_Adj Bench DR 3 for Initial Briefs (Electric)" xfId="1126"/>
    <cellStyle name="_Tenaska Comparison_Rebuttal Power Costs_Adj Bench DR 3 for Initial Briefs (Electric) 2" xfId="2759"/>
    <cellStyle name="_Tenaska Comparison_Rebuttal Power Costs_Electric Rev Req Model (2009 GRC) Rebuttal" xfId="1127"/>
    <cellStyle name="_Tenaska Comparison_Rebuttal Power Costs_Electric Rev Req Model (2009 GRC) Rebuttal 2" xfId="2760"/>
    <cellStyle name="_Tenaska Comparison_Rebuttal Power Costs_Electric Rev Req Model (2009 GRC) Rebuttal REmoval of New  WH Solar AdjustMI" xfId="1128"/>
    <cellStyle name="_Tenaska Comparison_Rebuttal Power Costs_Electric Rev Req Model (2009 GRC) Rebuttal REmoval of New  WH Solar AdjustMI 2" xfId="2761"/>
    <cellStyle name="_Tenaska Comparison_Rebuttal Power Costs_Electric Rev Req Model (2009 GRC) Revised 01-18-2010" xfId="1129"/>
    <cellStyle name="_Tenaska Comparison_Rebuttal Power Costs_Electric Rev Req Model (2009 GRC) Revised 01-18-2010 2" xfId="2762"/>
    <cellStyle name="_Tenaska Comparison_Rebuttal Power Costs_Final Order Electric EXHIBIT A-1" xfId="1130"/>
    <cellStyle name="_Tenaska Comparison_Rebuttal Power Costs_Final Order Electric EXHIBIT A-1 2" xfId="2763"/>
    <cellStyle name="_Tenaska Comparison_ROR 5.02" xfId="134"/>
    <cellStyle name="_Tenaska Comparison_ROR 5.02 2" xfId="2764"/>
    <cellStyle name="_x0013__TENASKA REGULATORY ASSET" xfId="1131"/>
    <cellStyle name="_x0013__TENASKA REGULATORY ASSET 2" xfId="2765"/>
    <cellStyle name="_Value Copy 11 30 05 gas 12 09 05 AURORA at 12 14 05" xfId="135"/>
    <cellStyle name="_Value Copy 11 30 05 gas 12 09 05 AURORA at 12 14 05 2" xfId="1133"/>
    <cellStyle name="_Value Copy 11 30 05 gas 12 09 05 AURORA at 12 14 05 2 2" xfId="2766"/>
    <cellStyle name="_Value Copy 11 30 05 gas 12 09 05 AURORA at 12 14 05 3" xfId="1132"/>
    <cellStyle name="_Value Copy 11 30 05 gas 12 09 05 AURORA at 12 14 05_04 07E Wild Horse Wind Expansion (C) (2)" xfId="136"/>
    <cellStyle name="_Value Copy 11 30 05 gas 12 09 05 AURORA at 12 14 05_04 07E Wild Horse Wind Expansion (C) (2) 2" xfId="2767"/>
    <cellStyle name="_Value Copy 11 30 05 gas 12 09 05 AURORA at 12 14 05_04 07E Wild Horse Wind Expansion (C) (2)_Adj Bench DR 3 for Initial Briefs (Electric)" xfId="1134"/>
    <cellStyle name="_Value Copy 11 30 05 gas 12 09 05 AURORA at 12 14 05_04 07E Wild Horse Wind Expansion (C) (2)_Adj Bench DR 3 for Initial Briefs (Electric) 2" xfId="2768"/>
    <cellStyle name="_Value Copy 11 30 05 gas 12 09 05 AURORA at 12 14 05_04 07E Wild Horse Wind Expansion (C) (2)_Electric Rev Req Model (2009 GRC) " xfId="1135"/>
    <cellStyle name="_Value Copy 11 30 05 gas 12 09 05 AURORA at 12 14 05_04 07E Wild Horse Wind Expansion (C) (2)_Electric Rev Req Model (2009 GRC)  2" xfId="2769"/>
    <cellStyle name="_Value Copy 11 30 05 gas 12 09 05 AURORA at 12 14 05_04 07E Wild Horse Wind Expansion (C) (2)_Electric Rev Req Model (2009 GRC) Rebuttal" xfId="1136"/>
    <cellStyle name="_Value Copy 11 30 05 gas 12 09 05 AURORA at 12 14 05_04 07E Wild Horse Wind Expansion (C) (2)_Electric Rev Req Model (2009 GRC) Rebuttal 2" xfId="2770"/>
    <cellStyle name="_Value Copy 11 30 05 gas 12 09 05 AURORA at 12 14 05_04 07E Wild Horse Wind Expansion (C) (2)_Electric Rev Req Model (2009 GRC) Rebuttal REmoval of New  WH Solar AdjustMI" xfId="1137"/>
    <cellStyle name="_Value Copy 11 30 05 gas 12 09 05 AURORA at 12 14 05_04 07E Wild Horse Wind Expansion (C) (2)_Electric Rev Req Model (2009 GRC) Rebuttal REmoval of New  WH Solar AdjustMI 2" xfId="2771"/>
    <cellStyle name="_Value Copy 11 30 05 gas 12 09 05 AURORA at 12 14 05_04 07E Wild Horse Wind Expansion (C) (2)_Electric Rev Req Model (2009 GRC) Revised 01-18-2010" xfId="1138"/>
    <cellStyle name="_Value Copy 11 30 05 gas 12 09 05 AURORA at 12 14 05_04 07E Wild Horse Wind Expansion (C) (2)_Electric Rev Req Model (2009 GRC) Revised 01-18-2010 2" xfId="2772"/>
    <cellStyle name="_Value Copy 11 30 05 gas 12 09 05 AURORA at 12 14 05_04 07E Wild Horse Wind Expansion (C) (2)_Final Order Electric EXHIBIT A-1" xfId="1139"/>
    <cellStyle name="_Value Copy 11 30 05 gas 12 09 05 AURORA at 12 14 05_04 07E Wild Horse Wind Expansion (C) (2)_Final Order Electric EXHIBIT A-1 2" xfId="2773"/>
    <cellStyle name="_Value Copy 11 30 05 gas 12 09 05 AURORA at 12 14 05_04 07E Wild Horse Wind Expansion (C) (2)_TENASKA REGULATORY ASSET" xfId="1140"/>
    <cellStyle name="_Value Copy 11 30 05 gas 12 09 05 AURORA at 12 14 05_04 07E Wild Horse Wind Expansion (C) (2)_TENASKA REGULATORY ASSET 2" xfId="2774"/>
    <cellStyle name="_Value Copy 11 30 05 gas 12 09 05 AURORA at 12 14 05_16.37E Wild Horse Expansion DeferralRevwrkingfile SF" xfId="1141"/>
    <cellStyle name="_Value Copy 11 30 05 gas 12 09 05 AURORA at 12 14 05_16.37E Wild Horse Expansion DeferralRevwrkingfile SF 2" xfId="2775"/>
    <cellStyle name="_Value Copy 11 30 05 gas 12 09 05 AURORA at 12 14 05_4 31 Regulatory Assets and Liabilities  7 06- Exhibit D" xfId="1142"/>
    <cellStyle name="_Value Copy 11 30 05 gas 12 09 05 AURORA at 12 14 05_4 31 Regulatory Assets and Liabilities  7 06- Exhibit D 2" xfId="2776"/>
    <cellStyle name="_Value Copy 11 30 05 gas 12 09 05 AURORA at 12 14 05_4 32 Regulatory Assets and Liabilities  7 06- Exhibit D" xfId="1143"/>
    <cellStyle name="_Value Copy 11 30 05 gas 12 09 05 AURORA at 12 14 05_4 32 Regulatory Assets and Liabilities  7 06- Exhibit D 2" xfId="2777"/>
    <cellStyle name="_Value Copy 11 30 05 gas 12 09 05 AURORA at 12 14 05_Book2" xfId="1144"/>
    <cellStyle name="_Value Copy 11 30 05 gas 12 09 05 AURORA at 12 14 05_Book2 2" xfId="2778"/>
    <cellStyle name="_Value Copy 11 30 05 gas 12 09 05 AURORA at 12 14 05_Book2_Adj Bench DR 3 for Initial Briefs (Electric)" xfId="1145"/>
    <cellStyle name="_Value Copy 11 30 05 gas 12 09 05 AURORA at 12 14 05_Book2_Adj Bench DR 3 for Initial Briefs (Electric) 2" xfId="2779"/>
    <cellStyle name="_Value Copy 11 30 05 gas 12 09 05 AURORA at 12 14 05_Book2_Electric Rev Req Model (2009 GRC) Rebuttal" xfId="1146"/>
    <cellStyle name="_Value Copy 11 30 05 gas 12 09 05 AURORA at 12 14 05_Book2_Electric Rev Req Model (2009 GRC) Rebuttal 2" xfId="2780"/>
    <cellStyle name="_Value Copy 11 30 05 gas 12 09 05 AURORA at 12 14 05_Book2_Electric Rev Req Model (2009 GRC) Rebuttal REmoval of New  WH Solar AdjustMI" xfId="1147"/>
    <cellStyle name="_Value Copy 11 30 05 gas 12 09 05 AURORA at 12 14 05_Book2_Electric Rev Req Model (2009 GRC) Rebuttal REmoval of New  WH Solar AdjustMI 2" xfId="2781"/>
    <cellStyle name="_Value Copy 11 30 05 gas 12 09 05 AURORA at 12 14 05_Book2_Electric Rev Req Model (2009 GRC) Revised 01-18-2010" xfId="1148"/>
    <cellStyle name="_Value Copy 11 30 05 gas 12 09 05 AURORA at 12 14 05_Book2_Electric Rev Req Model (2009 GRC) Revised 01-18-2010 2" xfId="2782"/>
    <cellStyle name="_Value Copy 11 30 05 gas 12 09 05 AURORA at 12 14 05_Book2_Final Order Electric EXHIBIT A-1" xfId="1149"/>
    <cellStyle name="_Value Copy 11 30 05 gas 12 09 05 AURORA at 12 14 05_Book2_Final Order Electric EXHIBIT A-1 2" xfId="2783"/>
    <cellStyle name="_Value Copy 11 30 05 gas 12 09 05 AURORA at 12 14 05_Book4" xfId="1150"/>
    <cellStyle name="_Value Copy 11 30 05 gas 12 09 05 AURORA at 12 14 05_Book4 2" xfId="2784"/>
    <cellStyle name="_Value Copy 11 30 05 gas 12 09 05 AURORA at 12 14 05_Book9" xfId="1151"/>
    <cellStyle name="_Value Copy 11 30 05 gas 12 09 05 AURORA at 12 14 05_Book9 2" xfId="2785"/>
    <cellStyle name="_Value Copy 11 30 05 gas 12 09 05 AURORA at 12 14 05_Direct Assignment Distribution Plant 2008" xfId="137"/>
    <cellStyle name="_Value Copy 11 30 05 gas 12 09 05 AURORA at 12 14 05_Direct Assignment Distribution Plant 2008 2" xfId="1631"/>
    <cellStyle name="_Value Copy 11 30 05 gas 12 09 05 AURORA at 12 14 05_Direct Assignment Distribution Plant 2008 2 2" xfId="2787"/>
    <cellStyle name="_Value Copy 11 30 05 gas 12 09 05 AURORA at 12 14 05_Direct Assignment Distribution Plant 2008 2 3" xfId="2788"/>
    <cellStyle name="_Value Copy 11 30 05 gas 12 09 05 AURORA at 12 14 05_Direct Assignment Distribution Plant 2008 2 4" xfId="2786"/>
    <cellStyle name="_Value Copy 11 30 05 gas 12 09 05 AURORA at 12 14 05_Direct Assignment Distribution Plant 2008 3" xfId="2789"/>
    <cellStyle name="_Value Copy 11 30 05 gas 12 09 05 AURORA at 12 14 05_Direct Assignment Distribution Plant 2008 4" xfId="2790"/>
    <cellStyle name="_Value Copy 11 30 05 gas 12 09 05 AURORA at 12 14 05_Electric COS Inputs" xfId="138"/>
    <cellStyle name="_Value Copy 11 30 05 gas 12 09 05 AURORA at 12 14 05_Electric COS Inputs 2" xfId="1632"/>
    <cellStyle name="_Value Copy 11 30 05 gas 12 09 05 AURORA at 12 14 05_Electric COS Inputs 2 2" xfId="2792"/>
    <cellStyle name="_Value Copy 11 30 05 gas 12 09 05 AURORA at 12 14 05_Electric COS Inputs 2 3" xfId="2793"/>
    <cellStyle name="_Value Copy 11 30 05 gas 12 09 05 AURORA at 12 14 05_Electric COS Inputs 2 4" xfId="2791"/>
    <cellStyle name="_Value Copy 11 30 05 gas 12 09 05 AURORA at 12 14 05_Electric COS Inputs 3" xfId="2794"/>
    <cellStyle name="_Value Copy 11 30 05 gas 12 09 05 AURORA at 12 14 05_Electric COS Inputs 4" xfId="2795"/>
    <cellStyle name="_Value Copy 11 30 05 gas 12 09 05 AURORA at 12 14 05_Electric Rate Spread and Rate Design 3.23.09" xfId="139"/>
    <cellStyle name="_Value Copy 11 30 05 gas 12 09 05 AURORA at 12 14 05_Electric Rate Spread and Rate Design 3.23.09 2" xfId="1633"/>
    <cellStyle name="_Value Copy 11 30 05 gas 12 09 05 AURORA at 12 14 05_Electric Rate Spread and Rate Design 3.23.09 2 2" xfId="2797"/>
    <cellStyle name="_Value Copy 11 30 05 gas 12 09 05 AURORA at 12 14 05_Electric Rate Spread and Rate Design 3.23.09 2 3" xfId="2798"/>
    <cellStyle name="_Value Copy 11 30 05 gas 12 09 05 AURORA at 12 14 05_Electric Rate Spread and Rate Design 3.23.09 2 4" xfId="2796"/>
    <cellStyle name="_Value Copy 11 30 05 gas 12 09 05 AURORA at 12 14 05_Electric Rate Spread and Rate Design 3.23.09 3" xfId="2799"/>
    <cellStyle name="_Value Copy 11 30 05 gas 12 09 05 AURORA at 12 14 05_Electric Rate Spread and Rate Design 3.23.09 4" xfId="2800"/>
    <cellStyle name="_Value Copy 11 30 05 gas 12 09 05 AURORA at 12 14 05_INPUTS" xfId="140"/>
    <cellStyle name="_Value Copy 11 30 05 gas 12 09 05 AURORA at 12 14 05_INPUTS 2" xfId="1634"/>
    <cellStyle name="_Value Copy 11 30 05 gas 12 09 05 AURORA at 12 14 05_INPUTS 2 2" xfId="2802"/>
    <cellStyle name="_Value Copy 11 30 05 gas 12 09 05 AURORA at 12 14 05_INPUTS 2 3" xfId="2803"/>
    <cellStyle name="_Value Copy 11 30 05 gas 12 09 05 AURORA at 12 14 05_INPUTS 2 4" xfId="2801"/>
    <cellStyle name="_Value Copy 11 30 05 gas 12 09 05 AURORA at 12 14 05_INPUTS 3" xfId="2804"/>
    <cellStyle name="_Value Copy 11 30 05 gas 12 09 05 AURORA at 12 14 05_INPUTS 4" xfId="2805"/>
    <cellStyle name="_Value Copy 11 30 05 gas 12 09 05 AURORA at 12 14 05_Leased Transformer &amp; Substation Plant &amp; Rev 12-2009" xfId="141"/>
    <cellStyle name="_Value Copy 11 30 05 gas 12 09 05 AURORA at 12 14 05_Leased Transformer &amp; Substation Plant &amp; Rev 12-2009 2" xfId="1635"/>
    <cellStyle name="_Value Copy 11 30 05 gas 12 09 05 AURORA at 12 14 05_Leased Transformer &amp; Substation Plant &amp; Rev 12-2009 2 2" xfId="2807"/>
    <cellStyle name="_Value Copy 11 30 05 gas 12 09 05 AURORA at 12 14 05_Leased Transformer &amp; Substation Plant &amp; Rev 12-2009 2 3" xfId="2808"/>
    <cellStyle name="_Value Copy 11 30 05 gas 12 09 05 AURORA at 12 14 05_Leased Transformer &amp; Substation Plant &amp; Rev 12-2009 2 4" xfId="2806"/>
    <cellStyle name="_Value Copy 11 30 05 gas 12 09 05 AURORA at 12 14 05_Leased Transformer &amp; Substation Plant &amp; Rev 12-2009 3" xfId="2809"/>
    <cellStyle name="_Value Copy 11 30 05 gas 12 09 05 AURORA at 12 14 05_Leased Transformer &amp; Substation Plant &amp; Rev 12-2009 4" xfId="2810"/>
    <cellStyle name="_Value Copy 11 30 05 gas 12 09 05 AURORA at 12 14 05_Power Costs - Comparison bx Rbtl-Staff-Jt-PC" xfId="1152"/>
    <cellStyle name="_Value Copy 11 30 05 gas 12 09 05 AURORA at 12 14 05_Power Costs - Comparison bx Rbtl-Staff-Jt-PC 2" xfId="2811"/>
    <cellStyle name="_Value Copy 11 30 05 gas 12 09 05 AURORA at 12 14 05_Power Costs - Comparison bx Rbtl-Staff-Jt-PC_Adj Bench DR 3 for Initial Briefs (Electric)" xfId="1153"/>
    <cellStyle name="_Value Copy 11 30 05 gas 12 09 05 AURORA at 12 14 05_Power Costs - Comparison bx Rbtl-Staff-Jt-PC_Adj Bench DR 3 for Initial Briefs (Electric) 2" xfId="2812"/>
    <cellStyle name="_Value Copy 11 30 05 gas 12 09 05 AURORA at 12 14 05_Power Costs - Comparison bx Rbtl-Staff-Jt-PC_Electric Rev Req Model (2009 GRC) Rebuttal" xfId="1154"/>
    <cellStyle name="_Value Copy 11 30 05 gas 12 09 05 AURORA at 12 14 05_Power Costs - Comparison bx Rbtl-Staff-Jt-PC_Electric Rev Req Model (2009 GRC) Rebuttal 2" xfId="2813"/>
    <cellStyle name="_Value Copy 11 30 05 gas 12 09 05 AURORA at 12 14 05_Power Costs - Comparison bx Rbtl-Staff-Jt-PC_Electric Rev Req Model (2009 GRC) Rebuttal REmoval of New  WH Solar AdjustMI" xfId="1155"/>
    <cellStyle name="_Value Copy 11 30 05 gas 12 09 05 AURORA at 12 14 05_Power Costs - Comparison bx Rbtl-Staff-Jt-PC_Electric Rev Req Model (2009 GRC) Rebuttal REmoval of New  WH Solar AdjustMI 2" xfId="2814"/>
    <cellStyle name="_Value Copy 11 30 05 gas 12 09 05 AURORA at 12 14 05_Power Costs - Comparison bx Rbtl-Staff-Jt-PC_Electric Rev Req Model (2009 GRC) Revised 01-18-2010" xfId="1156"/>
    <cellStyle name="_Value Copy 11 30 05 gas 12 09 05 AURORA at 12 14 05_Power Costs - Comparison bx Rbtl-Staff-Jt-PC_Electric Rev Req Model (2009 GRC) Revised 01-18-2010 2" xfId="2815"/>
    <cellStyle name="_Value Copy 11 30 05 gas 12 09 05 AURORA at 12 14 05_Power Costs - Comparison bx Rbtl-Staff-Jt-PC_Final Order Electric EXHIBIT A-1" xfId="1157"/>
    <cellStyle name="_Value Copy 11 30 05 gas 12 09 05 AURORA at 12 14 05_Power Costs - Comparison bx Rbtl-Staff-Jt-PC_Final Order Electric EXHIBIT A-1 2" xfId="2816"/>
    <cellStyle name="_Value Copy 11 30 05 gas 12 09 05 AURORA at 12 14 05_Production Adj 4.37" xfId="142"/>
    <cellStyle name="_Value Copy 11 30 05 gas 12 09 05 AURORA at 12 14 05_Production Adj 4.37 2" xfId="2817"/>
    <cellStyle name="_Value Copy 11 30 05 gas 12 09 05 AURORA at 12 14 05_Purchased Power Adj 4.03" xfId="143"/>
    <cellStyle name="_Value Copy 11 30 05 gas 12 09 05 AURORA at 12 14 05_Purchased Power Adj 4.03 2" xfId="2818"/>
    <cellStyle name="_Value Copy 11 30 05 gas 12 09 05 AURORA at 12 14 05_Rate Design Sch 24" xfId="144"/>
    <cellStyle name="_Value Copy 11 30 05 gas 12 09 05 AURORA at 12 14 05_Rate Design Sch 25" xfId="145"/>
    <cellStyle name="_Value Copy 11 30 05 gas 12 09 05 AURORA at 12 14 05_Rate Design Sch 25 2" xfId="2819"/>
    <cellStyle name="_Value Copy 11 30 05 gas 12 09 05 AURORA at 12 14 05_Rate Design Sch 26" xfId="146"/>
    <cellStyle name="_Value Copy 11 30 05 gas 12 09 05 AURORA at 12 14 05_Rate Design Sch 26 2" xfId="2820"/>
    <cellStyle name="_Value Copy 11 30 05 gas 12 09 05 AURORA at 12 14 05_Rate Design Sch 31" xfId="147"/>
    <cellStyle name="_Value Copy 11 30 05 gas 12 09 05 AURORA at 12 14 05_Rate Design Sch 31 2" xfId="2821"/>
    <cellStyle name="_Value Copy 11 30 05 gas 12 09 05 AURORA at 12 14 05_Rate Design Sch 43" xfId="148"/>
    <cellStyle name="_Value Copy 11 30 05 gas 12 09 05 AURORA at 12 14 05_Rate Design Sch 43 2" xfId="2822"/>
    <cellStyle name="_Value Copy 11 30 05 gas 12 09 05 AURORA at 12 14 05_Rate Design Sch 448-449" xfId="149"/>
    <cellStyle name="_Value Copy 11 30 05 gas 12 09 05 AURORA at 12 14 05_Rate Design Sch 46" xfId="150"/>
    <cellStyle name="_Value Copy 11 30 05 gas 12 09 05 AURORA at 12 14 05_Rate Design Sch 46 2" xfId="2823"/>
    <cellStyle name="_Value Copy 11 30 05 gas 12 09 05 AURORA at 12 14 05_Rate Spread" xfId="151"/>
    <cellStyle name="_Value Copy 11 30 05 gas 12 09 05 AURORA at 12 14 05_Rate Spread 2" xfId="2824"/>
    <cellStyle name="_Value Copy 11 30 05 gas 12 09 05 AURORA at 12 14 05_Rebuttal Power Costs" xfId="1158"/>
    <cellStyle name="_Value Copy 11 30 05 gas 12 09 05 AURORA at 12 14 05_Rebuttal Power Costs 2" xfId="2825"/>
    <cellStyle name="_Value Copy 11 30 05 gas 12 09 05 AURORA at 12 14 05_Rebuttal Power Costs_Adj Bench DR 3 for Initial Briefs (Electric)" xfId="1159"/>
    <cellStyle name="_Value Copy 11 30 05 gas 12 09 05 AURORA at 12 14 05_Rebuttal Power Costs_Adj Bench DR 3 for Initial Briefs (Electric) 2" xfId="2826"/>
    <cellStyle name="_Value Copy 11 30 05 gas 12 09 05 AURORA at 12 14 05_Rebuttal Power Costs_Electric Rev Req Model (2009 GRC) Rebuttal" xfId="1160"/>
    <cellStyle name="_Value Copy 11 30 05 gas 12 09 05 AURORA at 12 14 05_Rebuttal Power Costs_Electric Rev Req Model (2009 GRC) Rebuttal 2" xfId="2827"/>
    <cellStyle name="_Value Copy 11 30 05 gas 12 09 05 AURORA at 12 14 05_Rebuttal Power Costs_Electric Rev Req Model (2009 GRC) Rebuttal REmoval of New  WH Solar AdjustMI" xfId="1161"/>
    <cellStyle name="_Value Copy 11 30 05 gas 12 09 05 AURORA at 12 14 05_Rebuttal Power Costs_Electric Rev Req Model (2009 GRC) Rebuttal REmoval of New  WH Solar AdjustMI 2" xfId="2828"/>
    <cellStyle name="_Value Copy 11 30 05 gas 12 09 05 AURORA at 12 14 05_Rebuttal Power Costs_Electric Rev Req Model (2009 GRC) Revised 01-18-2010" xfId="1162"/>
    <cellStyle name="_Value Copy 11 30 05 gas 12 09 05 AURORA at 12 14 05_Rebuttal Power Costs_Electric Rev Req Model (2009 GRC) Revised 01-18-2010 2" xfId="2829"/>
    <cellStyle name="_Value Copy 11 30 05 gas 12 09 05 AURORA at 12 14 05_Rebuttal Power Costs_Final Order Electric EXHIBIT A-1" xfId="1163"/>
    <cellStyle name="_Value Copy 11 30 05 gas 12 09 05 AURORA at 12 14 05_Rebuttal Power Costs_Final Order Electric EXHIBIT A-1 2" xfId="2830"/>
    <cellStyle name="_Value Copy 11 30 05 gas 12 09 05 AURORA at 12 14 05_ROR 5.02" xfId="152"/>
    <cellStyle name="_Value Copy 11 30 05 gas 12 09 05 AURORA at 12 14 05_ROR 5.02 2" xfId="2831"/>
    <cellStyle name="_Value Copy 11 30 05 gas 12 09 05 AURORA at 12 14 05_Sch 40 Feeder OH 2008" xfId="1636"/>
    <cellStyle name="_Value Copy 11 30 05 gas 12 09 05 AURORA at 12 14 05_Sch 40 Feeder OH 2008 2" xfId="2832"/>
    <cellStyle name="_Value Copy 11 30 05 gas 12 09 05 AURORA at 12 14 05_Sch 40 Interim Energy Rates " xfId="1637"/>
    <cellStyle name="_Value Copy 11 30 05 gas 12 09 05 AURORA at 12 14 05_Sch 40 Interim Energy Rates  2" xfId="2833"/>
    <cellStyle name="_Value Copy 11 30 05 gas 12 09 05 AURORA at 12 14 05_Sch 40 Substation A&amp;G 2008" xfId="1638"/>
    <cellStyle name="_Value Copy 11 30 05 gas 12 09 05 AURORA at 12 14 05_Sch 40 Substation A&amp;G 2008 2" xfId="2834"/>
    <cellStyle name="_Value Copy 11 30 05 gas 12 09 05 AURORA at 12 14 05_Sch 40 Substation O&amp;M 2008" xfId="1639"/>
    <cellStyle name="_Value Copy 11 30 05 gas 12 09 05 AURORA at 12 14 05_Sch 40 Substation O&amp;M 2008 2" xfId="2835"/>
    <cellStyle name="_Value Copy 11 30 05 gas 12 09 05 AURORA at 12 14 05_Subs 2008" xfId="1640"/>
    <cellStyle name="_Value Copy 11 30 05 gas 12 09 05 AURORA at 12 14 05_Subs 2008 2" xfId="2836"/>
    <cellStyle name="_VC 6.15.06 update on 06GRC power costs.xls Chart 1" xfId="153"/>
    <cellStyle name="_VC 6.15.06 update on 06GRC power costs.xls Chart 1 2" xfId="1164"/>
    <cellStyle name="_VC 6.15.06 update on 06GRC power costs.xls Chart 1 2 2" xfId="2837"/>
    <cellStyle name="_VC 6.15.06 update on 06GRC power costs.xls Chart 1 3" xfId="1641"/>
    <cellStyle name="_VC 6.15.06 update on 06GRC power costs.xls Chart 1 3 2" xfId="2839"/>
    <cellStyle name="_VC 6.15.06 update on 06GRC power costs.xls Chart 1 3 3" xfId="2840"/>
    <cellStyle name="_VC 6.15.06 update on 06GRC power costs.xls Chart 1 3 4" xfId="2838"/>
    <cellStyle name="_VC 6.15.06 update on 06GRC power costs.xls Chart 1 4" xfId="2841"/>
    <cellStyle name="_VC 6.15.06 update on 06GRC power costs.xls Chart 1_04 07E Wild Horse Wind Expansion (C) (2)" xfId="154"/>
    <cellStyle name="_VC 6.15.06 update on 06GRC power costs.xls Chart 1_04 07E Wild Horse Wind Expansion (C) (2) 2" xfId="2842"/>
    <cellStyle name="_VC 6.15.06 update on 06GRC power costs.xls Chart 1_04 07E Wild Horse Wind Expansion (C) (2)_Adj Bench DR 3 for Initial Briefs (Electric)" xfId="1165"/>
    <cellStyle name="_VC 6.15.06 update on 06GRC power costs.xls Chart 1_04 07E Wild Horse Wind Expansion (C) (2)_Adj Bench DR 3 for Initial Briefs (Electric) 2" xfId="2843"/>
    <cellStyle name="_VC 6.15.06 update on 06GRC power costs.xls Chart 1_04 07E Wild Horse Wind Expansion (C) (2)_Electric Rev Req Model (2009 GRC) " xfId="1166"/>
    <cellStyle name="_VC 6.15.06 update on 06GRC power costs.xls Chart 1_04 07E Wild Horse Wind Expansion (C) (2)_Electric Rev Req Model (2009 GRC)  2" xfId="2844"/>
    <cellStyle name="_VC 6.15.06 update on 06GRC power costs.xls Chart 1_04 07E Wild Horse Wind Expansion (C) (2)_Electric Rev Req Model (2009 GRC) Rebuttal" xfId="1167"/>
    <cellStyle name="_VC 6.15.06 update on 06GRC power costs.xls Chart 1_04 07E Wild Horse Wind Expansion (C) (2)_Electric Rev Req Model (2009 GRC) Rebuttal 2" xfId="2845"/>
    <cellStyle name="_VC 6.15.06 update on 06GRC power costs.xls Chart 1_04 07E Wild Horse Wind Expansion (C) (2)_Electric Rev Req Model (2009 GRC) Rebuttal REmoval of New  WH Solar AdjustMI" xfId="1168"/>
    <cellStyle name="_VC 6.15.06 update on 06GRC power costs.xls Chart 1_04 07E Wild Horse Wind Expansion (C) (2)_Electric Rev Req Model (2009 GRC) Rebuttal REmoval of New  WH Solar AdjustMI 2" xfId="2846"/>
    <cellStyle name="_VC 6.15.06 update on 06GRC power costs.xls Chart 1_04 07E Wild Horse Wind Expansion (C) (2)_Electric Rev Req Model (2009 GRC) Revised 01-18-2010" xfId="1169"/>
    <cellStyle name="_VC 6.15.06 update on 06GRC power costs.xls Chart 1_04 07E Wild Horse Wind Expansion (C) (2)_Electric Rev Req Model (2009 GRC) Revised 01-18-2010 2" xfId="2847"/>
    <cellStyle name="_VC 6.15.06 update on 06GRC power costs.xls Chart 1_04 07E Wild Horse Wind Expansion (C) (2)_Final Order Electric EXHIBIT A-1" xfId="1170"/>
    <cellStyle name="_VC 6.15.06 update on 06GRC power costs.xls Chart 1_04 07E Wild Horse Wind Expansion (C) (2)_Final Order Electric EXHIBIT A-1 2" xfId="2848"/>
    <cellStyle name="_VC 6.15.06 update on 06GRC power costs.xls Chart 1_04 07E Wild Horse Wind Expansion (C) (2)_TENASKA REGULATORY ASSET" xfId="1171"/>
    <cellStyle name="_VC 6.15.06 update on 06GRC power costs.xls Chart 1_04 07E Wild Horse Wind Expansion (C) (2)_TENASKA REGULATORY ASSET 2" xfId="2849"/>
    <cellStyle name="_VC 6.15.06 update on 06GRC power costs.xls Chart 1_16.37E Wild Horse Expansion DeferralRevwrkingfile SF" xfId="1172"/>
    <cellStyle name="_VC 6.15.06 update on 06GRC power costs.xls Chart 1_16.37E Wild Horse Expansion DeferralRevwrkingfile SF 2" xfId="2850"/>
    <cellStyle name="_VC 6.15.06 update on 06GRC power costs.xls Chart 1_4 31 Regulatory Assets and Liabilities  7 06- Exhibit D" xfId="1173"/>
    <cellStyle name="_VC 6.15.06 update on 06GRC power costs.xls Chart 1_4 31 Regulatory Assets and Liabilities  7 06- Exhibit D 2" xfId="2851"/>
    <cellStyle name="_VC 6.15.06 update on 06GRC power costs.xls Chart 1_4 32 Regulatory Assets and Liabilities  7 06- Exhibit D" xfId="1174"/>
    <cellStyle name="_VC 6.15.06 update on 06GRC power costs.xls Chart 1_4 32 Regulatory Assets and Liabilities  7 06- Exhibit D 2" xfId="2852"/>
    <cellStyle name="_VC 6.15.06 update on 06GRC power costs.xls Chart 1_Book2" xfId="1175"/>
    <cellStyle name="_VC 6.15.06 update on 06GRC power costs.xls Chart 1_Book2 2" xfId="2853"/>
    <cellStyle name="_VC 6.15.06 update on 06GRC power costs.xls Chart 1_Book2_Adj Bench DR 3 for Initial Briefs (Electric)" xfId="1176"/>
    <cellStyle name="_VC 6.15.06 update on 06GRC power costs.xls Chart 1_Book2_Adj Bench DR 3 for Initial Briefs (Electric) 2" xfId="2854"/>
    <cellStyle name="_VC 6.15.06 update on 06GRC power costs.xls Chart 1_Book2_Electric Rev Req Model (2009 GRC) Rebuttal" xfId="1177"/>
    <cellStyle name="_VC 6.15.06 update on 06GRC power costs.xls Chart 1_Book2_Electric Rev Req Model (2009 GRC) Rebuttal 2" xfId="2855"/>
    <cellStyle name="_VC 6.15.06 update on 06GRC power costs.xls Chart 1_Book2_Electric Rev Req Model (2009 GRC) Rebuttal REmoval of New  WH Solar AdjustMI" xfId="1178"/>
    <cellStyle name="_VC 6.15.06 update on 06GRC power costs.xls Chart 1_Book2_Electric Rev Req Model (2009 GRC) Rebuttal REmoval of New  WH Solar AdjustMI 2" xfId="2856"/>
    <cellStyle name="_VC 6.15.06 update on 06GRC power costs.xls Chart 1_Book2_Electric Rev Req Model (2009 GRC) Revised 01-18-2010" xfId="1179"/>
    <cellStyle name="_VC 6.15.06 update on 06GRC power costs.xls Chart 1_Book2_Electric Rev Req Model (2009 GRC) Revised 01-18-2010 2" xfId="2857"/>
    <cellStyle name="_VC 6.15.06 update on 06GRC power costs.xls Chart 1_Book2_Final Order Electric EXHIBIT A-1" xfId="1180"/>
    <cellStyle name="_VC 6.15.06 update on 06GRC power costs.xls Chart 1_Book2_Final Order Electric EXHIBIT A-1 2" xfId="2858"/>
    <cellStyle name="_VC 6.15.06 update on 06GRC power costs.xls Chart 1_Book4" xfId="1181"/>
    <cellStyle name="_VC 6.15.06 update on 06GRC power costs.xls Chart 1_Book4 2" xfId="2859"/>
    <cellStyle name="_VC 6.15.06 update on 06GRC power costs.xls Chart 1_Book9" xfId="1182"/>
    <cellStyle name="_VC 6.15.06 update on 06GRC power costs.xls Chart 1_Book9 2" xfId="2860"/>
    <cellStyle name="_VC 6.15.06 update on 06GRC power costs.xls Chart 1_INPUTS" xfId="155"/>
    <cellStyle name="_VC 6.15.06 update on 06GRC power costs.xls Chart 1_INPUTS 2" xfId="2861"/>
    <cellStyle name="_VC 6.15.06 update on 06GRC power costs.xls Chart 1_Power Costs - Comparison bx Rbtl-Staff-Jt-PC" xfId="1183"/>
    <cellStyle name="_VC 6.15.06 update on 06GRC power costs.xls Chart 1_Power Costs - Comparison bx Rbtl-Staff-Jt-PC 2" xfId="2862"/>
    <cellStyle name="_VC 6.15.06 update on 06GRC power costs.xls Chart 1_Power Costs - Comparison bx Rbtl-Staff-Jt-PC_Adj Bench DR 3 for Initial Briefs (Electric)" xfId="1184"/>
    <cellStyle name="_VC 6.15.06 update on 06GRC power costs.xls Chart 1_Power Costs - Comparison bx Rbtl-Staff-Jt-PC_Adj Bench DR 3 for Initial Briefs (Electric) 2" xfId="2863"/>
    <cellStyle name="_VC 6.15.06 update on 06GRC power costs.xls Chart 1_Power Costs - Comparison bx Rbtl-Staff-Jt-PC_Electric Rev Req Model (2009 GRC) Rebuttal" xfId="1185"/>
    <cellStyle name="_VC 6.15.06 update on 06GRC power costs.xls Chart 1_Power Costs - Comparison bx Rbtl-Staff-Jt-PC_Electric Rev Req Model (2009 GRC) Rebuttal 2" xfId="2864"/>
    <cellStyle name="_VC 6.15.06 update on 06GRC power costs.xls Chart 1_Power Costs - Comparison bx Rbtl-Staff-Jt-PC_Electric Rev Req Model (2009 GRC) Rebuttal REmoval of New  WH Solar AdjustMI" xfId="1186"/>
    <cellStyle name="_VC 6.15.06 update on 06GRC power costs.xls Chart 1_Power Costs - Comparison bx Rbtl-Staff-Jt-PC_Electric Rev Req Model (2009 GRC) Rebuttal REmoval of New  WH Solar AdjustMI 2" xfId="2865"/>
    <cellStyle name="_VC 6.15.06 update on 06GRC power costs.xls Chart 1_Power Costs - Comparison bx Rbtl-Staff-Jt-PC_Electric Rev Req Model (2009 GRC) Revised 01-18-2010" xfId="1187"/>
    <cellStyle name="_VC 6.15.06 update on 06GRC power costs.xls Chart 1_Power Costs - Comparison bx Rbtl-Staff-Jt-PC_Electric Rev Req Model (2009 GRC) Revised 01-18-2010 2" xfId="2866"/>
    <cellStyle name="_VC 6.15.06 update on 06GRC power costs.xls Chart 1_Power Costs - Comparison bx Rbtl-Staff-Jt-PC_Final Order Electric EXHIBIT A-1" xfId="1188"/>
    <cellStyle name="_VC 6.15.06 update on 06GRC power costs.xls Chart 1_Power Costs - Comparison bx Rbtl-Staff-Jt-PC_Final Order Electric EXHIBIT A-1 2" xfId="2867"/>
    <cellStyle name="_VC 6.15.06 update on 06GRC power costs.xls Chart 1_Production Adj 4.37" xfId="156"/>
    <cellStyle name="_VC 6.15.06 update on 06GRC power costs.xls Chart 1_Production Adj 4.37 2" xfId="2868"/>
    <cellStyle name="_VC 6.15.06 update on 06GRC power costs.xls Chart 1_Purchased Power Adj 4.03" xfId="157"/>
    <cellStyle name="_VC 6.15.06 update on 06GRC power costs.xls Chart 1_Purchased Power Adj 4.03 2" xfId="2869"/>
    <cellStyle name="_VC 6.15.06 update on 06GRC power costs.xls Chart 1_Rebuttal Power Costs" xfId="1189"/>
    <cellStyle name="_VC 6.15.06 update on 06GRC power costs.xls Chart 1_Rebuttal Power Costs 2" xfId="2870"/>
    <cellStyle name="_VC 6.15.06 update on 06GRC power costs.xls Chart 1_Rebuttal Power Costs_Adj Bench DR 3 for Initial Briefs (Electric)" xfId="1190"/>
    <cellStyle name="_VC 6.15.06 update on 06GRC power costs.xls Chart 1_Rebuttal Power Costs_Adj Bench DR 3 for Initial Briefs (Electric) 2" xfId="2871"/>
    <cellStyle name="_VC 6.15.06 update on 06GRC power costs.xls Chart 1_Rebuttal Power Costs_Electric Rev Req Model (2009 GRC) Rebuttal" xfId="1191"/>
    <cellStyle name="_VC 6.15.06 update on 06GRC power costs.xls Chart 1_Rebuttal Power Costs_Electric Rev Req Model (2009 GRC) Rebuttal 2" xfId="2872"/>
    <cellStyle name="_VC 6.15.06 update on 06GRC power costs.xls Chart 1_Rebuttal Power Costs_Electric Rev Req Model (2009 GRC) Rebuttal REmoval of New  WH Solar AdjustMI" xfId="1192"/>
    <cellStyle name="_VC 6.15.06 update on 06GRC power costs.xls Chart 1_Rebuttal Power Costs_Electric Rev Req Model (2009 GRC) Rebuttal REmoval of New  WH Solar AdjustMI 2" xfId="2873"/>
    <cellStyle name="_VC 6.15.06 update on 06GRC power costs.xls Chart 1_Rebuttal Power Costs_Electric Rev Req Model (2009 GRC) Revised 01-18-2010" xfId="1193"/>
    <cellStyle name="_VC 6.15.06 update on 06GRC power costs.xls Chart 1_Rebuttal Power Costs_Electric Rev Req Model (2009 GRC) Revised 01-18-2010 2" xfId="2874"/>
    <cellStyle name="_VC 6.15.06 update on 06GRC power costs.xls Chart 1_Rebuttal Power Costs_Final Order Electric EXHIBIT A-1" xfId="1194"/>
    <cellStyle name="_VC 6.15.06 update on 06GRC power costs.xls Chart 1_Rebuttal Power Costs_Final Order Electric EXHIBIT A-1 2" xfId="2875"/>
    <cellStyle name="_VC 6.15.06 update on 06GRC power costs.xls Chart 1_ROR &amp; CONV FACTOR" xfId="158"/>
    <cellStyle name="_VC 6.15.06 update on 06GRC power costs.xls Chart 1_ROR &amp; CONV FACTOR 2" xfId="2876"/>
    <cellStyle name="_VC 6.15.06 update on 06GRC power costs.xls Chart 1_ROR 5.02" xfId="159"/>
    <cellStyle name="_VC 6.15.06 update on 06GRC power costs.xls Chart 1_ROR 5.02 2" xfId="2877"/>
    <cellStyle name="_VC 6.15.06 update on 06GRC power costs.xls Chart 2" xfId="160"/>
    <cellStyle name="_VC 6.15.06 update on 06GRC power costs.xls Chart 2 2" xfId="1195"/>
    <cellStyle name="_VC 6.15.06 update on 06GRC power costs.xls Chart 2 2 2" xfId="2878"/>
    <cellStyle name="_VC 6.15.06 update on 06GRC power costs.xls Chart 2 3" xfId="1642"/>
    <cellStyle name="_VC 6.15.06 update on 06GRC power costs.xls Chart 2 3 2" xfId="2880"/>
    <cellStyle name="_VC 6.15.06 update on 06GRC power costs.xls Chart 2 3 3" xfId="2881"/>
    <cellStyle name="_VC 6.15.06 update on 06GRC power costs.xls Chart 2 3 4" xfId="2879"/>
    <cellStyle name="_VC 6.15.06 update on 06GRC power costs.xls Chart 2 4" xfId="2882"/>
    <cellStyle name="_VC 6.15.06 update on 06GRC power costs.xls Chart 2_04 07E Wild Horse Wind Expansion (C) (2)" xfId="161"/>
    <cellStyle name="_VC 6.15.06 update on 06GRC power costs.xls Chart 2_04 07E Wild Horse Wind Expansion (C) (2) 2" xfId="2883"/>
    <cellStyle name="_VC 6.15.06 update on 06GRC power costs.xls Chart 2_04 07E Wild Horse Wind Expansion (C) (2)_Adj Bench DR 3 for Initial Briefs (Electric)" xfId="1196"/>
    <cellStyle name="_VC 6.15.06 update on 06GRC power costs.xls Chart 2_04 07E Wild Horse Wind Expansion (C) (2)_Adj Bench DR 3 for Initial Briefs (Electric) 2" xfId="2884"/>
    <cellStyle name="_VC 6.15.06 update on 06GRC power costs.xls Chart 2_04 07E Wild Horse Wind Expansion (C) (2)_Electric Rev Req Model (2009 GRC) " xfId="1197"/>
    <cellStyle name="_VC 6.15.06 update on 06GRC power costs.xls Chart 2_04 07E Wild Horse Wind Expansion (C) (2)_Electric Rev Req Model (2009 GRC)  2" xfId="2885"/>
    <cellStyle name="_VC 6.15.06 update on 06GRC power costs.xls Chart 2_04 07E Wild Horse Wind Expansion (C) (2)_Electric Rev Req Model (2009 GRC) Rebuttal" xfId="1198"/>
    <cellStyle name="_VC 6.15.06 update on 06GRC power costs.xls Chart 2_04 07E Wild Horse Wind Expansion (C) (2)_Electric Rev Req Model (2009 GRC) Rebuttal 2" xfId="2886"/>
    <cellStyle name="_VC 6.15.06 update on 06GRC power costs.xls Chart 2_04 07E Wild Horse Wind Expansion (C) (2)_Electric Rev Req Model (2009 GRC) Rebuttal REmoval of New  WH Solar AdjustMI" xfId="1199"/>
    <cellStyle name="_VC 6.15.06 update on 06GRC power costs.xls Chart 2_04 07E Wild Horse Wind Expansion (C) (2)_Electric Rev Req Model (2009 GRC) Rebuttal REmoval of New  WH Solar AdjustMI 2" xfId="2887"/>
    <cellStyle name="_VC 6.15.06 update on 06GRC power costs.xls Chart 2_04 07E Wild Horse Wind Expansion (C) (2)_Electric Rev Req Model (2009 GRC) Revised 01-18-2010" xfId="1200"/>
    <cellStyle name="_VC 6.15.06 update on 06GRC power costs.xls Chart 2_04 07E Wild Horse Wind Expansion (C) (2)_Electric Rev Req Model (2009 GRC) Revised 01-18-2010 2" xfId="2888"/>
    <cellStyle name="_VC 6.15.06 update on 06GRC power costs.xls Chart 2_04 07E Wild Horse Wind Expansion (C) (2)_Final Order Electric EXHIBIT A-1" xfId="1201"/>
    <cellStyle name="_VC 6.15.06 update on 06GRC power costs.xls Chart 2_04 07E Wild Horse Wind Expansion (C) (2)_Final Order Electric EXHIBIT A-1 2" xfId="2889"/>
    <cellStyle name="_VC 6.15.06 update on 06GRC power costs.xls Chart 2_04 07E Wild Horse Wind Expansion (C) (2)_TENASKA REGULATORY ASSET" xfId="1202"/>
    <cellStyle name="_VC 6.15.06 update on 06GRC power costs.xls Chart 2_04 07E Wild Horse Wind Expansion (C) (2)_TENASKA REGULATORY ASSET 2" xfId="2890"/>
    <cellStyle name="_VC 6.15.06 update on 06GRC power costs.xls Chart 2_16.37E Wild Horse Expansion DeferralRevwrkingfile SF" xfId="1203"/>
    <cellStyle name="_VC 6.15.06 update on 06GRC power costs.xls Chart 2_16.37E Wild Horse Expansion DeferralRevwrkingfile SF 2" xfId="2891"/>
    <cellStyle name="_VC 6.15.06 update on 06GRC power costs.xls Chart 2_4 31 Regulatory Assets and Liabilities  7 06- Exhibit D" xfId="1204"/>
    <cellStyle name="_VC 6.15.06 update on 06GRC power costs.xls Chart 2_4 31 Regulatory Assets and Liabilities  7 06- Exhibit D 2" xfId="2892"/>
    <cellStyle name="_VC 6.15.06 update on 06GRC power costs.xls Chart 2_4 32 Regulatory Assets and Liabilities  7 06- Exhibit D" xfId="1205"/>
    <cellStyle name="_VC 6.15.06 update on 06GRC power costs.xls Chart 2_4 32 Regulatory Assets and Liabilities  7 06- Exhibit D 2" xfId="2893"/>
    <cellStyle name="_VC 6.15.06 update on 06GRC power costs.xls Chart 2_Book2" xfId="1206"/>
    <cellStyle name="_VC 6.15.06 update on 06GRC power costs.xls Chart 2_Book2 2" xfId="2894"/>
    <cellStyle name="_VC 6.15.06 update on 06GRC power costs.xls Chart 2_Book2_Adj Bench DR 3 for Initial Briefs (Electric)" xfId="1207"/>
    <cellStyle name="_VC 6.15.06 update on 06GRC power costs.xls Chart 2_Book2_Adj Bench DR 3 for Initial Briefs (Electric) 2" xfId="2895"/>
    <cellStyle name="_VC 6.15.06 update on 06GRC power costs.xls Chart 2_Book2_Electric Rev Req Model (2009 GRC) Rebuttal" xfId="1208"/>
    <cellStyle name="_VC 6.15.06 update on 06GRC power costs.xls Chart 2_Book2_Electric Rev Req Model (2009 GRC) Rebuttal 2" xfId="2896"/>
    <cellStyle name="_VC 6.15.06 update on 06GRC power costs.xls Chart 2_Book2_Electric Rev Req Model (2009 GRC) Rebuttal REmoval of New  WH Solar AdjustMI" xfId="1209"/>
    <cellStyle name="_VC 6.15.06 update on 06GRC power costs.xls Chart 2_Book2_Electric Rev Req Model (2009 GRC) Rebuttal REmoval of New  WH Solar AdjustMI 2" xfId="2897"/>
    <cellStyle name="_VC 6.15.06 update on 06GRC power costs.xls Chart 2_Book2_Electric Rev Req Model (2009 GRC) Revised 01-18-2010" xfId="1210"/>
    <cellStyle name="_VC 6.15.06 update on 06GRC power costs.xls Chart 2_Book2_Electric Rev Req Model (2009 GRC) Revised 01-18-2010 2" xfId="2898"/>
    <cellStyle name="_VC 6.15.06 update on 06GRC power costs.xls Chart 2_Book2_Final Order Electric EXHIBIT A-1" xfId="1211"/>
    <cellStyle name="_VC 6.15.06 update on 06GRC power costs.xls Chart 2_Book2_Final Order Electric EXHIBIT A-1 2" xfId="2899"/>
    <cellStyle name="_VC 6.15.06 update on 06GRC power costs.xls Chart 2_Book4" xfId="1212"/>
    <cellStyle name="_VC 6.15.06 update on 06GRC power costs.xls Chart 2_Book4 2" xfId="2900"/>
    <cellStyle name="_VC 6.15.06 update on 06GRC power costs.xls Chart 2_Book9" xfId="1213"/>
    <cellStyle name="_VC 6.15.06 update on 06GRC power costs.xls Chart 2_Book9 2" xfId="2901"/>
    <cellStyle name="_VC 6.15.06 update on 06GRC power costs.xls Chart 2_INPUTS" xfId="162"/>
    <cellStyle name="_VC 6.15.06 update on 06GRC power costs.xls Chart 2_INPUTS 2" xfId="2902"/>
    <cellStyle name="_VC 6.15.06 update on 06GRC power costs.xls Chart 2_Power Costs - Comparison bx Rbtl-Staff-Jt-PC" xfId="1214"/>
    <cellStyle name="_VC 6.15.06 update on 06GRC power costs.xls Chart 2_Power Costs - Comparison bx Rbtl-Staff-Jt-PC 2" xfId="2903"/>
    <cellStyle name="_VC 6.15.06 update on 06GRC power costs.xls Chart 2_Power Costs - Comparison bx Rbtl-Staff-Jt-PC_Adj Bench DR 3 for Initial Briefs (Electric)" xfId="1215"/>
    <cellStyle name="_VC 6.15.06 update on 06GRC power costs.xls Chart 2_Power Costs - Comparison bx Rbtl-Staff-Jt-PC_Adj Bench DR 3 for Initial Briefs (Electric) 2" xfId="2904"/>
    <cellStyle name="_VC 6.15.06 update on 06GRC power costs.xls Chart 2_Power Costs - Comparison bx Rbtl-Staff-Jt-PC_Electric Rev Req Model (2009 GRC) Rebuttal" xfId="1216"/>
    <cellStyle name="_VC 6.15.06 update on 06GRC power costs.xls Chart 2_Power Costs - Comparison bx Rbtl-Staff-Jt-PC_Electric Rev Req Model (2009 GRC) Rebuttal 2" xfId="2905"/>
    <cellStyle name="_VC 6.15.06 update on 06GRC power costs.xls Chart 2_Power Costs - Comparison bx Rbtl-Staff-Jt-PC_Electric Rev Req Model (2009 GRC) Rebuttal REmoval of New  WH Solar AdjustMI" xfId="1217"/>
    <cellStyle name="_VC 6.15.06 update on 06GRC power costs.xls Chart 2_Power Costs - Comparison bx Rbtl-Staff-Jt-PC_Electric Rev Req Model (2009 GRC) Rebuttal REmoval of New  WH Solar AdjustMI 2" xfId="2906"/>
    <cellStyle name="_VC 6.15.06 update on 06GRC power costs.xls Chart 2_Power Costs - Comparison bx Rbtl-Staff-Jt-PC_Electric Rev Req Model (2009 GRC) Revised 01-18-2010" xfId="1218"/>
    <cellStyle name="_VC 6.15.06 update on 06GRC power costs.xls Chart 2_Power Costs - Comparison bx Rbtl-Staff-Jt-PC_Electric Rev Req Model (2009 GRC) Revised 01-18-2010 2" xfId="2907"/>
    <cellStyle name="_VC 6.15.06 update on 06GRC power costs.xls Chart 2_Power Costs - Comparison bx Rbtl-Staff-Jt-PC_Final Order Electric EXHIBIT A-1" xfId="1219"/>
    <cellStyle name="_VC 6.15.06 update on 06GRC power costs.xls Chart 2_Power Costs - Comparison bx Rbtl-Staff-Jt-PC_Final Order Electric EXHIBIT A-1 2" xfId="2908"/>
    <cellStyle name="_VC 6.15.06 update on 06GRC power costs.xls Chart 2_Production Adj 4.37" xfId="163"/>
    <cellStyle name="_VC 6.15.06 update on 06GRC power costs.xls Chart 2_Production Adj 4.37 2" xfId="2909"/>
    <cellStyle name="_VC 6.15.06 update on 06GRC power costs.xls Chart 2_Purchased Power Adj 4.03" xfId="164"/>
    <cellStyle name="_VC 6.15.06 update on 06GRC power costs.xls Chart 2_Purchased Power Adj 4.03 2" xfId="2910"/>
    <cellStyle name="_VC 6.15.06 update on 06GRC power costs.xls Chart 2_Rebuttal Power Costs" xfId="1220"/>
    <cellStyle name="_VC 6.15.06 update on 06GRC power costs.xls Chart 2_Rebuttal Power Costs 2" xfId="2911"/>
    <cellStyle name="_VC 6.15.06 update on 06GRC power costs.xls Chart 2_Rebuttal Power Costs_Adj Bench DR 3 for Initial Briefs (Electric)" xfId="1221"/>
    <cellStyle name="_VC 6.15.06 update on 06GRC power costs.xls Chart 2_Rebuttal Power Costs_Adj Bench DR 3 for Initial Briefs (Electric) 2" xfId="2912"/>
    <cellStyle name="_VC 6.15.06 update on 06GRC power costs.xls Chart 2_Rebuttal Power Costs_Electric Rev Req Model (2009 GRC) Rebuttal" xfId="1222"/>
    <cellStyle name="_VC 6.15.06 update on 06GRC power costs.xls Chart 2_Rebuttal Power Costs_Electric Rev Req Model (2009 GRC) Rebuttal 2" xfId="2913"/>
    <cellStyle name="_VC 6.15.06 update on 06GRC power costs.xls Chart 2_Rebuttal Power Costs_Electric Rev Req Model (2009 GRC) Rebuttal REmoval of New  WH Solar AdjustMI" xfId="1223"/>
    <cellStyle name="_VC 6.15.06 update on 06GRC power costs.xls Chart 2_Rebuttal Power Costs_Electric Rev Req Model (2009 GRC) Rebuttal REmoval of New  WH Solar AdjustMI 2" xfId="2914"/>
    <cellStyle name="_VC 6.15.06 update on 06GRC power costs.xls Chart 2_Rebuttal Power Costs_Electric Rev Req Model (2009 GRC) Revised 01-18-2010" xfId="1224"/>
    <cellStyle name="_VC 6.15.06 update on 06GRC power costs.xls Chart 2_Rebuttal Power Costs_Electric Rev Req Model (2009 GRC) Revised 01-18-2010 2" xfId="2915"/>
    <cellStyle name="_VC 6.15.06 update on 06GRC power costs.xls Chart 2_Rebuttal Power Costs_Final Order Electric EXHIBIT A-1" xfId="1225"/>
    <cellStyle name="_VC 6.15.06 update on 06GRC power costs.xls Chart 2_Rebuttal Power Costs_Final Order Electric EXHIBIT A-1 2" xfId="2916"/>
    <cellStyle name="_VC 6.15.06 update on 06GRC power costs.xls Chart 2_ROR &amp; CONV FACTOR" xfId="165"/>
    <cellStyle name="_VC 6.15.06 update on 06GRC power costs.xls Chart 2_ROR &amp; CONV FACTOR 2" xfId="2917"/>
    <cellStyle name="_VC 6.15.06 update on 06GRC power costs.xls Chart 2_ROR 5.02" xfId="166"/>
    <cellStyle name="_VC 6.15.06 update on 06GRC power costs.xls Chart 2_ROR 5.02 2" xfId="2918"/>
    <cellStyle name="_VC 6.15.06 update on 06GRC power costs.xls Chart 3" xfId="167"/>
    <cellStyle name="_VC 6.15.06 update on 06GRC power costs.xls Chart 3 2" xfId="1226"/>
    <cellStyle name="_VC 6.15.06 update on 06GRC power costs.xls Chart 3 2 2" xfId="2919"/>
    <cellStyle name="_VC 6.15.06 update on 06GRC power costs.xls Chart 3 3" xfId="1643"/>
    <cellStyle name="_VC 6.15.06 update on 06GRC power costs.xls Chart 3 3 2" xfId="2921"/>
    <cellStyle name="_VC 6.15.06 update on 06GRC power costs.xls Chart 3 3 3" xfId="2922"/>
    <cellStyle name="_VC 6.15.06 update on 06GRC power costs.xls Chart 3 3 4" xfId="2920"/>
    <cellStyle name="_VC 6.15.06 update on 06GRC power costs.xls Chart 3 4" xfId="2923"/>
    <cellStyle name="_VC 6.15.06 update on 06GRC power costs.xls Chart 3_04 07E Wild Horse Wind Expansion (C) (2)" xfId="168"/>
    <cellStyle name="_VC 6.15.06 update on 06GRC power costs.xls Chart 3_04 07E Wild Horse Wind Expansion (C) (2) 2" xfId="2924"/>
    <cellStyle name="_VC 6.15.06 update on 06GRC power costs.xls Chart 3_04 07E Wild Horse Wind Expansion (C) (2)_Adj Bench DR 3 for Initial Briefs (Electric)" xfId="1227"/>
    <cellStyle name="_VC 6.15.06 update on 06GRC power costs.xls Chart 3_04 07E Wild Horse Wind Expansion (C) (2)_Adj Bench DR 3 for Initial Briefs (Electric) 2" xfId="2925"/>
    <cellStyle name="_VC 6.15.06 update on 06GRC power costs.xls Chart 3_04 07E Wild Horse Wind Expansion (C) (2)_Electric Rev Req Model (2009 GRC) " xfId="1228"/>
    <cellStyle name="_VC 6.15.06 update on 06GRC power costs.xls Chart 3_04 07E Wild Horse Wind Expansion (C) (2)_Electric Rev Req Model (2009 GRC)  2" xfId="2926"/>
    <cellStyle name="_VC 6.15.06 update on 06GRC power costs.xls Chart 3_04 07E Wild Horse Wind Expansion (C) (2)_Electric Rev Req Model (2009 GRC) Rebuttal" xfId="1229"/>
    <cellStyle name="_VC 6.15.06 update on 06GRC power costs.xls Chart 3_04 07E Wild Horse Wind Expansion (C) (2)_Electric Rev Req Model (2009 GRC) Rebuttal 2" xfId="2927"/>
    <cellStyle name="_VC 6.15.06 update on 06GRC power costs.xls Chart 3_04 07E Wild Horse Wind Expansion (C) (2)_Electric Rev Req Model (2009 GRC) Rebuttal REmoval of New  WH Solar AdjustMI" xfId="1230"/>
    <cellStyle name="_VC 6.15.06 update on 06GRC power costs.xls Chart 3_04 07E Wild Horse Wind Expansion (C) (2)_Electric Rev Req Model (2009 GRC) Rebuttal REmoval of New  WH Solar AdjustMI 2" xfId="2928"/>
    <cellStyle name="_VC 6.15.06 update on 06GRC power costs.xls Chart 3_04 07E Wild Horse Wind Expansion (C) (2)_Electric Rev Req Model (2009 GRC) Revised 01-18-2010" xfId="1231"/>
    <cellStyle name="_VC 6.15.06 update on 06GRC power costs.xls Chart 3_04 07E Wild Horse Wind Expansion (C) (2)_Electric Rev Req Model (2009 GRC) Revised 01-18-2010 2" xfId="2929"/>
    <cellStyle name="_VC 6.15.06 update on 06GRC power costs.xls Chart 3_04 07E Wild Horse Wind Expansion (C) (2)_Final Order Electric EXHIBIT A-1" xfId="1232"/>
    <cellStyle name="_VC 6.15.06 update on 06GRC power costs.xls Chart 3_04 07E Wild Horse Wind Expansion (C) (2)_Final Order Electric EXHIBIT A-1 2" xfId="2930"/>
    <cellStyle name="_VC 6.15.06 update on 06GRC power costs.xls Chart 3_04 07E Wild Horse Wind Expansion (C) (2)_TENASKA REGULATORY ASSET" xfId="1233"/>
    <cellStyle name="_VC 6.15.06 update on 06GRC power costs.xls Chart 3_04 07E Wild Horse Wind Expansion (C) (2)_TENASKA REGULATORY ASSET 2" xfId="2931"/>
    <cellStyle name="_VC 6.15.06 update on 06GRC power costs.xls Chart 3_16.37E Wild Horse Expansion DeferralRevwrkingfile SF" xfId="1234"/>
    <cellStyle name="_VC 6.15.06 update on 06GRC power costs.xls Chart 3_16.37E Wild Horse Expansion DeferralRevwrkingfile SF 2" xfId="2932"/>
    <cellStyle name="_VC 6.15.06 update on 06GRC power costs.xls Chart 3_4 31 Regulatory Assets and Liabilities  7 06- Exhibit D" xfId="1235"/>
    <cellStyle name="_VC 6.15.06 update on 06GRC power costs.xls Chart 3_4 31 Regulatory Assets and Liabilities  7 06- Exhibit D 2" xfId="2933"/>
    <cellStyle name="_VC 6.15.06 update on 06GRC power costs.xls Chart 3_4 32 Regulatory Assets and Liabilities  7 06- Exhibit D" xfId="1236"/>
    <cellStyle name="_VC 6.15.06 update on 06GRC power costs.xls Chart 3_4 32 Regulatory Assets and Liabilities  7 06- Exhibit D 2" xfId="2934"/>
    <cellStyle name="_VC 6.15.06 update on 06GRC power costs.xls Chart 3_Book2" xfId="1237"/>
    <cellStyle name="_VC 6.15.06 update on 06GRC power costs.xls Chart 3_Book2 2" xfId="2935"/>
    <cellStyle name="_VC 6.15.06 update on 06GRC power costs.xls Chart 3_Book2_Adj Bench DR 3 for Initial Briefs (Electric)" xfId="1238"/>
    <cellStyle name="_VC 6.15.06 update on 06GRC power costs.xls Chart 3_Book2_Adj Bench DR 3 for Initial Briefs (Electric) 2" xfId="2936"/>
    <cellStyle name="_VC 6.15.06 update on 06GRC power costs.xls Chart 3_Book2_Electric Rev Req Model (2009 GRC) Rebuttal" xfId="1239"/>
    <cellStyle name="_VC 6.15.06 update on 06GRC power costs.xls Chart 3_Book2_Electric Rev Req Model (2009 GRC) Rebuttal 2" xfId="2937"/>
    <cellStyle name="_VC 6.15.06 update on 06GRC power costs.xls Chart 3_Book2_Electric Rev Req Model (2009 GRC) Rebuttal REmoval of New  WH Solar AdjustMI" xfId="1240"/>
    <cellStyle name="_VC 6.15.06 update on 06GRC power costs.xls Chart 3_Book2_Electric Rev Req Model (2009 GRC) Rebuttal REmoval of New  WH Solar AdjustMI 2" xfId="2938"/>
    <cellStyle name="_VC 6.15.06 update on 06GRC power costs.xls Chart 3_Book2_Electric Rev Req Model (2009 GRC) Revised 01-18-2010" xfId="1241"/>
    <cellStyle name="_VC 6.15.06 update on 06GRC power costs.xls Chart 3_Book2_Electric Rev Req Model (2009 GRC) Revised 01-18-2010 2" xfId="2939"/>
    <cellStyle name="_VC 6.15.06 update on 06GRC power costs.xls Chart 3_Book2_Final Order Electric EXHIBIT A-1" xfId="1242"/>
    <cellStyle name="_VC 6.15.06 update on 06GRC power costs.xls Chart 3_Book2_Final Order Electric EXHIBIT A-1 2" xfId="2940"/>
    <cellStyle name="_VC 6.15.06 update on 06GRC power costs.xls Chart 3_Book4" xfId="1243"/>
    <cellStyle name="_VC 6.15.06 update on 06GRC power costs.xls Chart 3_Book4 2" xfId="2941"/>
    <cellStyle name="_VC 6.15.06 update on 06GRC power costs.xls Chart 3_Book9" xfId="1244"/>
    <cellStyle name="_VC 6.15.06 update on 06GRC power costs.xls Chart 3_Book9 2" xfId="2942"/>
    <cellStyle name="_VC 6.15.06 update on 06GRC power costs.xls Chart 3_INPUTS" xfId="169"/>
    <cellStyle name="_VC 6.15.06 update on 06GRC power costs.xls Chart 3_INPUTS 2" xfId="2943"/>
    <cellStyle name="_VC 6.15.06 update on 06GRC power costs.xls Chart 3_Power Costs - Comparison bx Rbtl-Staff-Jt-PC" xfId="1245"/>
    <cellStyle name="_VC 6.15.06 update on 06GRC power costs.xls Chart 3_Power Costs - Comparison bx Rbtl-Staff-Jt-PC 2" xfId="2944"/>
    <cellStyle name="_VC 6.15.06 update on 06GRC power costs.xls Chart 3_Power Costs - Comparison bx Rbtl-Staff-Jt-PC_Adj Bench DR 3 for Initial Briefs (Electric)" xfId="1246"/>
    <cellStyle name="_VC 6.15.06 update on 06GRC power costs.xls Chart 3_Power Costs - Comparison bx Rbtl-Staff-Jt-PC_Adj Bench DR 3 for Initial Briefs (Electric) 2" xfId="2945"/>
    <cellStyle name="_VC 6.15.06 update on 06GRC power costs.xls Chart 3_Power Costs - Comparison bx Rbtl-Staff-Jt-PC_Electric Rev Req Model (2009 GRC) Rebuttal" xfId="1247"/>
    <cellStyle name="_VC 6.15.06 update on 06GRC power costs.xls Chart 3_Power Costs - Comparison bx Rbtl-Staff-Jt-PC_Electric Rev Req Model (2009 GRC) Rebuttal 2" xfId="2946"/>
    <cellStyle name="_VC 6.15.06 update on 06GRC power costs.xls Chart 3_Power Costs - Comparison bx Rbtl-Staff-Jt-PC_Electric Rev Req Model (2009 GRC) Rebuttal REmoval of New  WH Solar AdjustMI" xfId="1248"/>
    <cellStyle name="_VC 6.15.06 update on 06GRC power costs.xls Chart 3_Power Costs - Comparison bx Rbtl-Staff-Jt-PC_Electric Rev Req Model (2009 GRC) Rebuttal REmoval of New  WH Solar AdjustMI 2" xfId="2947"/>
    <cellStyle name="_VC 6.15.06 update on 06GRC power costs.xls Chart 3_Power Costs - Comparison bx Rbtl-Staff-Jt-PC_Electric Rev Req Model (2009 GRC) Revised 01-18-2010" xfId="1249"/>
    <cellStyle name="_VC 6.15.06 update on 06GRC power costs.xls Chart 3_Power Costs - Comparison bx Rbtl-Staff-Jt-PC_Electric Rev Req Model (2009 GRC) Revised 01-18-2010 2" xfId="2948"/>
    <cellStyle name="_VC 6.15.06 update on 06GRC power costs.xls Chart 3_Power Costs - Comparison bx Rbtl-Staff-Jt-PC_Final Order Electric EXHIBIT A-1" xfId="1250"/>
    <cellStyle name="_VC 6.15.06 update on 06GRC power costs.xls Chart 3_Power Costs - Comparison bx Rbtl-Staff-Jt-PC_Final Order Electric EXHIBIT A-1 2" xfId="2949"/>
    <cellStyle name="_VC 6.15.06 update on 06GRC power costs.xls Chart 3_Production Adj 4.37" xfId="170"/>
    <cellStyle name="_VC 6.15.06 update on 06GRC power costs.xls Chart 3_Production Adj 4.37 2" xfId="2950"/>
    <cellStyle name="_VC 6.15.06 update on 06GRC power costs.xls Chart 3_Purchased Power Adj 4.03" xfId="171"/>
    <cellStyle name="_VC 6.15.06 update on 06GRC power costs.xls Chart 3_Purchased Power Adj 4.03 2" xfId="2951"/>
    <cellStyle name="_VC 6.15.06 update on 06GRC power costs.xls Chart 3_Rebuttal Power Costs" xfId="1251"/>
    <cellStyle name="_VC 6.15.06 update on 06GRC power costs.xls Chart 3_Rebuttal Power Costs 2" xfId="2952"/>
    <cellStyle name="_VC 6.15.06 update on 06GRC power costs.xls Chart 3_Rebuttal Power Costs_Adj Bench DR 3 for Initial Briefs (Electric)" xfId="1252"/>
    <cellStyle name="_VC 6.15.06 update on 06GRC power costs.xls Chart 3_Rebuttal Power Costs_Adj Bench DR 3 for Initial Briefs (Electric) 2" xfId="2953"/>
    <cellStyle name="_VC 6.15.06 update on 06GRC power costs.xls Chart 3_Rebuttal Power Costs_Electric Rev Req Model (2009 GRC) Rebuttal" xfId="1253"/>
    <cellStyle name="_VC 6.15.06 update on 06GRC power costs.xls Chart 3_Rebuttal Power Costs_Electric Rev Req Model (2009 GRC) Rebuttal 2" xfId="2954"/>
    <cellStyle name="_VC 6.15.06 update on 06GRC power costs.xls Chart 3_Rebuttal Power Costs_Electric Rev Req Model (2009 GRC) Rebuttal REmoval of New  WH Solar AdjustMI" xfId="1254"/>
    <cellStyle name="_VC 6.15.06 update on 06GRC power costs.xls Chart 3_Rebuttal Power Costs_Electric Rev Req Model (2009 GRC) Rebuttal REmoval of New  WH Solar AdjustMI 2" xfId="2955"/>
    <cellStyle name="_VC 6.15.06 update on 06GRC power costs.xls Chart 3_Rebuttal Power Costs_Electric Rev Req Model (2009 GRC) Revised 01-18-2010" xfId="1255"/>
    <cellStyle name="_VC 6.15.06 update on 06GRC power costs.xls Chart 3_Rebuttal Power Costs_Electric Rev Req Model (2009 GRC) Revised 01-18-2010 2" xfId="2956"/>
    <cellStyle name="_VC 6.15.06 update on 06GRC power costs.xls Chart 3_Rebuttal Power Costs_Final Order Electric EXHIBIT A-1" xfId="1256"/>
    <cellStyle name="_VC 6.15.06 update on 06GRC power costs.xls Chart 3_Rebuttal Power Costs_Final Order Electric EXHIBIT A-1 2" xfId="2957"/>
    <cellStyle name="_VC 6.15.06 update on 06GRC power costs.xls Chart 3_ROR &amp; CONV FACTOR" xfId="172"/>
    <cellStyle name="_VC 6.15.06 update on 06GRC power costs.xls Chart 3_ROR &amp; CONV FACTOR 2" xfId="2958"/>
    <cellStyle name="_VC 6.15.06 update on 06GRC power costs.xls Chart 3_ROR 5.02" xfId="173"/>
    <cellStyle name="_VC 6.15.06 update on 06GRC power costs.xls Chart 3_ROR 5.02 2" xfId="2959"/>
    <cellStyle name="0,0_x000d__x000a_NA_x000d__x000a_" xfId="174"/>
    <cellStyle name="20% - Accent1 2" xfId="175"/>
    <cellStyle name="20% - Accent1 2 2" xfId="1257"/>
    <cellStyle name="20% - Accent1 3" xfId="176"/>
    <cellStyle name="20% - Accent1 4" xfId="1258"/>
    <cellStyle name="20% - Accent1 4 2" xfId="1644"/>
    <cellStyle name="20% - Accent1 4 2 2" xfId="2961"/>
    <cellStyle name="20% - Accent1 4 2 3" xfId="3563"/>
    <cellStyle name="20% - Accent1 4 3" xfId="2962"/>
    <cellStyle name="20% - Accent1 4 3 2" xfId="3564"/>
    <cellStyle name="20% - Accent1 4 4" xfId="2960"/>
    <cellStyle name="20% - Accent1 4 5" xfId="3562"/>
    <cellStyle name="20% - Accent2 2" xfId="177"/>
    <cellStyle name="20% - Accent2 2 2" xfId="1259"/>
    <cellStyle name="20% - Accent2 3" xfId="178"/>
    <cellStyle name="20% - Accent2 4" xfId="1260"/>
    <cellStyle name="20% - Accent2 4 2" xfId="1645"/>
    <cellStyle name="20% - Accent2 4 2 2" xfId="2964"/>
    <cellStyle name="20% - Accent2 4 2 3" xfId="3566"/>
    <cellStyle name="20% - Accent2 4 3" xfId="2965"/>
    <cellStyle name="20% - Accent2 4 3 2" xfId="3567"/>
    <cellStyle name="20% - Accent2 4 4" xfId="2963"/>
    <cellStyle name="20% - Accent2 4 5" xfId="3565"/>
    <cellStyle name="20% - Accent3 2" xfId="179"/>
    <cellStyle name="20% - Accent3 2 2" xfId="1261"/>
    <cellStyle name="20% - Accent3 3" xfId="180"/>
    <cellStyle name="20% - Accent3 4" xfId="1262"/>
    <cellStyle name="20% - Accent3 4 2" xfId="1646"/>
    <cellStyle name="20% - Accent3 4 2 2" xfId="2967"/>
    <cellStyle name="20% - Accent3 4 2 3" xfId="3569"/>
    <cellStyle name="20% - Accent3 4 3" xfId="2968"/>
    <cellStyle name="20% - Accent3 4 3 2" xfId="3570"/>
    <cellStyle name="20% - Accent3 4 4" xfId="2966"/>
    <cellStyle name="20% - Accent3 4 5" xfId="3568"/>
    <cellStyle name="20% - Accent4 2" xfId="181"/>
    <cellStyle name="20% - Accent4 2 2" xfId="1263"/>
    <cellStyle name="20% - Accent4 3" xfId="182"/>
    <cellStyle name="20% - Accent4 4" xfId="1264"/>
    <cellStyle name="20% - Accent4 4 2" xfId="1647"/>
    <cellStyle name="20% - Accent4 4 2 2" xfId="2970"/>
    <cellStyle name="20% - Accent4 4 2 3" xfId="3572"/>
    <cellStyle name="20% - Accent4 4 3" xfId="2971"/>
    <cellStyle name="20% - Accent4 4 3 2" xfId="3573"/>
    <cellStyle name="20% - Accent4 4 4" xfId="2969"/>
    <cellStyle name="20% - Accent4 4 5" xfId="3571"/>
    <cellStyle name="20% - Accent5" xfId="369" builtinId="46" customBuiltin="1"/>
    <cellStyle name="20% - Accent5 2" xfId="183"/>
    <cellStyle name="20% - Accent5 2 2" xfId="1265"/>
    <cellStyle name="20% - Accent5 3" xfId="184"/>
    <cellStyle name="20% - Accent5 4" xfId="1648"/>
    <cellStyle name="20% - Accent5 4 2" xfId="2973"/>
    <cellStyle name="20% - Accent5 4 3" xfId="3575"/>
    <cellStyle name="20% - Accent5 5" xfId="2974"/>
    <cellStyle name="20% - Accent5 5 2" xfId="3576"/>
    <cellStyle name="20% - Accent5 6" xfId="2975"/>
    <cellStyle name="20% - Accent5 6 2" xfId="3577"/>
    <cellStyle name="20% - Accent5 7" xfId="2972"/>
    <cellStyle name="20% - Accent5 8" xfId="3574"/>
    <cellStyle name="20% - Accent6 2" xfId="185"/>
    <cellStyle name="20% - Accent6 2 2" xfId="1266"/>
    <cellStyle name="20% - Accent6 3" xfId="186"/>
    <cellStyle name="20% - Accent6 4" xfId="1267"/>
    <cellStyle name="20% - Accent6 4 2" xfId="1649"/>
    <cellStyle name="20% - Accent6 4 2 2" xfId="2977"/>
    <cellStyle name="20% - Accent6 4 2 3" xfId="3579"/>
    <cellStyle name="20% - Accent6 4 3" xfId="2978"/>
    <cellStyle name="20% - Accent6 4 3 2" xfId="3580"/>
    <cellStyle name="20% - Accent6 4 4" xfId="2976"/>
    <cellStyle name="20% - Accent6 4 5" xfId="3578"/>
    <cellStyle name="40% - Accent1 2" xfId="187"/>
    <cellStyle name="40% - Accent1 2 2" xfId="1268"/>
    <cellStyle name="40% - Accent1 3" xfId="188"/>
    <cellStyle name="40% - Accent1 4" xfId="1269"/>
    <cellStyle name="40% - Accent1 4 2" xfId="1650"/>
    <cellStyle name="40% - Accent1 4 2 2" xfId="2980"/>
    <cellStyle name="40% - Accent1 4 2 3" xfId="3582"/>
    <cellStyle name="40% - Accent1 4 3" xfId="2981"/>
    <cellStyle name="40% - Accent1 4 3 2" xfId="3583"/>
    <cellStyle name="40% - Accent1 4 4" xfId="2979"/>
    <cellStyle name="40% - Accent1 4 5" xfId="3581"/>
    <cellStyle name="40% - Accent2" xfId="367" builtinId="35" customBuiltin="1"/>
    <cellStyle name="40% - Accent2 2" xfId="189"/>
    <cellStyle name="40% - Accent2 2 2" xfId="1270"/>
    <cellStyle name="40% - Accent2 3" xfId="190"/>
    <cellStyle name="40% - Accent2 4" xfId="1651"/>
    <cellStyle name="40% - Accent2 4 2" xfId="2983"/>
    <cellStyle name="40% - Accent2 4 3" xfId="3585"/>
    <cellStyle name="40% - Accent2 5" xfId="2984"/>
    <cellStyle name="40% - Accent2 5 2" xfId="3586"/>
    <cellStyle name="40% - Accent2 6" xfId="2985"/>
    <cellStyle name="40% - Accent2 6 2" xfId="3587"/>
    <cellStyle name="40% - Accent2 7" xfId="2982"/>
    <cellStyle name="40% - Accent2 8" xfId="3584"/>
    <cellStyle name="40% - Accent3 2" xfId="191"/>
    <cellStyle name="40% - Accent3 2 2" xfId="1271"/>
    <cellStyle name="40% - Accent3 3" xfId="192"/>
    <cellStyle name="40% - Accent3 4" xfId="1272"/>
    <cellStyle name="40% - Accent3 4 2" xfId="1652"/>
    <cellStyle name="40% - Accent3 4 2 2" xfId="2987"/>
    <cellStyle name="40% - Accent3 4 2 3" xfId="3589"/>
    <cellStyle name="40% - Accent3 4 3" xfId="2988"/>
    <cellStyle name="40% - Accent3 4 3 2" xfId="3590"/>
    <cellStyle name="40% - Accent3 4 4" xfId="2986"/>
    <cellStyle name="40% - Accent3 4 5" xfId="3588"/>
    <cellStyle name="40% - Accent4 2" xfId="193"/>
    <cellStyle name="40% - Accent4 2 2" xfId="1273"/>
    <cellStyle name="40% - Accent4 3" xfId="194"/>
    <cellStyle name="40% - Accent4 4" xfId="1274"/>
    <cellStyle name="40% - Accent4 4 2" xfId="1653"/>
    <cellStyle name="40% - Accent4 4 2 2" xfId="2990"/>
    <cellStyle name="40% - Accent4 4 2 3" xfId="3592"/>
    <cellStyle name="40% - Accent4 4 3" xfId="2991"/>
    <cellStyle name="40% - Accent4 4 3 2" xfId="3593"/>
    <cellStyle name="40% - Accent4 4 4" xfId="2989"/>
    <cellStyle name="40% - Accent4 4 5" xfId="3591"/>
    <cellStyle name="40% - Accent5 2" xfId="195"/>
    <cellStyle name="40% - Accent5 2 2" xfId="1275"/>
    <cellStyle name="40% - Accent5 3" xfId="196"/>
    <cellStyle name="40% - Accent5 4" xfId="1276"/>
    <cellStyle name="40% - Accent5 4 2" xfId="1654"/>
    <cellStyle name="40% - Accent5 4 2 2" xfId="2993"/>
    <cellStyle name="40% - Accent5 4 2 3" xfId="3595"/>
    <cellStyle name="40% - Accent5 4 3" xfId="2994"/>
    <cellStyle name="40% - Accent5 4 3 2" xfId="3596"/>
    <cellStyle name="40% - Accent5 4 4" xfId="2992"/>
    <cellStyle name="40% - Accent5 4 5" xfId="3594"/>
    <cellStyle name="40% - Accent6 2" xfId="197"/>
    <cellStyle name="40% - Accent6 2 2" xfId="1277"/>
    <cellStyle name="40% - Accent6 3" xfId="198"/>
    <cellStyle name="40% - Accent6 4" xfId="1278"/>
    <cellStyle name="40% - Accent6 4 2" xfId="1655"/>
    <cellStyle name="40% - Accent6 4 2 2" xfId="2996"/>
    <cellStyle name="40% - Accent6 4 2 3" xfId="3598"/>
    <cellStyle name="40% - Accent6 4 3" xfId="2997"/>
    <cellStyle name="40% - Accent6 4 3 2" xfId="3599"/>
    <cellStyle name="40% - Accent6 4 4" xfId="2995"/>
    <cellStyle name="40% - Accent6 4 5" xfId="3597"/>
    <cellStyle name="60% - Accent1 2" xfId="1279"/>
    <cellStyle name="60% - Accent1 2 2" xfId="1280"/>
    <cellStyle name="60% - Accent1 3" xfId="1281"/>
    <cellStyle name="60% - Accent1 3 2" xfId="2998"/>
    <cellStyle name="60% - Accent2 2" xfId="1282"/>
    <cellStyle name="60% - Accent2 2 2" xfId="1283"/>
    <cellStyle name="60% - Accent2 3" xfId="1284"/>
    <cellStyle name="60% - Accent2 3 2" xfId="2999"/>
    <cellStyle name="60% - Accent3 2" xfId="1285"/>
    <cellStyle name="60% - Accent3 2 2" xfId="1286"/>
    <cellStyle name="60% - Accent3 3" xfId="1287"/>
    <cellStyle name="60% - Accent3 3 2" xfId="3000"/>
    <cellStyle name="60% - Accent4 2" xfId="1288"/>
    <cellStyle name="60% - Accent4 2 2" xfId="1289"/>
    <cellStyle name="60% - Accent4 3" xfId="1290"/>
    <cellStyle name="60% - Accent4 3 2" xfId="3001"/>
    <cellStyle name="60% - Accent5 2" xfId="1291"/>
    <cellStyle name="60% - Accent5 2 2" xfId="1292"/>
    <cellStyle name="60% - Accent5 3" xfId="1293"/>
    <cellStyle name="60% - Accent5 3 2" xfId="3002"/>
    <cellStyle name="60% - Accent6 2" xfId="1294"/>
    <cellStyle name="60% - Accent6 2 2" xfId="1295"/>
    <cellStyle name="60% - Accent6 3" xfId="1296"/>
    <cellStyle name="60% - Accent6 3 2" xfId="3003"/>
    <cellStyle name="Accent1 - 20%" xfId="1297"/>
    <cellStyle name="Accent1 - 40%" xfId="1298"/>
    <cellStyle name="Accent1 - 60%" xfId="1299"/>
    <cellStyle name="Accent1 2" xfId="1300"/>
    <cellStyle name="Accent1 2 2" xfId="1301"/>
    <cellStyle name="Accent1 3" xfId="1302"/>
    <cellStyle name="Accent1 3 2" xfId="3004"/>
    <cellStyle name="Accent1 4" xfId="1656"/>
    <cellStyle name="Accent1 4 2" xfId="3005"/>
    <cellStyle name="Accent1 5" xfId="3006"/>
    <cellStyle name="Accent1 6" xfId="3007"/>
    <cellStyle name="Accent1 7" xfId="3008"/>
    <cellStyle name="Accent1 8" xfId="3009"/>
    <cellStyle name="Accent1 9" xfId="3010"/>
    <cellStyle name="Accent2 - 20%" xfId="1303"/>
    <cellStyle name="Accent2 - 40%" xfId="1304"/>
    <cellStyle name="Accent2 - 60%" xfId="1305"/>
    <cellStyle name="Accent2 2" xfId="1306"/>
    <cellStyle name="Accent2 2 2" xfId="1307"/>
    <cellStyle name="Accent2 3" xfId="1308"/>
    <cellStyle name="Accent2 3 2" xfId="3012"/>
    <cellStyle name="Accent2 4" xfId="1657"/>
    <cellStyle name="Accent2 4 2" xfId="3013"/>
    <cellStyle name="Accent2 5" xfId="3014"/>
    <cellStyle name="Accent2 6" xfId="3015"/>
    <cellStyle name="Accent2 7" xfId="3016"/>
    <cellStyle name="Accent2 8" xfId="3017"/>
    <cellStyle name="Accent2 9" xfId="3018"/>
    <cellStyle name="Accent3 - 20%" xfId="1309"/>
    <cellStyle name="Accent3 - 40%" xfId="1310"/>
    <cellStyle name="Accent3 - 60%" xfId="1311"/>
    <cellStyle name="Accent3 2" xfId="1312"/>
    <cellStyle name="Accent3 2 2" xfId="1313"/>
    <cellStyle name="Accent3 3" xfId="1314"/>
    <cellStyle name="Accent3 3 2" xfId="3024"/>
    <cellStyle name="Accent3 4" xfId="1658"/>
    <cellStyle name="Accent3 4 2" xfId="3025"/>
    <cellStyle name="Accent3 5" xfId="3026"/>
    <cellStyle name="Accent3 6" xfId="3027"/>
    <cellStyle name="Accent3 7" xfId="3028"/>
    <cellStyle name="Accent3 8" xfId="3029"/>
    <cellStyle name="Accent3 9" xfId="3030"/>
    <cellStyle name="Accent4 - 20%" xfId="1315"/>
    <cellStyle name="Accent4 - 40%" xfId="1316"/>
    <cellStyle name="Accent4 - 60%" xfId="1317"/>
    <cellStyle name="Accent4 2" xfId="1318"/>
    <cellStyle name="Accent4 2 2" xfId="1319"/>
    <cellStyle name="Accent4 3" xfId="1320"/>
    <cellStyle name="Accent4 3 2" xfId="3032"/>
    <cellStyle name="Accent4 4" xfId="1659"/>
    <cellStyle name="Accent4 4 2" xfId="3033"/>
    <cellStyle name="Accent4 5" xfId="3034"/>
    <cellStyle name="Accent4 6" xfId="3035"/>
    <cellStyle name="Accent4 7" xfId="3036"/>
    <cellStyle name="Accent4 8" xfId="3037"/>
    <cellStyle name="Accent4 9" xfId="3038"/>
    <cellStyle name="Accent5" xfId="368" builtinId="45" customBuiltin="1"/>
    <cellStyle name="Accent5 - 20%" xfId="1321"/>
    <cellStyle name="Accent5 - 40%" xfId="1322"/>
    <cellStyle name="Accent5 - 60%" xfId="1323"/>
    <cellStyle name="Accent5 10" xfId="3041"/>
    <cellStyle name="Accent5 11" xfId="3042"/>
    <cellStyle name="Accent5 12" xfId="3043"/>
    <cellStyle name="Accent5 13" xfId="3044"/>
    <cellStyle name="Accent5 14" xfId="3045"/>
    <cellStyle name="Accent5 15" xfId="3046"/>
    <cellStyle name="Accent5 16" xfId="3047"/>
    <cellStyle name="Accent5 17" xfId="3048"/>
    <cellStyle name="Accent5 18" xfId="3049"/>
    <cellStyle name="Accent5 19" xfId="3050"/>
    <cellStyle name="Accent5 2" xfId="1324"/>
    <cellStyle name="Accent5 2 2" xfId="1325"/>
    <cellStyle name="Accent5 20" xfId="3052"/>
    <cellStyle name="Accent5 21" xfId="3053"/>
    <cellStyle name="Accent5 22" xfId="3054"/>
    <cellStyle name="Accent5 23" xfId="3055"/>
    <cellStyle name="Accent5 24" xfId="3056"/>
    <cellStyle name="Accent5 25" xfId="3057"/>
    <cellStyle name="Accent5 26" xfId="3058"/>
    <cellStyle name="Accent5 27" xfId="3059"/>
    <cellStyle name="Accent5 28" xfId="3060"/>
    <cellStyle name="Accent5 29" xfId="3061"/>
    <cellStyle name="Accent5 3" xfId="3062"/>
    <cellStyle name="Accent5 3 2" xfId="3063"/>
    <cellStyle name="Accent5 3 3" xfId="3064"/>
    <cellStyle name="Accent5 30" xfId="3065"/>
    <cellStyle name="Accent5 4" xfId="3066"/>
    <cellStyle name="Accent5 5" xfId="3067"/>
    <cellStyle name="Accent5 6" xfId="3068"/>
    <cellStyle name="Accent5 7" xfId="3069"/>
    <cellStyle name="Accent5 8" xfId="3070"/>
    <cellStyle name="Accent5 9" xfId="3071"/>
    <cellStyle name="Accent6 - 20%" xfId="1326"/>
    <cellStyle name="Accent6 - 40%" xfId="1327"/>
    <cellStyle name="Accent6 - 60%" xfId="1328"/>
    <cellStyle name="Accent6 2" xfId="1329"/>
    <cellStyle name="Accent6 2 2" xfId="1330"/>
    <cellStyle name="Accent6 3" xfId="1331"/>
    <cellStyle name="Accent6 3 2" xfId="3074"/>
    <cellStyle name="Accent6 4" xfId="1660"/>
    <cellStyle name="Accent6 4 2" xfId="3075"/>
    <cellStyle name="Accent6 5" xfId="3076"/>
    <cellStyle name="Accent6 6" xfId="3077"/>
    <cellStyle name="Accent6 7" xfId="3078"/>
    <cellStyle name="Accent6 8" xfId="3079"/>
    <cellStyle name="Accent6 9" xfId="3080"/>
    <cellStyle name="Bad 2" xfId="1332"/>
    <cellStyle name="Bad 2 2" xfId="1333"/>
    <cellStyle name="Bad 3" xfId="1334"/>
    <cellStyle name="Bad 3 2" xfId="3081"/>
    <cellStyle name="Calc Currency (0)" xfId="199"/>
    <cellStyle name="Calc Currency (0) 2" xfId="1335"/>
    <cellStyle name="Calculation" xfId="200" builtinId="22" customBuiltin="1"/>
    <cellStyle name="Calculation 2" xfId="1336"/>
    <cellStyle name="Calculation 2 2" xfId="1337"/>
    <cellStyle name="Calculation 2 3" xfId="1338"/>
    <cellStyle name="Calculation 2 3 2" xfId="3082"/>
    <cellStyle name="Calculation 2 4" xfId="3083"/>
    <cellStyle name="Calculation 3" xfId="1339"/>
    <cellStyle name="Calculation 3 2" xfId="3084"/>
    <cellStyle name="Calculation 4" xfId="1661"/>
    <cellStyle name="Calculation 4 2" xfId="3086"/>
    <cellStyle name="Calculation 4 3" xfId="3087"/>
    <cellStyle name="Calculation 4 4" xfId="3085"/>
    <cellStyle name="Calculation 5" xfId="3088"/>
    <cellStyle name="Check Cell" xfId="364" builtinId="23" customBuiltin="1"/>
    <cellStyle name="Check Cell 2" xfId="1340"/>
    <cellStyle name="Check Cell 2 2" xfId="1341"/>
    <cellStyle name="Check Cell 3" xfId="3089"/>
    <cellStyle name="CheckCell" xfId="201"/>
    <cellStyle name="CheckCell 2" xfId="3090"/>
    <cellStyle name="Comma" xfId="202" builtinId="3"/>
    <cellStyle name="Comma 10" xfId="1342"/>
    <cellStyle name="Comma 10 2" xfId="3091"/>
    <cellStyle name="Comma 11" xfId="1343"/>
    <cellStyle name="Comma 11 2" xfId="3092"/>
    <cellStyle name="Comma 12" xfId="1344"/>
    <cellStyle name="Comma 12 2" xfId="3093"/>
    <cellStyle name="Comma 13" xfId="1345"/>
    <cellStyle name="Comma 13 2" xfId="3094"/>
    <cellStyle name="Comma 14" xfId="1346"/>
    <cellStyle name="Comma 14 2" xfId="3095"/>
    <cellStyle name="Comma 15" xfId="1347"/>
    <cellStyle name="Comma 16" xfId="1348"/>
    <cellStyle name="Comma 17" xfId="1662"/>
    <cellStyle name="Comma 17 2" xfId="3097"/>
    <cellStyle name="Comma 17 3" xfId="3098"/>
    <cellStyle name="Comma 17 4" xfId="3096"/>
    <cellStyle name="Comma 18" xfId="1663"/>
    <cellStyle name="Comma 18 2" xfId="3100"/>
    <cellStyle name="Comma 18 3" xfId="3101"/>
    <cellStyle name="Comma 18 4" xfId="3099"/>
    <cellStyle name="Comma 19" xfId="3102"/>
    <cellStyle name="Comma 2" xfId="203"/>
    <cellStyle name="Comma 2 2" xfId="204"/>
    <cellStyle name="Comma 2 2 2" xfId="3103"/>
    <cellStyle name="Comma 2 3" xfId="3104"/>
    <cellStyle name="Comma 20" xfId="3105"/>
    <cellStyle name="Comma 3" xfId="205"/>
    <cellStyle name="Comma 3 2" xfId="1349"/>
    <cellStyle name="Comma 3 2 2" xfId="3106"/>
    <cellStyle name="Comma 3 3" xfId="3107"/>
    <cellStyle name="Comma 3 4" xfId="3108"/>
    <cellStyle name="Comma 4" xfId="206"/>
    <cellStyle name="Comma 4 2" xfId="1350"/>
    <cellStyle name="Comma 4 3" xfId="3109"/>
    <cellStyle name="Comma 5" xfId="207"/>
    <cellStyle name="Comma 5 2" xfId="3110"/>
    <cellStyle name="Comma 6" xfId="208"/>
    <cellStyle name="Comma 6 2" xfId="1351"/>
    <cellStyle name="Comma 6 2 2" xfId="3111"/>
    <cellStyle name="Comma 7" xfId="209"/>
    <cellStyle name="Comma 7 2" xfId="3112"/>
    <cellStyle name="Comma 8" xfId="210"/>
    <cellStyle name="Comma 8 2" xfId="1352"/>
    <cellStyle name="Comma 8 2 2" xfId="3113"/>
    <cellStyle name="Comma 8 3" xfId="3114"/>
    <cellStyle name="Comma 9" xfId="1353"/>
    <cellStyle name="Comma 9 2" xfId="1354"/>
    <cellStyle name="Comma 9 2 2" xfId="3116"/>
    <cellStyle name="Comma 9 3" xfId="1664"/>
    <cellStyle name="Comma 9 3 2" xfId="3117"/>
    <cellStyle name="Comma 9 4" xfId="3118"/>
    <cellStyle name="Comma 9 5" xfId="3119"/>
    <cellStyle name="Comma 9 6" xfId="3115"/>
    <cellStyle name="Comma0" xfId="211"/>
    <cellStyle name="Comma0 - Style2" xfId="212"/>
    <cellStyle name="Comma0 - Style4" xfId="213"/>
    <cellStyle name="Comma0 - Style5" xfId="214"/>
    <cellStyle name="Comma0 - Style5 2" xfId="1355"/>
    <cellStyle name="Comma0 10" xfId="3120"/>
    <cellStyle name="Comma0 11" xfId="3121"/>
    <cellStyle name="Comma0 2" xfId="215"/>
    <cellStyle name="Comma0 3" xfId="216"/>
    <cellStyle name="Comma0 4" xfId="217"/>
    <cellStyle name="Comma0 5" xfId="1356"/>
    <cellStyle name="Comma0 6" xfId="1357"/>
    <cellStyle name="Comma0 7" xfId="1665"/>
    <cellStyle name="Comma0 8" xfId="3122"/>
    <cellStyle name="Comma0 9" xfId="3123"/>
    <cellStyle name="Comma0_00COS Ind Allocators" xfId="218"/>
    <cellStyle name="Comma1 - Style1" xfId="219"/>
    <cellStyle name="Comma1 - Style1 2" xfId="1358"/>
    <cellStyle name="Copied" xfId="220"/>
    <cellStyle name="Copied 2" xfId="1359"/>
    <cellStyle name="COST1" xfId="221"/>
    <cellStyle name="COST1 2" xfId="1360"/>
    <cellStyle name="Curren - Style1" xfId="222"/>
    <cellStyle name="Curren - Style2" xfId="223"/>
    <cellStyle name="Curren - Style2 2" xfId="1361"/>
    <cellStyle name="Curren - Style5" xfId="224"/>
    <cellStyle name="Curren - Style6" xfId="225"/>
    <cellStyle name="Curren - Style6 2" xfId="1364"/>
    <cellStyle name="Currency" xfId="226" builtinId="4"/>
    <cellStyle name="Currency 10" xfId="1366"/>
    <cellStyle name="Currency 10 2" xfId="3124"/>
    <cellStyle name="Currency 11" xfId="1367"/>
    <cellStyle name="Currency 11 2" xfId="3125"/>
    <cellStyle name="Currency 12" xfId="1368"/>
    <cellStyle name="Currency 13" xfId="1369"/>
    <cellStyle name="Currency 14" xfId="1666"/>
    <cellStyle name="Currency 14 2" xfId="3127"/>
    <cellStyle name="Currency 14 3" xfId="3128"/>
    <cellStyle name="Currency 14 4" xfId="3126"/>
    <cellStyle name="Currency 15" xfId="1667"/>
    <cellStyle name="Currency 15 2" xfId="3129"/>
    <cellStyle name="Currency 16" xfId="1668"/>
    <cellStyle name="Currency 17" xfId="3130"/>
    <cellStyle name="Currency 18" xfId="3131"/>
    <cellStyle name="Currency 2" xfId="227"/>
    <cellStyle name="Currency 2 2" xfId="1371"/>
    <cellStyle name="Currency 2 2 2" xfId="3132"/>
    <cellStyle name="Currency 2 3" xfId="3133"/>
    <cellStyle name="Currency 3" xfId="228"/>
    <cellStyle name="Currency 3 2" xfId="1373"/>
    <cellStyle name="Currency 3 2 2" xfId="3134"/>
    <cellStyle name="Currency 3 3" xfId="3135"/>
    <cellStyle name="Currency 4" xfId="229"/>
    <cellStyle name="Currency 4 2" xfId="1374"/>
    <cellStyle name="Currency 4 2 2" xfId="3136"/>
    <cellStyle name="Currency 4 3" xfId="1669"/>
    <cellStyle name="Currency 4 3 2" xfId="3138"/>
    <cellStyle name="Currency 4 3 3" xfId="3139"/>
    <cellStyle name="Currency 4 3 4" xfId="3137"/>
    <cellStyle name="Currency 4 4" xfId="3140"/>
    <cellStyle name="Currency 5" xfId="230"/>
    <cellStyle name="Currency 5 2" xfId="3141"/>
    <cellStyle name="Currency 6" xfId="231"/>
    <cellStyle name="Currency 6 2" xfId="3142"/>
    <cellStyle name="Currency 7" xfId="232"/>
    <cellStyle name="Currency 7 2" xfId="3143"/>
    <cellStyle name="Currency 8" xfId="233"/>
    <cellStyle name="Currency 8 2" xfId="1375"/>
    <cellStyle name="Currency 8 2 2" xfId="1670"/>
    <cellStyle name="Currency 8 2 2 2" xfId="3145"/>
    <cellStyle name="Currency 8 2 3" xfId="3146"/>
    <cellStyle name="Currency 8 2 4" xfId="3144"/>
    <cellStyle name="Currency 8 3" xfId="3147"/>
    <cellStyle name="Currency 8 4" xfId="3148"/>
    <cellStyle name="Currency 9" xfId="1376"/>
    <cellStyle name="Currency 9 2" xfId="1377"/>
    <cellStyle name="Currency 9 2 2" xfId="3150"/>
    <cellStyle name="Currency 9 3" xfId="1671"/>
    <cellStyle name="Currency 9 3 2" xfId="3151"/>
    <cellStyle name="Currency 9 4" xfId="3152"/>
    <cellStyle name="Currency 9 5" xfId="3153"/>
    <cellStyle name="Currency 9 6" xfId="3149"/>
    <cellStyle name="Currency0" xfId="234"/>
    <cellStyle name="Currency0 2" xfId="1378"/>
    <cellStyle name="Currency0 2 2" xfId="3154"/>
    <cellStyle name="Date" xfId="235"/>
    <cellStyle name="Date 2" xfId="236"/>
    <cellStyle name="Date 3" xfId="237"/>
    <cellStyle name="Date 4" xfId="238"/>
    <cellStyle name="Date 5" xfId="1379"/>
    <cellStyle name="Date_903 SAP 2-6-09" xfId="239"/>
    <cellStyle name="Emphasis 1" xfId="1380"/>
    <cellStyle name="Emphasis 2" xfId="1381"/>
    <cellStyle name="Emphasis 3" xfId="1382"/>
    <cellStyle name="Entered" xfId="240"/>
    <cellStyle name="Entered 2" xfId="1383"/>
    <cellStyle name="Entered 2 2" xfId="3156"/>
    <cellStyle name="Entered 3" xfId="1672"/>
    <cellStyle name="Entered 3 2" xfId="3158"/>
    <cellStyle name="Entered 3 3" xfId="3159"/>
    <cellStyle name="Entered 3 4" xfId="3157"/>
    <cellStyle name="Entered 4" xfId="3160"/>
    <cellStyle name="Entered 5" xfId="3161"/>
    <cellStyle name="Entered_JHS-4" xfId="1384"/>
    <cellStyle name="Euro" xfId="1385"/>
    <cellStyle name="Euro 2" xfId="1386"/>
    <cellStyle name="Euro 2 2" xfId="3163"/>
    <cellStyle name="Euro 3" xfId="3164"/>
    <cellStyle name="Explanatory Text" xfId="366" builtinId="53" customBuiltin="1"/>
    <cellStyle name="Explanatory Text 2" xfId="1387"/>
    <cellStyle name="Explanatory Text 2 2" xfId="1388"/>
    <cellStyle name="Explanatory Text 3" xfId="3166"/>
    <cellStyle name="Fixed" xfId="241"/>
    <cellStyle name="Fixed 2" xfId="1389"/>
    <cellStyle name="Fixed3 - Style3" xfId="242"/>
    <cellStyle name="Good 2" xfId="1390"/>
    <cellStyle name="Good 2 2" xfId="1391"/>
    <cellStyle name="Good 3" xfId="1392"/>
    <cellStyle name="Good 3 2" xfId="3169"/>
    <cellStyle name="Grey" xfId="243"/>
    <cellStyle name="Grey 2" xfId="244"/>
    <cellStyle name="Grey 2 2" xfId="1393"/>
    <cellStyle name="Grey 2 3" xfId="3170"/>
    <cellStyle name="Grey 3" xfId="245"/>
    <cellStyle name="Grey 3 2" xfId="1394"/>
    <cellStyle name="Grey 3 3" xfId="3171"/>
    <cellStyle name="Grey 4" xfId="246"/>
    <cellStyle name="Grey 4 2" xfId="1395"/>
    <cellStyle name="Grey 4 3" xfId="3172"/>
    <cellStyle name="Grey 5" xfId="3173"/>
    <cellStyle name="Grey_(C) WHE Proforma with ITC cash grant 10 Yr Amort_for deferral_102809" xfId="1396"/>
    <cellStyle name="Header1" xfId="247"/>
    <cellStyle name="Header1 2" xfId="1397"/>
    <cellStyle name="Header2" xfId="248"/>
    <cellStyle name="Header2 2" xfId="1398"/>
    <cellStyle name="Heading 1" xfId="249" builtinId="16" customBuiltin="1"/>
    <cellStyle name="Heading 1 2" xfId="1399"/>
    <cellStyle name="Heading 1 2 2" xfId="1400"/>
    <cellStyle name="Heading 1 2 3" xfId="1401"/>
    <cellStyle name="Heading 1 2 3 2" xfId="3174"/>
    <cellStyle name="Heading 1 3" xfId="1402"/>
    <cellStyle name="Heading 1 3 2" xfId="3175"/>
    <cellStyle name="Heading 1 4" xfId="1673"/>
    <cellStyle name="Heading 2" xfId="250" builtinId="17" customBuiltin="1"/>
    <cellStyle name="Heading 2 2" xfId="1403"/>
    <cellStyle name="Heading 2 2 2" xfId="1404"/>
    <cellStyle name="Heading 2 2 3" xfId="1405"/>
    <cellStyle name="Heading 2 2 3 2" xfId="3176"/>
    <cellStyle name="Heading 2 3" xfId="1406"/>
    <cellStyle name="Heading 2 3 2" xfId="3177"/>
    <cellStyle name="Heading 2 4" xfId="1674"/>
    <cellStyle name="Heading 3 2" xfId="1407"/>
    <cellStyle name="Heading 3 2 2" xfId="1408"/>
    <cellStyle name="Heading 3 3" xfId="1409"/>
    <cellStyle name="Heading 3 3 2" xfId="3178"/>
    <cellStyle name="Heading 4 2" xfId="1410"/>
    <cellStyle name="Heading 4 2 2" xfId="1411"/>
    <cellStyle name="Heading 4 3" xfId="1412"/>
    <cellStyle name="Heading 4 3 2" xfId="3179"/>
    <cellStyle name="Heading1" xfId="251"/>
    <cellStyle name="Heading2" xfId="252"/>
    <cellStyle name="Input [yellow]" xfId="253"/>
    <cellStyle name="Input [yellow] 2" xfId="254"/>
    <cellStyle name="Input [yellow] 2 2" xfId="1413"/>
    <cellStyle name="Input [yellow] 2 3" xfId="3180"/>
    <cellStyle name="Input [yellow] 3" xfId="255"/>
    <cellStyle name="Input [yellow] 3 2" xfId="1414"/>
    <cellStyle name="Input [yellow] 3 3" xfId="3181"/>
    <cellStyle name="Input [yellow] 4" xfId="256"/>
    <cellStyle name="Input [yellow] 4 2" xfId="1415"/>
    <cellStyle name="Input [yellow] 4 3" xfId="3182"/>
    <cellStyle name="Input [yellow] 5" xfId="3183"/>
    <cellStyle name="Input [yellow]_(C) WHE Proforma with ITC cash grant 10 Yr Amort_for deferral_102809" xfId="1416"/>
    <cellStyle name="Input 2" xfId="1417"/>
    <cellStyle name="Input 2 2" xfId="1418"/>
    <cellStyle name="Input 3" xfId="1419"/>
    <cellStyle name="Input 3 2" xfId="3184"/>
    <cellStyle name="Input 4" xfId="1675"/>
    <cellStyle name="Input 4 2" xfId="3185"/>
    <cellStyle name="Input 5" xfId="3186"/>
    <cellStyle name="Input 6" xfId="3187"/>
    <cellStyle name="Input 7" xfId="3188"/>
    <cellStyle name="Input 8" xfId="3189"/>
    <cellStyle name="Input 9" xfId="3190"/>
    <cellStyle name="Input Cells" xfId="257"/>
    <cellStyle name="Input Cells Percent" xfId="258"/>
    <cellStyle name="Input Cells_4.34E Mint Farm Deferral" xfId="1420"/>
    <cellStyle name="Lines" xfId="259"/>
    <cellStyle name="Lines 2" xfId="1421"/>
    <cellStyle name="Lines 3" xfId="3191"/>
    <cellStyle name="LINKED" xfId="260"/>
    <cellStyle name="Linked Cell 2" xfId="1422"/>
    <cellStyle name="Linked Cell 2 2" xfId="1423"/>
    <cellStyle name="Linked Cell 3" xfId="1424"/>
    <cellStyle name="Linked Cell 3 2" xfId="3192"/>
    <cellStyle name="modified border" xfId="261"/>
    <cellStyle name="modified border 2" xfId="262"/>
    <cellStyle name="modified border 3" xfId="263"/>
    <cellStyle name="modified border 4" xfId="264"/>
    <cellStyle name="modified border_4.34E Mint Farm Deferral" xfId="1425"/>
    <cellStyle name="modified border1" xfId="265"/>
    <cellStyle name="modified border1 2" xfId="266"/>
    <cellStyle name="modified border1 3" xfId="267"/>
    <cellStyle name="modified border1 4" xfId="268"/>
    <cellStyle name="modified border1_4.34E Mint Farm Deferral" xfId="1426"/>
    <cellStyle name="Neutral 2" xfId="1427"/>
    <cellStyle name="Neutral 2 2" xfId="1428"/>
    <cellStyle name="Neutral 3" xfId="1429"/>
    <cellStyle name="Neutral 3 2" xfId="3193"/>
    <cellStyle name="no dec" xfId="269"/>
    <cellStyle name="no dec 2" xfId="1430"/>
    <cellStyle name="Normal" xfId="0" builtinId="0"/>
    <cellStyle name="Normal - Style1" xfId="270"/>
    <cellStyle name="Normal - Style1 2" xfId="271"/>
    <cellStyle name="Normal - Style1 2 2" xfId="3194"/>
    <cellStyle name="Normal - Style1 3" xfId="272"/>
    <cellStyle name="Normal - Style1 3 2" xfId="3195"/>
    <cellStyle name="Normal - Style1 4" xfId="273"/>
    <cellStyle name="Normal - Style1 4 2" xfId="3196"/>
    <cellStyle name="Normal - Style1 5" xfId="1432"/>
    <cellStyle name="Normal - Style1 5 2" xfId="3197"/>
    <cellStyle name="Normal - Style1 5 3" xfId="3198"/>
    <cellStyle name="Normal - Style1 6" xfId="1431"/>
    <cellStyle name="Normal - Style1 6 2" xfId="3199"/>
    <cellStyle name="Normal - Style1_(C) WHE Proforma with ITC cash grant 10 Yr Amort_for deferral_102809" xfId="1433"/>
    <cellStyle name="Normal 10" xfId="1434"/>
    <cellStyle name="Normal 10 2" xfId="1435"/>
    <cellStyle name="Normal 10 2 2" xfId="3201"/>
    <cellStyle name="Normal 10 3" xfId="1436"/>
    <cellStyle name="Normal 10 3 2" xfId="3202"/>
    <cellStyle name="Normal 10 4" xfId="1437"/>
    <cellStyle name="Normal 10 4 2" xfId="3203"/>
    <cellStyle name="Normal 10 5" xfId="1676"/>
    <cellStyle name="Normal 10 5 2" xfId="3204"/>
    <cellStyle name="Normal 10 5 3" xfId="3601"/>
    <cellStyle name="Normal 10 6" xfId="3205"/>
    <cellStyle name="Normal 10 6 2" xfId="3602"/>
    <cellStyle name="Normal 10 7" xfId="3200"/>
    <cellStyle name="Normal 10 8" xfId="3600"/>
    <cellStyle name="Normal 10_04.07E Wild Horse Wind Expansion" xfId="1438"/>
    <cellStyle name="Normal 11" xfId="1439"/>
    <cellStyle name="Normal 11 2" xfId="1440"/>
    <cellStyle name="Normal 11 2 2" xfId="3207"/>
    <cellStyle name="Normal 11 3" xfId="1677"/>
    <cellStyle name="Normal 11 3 2" xfId="3208"/>
    <cellStyle name="Normal 11 3 3" xfId="3604"/>
    <cellStyle name="Normal 11 4" xfId="3209"/>
    <cellStyle name="Normal 11 4 2" xfId="3605"/>
    <cellStyle name="Normal 11 5" xfId="3206"/>
    <cellStyle name="Normal 11 6" xfId="3603"/>
    <cellStyle name="Normal 12" xfId="1441"/>
    <cellStyle name="Normal 12 2" xfId="1442"/>
    <cellStyle name="Normal 12 2 2" xfId="3211"/>
    <cellStyle name="Normal 12 3" xfId="1678"/>
    <cellStyle name="Normal 12 3 2" xfId="3212"/>
    <cellStyle name="Normal 12 3 3" xfId="3607"/>
    <cellStyle name="Normal 12 4" xfId="3213"/>
    <cellStyle name="Normal 12 4 2" xfId="3608"/>
    <cellStyle name="Normal 12 5" xfId="3210"/>
    <cellStyle name="Normal 12 6" xfId="3606"/>
    <cellStyle name="Normal 13" xfId="1443"/>
    <cellStyle name="Normal 13 2" xfId="1444"/>
    <cellStyle name="Normal 13 2 2" xfId="3215"/>
    <cellStyle name="Normal 13 3" xfId="1679"/>
    <cellStyle name="Normal 13 3 2" xfId="3216"/>
    <cellStyle name="Normal 13 3 3" xfId="3610"/>
    <cellStyle name="Normal 13 4" xfId="3217"/>
    <cellStyle name="Normal 13 4 2" xfId="3611"/>
    <cellStyle name="Normal 13 5" xfId="3214"/>
    <cellStyle name="Normal 13 6" xfId="3609"/>
    <cellStyle name="Normal 14" xfId="1445"/>
    <cellStyle name="Normal 14 2" xfId="3218"/>
    <cellStyle name="Normal 15" xfId="1446"/>
    <cellStyle name="Normal 15 2" xfId="1447"/>
    <cellStyle name="Normal 15 3" xfId="1680"/>
    <cellStyle name="Normal 15 3 2" xfId="3220"/>
    <cellStyle name="Normal 15 3 3" xfId="3613"/>
    <cellStyle name="Normal 15 4" xfId="3221"/>
    <cellStyle name="Normal 15 4 2" xfId="3614"/>
    <cellStyle name="Normal 15 5" xfId="3219"/>
    <cellStyle name="Normal 15 6" xfId="3612"/>
    <cellStyle name="Normal 16" xfId="1448"/>
    <cellStyle name="Normal 16 2" xfId="1449"/>
    <cellStyle name="Normal 16 3" xfId="1681"/>
    <cellStyle name="Normal 16 3 2" xfId="3223"/>
    <cellStyle name="Normal 16 3 3" xfId="3616"/>
    <cellStyle name="Normal 16 4" xfId="3224"/>
    <cellStyle name="Normal 16 4 2" xfId="3617"/>
    <cellStyle name="Normal 16 5" xfId="3222"/>
    <cellStyle name="Normal 16 6" xfId="3615"/>
    <cellStyle name="Normal 17" xfId="1450"/>
    <cellStyle name="Normal 17 2" xfId="1451"/>
    <cellStyle name="Normal 17 3" xfId="3225"/>
    <cellStyle name="Normal 18" xfId="1452"/>
    <cellStyle name="Normal 18 2" xfId="1453"/>
    <cellStyle name="Normal 18 3" xfId="3226"/>
    <cellStyle name="Normal 19" xfId="1454"/>
    <cellStyle name="Normal 19 2" xfId="3227"/>
    <cellStyle name="Normal 19 3" xfId="3228"/>
    <cellStyle name="Normal 2" xfId="274"/>
    <cellStyle name="Normal 2 2" xfId="275"/>
    <cellStyle name="Normal 2 2 2" xfId="276"/>
    <cellStyle name="Normal 2 2 3" xfId="277"/>
    <cellStyle name="Normal 2 2 4" xfId="3229"/>
    <cellStyle name="Normal 2 2_4.14E Miscellaneous Operating Expense working file" xfId="278"/>
    <cellStyle name="Normal 2 3" xfId="279"/>
    <cellStyle name="Normal 2 3 2" xfId="1455"/>
    <cellStyle name="Normal 2 4" xfId="280"/>
    <cellStyle name="Normal 2 4 2" xfId="1456"/>
    <cellStyle name="Normal 2 5" xfId="281"/>
    <cellStyle name="Normal 2 5 2" xfId="1457"/>
    <cellStyle name="Normal 2 6" xfId="282"/>
    <cellStyle name="Normal 2 6 2" xfId="3230"/>
    <cellStyle name="Normal 2 7" xfId="1458"/>
    <cellStyle name="Normal 2 7 2" xfId="3231"/>
    <cellStyle name="Normal 2 8" xfId="1459"/>
    <cellStyle name="Normal 2 8 2" xfId="1460"/>
    <cellStyle name="Normal 2 8 2 2" xfId="3232"/>
    <cellStyle name="Normal 2 8 3" xfId="3233"/>
    <cellStyle name="Normal 2 9" xfId="1461"/>
    <cellStyle name="Normal 2 9 2" xfId="3234"/>
    <cellStyle name="Normal 2_16.37E Wild Horse Expansion DeferralRevwrkingfile SF" xfId="1462"/>
    <cellStyle name="Normal 20" xfId="1463"/>
    <cellStyle name="Normal 20 2" xfId="3235"/>
    <cellStyle name="Normal 20 3" xfId="3236"/>
    <cellStyle name="Normal 20 4" xfId="3237"/>
    <cellStyle name="Normal 21" xfId="1464"/>
    <cellStyle name="Normal 21 2" xfId="1682"/>
    <cellStyle name="Normal 21 2 2" xfId="3239"/>
    <cellStyle name="Normal 21 2 3" xfId="3619"/>
    <cellStyle name="Normal 21 3" xfId="3240"/>
    <cellStyle name="Normal 21 3 2" xfId="3620"/>
    <cellStyle name="Normal 21 4" xfId="3238"/>
    <cellStyle name="Normal 21 5" xfId="3618"/>
    <cellStyle name="Normal 22" xfId="1465"/>
    <cellStyle name="Normal 22 2" xfId="1683"/>
    <cellStyle name="Normal 22 2 2" xfId="3242"/>
    <cellStyle name="Normal 22 2 3" xfId="3622"/>
    <cellStyle name="Normal 22 3" xfId="3243"/>
    <cellStyle name="Normal 22 3 2" xfId="3623"/>
    <cellStyle name="Normal 22 4" xfId="3241"/>
    <cellStyle name="Normal 22 5" xfId="3621"/>
    <cellStyle name="Normal 23" xfId="1466"/>
    <cellStyle name="Normal 23 2" xfId="1684"/>
    <cellStyle name="Normal 23 2 2" xfId="3245"/>
    <cellStyle name="Normal 23 2 3" xfId="3625"/>
    <cellStyle name="Normal 23 3" xfId="3246"/>
    <cellStyle name="Normal 23 3 2" xfId="3626"/>
    <cellStyle name="Normal 23 4" xfId="3244"/>
    <cellStyle name="Normal 23 5" xfId="3624"/>
    <cellStyle name="Normal 24" xfId="1467"/>
    <cellStyle name="Normal 24 2" xfId="1685"/>
    <cellStyle name="Normal 24 2 2" xfId="3248"/>
    <cellStyle name="Normal 24 2 3" xfId="3628"/>
    <cellStyle name="Normal 24 3" xfId="3249"/>
    <cellStyle name="Normal 24 3 2" xfId="3629"/>
    <cellStyle name="Normal 24 4" xfId="3247"/>
    <cellStyle name="Normal 24 5" xfId="3627"/>
    <cellStyle name="Normal 25" xfId="1468"/>
    <cellStyle name="Normal 25 2" xfId="1686"/>
    <cellStyle name="Normal 25 2 2" xfId="3251"/>
    <cellStyle name="Normal 25 2 3" xfId="3631"/>
    <cellStyle name="Normal 25 3" xfId="3252"/>
    <cellStyle name="Normal 25 3 2" xfId="3632"/>
    <cellStyle name="Normal 25 4" xfId="3250"/>
    <cellStyle name="Normal 25 5" xfId="3630"/>
    <cellStyle name="Normal 26" xfId="1469"/>
    <cellStyle name="Normal 26 2" xfId="1687"/>
    <cellStyle name="Normal 26 2 2" xfId="3254"/>
    <cellStyle name="Normal 26 2 3" xfId="3634"/>
    <cellStyle name="Normal 26 3" xfId="3255"/>
    <cellStyle name="Normal 26 3 2" xfId="3635"/>
    <cellStyle name="Normal 26 4" xfId="3253"/>
    <cellStyle name="Normal 26 5" xfId="3633"/>
    <cellStyle name="Normal 27" xfId="1470"/>
    <cellStyle name="Normal 27 2" xfId="1688"/>
    <cellStyle name="Normal 27 2 2" xfId="3257"/>
    <cellStyle name="Normal 27 2 3" xfId="3637"/>
    <cellStyle name="Normal 27 3" xfId="3258"/>
    <cellStyle name="Normal 27 3 2" xfId="3638"/>
    <cellStyle name="Normal 27 4" xfId="3256"/>
    <cellStyle name="Normal 27 5" xfId="3636"/>
    <cellStyle name="Normal 28" xfId="1471"/>
    <cellStyle name="Normal 28 2" xfId="1689"/>
    <cellStyle name="Normal 28 2 2" xfId="3260"/>
    <cellStyle name="Normal 28 2 3" xfId="3640"/>
    <cellStyle name="Normal 28 3" xfId="3261"/>
    <cellStyle name="Normal 28 3 2" xfId="3641"/>
    <cellStyle name="Normal 28 4" xfId="3259"/>
    <cellStyle name="Normal 28 5" xfId="3639"/>
    <cellStyle name="Normal 29" xfId="1472"/>
    <cellStyle name="Normal 29 2" xfId="1690"/>
    <cellStyle name="Normal 29 2 2" xfId="3263"/>
    <cellStyle name="Normal 29 2 3" xfId="3643"/>
    <cellStyle name="Normal 29 3" xfId="3264"/>
    <cellStyle name="Normal 29 3 2" xfId="3644"/>
    <cellStyle name="Normal 29 4" xfId="3262"/>
    <cellStyle name="Normal 29 5" xfId="3642"/>
    <cellStyle name="Normal 3" xfId="283"/>
    <cellStyle name="Normal 3 2" xfId="284"/>
    <cellStyle name="Normal 3 2 2" xfId="3265"/>
    <cellStyle name="Normal 3 3" xfId="285"/>
    <cellStyle name="Normal 3 3 2" xfId="3266"/>
    <cellStyle name="Normal 3 4" xfId="1691"/>
    <cellStyle name="Normal 3 4 2" xfId="3268"/>
    <cellStyle name="Normal 3 4 3" xfId="3269"/>
    <cellStyle name="Normal 3 4 4" xfId="3267"/>
    <cellStyle name="Normal 3 5" xfId="3270"/>
    <cellStyle name="Normal 3 5 2" xfId="3650"/>
    <cellStyle name="Normal 3_4.14E Miscellaneous Operating Expense working file" xfId="286"/>
    <cellStyle name="Normal 30" xfId="1473"/>
    <cellStyle name="Normal 30 2" xfId="1692"/>
    <cellStyle name="Normal 30 2 2" xfId="3272"/>
    <cellStyle name="Normal 30 2 3" xfId="3652"/>
    <cellStyle name="Normal 30 3" xfId="3273"/>
    <cellStyle name="Normal 30 3 2" xfId="3653"/>
    <cellStyle name="Normal 30 4" xfId="3271"/>
    <cellStyle name="Normal 30 5" xfId="3651"/>
    <cellStyle name="Normal 31" xfId="1474"/>
    <cellStyle name="Normal 31 2" xfId="1693"/>
    <cellStyle name="Normal 31 2 2" xfId="3275"/>
    <cellStyle name="Normal 31 2 3" xfId="3655"/>
    <cellStyle name="Normal 31 3" xfId="3276"/>
    <cellStyle name="Normal 31 3 2" xfId="3656"/>
    <cellStyle name="Normal 31 4" xfId="3274"/>
    <cellStyle name="Normal 31 5" xfId="3654"/>
    <cellStyle name="Normal 32" xfId="1475"/>
    <cellStyle name="Normal 32 2" xfId="1694"/>
    <cellStyle name="Normal 32 2 2" xfId="3278"/>
    <cellStyle name="Normal 32 2 3" xfId="3658"/>
    <cellStyle name="Normal 32 3" xfId="3279"/>
    <cellStyle name="Normal 32 3 2" xfId="3659"/>
    <cellStyle name="Normal 32 4" xfId="3277"/>
    <cellStyle name="Normal 32 5" xfId="3657"/>
    <cellStyle name="Normal 33" xfId="1476"/>
    <cellStyle name="Normal 33 2" xfId="1695"/>
    <cellStyle name="Normal 33 2 2" xfId="3281"/>
    <cellStyle name="Normal 33 2 3" xfId="3661"/>
    <cellStyle name="Normal 33 3" xfId="3282"/>
    <cellStyle name="Normal 33 3 2" xfId="3662"/>
    <cellStyle name="Normal 33 4" xfId="3280"/>
    <cellStyle name="Normal 33 5" xfId="3660"/>
    <cellStyle name="Normal 34" xfId="1477"/>
    <cellStyle name="Normal 34 2" xfId="1696"/>
    <cellStyle name="Normal 34 2 2" xfId="3284"/>
    <cellStyle name="Normal 34 2 3" xfId="3664"/>
    <cellStyle name="Normal 34 3" xfId="3285"/>
    <cellStyle name="Normal 34 3 2" xfId="3665"/>
    <cellStyle name="Normal 34 4" xfId="3283"/>
    <cellStyle name="Normal 34 5" xfId="3663"/>
    <cellStyle name="Normal 35" xfId="1478"/>
    <cellStyle name="Normal 35 2" xfId="1697"/>
    <cellStyle name="Normal 35 2 2" xfId="3287"/>
    <cellStyle name="Normal 35 2 3" xfId="3667"/>
    <cellStyle name="Normal 35 3" xfId="3288"/>
    <cellStyle name="Normal 35 3 2" xfId="3668"/>
    <cellStyle name="Normal 35 4" xfId="3286"/>
    <cellStyle name="Normal 35 5" xfId="3666"/>
    <cellStyle name="Normal 36" xfId="1479"/>
    <cellStyle name="Normal 36 2" xfId="1698"/>
    <cellStyle name="Normal 36 2 2" xfId="3290"/>
    <cellStyle name="Normal 36 2 3" xfId="3670"/>
    <cellStyle name="Normal 36 3" xfId="3291"/>
    <cellStyle name="Normal 36 3 2" xfId="3671"/>
    <cellStyle name="Normal 36 4" xfId="3289"/>
    <cellStyle name="Normal 36 5" xfId="3669"/>
    <cellStyle name="Normal 37" xfId="1480"/>
    <cellStyle name="Normal 37 2" xfId="1699"/>
    <cellStyle name="Normal 37 2 2" xfId="3293"/>
    <cellStyle name="Normal 37 2 3" xfId="3673"/>
    <cellStyle name="Normal 37 3" xfId="3294"/>
    <cellStyle name="Normal 37 3 2" xfId="3674"/>
    <cellStyle name="Normal 37 4" xfId="3292"/>
    <cellStyle name="Normal 37 5" xfId="3672"/>
    <cellStyle name="Normal 38" xfId="1481"/>
    <cellStyle name="Normal 38 2" xfId="1700"/>
    <cellStyle name="Normal 38 2 2" xfId="3296"/>
    <cellStyle name="Normal 38 2 3" xfId="3676"/>
    <cellStyle name="Normal 38 3" xfId="3297"/>
    <cellStyle name="Normal 38 3 2" xfId="3677"/>
    <cellStyle name="Normal 38 4" xfId="3295"/>
    <cellStyle name="Normal 38 5" xfId="3675"/>
    <cellStyle name="Normal 39" xfId="1482"/>
    <cellStyle name="Normal 39 2" xfId="1701"/>
    <cellStyle name="Normal 39 2 2" xfId="3299"/>
    <cellStyle name="Normal 39 2 3" xfId="3679"/>
    <cellStyle name="Normal 39 3" xfId="3300"/>
    <cellStyle name="Normal 39 3 2" xfId="3680"/>
    <cellStyle name="Normal 39 4" xfId="3298"/>
    <cellStyle name="Normal 39 5" xfId="3678"/>
    <cellStyle name="Normal 4" xfId="287"/>
    <cellStyle name="Normal 4 2" xfId="1483"/>
    <cellStyle name="Normal 4 2 2" xfId="1702"/>
    <cellStyle name="Normal 4 2 2 2" xfId="3302"/>
    <cellStyle name="Normal 4 2 2 3" xfId="3682"/>
    <cellStyle name="Normal 4 2 3" xfId="3303"/>
    <cellStyle name="Normal 4 2 3 2" xfId="3683"/>
    <cellStyle name="Normal 4 2 4" xfId="3301"/>
    <cellStyle name="Normal 4 2 5" xfId="3681"/>
    <cellStyle name="Normal 4 3" xfId="3304"/>
    <cellStyle name="Normal 40" xfId="1484"/>
    <cellStyle name="Normal 41" xfId="370"/>
    <cellStyle name="Normal 41 2" xfId="3306"/>
    <cellStyle name="Normal 41 3" xfId="3307"/>
    <cellStyle name="Normal 41 4" xfId="3305"/>
    <cellStyle name="Normal 42" xfId="1574"/>
    <cellStyle name="Normal 42 2" xfId="1703"/>
    <cellStyle name="Normal 42 2 2" xfId="3309"/>
    <cellStyle name="Normal 42 3" xfId="3310"/>
    <cellStyle name="Normal 42 4" xfId="3311"/>
    <cellStyle name="Normal 42 5" xfId="3308"/>
    <cellStyle name="Normal 43" xfId="1582"/>
    <cellStyle name="Normal 43 2" xfId="1704"/>
    <cellStyle name="Normal 43 3" xfId="3312"/>
    <cellStyle name="Normal 44" xfId="1583"/>
    <cellStyle name="Normal 44 2" xfId="1705"/>
    <cellStyle name="Normal 44 2 2" xfId="3314"/>
    <cellStyle name="Normal 44 3" xfId="3315"/>
    <cellStyle name="Normal 44 4" xfId="3316"/>
    <cellStyle name="Normal 44 5" xfId="3313"/>
    <cellStyle name="Normal 45" xfId="1584"/>
    <cellStyle name="Normal 45 2" xfId="1706"/>
    <cellStyle name="Normal 45 2 2" xfId="3318"/>
    <cellStyle name="Normal 45 3" xfId="3319"/>
    <cellStyle name="Normal 45 4" xfId="3317"/>
    <cellStyle name="Normal 46" xfId="1585"/>
    <cellStyle name="Normal 46 2" xfId="1707"/>
    <cellStyle name="Normal 46 2 2" xfId="3321"/>
    <cellStyle name="Normal 46 2 3" xfId="3690"/>
    <cellStyle name="Normal 46 3" xfId="3320"/>
    <cellStyle name="Normal 46 4" xfId="3689"/>
    <cellStyle name="Normal 47" xfId="1586"/>
    <cellStyle name="Normal 47 2" xfId="3323"/>
    <cellStyle name="Normal 47 3" xfId="3324"/>
    <cellStyle name="Normal 47 4" xfId="3322"/>
    <cellStyle name="Normal 48" xfId="1587"/>
    <cellStyle name="Normal 48 2" xfId="3326"/>
    <cellStyle name="Normal 48 3" xfId="3327"/>
    <cellStyle name="Normal 48 4" xfId="3325"/>
    <cellStyle name="Normal 49" xfId="1588"/>
    <cellStyle name="Normal 49 2" xfId="3329"/>
    <cellStyle name="Normal 49 3" xfId="3330"/>
    <cellStyle name="Normal 49 4" xfId="3328"/>
    <cellStyle name="Normal 5" xfId="288"/>
    <cellStyle name="Normal 5 2" xfId="3331"/>
    <cellStyle name="Normal 50" xfId="1589"/>
    <cellStyle name="Normal 50 2" xfId="3333"/>
    <cellStyle name="Normal 50 3" xfId="3334"/>
    <cellStyle name="Normal 50 4" xfId="3332"/>
    <cellStyle name="Normal 51" xfId="1590"/>
    <cellStyle name="Normal 51 2" xfId="1708"/>
    <cellStyle name="Normal 51 2 2" xfId="3336"/>
    <cellStyle name="Normal 51 2 3" xfId="3692"/>
    <cellStyle name="Normal 51 3" xfId="3335"/>
    <cellStyle name="Normal 51 4" xfId="3691"/>
    <cellStyle name="Normal 52" xfId="1709"/>
    <cellStyle name="Normal 53" xfId="1591"/>
    <cellStyle name="Normal 53 2" xfId="3338"/>
    <cellStyle name="Normal 53 3" xfId="3339"/>
    <cellStyle name="Normal 53 4" xfId="3337"/>
    <cellStyle name="Normal 54" xfId="1729"/>
    <cellStyle name="Normal 54 2" xfId="3341"/>
    <cellStyle name="Normal 54 3" xfId="3342"/>
    <cellStyle name="Normal 54 4" xfId="3340"/>
    <cellStyle name="Normal 55" xfId="1730"/>
    <cellStyle name="Normal 55 2" xfId="3343"/>
    <cellStyle name="Normal 56" xfId="1731"/>
    <cellStyle name="Normal 56 2" xfId="3344"/>
    <cellStyle name="Normal 57" xfId="3345"/>
    <cellStyle name="Normal 58" xfId="3346"/>
    <cellStyle name="Normal 59" xfId="3347"/>
    <cellStyle name="Normal 6" xfId="289"/>
    <cellStyle name="Normal 6 2" xfId="1485"/>
    <cellStyle name="Normal 6 2 2" xfId="3348"/>
    <cellStyle name="Normal 60" xfId="3349"/>
    <cellStyle name="Normal 61" xfId="3350"/>
    <cellStyle name="Normal 62" xfId="3351"/>
    <cellStyle name="Normal 63" xfId="3352"/>
    <cellStyle name="Normal 64" xfId="3353"/>
    <cellStyle name="Normal 65" xfId="3354"/>
    <cellStyle name="Normal 66" xfId="3355"/>
    <cellStyle name="Normal 67" xfId="3356"/>
    <cellStyle name="Normal 68" xfId="3357"/>
    <cellStyle name="Normal 69" xfId="3358"/>
    <cellStyle name="Normal 7" xfId="290"/>
    <cellStyle name="Normal 7 2" xfId="1486"/>
    <cellStyle name="Normal 7 2 2" xfId="3359"/>
    <cellStyle name="Normal 70" xfId="3360"/>
    <cellStyle name="Normal 71" xfId="3361"/>
    <cellStyle name="Normal 72" xfId="3362"/>
    <cellStyle name="Normal 73" xfId="3363"/>
    <cellStyle name="Normal 74" xfId="1732"/>
    <cellStyle name="Normal 75" xfId="3518"/>
    <cellStyle name="Normal 76" xfId="3536"/>
    <cellStyle name="Normal 77" xfId="3537"/>
    <cellStyle name="Normal 78" xfId="3538"/>
    <cellStyle name="Normal 79" xfId="3539"/>
    <cellStyle name="Normal 8" xfId="291"/>
    <cellStyle name="Normal 8 2" xfId="1487"/>
    <cellStyle name="Normal 8 2 2" xfId="3364"/>
    <cellStyle name="Normal 80" xfId="3540"/>
    <cellStyle name="Normal 81" xfId="3541"/>
    <cellStyle name="Normal 82" xfId="3542"/>
    <cellStyle name="Normal 83" xfId="3543"/>
    <cellStyle name="Normal 84" xfId="3544"/>
    <cellStyle name="Normal 85" xfId="3545"/>
    <cellStyle name="Normal 86" xfId="3546"/>
    <cellStyle name="Normal 87" xfId="3698"/>
    <cellStyle name="Normal 88" xfId="3699"/>
    <cellStyle name="Normal 89" xfId="3700"/>
    <cellStyle name="Normal 9" xfId="292"/>
    <cellStyle name="Normal 9 2" xfId="1488"/>
    <cellStyle name="Normal 9 2 2" xfId="3365"/>
    <cellStyle name="Normal 90" xfId="3701"/>
    <cellStyle name="Normal 91" xfId="3702"/>
    <cellStyle name="Normal 92" xfId="3703"/>
    <cellStyle name="Normal 93" xfId="3704"/>
    <cellStyle name="Normal 94" xfId="3705"/>
    <cellStyle name="Normal 95" xfId="3706"/>
    <cellStyle name="Note 10" xfId="293"/>
    <cellStyle name="Note 10 2" xfId="1489"/>
    <cellStyle name="Note 11" xfId="294"/>
    <cellStyle name="Note 11 2" xfId="1490"/>
    <cellStyle name="Note 12" xfId="1491"/>
    <cellStyle name="Note 12 2" xfId="1492"/>
    <cellStyle name="Note 12 3" xfId="3366"/>
    <cellStyle name="Note 2" xfId="295"/>
    <cellStyle name="Note 2 2" xfId="1493"/>
    <cellStyle name="Note 3" xfId="296"/>
    <cellStyle name="Note 4" xfId="297"/>
    <cellStyle name="Note 5" xfId="298"/>
    <cellStyle name="Note 6" xfId="299"/>
    <cellStyle name="Note 7" xfId="300"/>
    <cellStyle name="Note 8" xfId="301"/>
    <cellStyle name="Note 9" xfId="302"/>
    <cellStyle name="Output 2" xfId="1494"/>
    <cellStyle name="Output 2 2" xfId="1495"/>
    <cellStyle name="Output 3" xfId="1496"/>
    <cellStyle name="Output 3 2" xfId="3367"/>
    <cellStyle name="Percen - Style1" xfId="303"/>
    <cellStyle name="Percen - Style2" xfId="304"/>
    <cellStyle name="Percen - Style3" xfId="305"/>
    <cellStyle name="Percen - Style3 2" xfId="1497"/>
    <cellStyle name="Percent" xfId="306" builtinId="5"/>
    <cellStyle name="Percent [2]" xfId="307"/>
    <cellStyle name="Percent [2] 2" xfId="1499"/>
    <cellStyle name="Percent [2] 2 2" xfId="3369"/>
    <cellStyle name="Percent [2] 3" xfId="1712"/>
    <cellStyle name="Percent [2] 3 2" xfId="3371"/>
    <cellStyle name="Percent [2] 3 3" xfId="3372"/>
    <cellStyle name="Percent [2] 3 4" xfId="3370"/>
    <cellStyle name="Percent [2] 4" xfId="3373"/>
    <cellStyle name="Percent 10" xfId="1500"/>
    <cellStyle name="Percent 10 2" xfId="3374"/>
    <cellStyle name="Percent 10 3" xfId="3375"/>
    <cellStyle name="Percent 11" xfId="1498"/>
    <cellStyle name="Percent 11 2" xfId="3377"/>
    <cellStyle name="Percent 11 3" xfId="3378"/>
    <cellStyle name="Percent 11 4" xfId="3376"/>
    <cellStyle name="Percent 12" xfId="1577"/>
    <cellStyle name="Percent 12 2" xfId="1713"/>
    <cellStyle name="Percent 12 2 2" xfId="3380"/>
    <cellStyle name="Percent 12 3" xfId="3381"/>
    <cellStyle name="Percent 12 4" xfId="3382"/>
    <cellStyle name="Percent 12 5" xfId="3379"/>
    <cellStyle name="Percent 13" xfId="1363"/>
    <cellStyle name="Percent 13 2" xfId="1714"/>
    <cellStyle name="Percent 13 2 2" xfId="3384"/>
    <cellStyle name="Percent 13 3" xfId="3385"/>
    <cellStyle name="Percent 13 4" xfId="3383"/>
    <cellStyle name="Percent 14" xfId="1578"/>
    <cellStyle name="Percent 14 2" xfId="1715"/>
    <cellStyle name="Percent 14 2 2" xfId="3387"/>
    <cellStyle name="Percent 14 3" xfId="3388"/>
    <cellStyle name="Percent 14 4" xfId="3389"/>
    <cellStyle name="Percent 14 5" xfId="3386"/>
    <cellStyle name="Percent 15" xfId="1365"/>
    <cellStyle name="Percent 15 2" xfId="1716"/>
    <cellStyle name="Percent 15 2 2" xfId="3391"/>
    <cellStyle name="Percent 15 3" xfId="3392"/>
    <cellStyle name="Percent 15 4" xfId="3393"/>
    <cellStyle name="Percent 15 5" xfId="3390"/>
    <cellStyle name="Percent 16" xfId="1579"/>
    <cellStyle name="Percent 16 2" xfId="3395"/>
    <cellStyle name="Percent 16 3" xfId="3396"/>
    <cellStyle name="Percent 16 4" xfId="3394"/>
    <cellStyle name="Percent 17" xfId="1370"/>
    <cellStyle name="Percent 17 2" xfId="3398"/>
    <cellStyle name="Percent 17 3" xfId="3399"/>
    <cellStyle name="Percent 17 4" xfId="3397"/>
    <cellStyle name="Percent 18" xfId="1580"/>
    <cellStyle name="Percent 18 2" xfId="3401"/>
    <cellStyle name="Percent 18 3" xfId="3402"/>
    <cellStyle name="Percent 18 4" xfId="3400"/>
    <cellStyle name="Percent 19" xfId="1362"/>
    <cellStyle name="Percent 19 2" xfId="3404"/>
    <cellStyle name="Percent 19 3" xfId="3405"/>
    <cellStyle name="Percent 19 4" xfId="3403"/>
    <cellStyle name="Percent 2" xfId="308"/>
    <cellStyle name="Percent 2 2" xfId="1501"/>
    <cellStyle name="Percent 2 2 2" xfId="3406"/>
    <cellStyle name="Percent 2 3" xfId="3407"/>
    <cellStyle name="Percent 2 4" xfId="3408"/>
    <cellStyle name="Percent 20" xfId="1581"/>
    <cellStyle name="Percent 20 2" xfId="1717"/>
    <cellStyle name="Percent 20 2 2" xfId="3410"/>
    <cellStyle name="Percent 20 3" xfId="3409"/>
    <cellStyle name="Percent 21" xfId="1372"/>
    <cellStyle name="Percent 21 2" xfId="1718"/>
    <cellStyle name="Percent 22" xfId="1711"/>
    <cellStyle name="Percent 22 2" xfId="3412"/>
    <cellStyle name="Percent 22 3" xfId="3413"/>
    <cellStyle name="Percent 22 4" xfId="3411"/>
    <cellStyle name="Percent 23" xfId="1594"/>
    <cellStyle name="Percent 23 2" xfId="3415"/>
    <cellStyle name="Percent 23 3" xfId="3416"/>
    <cellStyle name="Percent 23 4" xfId="3414"/>
    <cellStyle name="Percent 24" xfId="1710"/>
    <cellStyle name="Percent 24 2" xfId="3418"/>
    <cellStyle name="Percent 24 3" xfId="3419"/>
    <cellStyle name="Percent 24 4" xfId="3417"/>
    <cellStyle name="Percent 25" xfId="1593"/>
    <cellStyle name="Percent 25 2" xfId="3420"/>
    <cellStyle name="Percent 26" xfId="3421"/>
    <cellStyle name="Percent 27" xfId="3422"/>
    <cellStyle name="Percent 28" xfId="3423"/>
    <cellStyle name="Percent 29" xfId="3424"/>
    <cellStyle name="Percent 3" xfId="309"/>
    <cellStyle name="Percent 3 2" xfId="1502"/>
    <cellStyle name="Percent 3 2 2" xfId="3425"/>
    <cellStyle name="Percent 3 3" xfId="3426"/>
    <cellStyle name="Percent 30" xfId="3427"/>
    <cellStyle name="Percent 31" xfId="3428"/>
    <cellStyle name="Percent 32" xfId="3429"/>
    <cellStyle name="Percent 33" xfId="3430"/>
    <cellStyle name="Percent 34" xfId="3431"/>
    <cellStyle name="Percent 35" xfId="3432"/>
    <cellStyle name="Percent 36" xfId="3433"/>
    <cellStyle name="Percent 37" xfId="3434"/>
    <cellStyle name="Percent 38" xfId="3435"/>
    <cellStyle name="Percent 39" xfId="3436"/>
    <cellStyle name="Percent 4" xfId="310"/>
    <cellStyle name="Percent 4 2" xfId="1503"/>
    <cellStyle name="Percent 4 2 2" xfId="1504"/>
    <cellStyle name="Percent 4 2 3" xfId="3437"/>
    <cellStyle name="Percent 4 3" xfId="3438"/>
    <cellStyle name="Percent 40" xfId="3439"/>
    <cellStyle name="Percent 41" xfId="3440"/>
    <cellStyle name="Percent 42" xfId="3441"/>
    <cellStyle name="Percent 43" xfId="3442"/>
    <cellStyle name="Percent 44" xfId="3443"/>
    <cellStyle name="Percent 45" xfId="3444"/>
    <cellStyle name="Percent 46" xfId="3368"/>
    <cellStyle name="Percent 47" xfId="3530"/>
    <cellStyle name="Percent 48" xfId="3155"/>
    <cellStyle name="Percent 49" xfId="3531"/>
    <cellStyle name="Percent 5" xfId="311"/>
    <cellStyle name="Percent 5 2" xfId="3445"/>
    <cellStyle name="Percent 50" xfId="3162"/>
    <cellStyle name="Percent 51" xfId="3532"/>
    <cellStyle name="Percent 52" xfId="3165"/>
    <cellStyle name="Percent 53" xfId="3533"/>
    <cellStyle name="Percent 54" xfId="3167"/>
    <cellStyle name="Percent 55" xfId="3534"/>
    <cellStyle name="Percent 56" xfId="3168"/>
    <cellStyle name="Percent 57" xfId="3535"/>
    <cellStyle name="Percent 58" xfId="3693"/>
    <cellStyle name="Percent 59" xfId="3551"/>
    <cellStyle name="Percent 6" xfId="312"/>
    <cellStyle name="Percent 6 2" xfId="1505"/>
    <cellStyle name="Percent 6 2 2" xfId="3446"/>
    <cellStyle name="Percent 6 3" xfId="3447"/>
    <cellStyle name="Percent 60" xfId="3694"/>
    <cellStyle name="Percent 61" xfId="3550"/>
    <cellStyle name="Percent 62" xfId="3695"/>
    <cellStyle name="Percent 63" xfId="3549"/>
    <cellStyle name="Percent 64" xfId="3696"/>
    <cellStyle name="Percent 65" xfId="3548"/>
    <cellStyle name="Percent 66" xfId="3697"/>
    <cellStyle name="Percent 67" xfId="3547"/>
    <cellStyle name="Percent 7" xfId="1506"/>
    <cellStyle name="Percent 7 2" xfId="1507"/>
    <cellStyle name="Percent 7 3" xfId="1719"/>
    <cellStyle name="Percent 7 3 2" xfId="3449"/>
    <cellStyle name="Percent 7 4" xfId="3450"/>
    <cellStyle name="Percent 7 5" xfId="3451"/>
    <cellStyle name="Percent 7 6" xfId="3448"/>
    <cellStyle name="Percent 8" xfId="1508"/>
    <cellStyle name="Percent 9" xfId="1509"/>
    <cellStyle name="Percent 9 2" xfId="3452"/>
    <cellStyle name="Processing" xfId="313"/>
    <cellStyle name="Processing 2" xfId="3453"/>
    <cellStyle name="PSChar" xfId="314"/>
    <cellStyle name="PSChar 2" xfId="1510"/>
    <cellStyle name="PSDate" xfId="315"/>
    <cellStyle name="PSDate 2" xfId="1511"/>
    <cellStyle name="PSDec" xfId="316"/>
    <cellStyle name="PSDec 2" xfId="1512"/>
    <cellStyle name="PSHeading" xfId="317"/>
    <cellStyle name="PSHeading 2" xfId="1513"/>
    <cellStyle name="PSInt" xfId="318"/>
    <cellStyle name="PSInt 2" xfId="1514"/>
    <cellStyle name="PSSpacer" xfId="319"/>
    <cellStyle name="PSSpacer 2" xfId="1515"/>
    <cellStyle name="purple - Style8" xfId="320"/>
    <cellStyle name="purple - Style8 2" xfId="1516"/>
    <cellStyle name="RED" xfId="321"/>
    <cellStyle name="Red - Style7" xfId="322"/>
    <cellStyle name="Red - Style7 2" xfId="1517"/>
    <cellStyle name="RED_04 07E Wild Horse Wind Expansion (C) (2)" xfId="323"/>
    <cellStyle name="Report" xfId="324"/>
    <cellStyle name="Report 2" xfId="3454"/>
    <cellStyle name="Report Bar" xfId="325"/>
    <cellStyle name="Report Bar 2" xfId="3455"/>
    <cellStyle name="Report Heading" xfId="326"/>
    <cellStyle name="Report Heading 2" xfId="1518"/>
    <cellStyle name="Report Percent" xfId="327"/>
    <cellStyle name="Report Percent 2" xfId="1519"/>
    <cellStyle name="Report Percent 2 2" xfId="3456"/>
    <cellStyle name="Report Percent 3" xfId="1720"/>
    <cellStyle name="Report Percent 3 2" xfId="3458"/>
    <cellStyle name="Report Percent 3 3" xfId="3459"/>
    <cellStyle name="Report Percent 3 4" xfId="3457"/>
    <cellStyle name="Report Percent 4" xfId="3460"/>
    <cellStyle name="Report Unit Cost" xfId="328"/>
    <cellStyle name="Report Unit Cost 2" xfId="1520"/>
    <cellStyle name="Report Unit Cost 2 2" xfId="3461"/>
    <cellStyle name="Report Unit Cost 3" xfId="1721"/>
    <cellStyle name="Report Unit Cost 3 2" xfId="3463"/>
    <cellStyle name="Report Unit Cost 3 3" xfId="3464"/>
    <cellStyle name="Report Unit Cost 3 4" xfId="3462"/>
    <cellStyle name="Report Unit Cost 4" xfId="3465"/>
    <cellStyle name="Report_Adj Bench DR 3 for Initial Briefs (Electric)" xfId="1521"/>
    <cellStyle name="Reports" xfId="329"/>
    <cellStyle name="Reports 2" xfId="1522"/>
    <cellStyle name="Reports Total" xfId="330"/>
    <cellStyle name="Reports Total 2" xfId="3466"/>
    <cellStyle name="Reports Unit Cost Total" xfId="331"/>
    <cellStyle name="Reports_16.37E Wild Horse Expansion DeferralRevwrkingfile SF" xfId="1523"/>
    <cellStyle name="RevList" xfId="332"/>
    <cellStyle name="round100" xfId="333"/>
    <cellStyle name="round100 2" xfId="1524"/>
    <cellStyle name="round100 2 2" xfId="3467"/>
    <cellStyle name="round100 3" xfId="1722"/>
    <cellStyle name="round100 3 2" xfId="3469"/>
    <cellStyle name="round100 3 3" xfId="3470"/>
    <cellStyle name="round100 3 4" xfId="3468"/>
    <cellStyle name="round100 4" xfId="3471"/>
    <cellStyle name="SAPBEXaggData" xfId="334"/>
    <cellStyle name="SAPBEXaggDataEmph" xfId="1525"/>
    <cellStyle name="SAPBEXaggItem" xfId="335"/>
    <cellStyle name="SAPBEXaggItemX" xfId="1526"/>
    <cellStyle name="SAPBEXchaText" xfId="336"/>
    <cellStyle name="SAPBEXchaText 2" xfId="1527"/>
    <cellStyle name="SAPBEXchaText 2 2" xfId="3472"/>
    <cellStyle name="SAPBEXchaText 3" xfId="1723"/>
    <cellStyle name="SAPBEXchaText 3 2" xfId="3474"/>
    <cellStyle name="SAPBEXchaText 3 3" xfId="3475"/>
    <cellStyle name="SAPBEXchaText 3 4" xfId="3473"/>
    <cellStyle name="SAPBEXchaText 4" xfId="3476"/>
    <cellStyle name="SAPBEXexcBad7" xfId="1528"/>
    <cellStyle name="SAPBEXexcBad8" xfId="1529"/>
    <cellStyle name="SAPBEXexcBad9" xfId="1530"/>
    <cellStyle name="SAPBEXexcCritical4" xfId="1531"/>
    <cellStyle name="SAPBEXexcCritical5" xfId="1532"/>
    <cellStyle name="SAPBEXexcCritical6" xfId="1533"/>
    <cellStyle name="SAPBEXexcGood1" xfId="1534"/>
    <cellStyle name="SAPBEXexcGood2" xfId="1535"/>
    <cellStyle name="SAPBEXexcGood3" xfId="1536"/>
    <cellStyle name="SAPBEXfilterDrill" xfId="337"/>
    <cellStyle name="SAPBEXfilterItem" xfId="338"/>
    <cellStyle name="SAPBEXfilterText" xfId="1537"/>
    <cellStyle name="SAPBEXformats" xfId="1538"/>
    <cellStyle name="SAPBEXformats 2" xfId="3477"/>
    <cellStyle name="SAPBEXheaderItem" xfId="339"/>
    <cellStyle name="SAPBEXheaderText" xfId="340"/>
    <cellStyle name="SAPBEXHLevel0" xfId="1539"/>
    <cellStyle name="SAPBEXHLevel0 2" xfId="3478"/>
    <cellStyle name="SAPBEXHLevel0X" xfId="341"/>
    <cellStyle name="SAPBEXHLevel0X 2" xfId="1540"/>
    <cellStyle name="SAPBEXHLevel0X 2 2" xfId="3479"/>
    <cellStyle name="SAPBEXHLevel0X 3" xfId="1724"/>
    <cellStyle name="SAPBEXHLevel0X 3 2" xfId="3481"/>
    <cellStyle name="SAPBEXHLevel0X 3 3" xfId="3482"/>
    <cellStyle name="SAPBEXHLevel0X 3 4" xfId="3480"/>
    <cellStyle name="SAPBEXHLevel0X 4" xfId="3483"/>
    <cellStyle name="SAPBEXHLevel1" xfId="1541"/>
    <cellStyle name="SAPBEXHLevel1 2" xfId="3484"/>
    <cellStyle name="SAPBEXHLevel1X" xfId="1542"/>
    <cellStyle name="SAPBEXHLevel1X 2" xfId="3485"/>
    <cellStyle name="SAPBEXHLevel2" xfId="1543"/>
    <cellStyle name="SAPBEXHLevel2 2" xfId="3486"/>
    <cellStyle name="SAPBEXHLevel2X" xfId="1544"/>
    <cellStyle name="SAPBEXHLevel2X 2" xfId="3487"/>
    <cellStyle name="SAPBEXHLevel3" xfId="1545"/>
    <cellStyle name="SAPBEXHLevel3 2" xfId="3488"/>
    <cellStyle name="SAPBEXHLevel3X" xfId="1546"/>
    <cellStyle name="SAPBEXHLevel3X 2" xfId="3489"/>
    <cellStyle name="SAPBEXinputData" xfId="1547"/>
    <cellStyle name="SAPBEXinputData 2" xfId="3490"/>
    <cellStyle name="SAPBEXresData" xfId="1548"/>
    <cellStyle name="SAPBEXresDataEmph" xfId="1549"/>
    <cellStyle name="SAPBEXresItem" xfId="1550"/>
    <cellStyle name="SAPBEXresItemX" xfId="1551"/>
    <cellStyle name="SAPBEXstdData" xfId="342"/>
    <cellStyle name="SAPBEXstdDataEmph" xfId="1552"/>
    <cellStyle name="SAPBEXstdItem" xfId="343"/>
    <cellStyle name="SAPBEXstdItem 2" xfId="1553"/>
    <cellStyle name="SAPBEXstdItem 2 2" xfId="3491"/>
    <cellStyle name="SAPBEXstdItem 3" xfId="1725"/>
    <cellStyle name="SAPBEXstdItem 3 2" xfId="3493"/>
    <cellStyle name="SAPBEXstdItem 3 3" xfId="3494"/>
    <cellStyle name="SAPBEXstdItem 3 4" xfId="3492"/>
    <cellStyle name="SAPBEXstdItem 4" xfId="3495"/>
    <cellStyle name="SAPBEXstdItemX" xfId="344"/>
    <cellStyle name="SAPBEXstdItemX 2" xfId="1554"/>
    <cellStyle name="SAPBEXstdItemX 2 2" xfId="3496"/>
    <cellStyle name="SAPBEXstdItemX 3" xfId="1726"/>
    <cellStyle name="SAPBEXstdItemX 3 2" xfId="3498"/>
    <cellStyle name="SAPBEXstdItemX 3 3" xfId="3499"/>
    <cellStyle name="SAPBEXstdItemX 3 4" xfId="3497"/>
    <cellStyle name="SAPBEXstdItemX 4" xfId="3500"/>
    <cellStyle name="SAPBEXtitle" xfId="345"/>
    <cellStyle name="SAPBEXundefined" xfId="1555"/>
    <cellStyle name="shade" xfId="346"/>
    <cellStyle name="shade 2" xfId="1556"/>
    <cellStyle name="shade 2 2" xfId="3501"/>
    <cellStyle name="shade 3" xfId="1727"/>
    <cellStyle name="shade 3 2" xfId="3503"/>
    <cellStyle name="shade 3 3" xfId="3504"/>
    <cellStyle name="shade 3 4" xfId="3502"/>
    <cellStyle name="shade 4" xfId="3505"/>
    <cellStyle name="Sheet Title" xfId="1557"/>
    <cellStyle name="StmtTtl1" xfId="347"/>
    <cellStyle name="StmtTtl1 2" xfId="348"/>
    <cellStyle name="StmtTtl1 2 2" xfId="1558"/>
    <cellStyle name="StmtTtl1 2 3" xfId="3506"/>
    <cellStyle name="StmtTtl1 3" xfId="349"/>
    <cellStyle name="StmtTtl1 3 2" xfId="1559"/>
    <cellStyle name="StmtTtl1 3 3" xfId="3507"/>
    <cellStyle name="StmtTtl1 4" xfId="350"/>
    <cellStyle name="StmtTtl1 4 2" xfId="1560"/>
    <cellStyle name="StmtTtl1 4 3" xfId="3508"/>
    <cellStyle name="StmtTtl1 5" xfId="3509"/>
    <cellStyle name="StmtTtl1_(C) WHE Proforma with ITC cash grant 10 Yr Amort_for deferral_102809" xfId="1561"/>
    <cellStyle name="StmtTtl2" xfId="351"/>
    <cellStyle name="STYL1 - Style1" xfId="352"/>
    <cellStyle name="Style 1" xfId="353"/>
    <cellStyle name="Style 1 2" xfId="354"/>
    <cellStyle name="Style 1 2 2" xfId="3510"/>
    <cellStyle name="Style 1 3" xfId="355"/>
    <cellStyle name="Style 1 3 2" xfId="3511"/>
    <cellStyle name="Style 1 4" xfId="356"/>
    <cellStyle name="Style 1 4 2" xfId="3512"/>
    <cellStyle name="Style 1 5" xfId="1562"/>
    <cellStyle name="Style 1 5 2" xfId="3513"/>
    <cellStyle name="Style 1 6" xfId="1563"/>
    <cellStyle name="Style 1 6 2" xfId="3514"/>
    <cellStyle name="Style 1_04.07E Wild Horse Wind Expansion" xfId="1564"/>
    <cellStyle name="Subtotal" xfId="357"/>
    <cellStyle name="Sub-total" xfId="358"/>
    <cellStyle name="Title 2" xfId="1565"/>
    <cellStyle name="Title 2 2" xfId="1566"/>
    <cellStyle name="Title 3" xfId="1567"/>
    <cellStyle name="Title 3 2" xfId="3515"/>
    <cellStyle name="Title: Major" xfId="359"/>
    <cellStyle name="Title: Minor" xfId="360"/>
    <cellStyle name="Title: Minor 2" xfId="1568"/>
    <cellStyle name="Title: Worksheet" xfId="361"/>
    <cellStyle name="Total" xfId="362" builtinId="25" customBuiltin="1"/>
    <cellStyle name="Total 2" xfId="1569"/>
    <cellStyle name="Total 2 2" xfId="1570"/>
    <cellStyle name="Total 2 3" xfId="1571"/>
    <cellStyle name="Total 2 3 2" xfId="3516"/>
    <cellStyle name="Total 3" xfId="1572"/>
    <cellStyle name="Total 3 2" xfId="3517"/>
    <cellStyle name="Total 4" xfId="1728"/>
    <cellStyle name="Total4 - Style4" xfId="363"/>
    <cellStyle name="Total4 - Style4 2" xfId="1573"/>
    <cellStyle name="Warning Text" xfId="365" builtinId="11" customBuiltin="1"/>
    <cellStyle name="Warning Text 2" xfId="1575"/>
    <cellStyle name="Warning Text 2 2" xfId="1576"/>
    <cellStyle name="Warning Text 3" xfId="351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55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51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"/>
  <sheetViews>
    <sheetView tabSelected="1" zoomScale="87" zoomScaleNormal="87" workbookViewId="0">
      <selection activeCell="J31" sqref="J31"/>
    </sheetView>
  </sheetViews>
  <sheetFormatPr defaultColWidth="8.85546875" defaultRowHeight="12.75"/>
  <cols>
    <col min="1" max="1" width="8" style="2" bestFit="1" customWidth="1"/>
    <col min="2" max="2" width="38.5703125" style="2" customWidth="1"/>
    <col min="3" max="3" width="8.5703125" style="2" bestFit="1" customWidth="1"/>
    <col min="4" max="5" width="14.7109375" style="2" bestFit="1" customWidth="1"/>
    <col min="6" max="6" width="13.28515625" style="2" bestFit="1" customWidth="1"/>
    <col min="7" max="7" width="16" style="2" bestFit="1" customWidth="1"/>
    <col min="8" max="8" width="7.85546875" style="2" bestFit="1" customWidth="1"/>
    <col min="9" max="9" width="12" style="2" bestFit="1" customWidth="1"/>
    <col min="10" max="10" width="14.7109375" style="2" bestFit="1" customWidth="1"/>
    <col min="11" max="11" width="16" style="2" bestFit="1" customWidth="1"/>
    <col min="12" max="14" width="8.85546875" style="2"/>
    <col min="15" max="15" width="9.140625" style="2" customWidth="1"/>
    <col min="16" max="16" width="12.5703125" style="2" bestFit="1" customWidth="1"/>
    <col min="17" max="17" width="13.28515625" style="2" bestFit="1" customWidth="1"/>
    <col min="18" max="16384" width="8.85546875" style="2"/>
  </cols>
  <sheetData>
    <row r="1" spans="1:14">
      <c r="A1" s="327" t="s">
        <v>8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</row>
    <row r="2" spans="1:14">
      <c r="A2" s="328" t="s">
        <v>505</v>
      </c>
      <c r="B2" s="327" t="s">
        <v>431</v>
      </c>
      <c r="C2" s="327"/>
      <c r="D2" s="327"/>
      <c r="E2" s="327"/>
      <c r="F2" s="327"/>
      <c r="G2" s="327"/>
      <c r="H2" s="327"/>
      <c r="I2" s="327"/>
      <c r="J2" s="327"/>
      <c r="K2" s="327"/>
    </row>
    <row r="3" spans="1:14">
      <c r="A3" s="327" t="s">
        <v>9</v>
      </c>
      <c r="B3" s="327" t="s">
        <v>9</v>
      </c>
      <c r="C3" s="327"/>
      <c r="D3" s="327"/>
      <c r="E3" s="327"/>
      <c r="F3" s="327"/>
      <c r="G3" s="327"/>
      <c r="H3" s="327"/>
      <c r="I3" s="327"/>
      <c r="J3" s="327"/>
      <c r="K3" s="327"/>
    </row>
    <row r="4" spans="1:14">
      <c r="B4" s="1"/>
      <c r="C4" s="1"/>
      <c r="D4" s="1"/>
      <c r="E4" s="1"/>
      <c r="F4" s="1"/>
      <c r="G4" s="1"/>
      <c r="H4" s="1"/>
      <c r="I4" s="1"/>
      <c r="J4" s="1"/>
      <c r="K4" s="1"/>
    </row>
    <row r="5" spans="1:14" s="5" customFormat="1" ht="51">
      <c r="A5" s="3" t="s">
        <v>46</v>
      </c>
      <c r="B5" s="3" t="s">
        <v>10</v>
      </c>
      <c r="C5" s="3" t="s">
        <v>11</v>
      </c>
      <c r="D5" s="3" t="s">
        <v>12</v>
      </c>
      <c r="E5" s="4" t="s">
        <v>13</v>
      </c>
      <c r="F5" s="4" t="s">
        <v>554</v>
      </c>
      <c r="G5" s="4" t="s">
        <v>501</v>
      </c>
      <c r="H5" s="4" t="s">
        <v>0</v>
      </c>
      <c r="I5" s="4" t="s">
        <v>15</v>
      </c>
      <c r="J5" s="4" t="s">
        <v>497</v>
      </c>
      <c r="K5" s="4" t="s">
        <v>154</v>
      </c>
      <c r="M5" s="2"/>
      <c r="N5" s="2"/>
    </row>
    <row r="6" spans="1:14" s="8" customFormat="1">
      <c r="B6" s="6"/>
      <c r="C6" s="7"/>
      <c r="D6" s="7" t="s">
        <v>16</v>
      </c>
      <c r="E6" s="7" t="s">
        <v>17</v>
      </c>
      <c r="F6" s="8" t="s">
        <v>18</v>
      </c>
      <c r="G6" s="7" t="s">
        <v>19</v>
      </c>
      <c r="H6" s="8" t="s">
        <v>20</v>
      </c>
      <c r="I6" s="8" t="s">
        <v>21</v>
      </c>
      <c r="J6" s="9" t="s">
        <v>22</v>
      </c>
      <c r="K6" s="9" t="s">
        <v>23</v>
      </c>
      <c r="M6" s="2"/>
      <c r="N6" s="2"/>
    </row>
    <row r="7" spans="1:14" s="8" customFormat="1">
      <c r="B7" s="6"/>
      <c r="C7" s="7"/>
      <c r="D7" s="7"/>
      <c r="E7" s="7"/>
      <c r="G7" s="7"/>
      <c r="M7" s="2"/>
      <c r="N7" s="2"/>
    </row>
    <row r="8" spans="1:14">
      <c r="A8" s="5">
        <v>1</v>
      </c>
      <c r="B8" s="10" t="s">
        <v>24</v>
      </c>
      <c r="C8" s="11">
        <v>7</v>
      </c>
      <c r="D8" s="12">
        <f>+'JAP-23,  p3 Proforma Proposed'!D9</f>
        <v>10732747750.487839</v>
      </c>
      <c r="E8" s="13">
        <f>+'JAP-23,  p3 Proforma Proposed'!E9</f>
        <v>1083315595.6361177</v>
      </c>
      <c r="G8" s="132">
        <f>E8/(E$33-E$21-E$31)</f>
        <v>0.56268740900480174</v>
      </c>
      <c r="H8" s="15">
        <v>1</v>
      </c>
      <c r="I8" s="16">
        <f>+$I$39*H8</f>
        <v>8.0032863059986387E-2</v>
      </c>
      <c r="J8" s="13">
        <f>+E8*I8</f>
        <v>86700848.716292992</v>
      </c>
      <c r="K8" s="13">
        <f>+E8+J8</f>
        <v>1170016444.3524108</v>
      </c>
    </row>
    <row r="9" spans="1:14">
      <c r="A9" s="5">
        <f>+A8+1</f>
        <v>2</v>
      </c>
      <c r="C9" s="11"/>
      <c r="D9" s="19"/>
      <c r="E9" s="17"/>
      <c r="G9" s="20"/>
      <c r="J9" s="17"/>
      <c r="K9" s="17"/>
    </row>
    <row r="10" spans="1:14">
      <c r="A10" s="5">
        <f t="shared" ref="A10:A39" si="0">+A9+1</f>
        <v>3</v>
      </c>
      <c r="B10" s="2" t="s">
        <v>25</v>
      </c>
      <c r="C10" s="11"/>
      <c r="D10" s="19"/>
      <c r="E10" s="17"/>
      <c r="G10" s="20"/>
      <c r="J10" s="17"/>
      <c r="K10" s="17"/>
    </row>
    <row r="11" spans="1:14">
      <c r="A11" s="5">
        <f t="shared" si="0"/>
        <v>4</v>
      </c>
      <c r="B11" s="22" t="s">
        <v>26</v>
      </c>
      <c r="C11" s="11">
        <v>24</v>
      </c>
      <c r="D11" s="23">
        <f>+'JAP-23,  p3 Proforma Proposed'!D13</f>
        <v>2594865425.6283207</v>
      </c>
      <c r="E11" s="17">
        <f>+'JAP-23,  p3 Proforma Proposed'!E13</f>
        <v>245723262.34999925</v>
      </c>
      <c r="G11" s="132">
        <f>E11/(E$33-E$21-E$31)</f>
        <v>0.12763167666088981</v>
      </c>
      <c r="H11" s="15">
        <v>1</v>
      </c>
      <c r="I11" s="16">
        <f t="shared" ref="I11:I13" si="1">+$I$39*H11</f>
        <v>8.0032863059986387E-2</v>
      </c>
      <c r="J11" s="17">
        <f>+E11*I11</f>
        <v>19665936.2063106</v>
      </c>
      <c r="K11" s="17">
        <f>+E11+J11</f>
        <v>265389198.55630985</v>
      </c>
    </row>
    <row r="12" spans="1:14">
      <c r="A12" s="5">
        <f t="shared" si="0"/>
        <v>5</v>
      </c>
      <c r="B12" s="22" t="s">
        <v>27</v>
      </c>
      <c r="C12" s="11" t="s">
        <v>28</v>
      </c>
      <c r="D12" s="23">
        <f>SUM('JAP-23,  p3 Proforma Proposed'!D14,'JAP-23,  p3 Proforma Proposed'!D17)</f>
        <v>2932110480.8031054</v>
      </c>
      <c r="E12" s="17">
        <f>SUM('JAP-23,  p3 Proforma Proposed'!E14,'JAP-23,  p3 Proforma Proposed'!E17)</f>
        <v>258565574.1484229</v>
      </c>
      <c r="G12" s="132">
        <f>E12/(E$33-E$21-E$31)</f>
        <v>0.13430213094087609</v>
      </c>
      <c r="H12" s="15">
        <v>0.75</v>
      </c>
      <c r="I12" s="16">
        <f t="shared" si="1"/>
        <v>6.002464729498979E-2</v>
      </c>
      <c r="J12" s="17">
        <f>+E12*I12</f>
        <v>15520307.390885614</v>
      </c>
      <c r="K12" s="17">
        <f>+E12+J12</f>
        <v>274085881.53930849</v>
      </c>
    </row>
    <row r="13" spans="1:14">
      <c r="A13" s="5">
        <f t="shared" si="0"/>
        <v>6</v>
      </c>
      <c r="B13" s="22" t="s">
        <v>29</v>
      </c>
      <c r="C13" s="310" t="s">
        <v>543</v>
      </c>
      <c r="D13" s="23">
        <f>+'JAP-23,  p3 Proforma Proposed'!D15+'JAP-23,  p3 Proforma Proposed'!D16</f>
        <v>1991174729.334866</v>
      </c>
      <c r="E13" s="17">
        <f>+'JAP-23,  p3 Proforma Proposed'!E15+'JAP-23,  p3 Proforma Proposed'!E16</f>
        <v>159589468.42712274</v>
      </c>
      <c r="G13" s="132">
        <f>E13/(E$33-E$21-E$31)</f>
        <v>8.2892727525981744E-2</v>
      </c>
      <c r="H13" s="15">
        <v>1</v>
      </c>
      <c r="I13" s="16">
        <f t="shared" si="1"/>
        <v>8.0032863059986387E-2</v>
      </c>
      <c r="J13" s="17">
        <f>+E13*I13</f>
        <v>12772402.072443936</v>
      </c>
      <c r="K13" s="17">
        <f>+E13+J13</f>
        <v>172361870.49956667</v>
      </c>
    </row>
    <row r="14" spans="1:14">
      <c r="A14" s="5">
        <f t="shared" si="0"/>
        <v>7</v>
      </c>
      <c r="B14" s="24" t="s">
        <v>30</v>
      </c>
      <c r="C14" s="11"/>
      <c r="D14" s="25">
        <f>SUM(D11:D13)</f>
        <v>7518150635.7662926</v>
      </c>
      <c r="E14" s="13">
        <f>SUM(E11:E13)</f>
        <v>663878304.92554486</v>
      </c>
      <c r="G14" s="20"/>
      <c r="J14" s="13">
        <f>SUM(J11:J13)</f>
        <v>47958645.669640154</v>
      </c>
      <c r="K14" s="13">
        <f>SUM(K11:K13)</f>
        <v>711836950.59518504</v>
      </c>
    </row>
    <row r="15" spans="1:14">
      <c r="A15" s="5">
        <f t="shared" si="0"/>
        <v>8</v>
      </c>
      <c r="C15" s="11"/>
      <c r="D15" s="26"/>
      <c r="E15" s="17"/>
      <c r="G15" s="20"/>
      <c r="J15" s="17"/>
      <c r="K15" s="17"/>
    </row>
    <row r="16" spans="1:14">
      <c r="A16" s="5">
        <f t="shared" si="0"/>
        <v>9</v>
      </c>
      <c r="B16" s="2" t="s">
        <v>31</v>
      </c>
      <c r="C16" s="11"/>
      <c r="D16" s="26"/>
      <c r="E16" s="17"/>
      <c r="G16" s="20"/>
      <c r="J16" s="17"/>
      <c r="K16" s="17"/>
    </row>
    <row r="17" spans="1:11">
      <c r="A17" s="5">
        <f t="shared" si="0"/>
        <v>10</v>
      </c>
      <c r="B17" s="22" t="s">
        <v>32</v>
      </c>
      <c r="C17" s="11" t="s">
        <v>33</v>
      </c>
      <c r="D17" s="23">
        <f>SUM('JAP-23,  p3 Proforma Proposed'!D21:D22)</f>
        <v>1322986304.9575965</v>
      </c>
      <c r="E17" s="17">
        <f>SUM('JAP-23,  p3 Proforma Proposed'!E21:E22)</f>
        <v>104925648.00260486</v>
      </c>
      <c r="G17" s="132">
        <f>E17/(E$33-E$21-E$31)</f>
        <v>5.4499668656636829E-2</v>
      </c>
      <c r="H17" s="15">
        <v>1</v>
      </c>
      <c r="I17" s="16">
        <f>+$I$39*H17</f>
        <v>8.0032863059986387E-2</v>
      </c>
      <c r="J17" s="17">
        <f>+E17*I17</f>
        <v>8397500.0180728082</v>
      </c>
      <c r="K17" s="17">
        <f>+E17+J17</f>
        <v>113323148.02067767</v>
      </c>
    </row>
    <row r="18" spans="1:11">
      <c r="A18" s="5">
        <f t="shared" si="0"/>
        <v>11</v>
      </c>
      <c r="B18" s="27" t="s">
        <v>34</v>
      </c>
      <c r="C18" s="11">
        <v>43</v>
      </c>
      <c r="D18" s="23">
        <f>+'JAP-23,  p3 Proforma Proposed'!D23</f>
        <v>148958013.30767041</v>
      </c>
      <c r="E18" s="17">
        <f>+'JAP-23,  p3 Proforma Proposed'!E23</f>
        <v>12686206.607833235</v>
      </c>
      <c r="G18" s="132">
        <f>E18/(E$33-E$21-E$31)</f>
        <v>6.5893713291090049E-3</v>
      </c>
      <c r="H18" s="15">
        <v>1</v>
      </c>
      <c r="I18" s="16">
        <f>+$I$39*H18</f>
        <v>8.0032863059986387E-2</v>
      </c>
      <c r="J18" s="17">
        <f>+E18*I18</f>
        <v>1015313.4361954117</v>
      </c>
      <c r="K18" s="17">
        <f>+E18+J18</f>
        <v>13701520.044028647</v>
      </c>
    </row>
    <row r="19" spans="1:11">
      <c r="A19" s="5">
        <f t="shared" si="0"/>
        <v>12</v>
      </c>
      <c r="B19" s="10" t="s">
        <v>35</v>
      </c>
      <c r="C19" s="11"/>
      <c r="D19" s="25">
        <f>SUM(D17:D18)</f>
        <v>1471944318.2652669</v>
      </c>
      <c r="E19" s="13">
        <f>SUM(E17:E18)</f>
        <v>117611854.61043809</v>
      </c>
      <c r="G19" s="20"/>
      <c r="J19" s="13">
        <f>SUM(J17:J18)</f>
        <v>9412813.4542682208</v>
      </c>
      <c r="K19" s="13">
        <f>SUM(K17:K18)</f>
        <v>127024668.06470633</v>
      </c>
    </row>
    <row r="20" spans="1:11">
      <c r="A20" s="5">
        <f t="shared" si="0"/>
        <v>13</v>
      </c>
      <c r="C20" s="11"/>
      <c r="D20" s="28"/>
      <c r="E20" s="29"/>
      <c r="G20" s="30"/>
    </row>
    <row r="21" spans="1:11">
      <c r="A21" s="5">
        <f t="shared" si="0"/>
        <v>14</v>
      </c>
      <c r="B21" s="10" t="s">
        <v>36</v>
      </c>
      <c r="C21" s="11">
        <v>40</v>
      </c>
      <c r="D21" s="31">
        <f>+'JAP-23,  p3 Proforma Proposed'!D26</f>
        <v>755105598.26613879</v>
      </c>
      <c r="E21" s="13">
        <f>+'JAP-23,  p3 Proforma Proposed'!E26</f>
        <v>52013001.872035034</v>
      </c>
      <c r="G21" s="20"/>
      <c r="I21" s="16">
        <f>(J21/E21)</f>
        <v>6.4534762232158718E-2</v>
      </c>
      <c r="J21" s="279">
        <v>3356646.7087926073</v>
      </c>
      <c r="K21" s="13">
        <f>+E21+J21</f>
        <v>55369648.580827639</v>
      </c>
    </row>
    <row r="22" spans="1:11">
      <c r="A22" s="5">
        <f t="shared" si="0"/>
        <v>15</v>
      </c>
      <c r="C22" s="11"/>
      <c r="D22" s="28"/>
      <c r="E22" s="29"/>
      <c r="G22" s="30"/>
    </row>
    <row r="23" spans="1:11">
      <c r="A23" s="5">
        <f t="shared" si="0"/>
        <v>16</v>
      </c>
      <c r="B23" s="24" t="s">
        <v>37</v>
      </c>
      <c r="C23" s="11" t="s">
        <v>38</v>
      </c>
      <c r="D23" s="31">
        <f>+'JAP-23,  p3 Proforma Proposed'!D31</f>
        <v>576524278.58399999</v>
      </c>
      <c r="E23" s="13">
        <f>+'JAP-23,  p3 Proforma Proposed'!E31</f>
        <v>36438104.546547942</v>
      </c>
      <c r="G23" s="132">
        <f>E23/(E$33-E$21-E$31)</f>
        <v>1.8926398474217232E-2</v>
      </c>
      <c r="H23" s="15">
        <v>1</v>
      </c>
      <c r="I23" s="16">
        <f>+$I$39*H23</f>
        <v>8.0032863059986387E-2</v>
      </c>
      <c r="J23" s="13">
        <f>+E23*I23</f>
        <v>2916245.8313393388</v>
      </c>
      <c r="K23" s="13">
        <f>+E23+J23</f>
        <v>39354350.377887279</v>
      </c>
    </row>
    <row r="24" spans="1:11">
      <c r="A24" s="5">
        <f t="shared" si="0"/>
        <v>17</v>
      </c>
      <c r="C24" s="11"/>
      <c r="D24" s="28"/>
      <c r="E24" s="29"/>
      <c r="G24" s="30"/>
      <c r="J24" s="32"/>
      <c r="K24" s="32"/>
    </row>
    <row r="25" spans="1:11">
      <c r="A25" s="5">
        <f t="shared" si="0"/>
        <v>18</v>
      </c>
      <c r="B25" s="10" t="s">
        <v>443</v>
      </c>
      <c r="C25" s="33" t="s">
        <v>444</v>
      </c>
      <c r="D25" s="31">
        <f>SUM('JAP-23,  p3 Proforma Proposed'!D37)</f>
        <v>1954913503.9983001</v>
      </c>
      <c r="E25" s="13">
        <f>SUM('JAP-23,  p3 Proforma Proposed'!E37)</f>
        <v>7033519.1399157904</v>
      </c>
      <c r="G25" s="132">
        <f>E25/(E$33-E$21-E$31)</f>
        <v>3.653296118847963E-3</v>
      </c>
      <c r="H25" s="15">
        <v>1.25</v>
      </c>
      <c r="I25" s="16">
        <f>+$I$39*H25</f>
        <v>0.10004107882498298</v>
      </c>
      <c r="J25" s="13">
        <f>+E25*I25</f>
        <v>703640.84269334201</v>
      </c>
      <c r="K25" s="13">
        <f>+E25+J25</f>
        <v>7737159.9826091323</v>
      </c>
    </row>
    <row r="26" spans="1:11">
      <c r="A26" s="5">
        <f t="shared" si="0"/>
        <v>19</v>
      </c>
      <c r="C26" s="11"/>
      <c r="D26" s="28"/>
      <c r="E26" s="29"/>
      <c r="G26" s="30"/>
      <c r="J26" s="32"/>
    </row>
    <row r="27" spans="1:11">
      <c r="A27" s="5">
        <f t="shared" si="0"/>
        <v>20</v>
      </c>
      <c r="B27" s="2" t="s">
        <v>40</v>
      </c>
      <c r="C27" s="11" t="s">
        <v>41</v>
      </c>
      <c r="D27" s="31">
        <f>+'JAP-23,  p3 Proforma Proposed'!D33</f>
        <v>81494849.34449999</v>
      </c>
      <c r="E27" s="13">
        <f>+'JAP-23,  p3 Proforma Proposed'!E33</f>
        <v>16975573.845897056</v>
      </c>
      <c r="G27" s="132">
        <f>E27/(E$33-E$21-E$31)</f>
        <v>8.8173212886394747E-3</v>
      </c>
      <c r="H27" s="15">
        <v>1</v>
      </c>
      <c r="I27" s="16">
        <f>+$I$39*H27</f>
        <v>8.0032863059986387E-2</v>
      </c>
      <c r="J27" s="13">
        <f>+E27*I27</f>
        <v>1358603.7769733656</v>
      </c>
      <c r="K27" s="13">
        <f>+E27+J27</f>
        <v>18334177.622870423</v>
      </c>
    </row>
    <row r="28" spans="1:11">
      <c r="A28" s="5">
        <f t="shared" si="0"/>
        <v>21</v>
      </c>
      <c r="C28" s="11"/>
      <c r="D28" s="18"/>
      <c r="E28" s="29"/>
      <c r="G28" s="29"/>
    </row>
    <row r="29" spans="1:11" ht="13.5" thickBot="1">
      <c r="A29" s="5">
        <f t="shared" si="0"/>
        <v>22</v>
      </c>
      <c r="B29" s="24" t="s">
        <v>493</v>
      </c>
      <c r="C29" s="11"/>
      <c r="D29" s="34">
        <f>SUM(D27,D25,D21,D23,D19,D14,D8)</f>
        <v>23090880934.712337</v>
      </c>
      <c r="E29" s="35">
        <f>SUM(E27,E25,E21,E23,E19,E14,E8)</f>
        <v>1977265954.5764966</v>
      </c>
      <c r="I29" s="16">
        <f>+J29/E29</f>
        <v>7.7079891375889095E-2</v>
      </c>
      <c r="J29" s="35">
        <f>SUM(J27,J25,J21,J23,J19,J14,J8)</f>
        <v>152407445.00000003</v>
      </c>
      <c r="K29" s="35">
        <f>SUM(K27,K25,K21,K23,K19,K14,K8)</f>
        <v>2129673399.5764966</v>
      </c>
    </row>
    <row r="30" spans="1:11" ht="13.5" thickTop="1">
      <c r="A30" s="5">
        <f t="shared" si="0"/>
        <v>23</v>
      </c>
      <c r="C30" s="11"/>
      <c r="D30" s="28"/>
      <c r="E30" s="29"/>
      <c r="G30" s="30"/>
      <c r="J30" s="32"/>
      <c r="K30" s="32"/>
    </row>
    <row r="31" spans="1:11">
      <c r="A31" s="5">
        <f t="shared" si="0"/>
        <v>24</v>
      </c>
      <c r="B31" s="24" t="s">
        <v>542</v>
      </c>
      <c r="C31" s="33"/>
      <c r="D31" s="31">
        <f>+'JAP-23,  p3 Proforma Proposed'!D41</f>
        <v>7332573.9088840308</v>
      </c>
      <c r="E31" s="13">
        <f>SUM('JAP-23,  p16 Firm Resale'!G20,'JAP-23,  p16 Firm Resale'!G25)</f>
        <v>1217755.077158185</v>
      </c>
      <c r="G31" s="132"/>
      <c r="H31" s="15"/>
      <c r="I31" s="16">
        <f>(J31/E31)</f>
        <v>0.48569865245831351</v>
      </c>
      <c r="J31" s="279">
        <v>591462</v>
      </c>
      <c r="K31" s="13">
        <f>+E31+J31</f>
        <v>1809217.077158185</v>
      </c>
    </row>
    <row r="32" spans="1:11">
      <c r="A32" s="5">
        <f t="shared" si="0"/>
        <v>25</v>
      </c>
      <c r="C32" s="11"/>
      <c r="D32" s="18"/>
      <c r="E32" s="29"/>
      <c r="G32" s="29"/>
    </row>
    <row r="33" spans="1:11" ht="13.5" thickBot="1">
      <c r="A33" s="5">
        <f t="shared" si="0"/>
        <v>26</v>
      </c>
      <c r="B33" s="2" t="s">
        <v>42</v>
      </c>
      <c r="C33" s="11"/>
      <c r="D33" s="34">
        <f>SUM(D31,D29)</f>
        <v>23098213508.62122</v>
      </c>
      <c r="E33" s="35">
        <f>SUM(E31,E29)</f>
        <v>1978483709.6536548</v>
      </c>
      <c r="F33" s="278">
        <f>152928501+70406</f>
        <v>152998907</v>
      </c>
      <c r="G33" s="36">
        <f>SUM(G8:G31)</f>
        <v>0.99999999999999989</v>
      </c>
      <c r="I33" s="36">
        <f>+F33/E33</f>
        <v>7.7331395883357232E-2</v>
      </c>
      <c r="J33" s="35">
        <f>SUM(J31,J29)</f>
        <v>152998907.00000003</v>
      </c>
      <c r="K33" s="35">
        <f>SUM(K31,K29)</f>
        <v>2131482616.6536548</v>
      </c>
    </row>
    <row r="34" spans="1:11" ht="13.5" thickTop="1">
      <c r="A34" s="5">
        <f t="shared" si="0"/>
        <v>27</v>
      </c>
      <c r="C34" s="11"/>
      <c r="D34" s="19"/>
      <c r="E34" s="17"/>
      <c r="F34" s="17"/>
      <c r="G34" s="14"/>
      <c r="H34" s="17"/>
      <c r="I34" s="14"/>
      <c r="J34" s="17"/>
      <c r="K34" s="17"/>
    </row>
    <row r="35" spans="1:11" ht="13.5" thickBot="1">
      <c r="A35" s="5">
        <f t="shared" si="0"/>
        <v>28</v>
      </c>
      <c r="C35" s="11"/>
      <c r="D35" s="11"/>
      <c r="J35" s="37"/>
      <c r="K35" s="37"/>
    </row>
    <row r="36" spans="1:11">
      <c r="A36" s="5">
        <f t="shared" si="0"/>
        <v>29</v>
      </c>
      <c r="B36" s="38" t="s">
        <v>544</v>
      </c>
      <c r="C36" s="39"/>
      <c r="D36" s="39"/>
      <c r="E36" s="40"/>
      <c r="F36" s="41">
        <v>1</v>
      </c>
      <c r="G36" s="40"/>
      <c r="H36" s="41"/>
      <c r="I36" s="42">
        <f>F33/(E33)</f>
        <v>7.7331395883357232E-2</v>
      </c>
    </row>
    <row r="37" spans="1:11">
      <c r="A37" s="5">
        <f t="shared" si="0"/>
        <v>30</v>
      </c>
      <c r="B37" s="43" t="s">
        <v>545</v>
      </c>
      <c r="C37" s="44"/>
      <c r="D37" s="44"/>
      <c r="E37" s="32"/>
      <c r="F37" s="32"/>
      <c r="G37" s="32"/>
      <c r="H37" s="32"/>
      <c r="I37" s="45">
        <f>(F33-J21-J31)/(E33-E21-E31)</f>
        <v>7.7418812983421834E-2</v>
      </c>
      <c r="K37" s="37"/>
    </row>
    <row r="38" spans="1:11" ht="13.5" thickBot="1">
      <c r="A38" s="5">
        <f t="shared" si="0"/>
        <v>31</v>
      </c>
      <c r="B38" s="46" t="s">
        <v>43</v>
      </c>
      <c r="C38" s="44"/>
      <c r="D38" s="44"/>
      <c r="E38" s="32"/>
      <c r="F38" s="32"/>
      <c r="G38" s="32"/>
      <c r="H38" s="32"/>
      <c r="I38" s="47">
        <f>1/SUMPRODUCT($H$8:$H$31,$G$8:$G$31)</f>
        <v>1.0337650498093314</v>
      </c>
      <c r="K38" s="37"/>
    </row>
    <row r="39" spans="1:11" ht="13.5" thickBot="1">
      <c r="A39" s="5">
        <f t="shared" si="0"/>
        <v>32</v>
      </c>
      <c r="B39" s="150" t="s">
        <v>546</v>
      </c>
      <c r="C39" s="48"/>
      <c r="D39" s="48"/>
      <c r="E39" s="49"/>
      <c r="F39" s="49"/>
      <c r="G39" s="49"/>
      <c r="H39" s="49"/>
      <c r="I39" s="50">
        <f>I38*I37</f>
        <v>8.0032863059986387E-2</v>
      </c>
      <c r="K39" s="37"/>
    </row>
    <row r="40" spans="1:11" ht="12.75" customHeight="1">
      <c r="B40" s="135"/>
      <c r="C40" s="135"/>
      <c r="D40" s="135"/>
      <c r="E40" s="135"/>
      <c r="F40" s="135"/>
      <c r="G40" s="135"/>
    </row>
    <row r="41" spans="1:11">
      <c r="C41" s="11"/>
      <c r="D41" s="11"/>
    </row>
    <row r="42" spans="1:11">
      <c r="C42" s="11"/>
      <c r="D42" s="11"/>
    </row>
    <row r="43" spans="1:11">
      <c r="C43" s="11"/>
      <c r="D43" s="11"/>
    </row>
    <row r="44" spans="1:11">
      <c r="C44" s="11"/>
      <c r="D44" s="11"/>
    </row>
    <row r="45" spans="1:11">
      <c r="C45" s="11"/>
      <c r="D45" s="11"/>
    </row>
    <row r="46" spans="1:11">
      <c r="C46" s="11"/>
      <c r="D46" s="11"/>
    </row>
    <row r="47" spans="1:11">
      <c r="C47" s="11"/>
      <c r="D47" s="11"/>
    </row>
    <row r="48" spans="1:11">
      <c r="C48" s="11"/>
      <c r="D48" s="11"/>
    </row>
    <row r="49" spans="3:4">
      <c r="C49" s="11"/>
      <c r="D49" s="11"/>
    </row>
    <row r="50" spans="3:4">
      <c r="C50" s="11"/>
      <c r="D50" s="11"/>
    </row>
    <row r="51" spans="3:4">
      <c r="C51" s="11"/>
      <c r="D51" s="11"/>
    </row>
    <row r="52" spans="3:4">
      <c r="C52" s="11"/>
      <c r="D52" s="11"/>
    </row>
    <row r="53" spans="3:4">
      <c r="C53" s="11"/>
      <c r="D53" s="11"/>
    </row>
  </sheetData>
  <mergeCells count="3">
    <mergeCell ref="A1:K1"/>
    <mergeCell ref="A2:K2"/>
    <mergeCell ref="A3:K3"/>
  </mergeCells>
  <phoneticPr fontId="0" type="noConversion"/>
  <printOptions horizontalCentered="1"/>
  <pageMargins left="0.25" right="0.25" top="1" bottom="1" header="0.5" footer="0.5"/>
  <pageSetup scale="65" orientation="landscape" r:id="rId1"/>
  <headerFooter alignWithMargins="0">
    <oddFooter>&amp;R&amp;"Times New Roman,Regular"Exhibit No.___(JAP-23)
Page 1 of 49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K33"/>
  <sheetViews>
    <sheetView zoomScaleNormal="100" workbookViewId="0">
      <selection activeCell="A27" sqref="A27:G33"/>
    </sheetView>
  </sheetViews>
  <sheetFormatPr defaultRowHeight="12.75"/>
  <cols>
    <col min="1" max="1" width="4.28515625" style="2" bestFit="1" customWidth="1"/>
    <col min="2" max="2" width="24.140625" style="2" bestFit="1" customWidth="1"/>
    <col min="3" max="3" width="14" style="2" bestFit="1" customWidth="1"/>
    <col min="4" max="4" width="11.28515625" style="2" bestFit="1" customWidth="1"/>
    <col min="5" max="5" width="16.5703125" style="2" bestFit="1" customWidth="1"/>
    <col min="6" max="6" width="10.7109375" style="2" bestFit="1" customWidth="1"/>
    <col min="7" max="7" width="15" style="2" bestFit="1" customWidth="1"/>
    <col min="8" max="8" width="15.42578125" style="2" bestFit="1" customWidth="1"/>
    <col min="9" max="9" width="13.42578125" style="2" bestFit="1" customWidth="1"/>
    <col min="10" max="10" width="12.28515625" style="2" bestFit="1" customWidth="1"/>
    <col min="11" max="11" width="7.85546875" style="2" bestFit="1" customWidth="1"/>
    <col min="12" max="12" width="9.140625" style="2"/>
    <col min="13" max="13" width="11.28515625" style="2" bestFit="1" customWidth="1"/>
    <col min="14" max="16384" width="9.140625" style="2"/>
  </cols>
  <sheetData>
    <row r="1" spans="1:11">
      <c r="A1" s="327" t="str">
        <f>+'JAP-23,  p4 Residential Sch 7'!A1</f>
        <v>Puget Sound Energy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</row>
    <row r="2" spans="1:11">
      <c r="A2" s="327" t="str">
        <f>+'JAP-23,  p4 Residential Sch 7'!A2</f>
        <v>Proforma and Proposed Revenue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</row>
    <row r="3" spans="1:11">
      <c r="A3" s="327" t="str">
        <f>+'JAP-23,  p4 Residential Sch 7'!A3</f>
        <v>Test Year Twelve Months ended December 2010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</row>
    <row r="4" spans="1:11">
      <c r="A4" s="327" t="s">
        <v>201</v>
      </c>
      <c r="B4" s="327"/>
      <c r="C4" s="327"/>
      <c r="D4" s="327"/>
      <c r="E4" s="327"/>
      <c r="F4" s="327"/>
      <c r="G4" s="327"/>
      <c r="H4" s="327"/>
      <c r="I4" s="327"/>
      <c r="J4" s="327"/>
      <c r="K4" s="327"/>
    </row>
    <row r="5" spans="1:11">
      <c r="A5" s="327" t="s">
        <v>202</v>
      </c>
      <c r="B5" s="327"/>
      <c r="C5" s="327"/>
      <c r="D5" s="327"/>
      <c r="E5" s="327"/>
      <c r="F5" s="327"/>
      <c r="G5" s="327"/>
      <c r="H5" s="327"/>
      <c r="I5" s="327"/>
      <c r="J5" s="327"/>
      <c r="K5" s="327"/>
    </row>
    <row r="7" spans="1:11">
      <c r="F7" s="336" t="s">
        <v>85</v>
      </c>
      <c r="G7" s="337"/>
      <c r="H7" s="338" t="s">
        <v>86</v>
      </c>
      <c r="I7" s="339"/>
    </row>
    <row r="8" spans="1:11">
      <c r="A8" s="11" t="s">
        <v>450</v>
      </c>
      <c r="C8" s="333" t="s">
        <v>165</v>
      </c>
      <c r="D8" s="335"/>
      <c r="E8" s="334"/>
      <c r="F8" s="340" t="str">
        <f>+'JAP-23,  p4 Residential Sch 7'!F8</f>
        <v>Rates Effective 5-1-10</v>
      </c>
      <c r="G8" s="332"/>
      <c r="H8" s="340" t="str">
        <f>+'JAP-23,  p4 Residential Sch 7'!H8</f>
        <v>Rates Effective May 2012</v>
      </c>
      <c r="I8" s="332"/>
      <c r="J8" s="333" t="s">
        <v>166</v>
      </c>
      <c r="K8" s="334"/>
    </row>
    <row r="9" spans="1:11">
      <c r="A9" s="176" t="s">
        <v>451</v>
      </c>
      <c r="B9" s="176"/>
      <c r="C9" s="235" t="s">
        <v>85</v>
      </c>
      <c r="D9" s="237" t="s">
        <v>433</v>
      </c>
      <c r="E9" s="236" t="s">
        <v>167</v>
      </c>
      <c r="F9" s="203" t="s">
        <v>168</v>
      </c>
      <c r="G9" s="204" t="s">
        <v>169</v>
      </c>
      <c r="H9" s="176" t="s">
        <v>168</v>
      </c>
      <c r="I9" s="204" t="s">
        <v>169</v>
      </c>
      <c r="J9" s="203" t="s">
        <v>170</v>
      </c>
      <c r="K9" s="204" t="s">
        <v>171</v>
      </c>
    </row>
    <row r="10" spans="1:11" s="5" customFormat="1">
      <c r="A10" s="167"/>
      <c r="B10" s="167" t="s">
        <v>477</v>
      </c>
      <c r="C10" s="133" t="s">
        <v>478</v>
      </c>
      <c r="D10" s="133" t="s">
        <v>479</v>
      </c>
      <c r="E10" s="133" t="s">
        <v>480</v>
      </c>
      <c r="F10" s="133" t="s">
        <v>481</v>
      </c>
      <c r="G10" s="133" t="s">
        <v>482</v>
      </c>
      <c r="H10" s="133" t="s">
        <v>483</v>
      </c>
      <c r="I10" s="133" t="s">
        <v>484</v>
      </c>
      <c r="J10" s="133" t="s">
        <v>485</v>
      </c>
      <c r="K10" s="133" t="s">
        <v>486</v>
      </c>
    </row>
    <row r="11" spans="1:11" s="5" customFormat="1">
      <c r="A11" s="167"/>
      <c r="B11" s="167"/>
      <c r="C11" s="133"/>
      <c r="D11" s="133"/>
      <c r="E11" s="133"/>
      <c r="F11" s="133"/>
      <c r="G11" s="133"/>
      <c r="H11" s="133"/>
      <c r="I11" s="133"/>
      <c r="J11" s="133"/>
      <c r="K11" s="133"/>
    </row>
    <row r="12" spans="1:11">
      <c r="A12" s="5">
        <v>1</v>
      </c>
      <c r="B12" s="2" t="s">
        <v>53</v>
      </c>
      <c r="C12" s="210">
        <v>5808</v>
      </c>
      <c r="D12" s="210"/>
      <c r="E12" s="210">
        <f>SUM(C12:D12)</f>
        <v>5808</v>
      </c>
      <c r="F12" s="74">
        <v>328.59</v>
      </c>
      <c r="G12" s="13">
        <f>+F12*E12</f>
        <v>1908450.7199999997</v>
      </c>
      <c r="H12" s="74">
        <f>+'JAP-23,  p37 Rate Des Sch 31'!$E$9</f>
        <v>354.89</v>
      </c>
      <c r="I12" s="13">
        <f>+H12*E12</f>
        <v>2061201.1199999999</v>
      </c>
      <c r="J12" s="54">
        <f>+I12-G12</f>
        <v>152750.40000000014</v>
      </c>
      <c r="K12" s="52">
        <f>+J12/G12</f>
        <v>8.0038954319973307E-2</v>
      </c>
    </row>
    <row r="13" spans="1:11">
      <c r="A13" s="5">
        <f>+A12+1</f>
        <v>2</v>
      </c>
      <c r="G13" s="29"/>
      <c r="I13" s="29"/>
    </row>
    <row r="14" spans="1:11">
      <c r="A14" s="5">
        <f t="shared" ref="A14:A26" si="0">+A13+1</f>
        <v>3</v>
      </c>
      <c r="B14" s="24" t="s">
        <v>187</v>
      </c>
      <c r="C14" s="12">
        <v>1315461707.1980999</v>
      </c>
      <c r="D14" s="12">
        <v>9574375.7594966535</v>
      </c>
      <c r="E14" s="12">
        <f>SUM(C14:D14)</f>
        <v>1325036082.9575965</v>
      </c>
      <c r="F14" s="58">
        <v>5.9549999999999999E-2</v>
      </c>
      <c r="G14" s="13">
        <f>+E14*F14</f>
        <v>78905898.740124866</v>
      </c>
      <c r="H14" s="58">
        <f>+'JAP-23,  p37 Rate Des Sch 31'!$E$12</f>
        <v>6.4309999999999992E-2</v>
      </c>
      <c r="I14" s="13">
        <f>+H14*E14</f>
        <v>85213070.49500303</v>
      </c>
      <c r="J14" s="54">
        <f>+I14-G14</f>
        <v>6307171.7548781633</v>
      </c>
      <c r="K14" s="52">
        <f>+J14/G14</f>
        <v>7.9932829554995852E-2</v>
      </c>
    </row>
    <row r="15" spans="1:11">
      <c r="A15" s="5">
        <f t="shared" si="0"/>
        <v>4</v>
      </c>
      <c r="C15" s="81"/>
      <c r="D15" s="81"/>
      <c r="E15" s="81"/>
    </row>
    <row r="16" spans="1:11">
      <c r="A16" s="5">
        <f t="shared" si="0"/>
        <v>5</v>
      </c>
      <c r="B16" s="24" t="s">
        <v>194</v>
      </c>
      <c r="C16" s="18">
        <v>1694619.8</v>
      </c>
      <c r="D16" s="18"/>
      <c r="E16" s="18">
        <f>SUM(C16:D16)</f>
        <v>1694619.8</v>
      </c>
      <c r="F16" s="74">
        <v>8.36</v>
      </c>
      <c r="G16" s="29">
        <f>+F16*E16</f>
        <v>14167021.527999999</v>
      </c>
      <c r="H16" s="74">
        <f>+'JAP-23,  p37 Rate Des Sch 31'!$E$19</f>
        <v>9.0299999999999994</v>
      </c>
      <c r="I16" s="29">
        <f>+H16*E16</f>
        <v>15302416.794</v>
      </c>
      <c r="J16" s="37">
        <f>+I16-G16</f>
        <v>1135395.2660000008</v>
      </c>
      <c r="K16" s="21">
        <f>+J16/G16</f>
        <v>8.0143540669856517E-2</v>
      </c>
    </row>
    <row r="17" spans="1:11">
      <c r="A17" s="5">
        <f t="shared" si="0"/>
        <v>6</v>
      </c>
      <c r="B17" s="24" t="s">
        <v>195</v>
      </c>
      <c r="C17" s="18">
        <v>1704534.6</v>
      </c>
      <c r="D17" s="18"/>
      <c r="E17" s="18">
        <f>SUM(C17:D17)</f>
        <v>1704534.6</v>
      </c>
      <c r="F17" s="74">
        <v>5.57</v>
      </c>
      <c r="G17" s="29">
        <f>+F17*E17</f>
        <v>9494257.722000001</v>
      </c>
      <c r="H17" s="74">
        <f>+'JAP-23,  p37 Rate Des Sch 31'!$E$20</f>
        <v>6.02</v>
      </c>
      <c r="I17" s="29">
        <f>+H17*E17</f>
        <v>10261298.291999999</v>
      </c>
      <c r="J17" s="37">
        <f>+I17-G17</f>
        <v>767040.56999999844</v>
      </c>
      <c r="K17" s="21">
        <f>+J17/G17</f>
        <v>8.0789946140035734E-2</v>
      </c>
    </row>
    <row r="18" spans="1:11">
      <c r="A18" s="5">
        <f t="shared" si="0"/>
        <v>7</v>
      </c>
      <c r="B18" s="24" t="s">
        <v>190</v>
      </c>
      <c r="C18" s="12">
        <f>SUM(C16:C17)</f>
        <v>3399154.4000000004</v>
      </c>
      <c r="D18" s="12">
        <f>SUM(D16:D17)</f>
        <v>0</v>
      </c>
      <c r="E18" s="12">
        <f>SUM(C18:D18)</f>
        <v>3399154.4000000004</v>
      </c>
      <c r="G18" s="13">
        <f>SUM(G16:G17)</f>
        <v>23661279.25</v>
      </c>
      <c r="I18" s="13">
        <f>SUM(I16:I17)</f>
        <v>25563715.085999999</v>
      </c>
      <c r="J18" s="13">
        <f>SUM(J16:J17)</f>
        <v>1902435.8359999992</v>
      </c>
      <c r="K18" s="52">
        <f>+J18/G18</f>
        <v>8.0402915493252514E-2</v>
      </c>
    </row>
    <row r="19" spans="1:11">
      <c r="A19" s="5">
        <f t="shared" si="0"/>
        <v>8</v>
      </c>
      <c r="C19" s="19"/>
      <c r="D19" s="19"/>
      <c r="E19" s="19"/>
      <c r="G19" s="17"/>
      <c r="I19" s="17"/>
      <c r="J19" s="17"/>
      <c r="K19" s="56"/>
    </row>
    <row r="20" spans="1:11">
      <c r="A20" s="5">
        <f t="shared" si="0"/>
        <v>9</v>
      </c>
      <c r="B20" s="24" t="s">
        <v>191</v>
      </c>
      <c r="C20" s="210">
        <v>726535526</v>
      </c>
      <c r="D20" s="210"/>
      <c r="E20" s="12">
        <f>SUM(C20:D20)</f>
        <v>726535526</v>
      </c>
      <c r="F20" s="85">
        <v>1.0300000000000001E-3</v>
      </c>
      <c r="G20" s="13">
        <f>+F20*E20</f>
        <v>748331.59178000002</v>
      </c>
      <c r="H20" s="85">
        <f>+'JAP-23,  p37 Rate Des Sch 31'!$E$23</f>
        <v>1.1100000000000001E-3</v>
      </c>
      <c r="I20" s="13">
        <f>+H20*E20</f>
        <v>806454.43386000011</v>
      </c>
      <c r="J20" s="54">
        <f>+I20-G20</f>
        <v>58122.842080000089</v>
      </c>
      <c r="K20" s="52">
        <f>+J20/G20</f>
        <v>7.7669902912621477E-2</v>
      </c>
    </row>
    <row r="21" spans="1:11">
      <c r="A21" s="5">
        <f t="shared" si="0"/>
        <v>10</v>
      </c>
      <c r="B21" s="24"/>
      <c r="C21" s="206"/>
      <c r="D21" s="206"/>
      <c r="E21" s="206"/>
      <c r="F21" s="85"/>
      <c r="G21" s="17"/>
      <c r="H21" s="85"/>
      <c r="I21" s="17"/>
      <c r="J21" s="55"/>
      <c r="K21" s="56"/>
    </row>
    <row r="22" spans="1:11">
      <c r="A22" s="5">
        <f t="shared" si="0"/>
        <v>11</v>
      </c>
      <c r="B22" s="10" t="s">
        <v>175</v>
      </c>
      <c r="E22" s="210">
        <f>+E14</f>
        <v>1325036082.9575965</v>
      </c>
      <c r="F22" s="58">
        <v>0</v>
      </c>
      <c r="G22" s="13">
        <f>+F22*E22</f>
        <v>0</v>
      </c>
      <c r="H22" s="85">
        <v>0</v>
      </c>
      <c r="I22" s="13">
        <f>+H22*E22</f>
        <v>0</v>
      </c>
      <c r="J22" s="54">
        <f>+I22-G22</f>
        <v>0</v>
      </c>
      <c r="K22" s="56"/>
    </row>
    <row r="23" spans="1:11">
      <c r="A23" s="5">
        <f t="shared" si="0"/>
        <v>12</v>
      </c>
      <c r="E23" s="81"/>
    </row>
    <row r="24" spans="1:11">
      <c r="A24" s="5">
        <f t="shared" si="0"/>
        <v>13</v>
      </c>
      <c r="B24" s="10" t="s">
        <v>196</v>
      </c>
      <c r="E24" s="12">
        <v>-6688200</v>
      </c>
      <c r="F24" s="58">
        <f>ROUND(+G24/E24,6)</f>
        <v>8.2932000000000006E-2</v>
      </c>
      <c r="G24" s="13">
        <v>-554669</v>
      </c>
      <c r="H24" s="58">
        <f>+'JAP-23,  p37 Rate Des Sch 31'!$E$14</f>
        <v>8.9568999999999996E-2</v>
      </c>
      <c r="I24" s="13">
        <f>+H24*E24</f>
        <v>-599055.38579999993</v>
      </c>
      <c r="J24" s="54">
        <f>+I24-G24</f>
        <v>-44386.385799999931</v>
      </c>
      <c r="K24" s="52">
        <f>+J24/G24</f>
        <v>8.002319545530745E-2</v>
      </c>
    </row>
    <row r="25" spans="1:11">
      <c r="A25" s="5">
        <f t="shared" si="0"/>
        <v>14</v>
      </c>
      <c r="E25" s="81"/>
    </row>
    <row r="26" spans="1:11" ht="13.5" thickBot="1">
      <c r="A26" s="5">
        <f t="shared" si="0"/>
        <v>15</v>
      </c>
      <c r="B26" s="2" t="s">
        <v>60</v>
      </c>
      <c r="E26" s="34">
        <f>SUM(E14,E24)</f>
        <v>1318347882.9575965</v>
      </c>
      <c r="G26" s="63">
        <f>SUM(G20,G18,G14,G12,G22,G24)</f>
        <v>104669291.30190486</v>
      </c>
      <c r="I26" s="63">
        <f>SUM(I20,I18,I14,I12,I22,I24)</f>
        <v>113045385.74906303</v>
      </c>
      <c r="J26" s="63">
        <f>SUM(J20,J18,J14,J12,J22,J24)</f>
        <v>8376094.4471581616</v>
      </c>
      <c r="K26" s="64">
        <f>+J26/G26</f>
        <v>8.0024373366572379E-2</v>
      </c>
    </row>
    <row r="27" spans="1:11" ht="15.75" customHeight="1" thickTop="1">
      <c r="A27" s="5"/>
    </row>
    <row r="28" spans="1:11">
      <c r="A28" s="5"/>
      <c r="B28" s="24"/>
      <c r="G28" s="29"/>
      <c r="I28" s="29"/>
    </row>
    <row r="29" spans="1:11">
      <c r="A29" s="5"/>
      <c r="B29" s="24"/>
      <c r="G29" s="37"/>
      <c r="I29" s="37"/>
    </row>
    <row r="33" spans="2:7">
      <c r="B33" s="24"/>
      <c r="F33" s="58"/>
      <c r="G33" s="29"/>
    </row>
  </sheetData>
  <mergeCells count="11">
    <mergeCell ref="A1:K1"/>
    <mergeCell ref="A2:K2"/>
    <mergeCell ref="A3:K3"/>
    <mergeCell ref="A4:K4"/>
    <mergeCell ref="C8:E8"/>
    <mergeCell ref="F8:G8"/>
    <mergeCell ref="H8:I8"/>
    <mergeCell ref="J8:K8"/>
    <mergeCell ref="A5:K5"/>
    <mergeCell ref="F7:G7"/>
    <mergeCell ref="H7:I7"/>
  </mergeCells>
  <phoneticPr fontId="0" type="noConversion"/>
  <printOptions horizontalCentered="1"/>
  <pageMargins left="0.25" right="0.25" top="1" bottom="1.1100000000000001" header="0.5" footer="0.5"/>
  <pageSetup scale="85" orientation="landscape" r:id="rId1"/>
  <headerFooter alignWithMargins="0">
    <oddFooter>&amp;R&amp;"Times New Roman,Regular"Exhibit No.___(JAP-23)
Page 10 of 49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L33"/>
  <sheetViews>
    <sheetView zoomScaleNormal="100" workbookViewId="0">
      <selection activeCell="A27" sqref="A27:G36"/>
    </sheetView>
  </sheetViews>
  <sheetFormatPr defaultRowHeight="12.75"/>
  <cols>
    <col min="1" max="1" width="4.28515625" style="2" bestFit="1" customWidth="1"/>
    <col min="2" max="2" width="27.85546875" style="2" bestFit="1" customWidth="1"/>
    <col min="3" max="3" width="14" style="2" bestFit="1" customWidth="1"/>
    <col min="4" max="4" width="11.7109375" style="2" bestFit="1" customWidth="1"/>
    <col min="5" max="5" width="13.28515625" style="2" bestFit="1" customWidth="1"/>
    <col min="6" max="6" width="11.28515625" style="2" bestFit="1" customWidth="1"/>
    <col min="7" max="7" width="13.28515625" style="2" bestFit="1" customWidth="1"/>
    <col min="8" max="8" width="9.7109375" style="2" bestFit="1" customWidth="1"/>
    <col min="9" max="9" width="7.85546875" style="2" bestFit="1" customWidth="1"/>
    <col min="10" max="16384" width="9.140625" style="2"/>
  </cols>
  <sheetData>
    <row r="1" spans="1:12">
      <c r="A1" s="327" t="str">
        <f>+'JAP-23,  p4 Residential Sch 7'!A1</f>
        <v>Puget Sound Energy</v>
      </c>
      <c r="B1" s="327"/>
      <c r="C1" s="327"/>
      <c r="D1" s="327"/>
      <c r="E1" s="327"/>
      <c r="F1" s="327"/>
      <c r="G1" s="327"/>
      <c r="H1" s="327"/>
      <c r="I1" s="327"/>
    </row>
    <row r="2" spans="1:12">
      <c r="A2" s="327" t="str">
        <f>+'JAP-23,  p4 Residential Sch 7'!A2</f>
        <v>Proforma and Proposed Revenue</v>
      </c>
      <c r="B2" s="327"/>
      <c r="C2" s="327"/>
      <c r="D2" s="327"/>
      <c r="E2" s="327"/>
      <c r="F2" s="327"/>
      <c r="G2" s="327"/>
      <c r="H2" s="327"/>
      <c r="I2" s="327"/>
    </row>
    <row r="3" spans="1:12">
      <c r="A3" s="327" t="str">
        <f>+'JAP-23,  p4 Residential Sch 7'!A3</f>
        <v>Test Year Twelve Months ended December 2010</v>
      </c>
      <c r="B3" s="327"/>
      <c r="C3" s="327"/>
      <c r="D3" s="327"/>
      <c r="E3" s="327"/>
      <c r="F3" s="327"/>
      <c r="G3" s="327"/>
      <c r="H3" s="327"/>
      <c r="I3" s="327"/>
    </row>
    <row r="4" spans="1:12">
      <c r="A4" s="327" t="s">
        <v>203</v>
      </c>
      <c r="B4" s="327"/>
      <c r="C4" s="327"/>
      <c r="D4" s="327"/>
      <c r="E4" s="327"/>
      <c r="F4" s="327"/>
      <c r="G4" s="327"/>
      <c r="H4" s="327"/>
      <c r="I4" s="327"/>
    </row>
    <row r="5" spans="1:12">
      <c r="A5" s="327" t="s">
        <v>204</v>
      </c>
      <c r="B5" s="327"/>
      <c r="C5" s="327"/>
      <c r="D5" s="327"/>
      <c r="E5" s="327"/>
      <c r="F5" s="327"/>
      <c r="G5" s="327"/>
      <c r="H5" s="327"/>
      <c r="I5" s="327"/>
    </row>
    <row r="7" spans="1:12">
      <c r="D7" s="336" t="s">
        <v>85</v>
      </c>
      <c r="E7" s="337"/>
      <c r="F7" s="338" t="s">
        <v>86</v>
      </c>
      <c r="G7" s="339"/>
    </row>
    <row r="8" spans="1:12">
      <c r="A8" s="11" t="s">
        <v>450</v>
      </c>
      <c r="C8" s="11" t="s">
        <v>205</v>
      </c>
      <c r="D8" s="340" t="str">
        <f>+'JAP-23,  p4 Residential Sch 7'!F8</f>
        <v>Rates Effective 5-1-10</v>
      </c>
      <c r="E8" s="332"/>
      <c r="F8" s="340" t="str">
        <f>+'JAP-23,  p4 Residential Sch 7'!H8</f>
        <v>Rates Effective May 2012</v>
      </c>
      <c r="G8" s="332"/>
      <c r="H8" s="333" t="s">
        <v>166</v>
      </c>
      <c r="I8" s="334"/>
    </row>
    <row r="9" spans="1:12">
      <c r="A9" s="176" t="s">
        <v>451</v>
      </c>
      <c r="B9" s="176"/>
      <c r="C9" s="176" t="s">
        <v>206</v>
      </c>
      <c r="D9" s="203" t="s">
        <v>168</v>
      </c>
      <c r="E9" s="204" t="s">
        <v>169</v>
      </c>
      <c r="F9" s="176" t="s">
        <v>168</v>
      </c>
      <c r="G9" s="204" t="s">
        <v>169</v>
      </c>
      <c r="H9" s="203" t="s">
        <v>170</v>
      </c>
      <c r="I9" s="204" t="s">
        <v>171</v>
      </c>
    </row>
    <row r="10" spans="1:12" s="5" customFormat="1">
      <c r="A10" s="167"/>
      <c r="B10" s="167" t="s">
        <v>477</v>
      </c>
      <c r="C10" s="133" t="s">
        <v>478</v>
      </c>
      <c r="D10" s="133" t="s">
        <v>479</v>
      </c>
      <c r="E10" s="133" t="s">
        <v>480</v>
      </c>
      <c r="F10" s="133" t="s">
        <v>481</v>
      </c>
      <c r="G10" s="133" t="s">
        <v>482</v>
      </c>
      <c r="H10" s="133" t="s">
        <v>483</v>
      </c>
      <c r="I10" s="133" t="s">
        <v>484</v>
      </c>
      <c r="J10" s="133"/>
      <c r="K10" s="133"/>
      <c r="L10" s="133"/>
    </row>
    <row r="11" spans="1:12" s="5" customFormat="1">
      <c r="A11" s="167"/>
      <c r="B11" s="167"/>
      <c r="C11" s="133"/>
      <c r="D11" s="133"/>
      <c r="E11" s="133"/>
      <c r="F11" s="133"/>
      <c r="G11" s="133"/>
      <c r="H11" s="133"/>
      <c r="I11" s="133"/>
      <c r="J11" s="133"/>
      <c r="K11" s="133"/>
      <c r="L11" s="133"/>
    </row>
    <row r="12" spans="1:12">
      <c r="A12" s="5">
        <v>1</v>
      </c>
      <c r="B12" s="2" t="s">
        <v>53</v>
      </c>
      <c r="C12" s="210">
        <v>12</v>
      </c>
      <c r="D12" s="74">
        <v>328.59</v>
      </c>
      <c r="E12" s="13">
        <f>+D12*C12</f>
        <v>3943.08</v>
      </c>
      <c r="F12" s="184">
        <f>+'JAP-23,  p38 Rate Des Sch 35'!$E$9</f>
        <v>354.89</v>
      </c>
      <c r="G12" s="13">
        <f>+F12*C12</f>
        <v>4258.68</v>
      </c>
      <c r="H12" s="54">
        <f>+G12-E12</f>
        <v>315.60000000000036</v>
      </c>
      <c r="I12" s="52">
        <f>+H12/E12</f>
        <v>8.0038954319973307E-2</v>
      </c>
    </row>
    <row r="13" spans="1:12">
      <c r="A13" s="5">
        <f>+A12+1</f>
        <v>2</v>
      </c>
      <c r="E13" s="29"/>
      <c r="G13" s="29"/>
    </row>
    <row r="14" spans="1:12">
      <c r="A14" s="5">
        <f t="shared" ref="A14:A26" si="0">+A13+1</f>
        <v>3</v>
      </c>
      <c r="B14" s="24" t="s">
        <v>187</v>
      </c>
      <c r="C14" s="12">
        <v>4638600</v>
      </c>
      <c r="D14" s="58">
        <v>4.8471E-2</v>
      </c>
      <c r="E14" s="13">
        <f>+D14*C14</f>
        <v>224837.58059999999</v>
      </c>
      <c r="F14" s="58">
        <f>+'JAP-23,  p38 Rate Des Sch 35'!$E$12</f>
        <v>5.2353999999999998E-2</v>
      </c>
      <c r="G14" s="13">
        <f>+F14*C14</f>
        <v>242849.26439999999</v>
      </c>
      <c r="H14" s="54">
        <f>+G14-E14</f>
        <v>18011.683799999999</v>
      </c>
      <c r="I14" s="52">
        <f>+H14/E14</f>
        <v>8.0109756349157221E-2</v>
      </c>
    </row>
    <row r="15" spans="1:12">
      <c r="A15" s="5">
        <f t="shared" si="0"/>
        <v>4</v>
      </c>
      <c r="C15" s="81"/>
    </row>
    <row r="16" spans="1:12">
      <c r="A16" s="5">
        <f t="shared" si="0"/>
        <v>5</v>
      </c>
      <c r="B16" s="24" t="s">
        <v>194</v>
      </c>
      <c r="C16" s="18">
        <v>781</v>
      </c>
      <c r="D16" s="74">
        <v>4.3499999999999996</v>
      </c>
      <c r="E16" s="29">
        <f>+D16*C16</f>
        <v>3397.35</v>
      </c>
      <c r="F16" s="184">
        <f>+'JAP-23,  p38 Rate Des Sch 35'!$E$19</f>
        <v>4.7</v>
      </c>
      <c r="G16" s="29">
        <f>+F16*C16</f>
        <v>3670.7000000000003</v>
      </c>
      <c r="H16" s="37">
        <f>+G16-E16</f>
        <v>273.35000000000036</v>
      </c>
      <c r="I16" s="21">
        <f>+H16/E16</f>
        <v>8.0459770114942639E-2</v>
      </c>
    </row>
    <row r="17" spans="1:9">
      <c r="A17" s="5">
        <f t="shared" si="0"/>
        <v>6</v>
      </c>
      <c r="B17" s="24" t="s">
        <v>195</v>
      </c>
      <c r="C17" s="18">
        <v>7510</v>
      </c>
      <c r="D17" s="74">
        <v>2.89</v>
      </c>
      <c r="E17" s="29">
        <f>+D17*C17</f>
        <v>21703.9</v>
      </c>
      <c r="F17" s="184">
        <f>+'JAP-23,  p38 Rate Des Sch 35'!$E$20</f>
        <v>3.12</v>
      </c>
      <c r="G17" s="29">
        <f>+F17*C17</f>
        <v>23431.200000000001</v>
      </c>
      <c r="H17" s="37">
        <f>+G17-E17</f>
        <v>1727.2999999999993</v>
      </c>
      <c r="I17" s="21">
        <f>+H17/E17</f>
        <v>7.9584775086505147E-2</v>
      </c>
    </row>
    <row r="18" spans="1:9">
      <c r="A18" s="5">
        <f t="shared" si="0"/>
        <v>7</v>
      </c>
      <c r="B18" s="24" t="s">
        <v>190</v>
      </c>
      <c r="C18" s="12">
        <f>SUM(C16:C17)</f>
        <v>8291</v>
      </c>
      <c r="E18" s="13">
        <f>SUM(E16:E17)</f>
        <v>25101.25</v>
      </c>
      <c r="G18" s="13">
        <f>SUM(G16:G17)</f>
        <v>27101.9</v>
      </c>
      <c r="H18" s="13">
        <f>SUM(H16:H17)</f>
        <v>2000.6499999999996</v>
      </c>
      <c r="I18" s="52">
        <f>+H18/E18</f>
        <v>7.9703202031771309E-2</v>
      </c>
    </row>
    <row r="19" spans="1:9">
      <c r="A19" s="5">
        <f t="shared" si="0"/>
        <v>8</v>
      </c>
      <c r="C19" s="19"/>
      <c r="E19" s="17"/>
      <c r="G19" s="17"/>
      <c r="H19" s="17"/>
      <c r="I19" s="56"/>
    </row>
    <row r="20" spans="1:9">
      <c r="A20" s="5">
        <f t="shared" si="0"/>
        <v>9</v>
      </c>
      <c r="B20" s="24" t="s">
        <v>191</v>
      </c>
      <c r="C20" s="210">
        <v>2384562</v>
      </c>
      <c r="D20" s="85">
        <v>1.0499999999999999E-3</v>
      </c>
      <c r="E20" s="13">
        <f>+D20*C20</f>
        <v>2503.7900999999997</v>
      </c>
      <c r="F20" s="85">
        <f>+'JAP-23,  p38 Rate Des Sch 35'!$E$23</f>
        <v>1.1299999999999999E-3</v>
      </c>
      <c r="G20" s="13">
        <f>+F20*C20</f>
        <v>2694.5550599999997</v>
      </c>
      <c r="H20" s="54">
        <f>+G20-E20</f>
        <v>190.76495999999997</v>
      </c>
      <c r="I20" s="52">
        <f>+H20/E20</f>
        <v>7.6190476190476183E-2</v>
      </c>
    </row>
    <row r="21" spans="1:9">
      <c r="A21" s="5">
        <f t="shared" si="0"/>
        <v>10</v>
      </c>
      <c r="B21" s="24"/>
      <c r="C21" s="206"/>
      <c r="D21" s="85"/>
      <c r="E21" s="17"/>
      <c r="F21" s="85"/>
      <c r="G21" s="17"/>
      <c r="H21" s="55"/>
      <c r="I21" s="56"/>
    </row>
    <row r="22" spans="1:9">
      <c r="A22" s="5">
        <f t="shared" si="0"/>
        <v>11</v>
      </c>
      <c r="B22" s="10" t="s">
        <v>175</v>
      </c>
      <c r="C22" s="210">
        <f>+C14</f>
        <v>4638600</v>
      </c>
      <c r="D22" s="58">
        <v>0</v>
      </c>
      <c r="E22" s="13">
        <f>+D22*C22</f>
        <v>0</v>
      </c>
      <c r="F22" s="58">
        <v>0</v>
      </c>
      <c r="G22" s="13">
        <f>+F22*C22</f>
        <v>0</v>
      </c>
      <c r="H22" s="54">
        <f>+G22-E22</f>
        <v>0</v>
      </c>
      <c r="I22" s="56"/>
    </row>
    <row r="23" spans="1:9">
      <c r="A23" s="5">
        <f t="shared" si="0"/>
        <v>12</v>
      </c>
      <c r="C23" s="81"/>
    </row>
    <row r="24" spans="1:9">
      <c r="A24" s="5">
        <f t="shared" si="0"/>
        <v>13</v>
      </c>
      <c r="B24" s="10" t="s">
        <v>196</v>
      </c>
      <c r="C24" s="12">
        <v>-178</v>
      </c>
      <c r="D24" s="58">
        <f>ROUND(+E24/C24,6)</f>
        <v>0.16292100000000001</v>
      </c>
      <c r="E24" s="13">
        <v>-29</v>
      </c>
      <c r="F24" s="58">
        <f>+'JAP-23,  p38 Rate Des Sch 35'!$E$14</f>
        <v>0.17596000000000001</v>
      </c>
      <c r="G24" s="13">
        <f>+F24*C24</f>
        <v>-31.320880000000002</v>
      </c>
      <c r="H24" s="54">
        <f>+G24-E24</f>
        <v>-2.3208800000000025</v>
      </c>
      <c r="I24" s="52">
        <f>+H24/E24</f>
        <v>8.0030344827586294E-2</v>
      </c>
    </row>
    <row r="25" spans="1:9">
      <c r="A25" s="5">
        <f t="shared" si="0"/>
        <v>14</v>
      </c>
      <c r="C25" s="81"/>
    </row>
    <row r="26" spans="1:9" ht="13.5" thickBot="1">
      <c r="A26" s="5">
        <f t="shared" si="0"/>
        <v>15</v>
      </c>
      <c r="B26" s="2" t="s">
        <v>60</v>
      </c>
      <c r="C26" s="34">
        <f>SUM(C14,C24)</f>
        <v>4638422</v>
      </c>
      <c r="E26" s="63">
        <f>SUM(E20,E18,E14,E12,E22,E24)</f>
        <v>256356.70069999996</v>
      </c>
      <c r="G26" s="63">
        <f>SUM(G20,G18,G14,G12,G22,G24)</f>
        <v>276873.07857999997</v>
      </c>
      <c r="H26" s="63">
        <f>SUM(H20,H18,H14,H12,H22,H24)</f>
        <v>20516.37788</v>
      </c>
      <c r="I26" s="64">
        <f>+H26/E26</f>
        <v>8.0030589502745941E-2</v>
      </c>
    </row>
    <row r="27" spans="1:9" ht="13.5" thickTop="1"/>
    <row r="28" spans="1:9">
      <c r="E28" s="29"/>
      <c r="G28" s="29"/>
    </row>
    <row r="29" spans="1:9">
      <c r="E29" s="37"/>
      <c r="G29" s="37"/>
    </row>
    <row r="31" spans="1:9">
      <c r="E31" s="37"/>
    </row>
    <row r="33" spans="2:5">
      <c r="B33" s="24"/>
      <c r="D33" s="58"/>
      <c r="E33" s="29"/>
    </row>
  </sheetData>
  <mergeCells count="10">
    <mergeCell ref="D8:E8"/>
    <mergeCell ref="F8:G8"/>
    <mergeCell ref="H8:I8"/>
    <mergeCell ref="A1:I1"/>
    <mergeCell ref="A2:I2"/>
    <mergeCell ref="A3:I3"/>
    <mergeCell ref="A4:I4"/>
    <mergeCell ref="A5:I5"/>
    <mergeCell ref="D7:E7"/>
    <mergeCell ref="F7:G7"/>
  </mergeCells>
  <phoneticPr fontId="0" type="noConversion"/>
  <printOptions horizontalCentered="1"/>
  <pageMargins left="0.25" right="0.25" top="1" bottom="1.24" header="0.5" footer="0.5"/>
  <pageSetup scale="85" orientation="landscape" r:id="rId1"/>
  <headerFooter alignWithMargins="0">
    <oddFooter>&amp;R&amp;"Times New Roman,Regular"Exhibit No.___(JAP-23)
Page 11 of 49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K31"/>
  <sheetViews>
    <sheetView zoomScaleNormal="100" workbookViewId="0">
      <selection activeCell="A27" sqref="A27:I32"/>
    </sheetView>
  </sheetViews>
  <sheetFormatPr defaultRowHeight="12.75"/>
  <cols>
    <col min="1" max="1" width="4.28515625" style="2" bestFit="1" customWidth="1"/>
    <col min="2" max="2" width="24.140625" style="2" bestFit="1" customWidth="1"/>
    <col min="3" max="3" width="12.28515625" style="2" bestFit="1" customWidth="1"/>
    <col min="4" max="4" width="11.28515625" style="2" bestFit="1" customWidth="1"/>
    <col min="5" max="5" width="15" style="2" bestFit="1" customWidth="1"/>
    <col min="6" max="6" width="10.7109375" style="2" bestFit="1" customWidth="1"/>
    <col min="7" max="7" width="15" style="2" bestFit="1" customWidth="1"/>
    <col min="8" max="8" width="10.7109375" style="2" bestFit="1" customWidth="1"/>
    <col min="9" max="9" width="12.28515625" style="2" bestFit="1" customWidth="1"/>
    <col min="10" max="10" width="11.7109375" style="2" customWidth="1"/>
    <col min="11" max="11" width="7.85546875" style="2" bestFit="1" customWidth="1"/>
    <col min="12" max="16384" width="9.140625" style="2"/>
  </cols>
  <sheetData>
    <row r="1" spans="1:11">
      <c r="A1" s="327" t="str">
        <f>+'JAP-23,  p4 Residential Sch 7'!A1</f>
        <v>Puget Sound Energy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</row>
    <row r="2" spans="1:11">
      <c r="A2" s="327" t="str">
        <f>+'JAP-23,  p4 Residential Sch 7'!A2</f>
        <v>Proforma and Proposed Revenue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</row>
    <row r="3" spans="1:11">
      <c r="A3" s="327" t="str">
        <f>+'JAP-23,  p4 Residential Sch 7'!A3</f>
        <v>Test Year Twelve Months ended December 2010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</row>
    <row r="4" spans="1:11">
      <c r="A4" s="327" t="s">
        <v>207</v>
      </c>
      <c r="B4" s="327"/>
      <c r="C4" s="327"/>
      <c r="D4" s="327"/>
      <c r="E4" s="327"/>
      <c r="F4" s="327"/>
      <c r="G4" s="327"/>
      <c r="H4" s="327"/>
      <c r="I4" s="327"/>
      <c r="J4" s="327"/>
      <c r="K4" s="327"/>
    </row>
    <row r="5" spans="1:11">
      <c r="A5" s="327" t="s">
        <v>208</v>
      </c>
      <c r="B5" s="327"/>
      <c r="C5" s="327"/>
      <c r="D5" s="327"/>
      <c r="E5" s="327"/>
      <c r="F5" s="327"/>
      <c r="G5" s="327"/>
      <c r="H5" s="327"/>
      <c r="I5" s="327"/>
      <c r="J5" s="327"/>
      <c r="K5" s="327"/>
    </row>
    <row r="7" spans="1:11">
      <c r="F7" s="336" t="s">
        <v>85</v>
      </c>
      <c r="G7" s="337"/>
      <c r="H7" s="338" t="s">
        <v>86</v>
      </c>
      <c r="I7" s="339"/>
    </row>
    <row r="8" spans="1:11">
      <c r="A8" s="11" t="s">
        <v>450</v>
      </c>
      <c r="C8" s="333" t="s">
        <v>165</v>
      </c>
      <c r="D8" s="335"/>
      <c r="E8" s="334"/>
      <c r="F8" s="340" t="str">
        <f>+'JAP-23,  p4 Residential Sch 7'!F8</f>
        <v>Rates Effective 5-1-10</v>
      </c>
      <c r="G8" s="332"/>
      <c r="H8" s="340" t="str">
        <f>+'JAP-23,  p4 Residential Sch 7'!H8</f>
        <v>Rates Effective May 2012</v>
      </c>
      <c r="I8" s="332"/>
      <c r="J8" s="333" t="s">
        <v>166</v>
      </c>
      <c r="K8" s="334"/>
    </row>
    <row r="9" spans="1:11">
      <c r="A9" s="176" t="s">
        <v>451</v>
      </c>
      <c r="B9" s="176"/>
      <c r="C9" s="235" t="s">
        <v>85</v>
      </c>
      <c r="D9" s="237" t="s">
        <v>433</v>
      </c>
      <c r="E9" s="236" t="s">
        <v>167</v>
      </c>
      <c r="F9" s="203" t="s">
        <v>168</v>
      </c>
      <c r="G9" s="204" t="s">
        <v>169</v>
      </c>
      <c r="H9" s="176" t="s">
        <v>168</v>
      </c>
      <c r="I9" s="204" t="s">
        <v>169</v>
      </c>
      <c r="J9" s="203" t="s">
        <v>170</v>
      </c>
      <c r="K9" s="204" t="s">
        <v>171</v>
      </c>
    </row>
    <row r="10" spans="1:11" s="5" customFormat="1">
      <c r="A10" s="167"/>
      <c r="B10" s="167" t="s">
        <v>477</v>
      </c>
      <c r="C10" s="133" t="s">
        <v>478</v>
      </c>
      <c r="D10" s="133" t="s">
        <v>479</v>
      </c>
      <c r="E10" s="133" t="s">
        <v>480</v>
      </c>
      <c r="F10" s="133" t="s">
        <v>481</v>
      </c>
      <c r="G10" s="133" t="s">
        <v>482</v>
      </c>
      <c r="H10" s="133" t="s">
        <v>483</v>
      </c>
      <c r="I10" s="133" t="s">
        <v>484</v>
      </c>
      <c r="J10" s="133" t="s">
        <v>485</v>
      </c>
      <c r="K10" s="133" t="s">
        <v>486</v>
      </c>
    </row>
    <row r="11" spans="1:11" s="5" customFormat="1">
      <c r="A11" s="167"/>
      <c r="B11" s="167"/>
      <c r="C11" s="133"/>
      <c r="D11" s="133"/>
      <c r="E11" s="133"/>
      <c r="F11" s="133"/>
      <c r="G11" s="133"/>
      <c r="H11" s="133"/>
      <c r="I11" s="133"/>
      <c r="J11" s="133"/>
      <c r="K11" s="133"/>
    </row>
    <row r="12" spans="1:11">
      <c r="A12" s="5">
        <v>1</v>
      </c>
      <c r="B12" s="2" t="s">
        <v>53</v>
      </c>
      <c r="C12" s="210">
        <v>2128</v>
      </c>
      <c r="D12" s="210"/>
      <c r="E12" s="210">
        <f>SUM(C12:D12)</f>
        <v>2128</v>
      </c>
      <c r="F12" s="74">
        <v>328.59</v>
      </c>
      <c r="G12" s="13">
        <f>+F12*E12</f>
        <v>699239.5199999999</v>
      </c>
      <c r="H12" s="74">
        <f>+'JAP-23,  p39 Rate Des Sch 43'!$E$9</f>
        <v>354.89</v>
      </c>
      <c r="I12" s="13">
        <f>+H12*E12</f>
        <v>755205.91999999993</v>
      </c>
      <c r="J12" s="54">
        <f>+I12-G12</f>
        <v>55966.400000000023</v>
      </c>
      <c r="K12" s="52">
        <f>+J12/G12</f>
        <v>8.0038954319973266E-2</v>
      </c>
    </row>
    <row r="13" spans="1:11">
      <c r="A13" s="5">
        <f>+A12+1</f>
        <v>2</v>
      </c>
      <c r="G13" s="29"/>
      <c r="I13" s="29"/>
    </row>
    <row r="14" spans="1:11">
      <c r="A14" s="5">
        <f t="shared" ref="A14:A26" si="0">+A13+1</f>
        <v>3</v>
      </c>
      <c r="B14" s="24" t="s">
        <v>187</v>
      </c>
      <c r="C14" s="12">
        <v>146204728.48909998</v>
      </c>
      <c r="D14" s="12">
        <v>3801196.8185704313</v>
      </c>
      <c r="E14" s="210">
        <f>SUM(C14:D14)</f>
        <v>150005925.30767041</v>
      </c>
      <c r="F14" s="58">
        <v>5.6011999999999999E-2</v>
      </c>
      <c r="G14" s="13">
        <f>+F14*E14</f>
        <v>8402131.8883332349</v>
      </c>
      <c r="H14" s="58">
        <f>+'JAP-23,  p39 Rate Des Sch 43'!$E$12</f>
        <v>6.0485999999999998E-2</v>
      </c>
      <c r="I14" s="13">
        <f>+H14*E14</f>
        <v>9073258.3981597517</v>
      </c>
      <c r="J14" s="54">
        <f>+I14-G14</f>
        <v>671126.50982651673</v>
      </c>
      <c r="K14" s="52">
        <f>+J14/G14</f>
        <v>7.9875740912661489E-2</v>
      </c>
    </row>
    <row r="15" spans="1:11">
      <c r="A15" s="5">
        <f t="shared" si="0"/>
        <v>4</v>
      </c>
      <c r="C15" s="81"/>
      <c r="D15" s="81"/>
      <c r="E15" s="81"/>
    </row>
    <row r="16" spans="1:11">
      <c r="A16" s="5">
        <f t="shared" si="0"/>
        <v>5</v>
      </c>
      <c r="B16" s="24" t="s">
        <v>190</v>
      </c>
      <c r="C16" s="12">
        <v>758854</v>
      </c>
      <c r="D16" s="12"/>
      <c r="E16" s="210">
        <f>SUM(C16:D16)</f>
        <v>758854</v>
      </c>
      <c r="F16" s="74">
        <v>4.5999999999999996</v>
      </c>
      <c r="G16" s="13">
        <f>+F16*E16</f>
        <v>3490728.4</v>
      </c>
      <c r="H16" s="74">
        <f>+'JAP-23,  p39 Rate Des Sch 43'!$E$17</f>
        <v>4.97</v>
      </c>
      <c r="I16" s="13">
        <f>+H16*E16</f>
        <v>3771504.38</v>
      </c>
      <c r="J16" s="54">
        <f>+I16-G16</f>
        <v>280775.98</v>
      </c>
      <c r="K16" s="52">
        <f>+J16/G16</f>
        <v>8.0434782608695646E-2</v>
      </c>
    </row>
    <row r="17" spans="1:11">
      <c r="A17" s="5">
        <f t="shared" si="0"/>
        <v>6</v>
      </c>
      <c r="C17" s="19"/>
      <c r="D17" s="19"/>
      <c r="E17" s="19"/>
      <c r="G17" s="17"/>
      <c r="I17" s="17"/>
      <c r="J17" s="17"/>
      <c r="K17" s="56"/>
    </row>
    <row r="18" spans="1:11">
      <c r="A18" s="5">
        <f t="shared" si="0"/>
        <v>7</v>
      </c>
      <c r="B18" s="24" t="s">
        <v>191</v>
      </c>
      <c r="C18" s="210">
        <v>62061655</v>
      </c>
      <c r="D18" s="210"/>
      <c r="E18" s="210">
        <f>SUM(C18:D18)</f>
        <v>62061655</v>
      </c>
      <c r="F18" s="85">
        <v>2.8999999999999998E-3</v>
      </c>
      <c r="G18" s="13">
        <f>+F18*E18</f>
        <v>179978.79949999999</v>
      </c>
      <c r="H18" s="85">
        <f>+'JAP-23,  p39 Rate Des Sch 43'!$E$19</f>
        <v>3.13E-3</v>
      </c>
      <c r="I18" s="13">
        <f>+H18*E18</f>
        <v>194252.98014999999</v>
      </c>
      <c r="J18" s="54">
        <f>+I18-G18</f>
        <v>14274.180649999995</v>
      </c>
      <c r="K18" s="52">
        <f>+J18/G18</f>
        <v>7.9310344827586185E-2</v>
      </c>
    </row>
    <row r="19" spans="1:11">
      <c r="A19" s="5">
        <f t="shared" si="0"/>
        <v>8</v>
      </c>
      <c r="E19" s="81"/>
    </row>
    <row r="20" spans="1:11">
      <c r="A20" s="5">
        <f t="shared" si="0"/>
        <v>9</v>
      </c>
      <c r="B20" s="10" t="s">
        <v>175</v>
      </c>
      <c r="E20" s="210">
        <f>+E14</f>
        <v>150005925.30767041</v>
      </c>
      <c r="F20" s="58">
        <v>0</v>
      </c>
      <c r="G20" s="13">
        <f>+F20*E20</f>
        <v>0</v>
      </c>
      <c r="H20" s="58">
        <v>0</v>
      </c>
      <c r="I20" s="13">
        <f>+H20*E20</f>
        <v>0</v>
      </c>
      <c r="J20" s="54">
        <f>+I20-G20</f>
        <v>0</v>
      </c>
      <c r="K20" s="56"/>
    </row>
    <row r="21" spans="1:11">
      <c r="A21" s="5">
        <f t="shared" si="0"/>
        <v>10</v>
      </c>
      <c r="E21" s="81"/>
    </row>
    <row r="22" spans="1:11">
      <c r="A22" s="5">
        <f t="shared" si="0"/>
        <v>11</v>
      </c>
      <c r="B22" s="10" t="s">
        <v>196</v>
      </c>
      <c r="E22" s="12">
        <v>-1047912</v>
      </c>
      <c r="F22" s="58">
        <f>ROUND(+G22/E22,6)</f>
        <v>8.1946000000000005E-2</v>
      </c>
      <c r="G22" s="13">
        <v>-85872</v>
      </c>
      <c r="H22" s="58">
        <f>+'JAP-23,  p39 Rate Des Sch 43'!$E$14</f>
        <v>8.8503999999999999E-2</v>
      </c>
      <c r="I22" s="13">
        <f>+H22*E22</f>
        <v>-92744.403647999992</v>
      </c>
      <c r="J22" s="54">
        <f>+I22-G22</f>
        <v>-6872.4036479999922</v>
      </c>
      <c r="K22" s="52">
        <f>+J22/G22</f>
        <v>8.0030785913918295E-2</v>
      </c>
    </row>
    <row r="23" spans="1:11">
      <c r="A23" s="5">
        <f t="shared" si="0"/>
        <v>12</v>
      </c>
      <c r="E23" s="81"/>
    </row>
    <row r="24" spans="1:11" ht="13.5" thickBot="1">
      <c r="A24" s="5">
        <f t="shared" si="0"/>
        <v>13</v>
      </c>
      <c r="B24" s="2" t="s">
        <v>60</v>
      </c>
      <c r="E24" s="34">
        <f>SUM(E22,E14)</f>
        <v>148958013.30767041</v>
      </c>
      <c r="G24" s="63">
        <f>SUM(G18,G16,G14,G12,G20,G22)</f>
        <v>12686206.607833235</v>
      </c>
      <c r="I24" s="63">
        <f>SUM(I18,I16,I14,I12,I20,I22)</f>
        <v>13701477.274661751</v>
      </c>
      <c r="J24" s="63">
        <f>SUM(J18,J16,J14,J12,J20,J22)</f>
        <v>1015270.6668285168</v>
      </c>
      <c r="K24" s="64">
        <f>+J24/G24</f>
        <v>8.0029491731722774E-2</v>
      </c>
    </row>
    <row r="25" spans="1:11" ht="13.5" thickTop="1">
      <c r="A25" s="5">
        <f t="shared" si="0"/>
        <v>14</v>
      </c>
    </row>
    <row r="26" spans="1:11">
      <c r="A26" s="5">
        <f t="shared" si="0"/>
        <v>15</v>
      </c>
      <c r="B26" s="2" t="s">
        <v>209</v>
      </c>
      <c r="F26" s="53">
        <f>+'JAP-23,  p10 Primary Sch 31'!F16-'JAP-23,  p12 Primary Sch 43'!F16</f>
        <v>3.76</v>
      </c>
      <c r="H26" s="53">
        <f>+'JAP-23,  p10 Primary Sch 31'!H16-'JAP-23,  p12 Primary Sch 43'!H16</f>
        <v>4.0599999999999996</v>
      </c>
    </row>
    <row r="27" spans="1:11">
      <c r="A27" s="5"/>
      <c r="F27" s="53"/>
      <c r="H27" s="53"/>
    </row>
    <row r="28" spans="1:11">
      <c r="A28" s="5"/>
      <c r="B28" s="24"/>
      <c r="F28" s="53"/>
      <c r="G28" s="37"/>
      <c r="H28" s="53"/>
    </row>
    <row r="29" spans="1:11">
      <c r="A29" s="5"/>
      <c r="B29" s="24"/>
      <c r="F29" s="53"/>
      <c r="G29" s="37"/>
      <c r="H29" s="53"/>
    </row>
    <row r="30" spans="1:11">
      <c r="A30" s="5"/>
    </row>
    <row r="31" spans="1:11">
      <c r="A31" s="5"/>
      <c r="B31" s="24"/>
      <c r="F31" s="58"/>
      <c r="G31" s="29"/>
    </row>
  </sheetData>
  <mergeCells count="11">
    <mergeCell ref="A1:K1"/>
    <mergeCell ref="A2:K2"/>
    <mergeCell ref="A3:K3"/>
    <mergeCell ref="A4:K4"/>
    <mergeCell ref="C8:E8"/>
    <mergeCell ref="F8:G8"/>
    <mergeCell ref="H8:I8"/>
    <mergeCell ref="J8:K8"/>
    <mergeCell ref="A5:K5"/>
    <mergeCell ref="F7:G7"/>
    <mergeCell ref="H7:I7"/>
  </mergeCells>
  <phoneticPr fontId="0" type="noConversion"/>
  <printOptions horizontalCentered="1"/>
  <pageMargins left="0.25" right="0.25" top="1" bottom="1.1200000000000001" header="0.5" footer="0.5"/>
  <pageSetup scale="85" orientation="landscape" r:id="rId1"/>
  <headerFooter alignWithMargins="0">
    <oddFooter>&amp;R&amp;"Times New Roman,Regular"Exhibit No.___(JAP-23)
Page 12 of 49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K49"/>
  <sheetViews>
    <sheetView topLeftCell="A10" zoomScaleNormal="100" workbookViewId="0">
      <selection activeCell="A42" sqref="A42:H50"/>
    </sheetView>
  </sheetViews>
  <sheetFormatPr defaultRowHeight="12.75"/>
  <cols>
    <col min="1" max="1" width="4.28515625" style="2" bestFit="1" customWidth="1"/>
    <col min="2" max="2" width="38.5703125" style="2" bestFit="1" customWidth="1"/>
    <col min="3" max="3" width="12.28515625" style="2" bestFit="1" customWidth="1"/>
    <col min="4" max="4" width="11.28515625" style="2" bestFit="1" customWidth="1"/>
    <col min="5" max="5" width="12.28515625" style="2" bestFit="1" customWidth="1"/>
    <col min="6" max="6" width="13.7109375" style="2" customWidth="1"/>
    <col min="7" max="7" width="12.85546875" style="2" bestFit="1" customWidth="1"/>
    <col min="8" max="8" width="11.28515625" style="2" bestFit="1" customWidth="1"/>
    <col min="9" max="9" width="12.28515625" style="2" bestFit="1" customWidth="1"/>
    <col min="10" max="10" width="12.85546875" style="2" bestFit="1" customWidth="1"/>
    <col min="11" max="11" width="11.28515625" style="2" bestFit="1" customWidth="1"/>
    <col min="12" max="12" width="9.140625" style="2"/>
    <col min="13" max="13" width="11.28515625" style="2" customWidth="1"/>
    <col min="14" max="14" width="9.140625" style="2"/>
    <col min="15" max="15" width="11.140625" style="2" bestFit="1" customWidth="1"/>
    <col min="16" max="16384" width="9.140625" style="2"/>
  </cols>
  <sheetData>
    <row r="1" spans="1:11">
      <c r="A1" s="327" t="s">
        <v>8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</row>
    <row r="2" spans="1:11">
      <c r="A2" s="327" t="str">
        <f>+'JAP-23,  p4 Residential Sch 7'!A2</f>
        <v>Proforma and Proposed Revenue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</row>
    <row r="3" spans="1:11">
      <c r="A3" s="327" t="str">
        <f>+'JAP-23,  p4 Residential Sch 7'!A3</f>
        <v>Test Year Twelve Months ended December 2010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</row>
    <row r="4" spans="1:11">
      <c r="A4" s="327" t="s">
        <v>210</v>
      </c>
      <c r="B4" s="327"/>
      <c r="C4" s="327"/>
      <c r="D4" s="327"/>
      <c r="E4" s="327"/>
      <c r="F4" s="327"/>
      <c r="G4" s="327"/>
      <c r="H4" s="327"/>
      <c r="I4" s="327"/>
      <c r="J4" s="327"/>
      <c r="K4" s="327"/>
    </row>
    <row r="5" spans="1:11">
      <c r="A5" s="327" t="s">
        <v>211</v>
      </c>
      <c r="B5" s="327"/>
      <c r="C5" s="327"/>
      <c r="D5" s="327"/>
      <c r="E5" s="327"/>
      <c r="F5" s="327"/>
      <c r="G5" s="327"/>
      <c r="H5" s="327"/>
      <c r="I5" s="327"/>
      <c r="J5" s="327"/>
      <c r="K5" s="327"/>
    </row>
    <row r="7" spans="1:11">
      <c r="F7" s="336" t="s">
        <v>85</v>
      </c>
      <c r="G7" s="337"/>
      <c r="H7" s="338" t="s">
        <v>86</v>
      </c>
      <c r="I7" s="339"/>
    </row>
    <row r="8" spans="1:11">
      <c r="A8" s="11" t="s">
        <v>450</v>
      </c>
      <c r="C8" s="333" t="s">
        <v>165</v>
      </c>
      <c r="D8" s="335"/>
      <c r="E8" s="334"/>
      <c r="F8" s="340" t="str">
        <f>+'JAP-23,  p4 Residential Sch 7'!F8</f>
        <v>Rates Effective 5-1-10</v>
      </c>
      <c r="G8" s="332"/>
      <c r="H8" s="340" t="str">
        <f>+'JAP-23,  p4 Residential Sch 7'!H8</f>
        <v>Rates Effective May 2012</v>
      </c>
      <c r="I8" s="332"/>
      <c r="J8" s="333" t="s">
        <v>166</v>
      </c>
      <c r="K8" s="334"/>
    </row>
    <row r="9" spans="1:11">
      <c r="A9" s="176" t="s">
        <v>451</v>
      </c>
      <c r="B9" s="176"/>
      <c r="C9" s="235" t="s">
        <v>85</v>
      </c>
      <c r="D9" s="237" t="s">
        <v>433</v>
      </c>
      <c r="E9" s="236" t="s">
        <v>167</v>
      </c>
      <c r="F9" s="203" t="s">
        <v>168</v>
      </c>
      <c r="G9" s="204" t="s">
        <v>169</v>
      </c>
      <c r="H9" s="176" t="s">
        <v>168</v>
      </c>
      <c r="I9" s="204" t="s">
        <v>169</v>
      </c>
      <c r="J9" s="203" t="s">
        <v>170</v>
      </c>
      <c r="K9" s="204" t="s">
        <v>171</v>
      </c>
    </row>
    <row r="10" spans="1:11" s="5" customFormat="1">
      <c r="A10" s="167"/>
      <c r="B10" s="167" t="s">
        <v>477</v>
      </c>
      <c r="C10" s="133" t="s">
        <v>478</v>
      </c>
      <c r="D10" s="133" t="s">
        <v>479</v>
      </c>
      <c r="E10" s="133" t="s">
        <v>480</v>
      </c>
      <c r="F10" s="133" t="s">
        <v>481</v>
      </c>
      <c r="G10" s="133" t="s">
        <v>482</v>
      </c>
      <c r="H10" s="133" t="s">
        <v>483</v>
      </c>
      <c r="I10" s="133" t="s">
        <v>484</v>
      </c>
      <c r="J10" s="133" t="s">
        <v>485</v>
      </c>
      <c r="K10" s="133" t="s">
        <v>486</v>
      </c>
    </row>
    <row r="11" spans="1:11" s="5" customFormat="1">
      <c r="A11" s="167"/>
      <c r="B11" s="167"/>
      <c r="C11" s="133"/>
      <c r="D11" s="133"/>
      <c r="E11" s="133"/>
      <c r="F11" s="133"/>
      <c r="G11" s="133"/>
      <c r="H11" s="133"/>
      <c r="I11" s="133"/>
      <c r="J11" s="133"/>
      <c r="K11" s="133"/>
    </row>
    <row r="12" spans="1:11">
      <c r="A12" s="5">
        <v>1</v>
      </c>
      <c r="B12" s="24" t="s">
        <v>212</v>
      </c>
    </row>
    <row r="13" spans="1:11">
      <c r="A13" s="5">
        <f t="shared" ref="A13:A41" si="0">+A12+1</f>
        <v>2</v>
      </c>
      <c r="B13" s="27" t="s">
        <v>213</v>
      </c>
      <c r="C13" s="18">
        <v>455</v>
      </c>
      <c r="D13" s="18"/>
      <c r="E13" s="18">
        <f>SUM(C13:D13)</f>
        <v>455</v>
      </c>
      <c r="F13" s="53">
        <v>50.41</v>
      </c>
      <c r="G13" s="29">
        <f>+F13*E13</f>
        <v>22936.55</v>
      </c>
      <c r="H13" s="53">
        <f>+'JAP-23,  p43 Sch 40 Summary'!C11</f>
        <v>53.44</v>
      </c>
      <c r="I13" s="29">
        <f>+H13*E13</f>
        <v>24315.200000000001</v>
      </c>
    </row>
    <row r="14" spans="1:11">
      <c r="A14" s="5">
        <f t="shared" si="0"/>
        <v>3</v>
      </c>
      <c r="B14" s="22" t="s">
        <v>214</v>
      </c>
      <c r="C14" s="18">
        <v>920</v>
      </c>
      <c r="D14" s="18"/>
      <c r="E14" s="18">
        <f>SUM(C14:D14)</f>
        <v>920</v>
      </c>
      <c r="F14" s="53">
        <v>101.1</v>
      </c>
      <c r="G14" s="29">
        <f>+F14*E14</f>
        <v>93012</v>
      </c>
      <c r="H14" s="53">
        <f>+'JAP-23,  p43 Sch 40 Summary'!C10</f>
        <v>109.19</v>
      </c>
      <c r="I14" s="29">
        <f>+H14*E14</f>
        <v>100454.8</v>
      </c>
    </row>
    <row r="15" spans="1:11">
      <c r="A15" s="5">
        <f t="shared" si="0"/>
        <v>4</v>
      </c>
      <c r="B15" s="27" t="s">
        <v>31</v>
      </c>
      <c r="C15" s="18">
        <v>324</v>
      </c>
      <c r="D15" s="18"/>
      <c r="E15" s="18">
        <f>SUM(C15:D15)</f>
        <v>324</v>
      </c>
      <c r="F15" s="53">
        <v>328.59</v>
      </c>
      <c r="G15" s="29">
        <f>+F15*E15</f>
        <v>106463.15999999999</v>
      </c>
      <c r="H15" s="53">
        <f>+'JAP-23,  p43 Sch 40 Summary'!C9</f>
        <v>354.89</v>
      </c>
      <c r="I15" s="29">
        <f>+H15*E15</f>
        <v>114984.36</v>
      </c>
    </row>
    <row r="16" spans="1:11">
      <c r="A16" s="5">
        <f t="shared" si="0"/>
        <v>5</v>
      </c>
      <c r="C16" s="12">
        <f>SUM(C13:C15)</f>
        <v>1699</v>
      </c>
      <c r="D16" s="12">
        <f>SUM(D13:D15)</f>
        <v>0</v>
      </c>
      <c r="E16" s="12">
        <f>SUM(E13:E15)</f>
        <v>1699</v>
      </c>
      <c r="G16" s="13">
        <f>SUM(G13:G15)</f>
        <v>222411.71</v>
      </c>
      <c r="I16" s="13">
        <f>SUM(I13:I15)</f>
        <v>239754.36</v>
      </c>
      <c r="J16" s="54">
        <f>+I16-G16</f>
        <v>17342.649999999994</v>
      </c>
      <c r="K16" s="52">
        <f>+J16/G16</f>
        <v>7.7975435735825216E-2</v>
      </c>
    </row>
    <row r="17" spans="1:11">
      <c r="A17" s="5">
        <f t="shared" si="0"/>
        <v>6</v>
      </c>
      <c r="B17" s="24" t="s">
        <v>215</v>
      </c>
      <c r="C17" s="19"/>
      <c r="D17" s="18"/>
      <c r="E17" s="19"/>
      <c r="G17" s="17"/>
      <c r="I17" s="17"/>
      <c r="J17" s="55"/>
      <c r="K17" s="56"/>
    </row>
    <row r="18" spans="1:11">
      <c r="A18" s="5">
        <f t="shared" si="0"/>
        <v>7</v>
      </c>
      <c r="B18" s="27" t="s">
        <v>12</v>
      </c>
    </row>
    <row r="19" spans="1:11">
      <c r="A19" s="5">
        <f t="shared" si="0"/>
        <v>8</v>
      </c>
      <c r="B19" s="57" t="s">
        <v>25</v>
      </c>
      <c r="C19" s="18">
        <v>347900181</v>
      </c>
      <c r="D19" s="18">
        <v>-5581.5899900239892</v>
      </c>
      <c r="E19" s="18">
        <f>SUM(C19:D19)</f>
        <v>347894599.41000998</v>
      </c>
      <c r="F19" s="58">
        <v>5.6203000000000003E-2</v>
      </c>
      <c r="G19" s="29">
        <f>+F19*E19</f>
        <v>19552720.170640793</v>
      </c>
      <c r="H19" s="58">
        <f>+'JAP-23,  p43 Sch 40 Summary'!C23</f>
        <v>6.0581000000000003E-2</v>
      </c>
      <c r="I19" s="29">
        <f>+H19*E19</f>
        <v>21075802.726857815</v>
      </c>
    </row>
    <row r="20" spans="1:11">
      <c r="A20" s="5">
        <f t="shared" si="0"/>
        <v>9</v>
      </c>
      <c r="B20" s="59" t="s">
        <v>31</v>
      </c>
      <c r="C20" s="18">
        <v>407285700</v>
      </c>
      <c r="D20" s="18">
        <v>3156925.8561288891</v>
      </c>
      <c r="E20" s="18">
        <f>SUM(C20:D20)</f>
        <v>410442625.85612887</v>
      </c>
      <c r="F20" s="58">
        <v>5.4713999999999999E-2</v>
      </c>
      <c r="G20" s="29">
        <f>+F20*E20</f>
        <v>22456957.831092235</v>
      </c>
      <c r="H20" s="58">
        <f>+'JAP-23,  p43 Sch 40 Summary'!C22</f>
        <v>5.9068000000000002E-2</v>
      </c>
      <c r="I20" s="29">
        <f>+H20*E20</f>
        <v>24244025.02406982</v>
      </c>
    </row>
    <row r="21" spans="1:11">
      <c r="A21" s="5">
        <f t="shared" si="0"/>
        <v>10</v>
      </c>
      <c r="B21" s="27"/>
      <c r="C21" s="12">
        <f>SUM(C19:C20)</f>
        <v>755185881</v>
      </c>
      <c r="D21" s="12">
        <f>SUM(D19:D20)</f>
        <v>3151344.2661388651</v>
      </c>
      <c r="E21" s="12">
        <f>SUM(E19:E20)</f>
        <v>758337225.26613879</v>
      </c>
      <c r="G21" s="13">
        <f>SUM(G19:G20)</f>
        <v>42009678.001733027</v>
      </c>
      <c r="I21" s="13">
        <f>SUM(I19:I20)</f>
        <v>45319827.750927635</v>
      </c>
    </row>
    <row r="22" spans="1:11">
      <c r="A22" s="5">
        <f t="shared" si="0"/>
        <v>11</v>
      </c>
      <c r="B22" s="27"/>
      <c r="C22" s="19"/>
      <c r="D22" s="19"/>
      <c r="E22" s="19"/>
      <c r="G22" s="17"/>
      <c r="I22" s="17"/>
    </row>
    <row r="23" spans="1:11">
      <c r="A23" s="5">
        <f t="shared" si="0"/>
        <v>12</v>
      </c>
      <c r="B23" s="59" t="s">
        <v>216</v>
      </c>
      <c r="C23" s="19"/>
      <c r="D23" s="19"/>
      <c r="E23" s="19"/>
      <c r="F23" s="19"/>
      <c r="G23" s="19"/>
      <c r="I23" s="17"/>
      <c r="J23" s="55"/>
      <c r="K23" s="56"/>
    </row>
    <row r="24" spans="1:11">
      <c r="A24" s="5">
        <f t="shared" si="0"/>
        <v>13</v>
      </c>
      <c r="B24" s="60" t="s">
        <v>25</v>
      </c>
      <c r="C24" s="19"/>
      <c r="D24" s="19"/>
      <c r="E24" s="18">
        <f>+E19</f>
        <v>347894599.41000998</v>
      </c>
      <c r="F24" s="58">
        <v>0</v>
      </c>
      <c r="G24" s="29">
        <f>+F24*E24</f>
        <v>0</v>
      </c>
      <c r="H24" s="58">
        <v>0</v>
      </c>
      <c r="I24" s="29">
        <f>+H24*E24</f>
        <v>0</v>
      </c>
    </row>
    <row r="25" spans="1:11">
      <c r="A25" s="5">
        <f t="shared" si="0"/>
        <v>14</v>
      </c>
      <c r="B25" s="61" t="s">
        <v>31</v>
      </c>
      <c r="C25" s="19"/>
      <c r="D25" s="19"/>
      <c r="E25" s="18">
        <f>+E20</f>
        <v>410442625.85612887</v>
      </c>
      <c r="F25" s="58">
        <v>0</v>
      </c>
      <c r="G25" s="29">
        <f>+F25*E25</f>
        <v>0</v>
      </c>
      <c r="H25" s="58">
        <v>0</v>
      </c>
      <c r="I25" s="29">
        <f>+H25*E25</f>
        <v>0</v>
      </c>
    </row>
    <row r="26" spans="1:11">
      <c r="A26" s="5">
        <f t="shared" si="0"/>
        <v>15</v>
      </c>
      <c r="B26" s="27"/>
      <c r="C26" s="19"/>
      <c r="D26" s="19"/>
      <c r="E26" s="12">
        <f>SUM(E24:E25)</f>
        <v>758337225.26613879</v>
      </c>
      <c r="G26" s="13">
        <f>SUM(G24:G25)</f>
        <v>0</v>
      </c>
      <c r="I26" s="13">
        <f>SUM(I24:I25)</f>
        <v>0</v>
      </c>
      <c r="J26" s="54">
        <f>+I26-G26+I21-G21</f>
        <v>3310149.7491946071</v>
      </c>
      <c r="K26" s="52">
        <f>+J26/SUM(G21,G26)</f>
        <v>7.8794932659518438E-2</v>
      </c>
    </row>
    <row r="27" spans="1:11">
      <c r="A27" s="5">
        <f t="shared" si="0"/>
        <v>16</v>
      </c>
      <c r="B27" s="22" t="s">
        <v>217</v>
      </c>
      <c r="C27" s="19"/>
      <c r="D27" s="19"/>
    </row>
    <row r="28" spans="1:11">
      <c r="A28" s="5">
        <f t="shared" si="0"/>
        <v>17</v>
      </c>
      <c r="B28" s="57" t="s">
        <v>25</v>
      </c>
      <c r="C28" s="19">
        <v>665595</v>
      </c>
      <c r="D28" s="19"/>
      <c r="E28" s="18">
        <f>SUM(C28:D28)</f>
        <v>665595</v>
      </c>
      <c r="F28" s="53">
        <v>4.17</v>
      </c>
      <c r="G28" s="29">
        <f>+F28*E28</f>
        <v>2775531.15</v>
      </c>
      <c r="H28" s="53">
        <f>+'JAP-23,  p43 Sch 40 Summary'!C18</f>
        <v>4.4000000000000004</v>
      </c>
      <c r="I28" s="29">
        <f>+H28*E28</f>
        <v>2928618.0000000005</v>
      </c>
    </row>
    <row r="29" spans="1:11">
      <c r="A29" s="5">
        <f t="shared" si="0"/>
        <v>18</v>
      </c>
      <c r="B29" s="59" t="s">
        <v>31</v>
      </c>
      <c r="C29" s="18">
        <v>700478</v>
      </c>
      <c r="E29" s="18">
        <f>SUM(C29:D29)</f>
        <v>700478</v>
      </c>
      <c r="F29" s="53">
        <v>4.07</v>
      </c>
      <c r="G29" s="29">
        <f>+F29*E29</f>
        <v>2850945.4600000004</v>
      </c>
      <c r="H29" s="53">
        <f>+'JAP-23,  p43 Sch 40 Summary'!C17</f>
        <v>4.3</v>
      </c>
      <c r="I29" s="29">
        <f>+H29*E29</f>
        <v>3012055.4</v>
      </c>
    </row>
    <row r="30" spans="1:11">
      <c r="A30" s="5">
        <f t="shared" si="0"/>
        <v>19</v>
      </c>
      <c r="B30" s="27"/>
      <c r="C30" s="12">
        <f>SUM(C28:C29)</f>
        <v>1366073</v>
      </c>
      <c r="D30" s="12">
        <f>SUM(D28:D29)</f>
        <v>0</v>
      </c>
      <c r="E30" s="12">
        <f>SUM(E28:E29)</f>
        <v>1366073</v>
      </c>
      <c r="G30" s="13">
        <f>SUM(G27:G29)</f>
        <v>5626476.6100000003</v>
      </c>
      <c r="I30" s="13">
        <f>SUM(I27:I29)</f>
        <v>5940673.4000000004</v>
      </c>
      <c r="J30" s="54">
        <f>+I30-G30</f>
        <v>314196.79000000004</v>
      </c>
      <c r="K30" s="52">
        <f>+J30/G30</f>
        <v>5.5842547970709512E-2</v>
      </c>
    </row>
    <row r="31" spans="1:11">
      <c r="A31" s="5">
        <f t="shared" si="0"/>
        <v>20</v>
      </c>
      <c r="B31" s="27" t="s">
        <v>218</v>
      </c>
    </row>
    <row r="32" spans="1:11">
      <c r="A32" s="5">
        <f t="shared" si="0"/>
        <v>21</v>
      </c>
      <c r="B32" s="57" t="s">
        <v>25</v>
      </c>
      <c r="C32" s="19">
        <v>88438713</v>
      </c>
      <c r="D32" s="19"/>
      <c r="E32" s="18">
        <f>SUM(C32:D32)</f>
        <v>88438713</v>
      </c>
      <c r="F32" s="62">
        <v>1.1999999999999999E-3</v>
      </c>
      <c r="G32" s="29">
        <f>+F32*E32</f>
        <v>106126.45559999999</v>
      </c>
      <c r="H32" s="62">
        <f>+'JAP-23,  p43 Sch 40 Summary'!C27/100</f>
        <v>1.2999999999999999E-3</v>
      </c>
      <c r="I32" s="29">
        <f>+H32*E32</f>
        <v>114970.3269</v>
      </c>
    </row>
    <row r="33" spans="1:11">
      <c r="A33" s="5">
        <f t="shared" si="0"/>
        <v>22</v>
      </c>
      <c r="B33" s="59" t="s">
        <v>31</v>
      </c>
      <c r="C33" s="18">
        <v>132345300</v>
      </c>
      <c r="E33" s="18">
        <f>SUM(C33:D33)</f>
        <v>132345300</v>
      </c>
      <c r="F33" s="62">
        <v>1.0300000000000001E-3</v>
      </c>
      <c r="G33" s="29">
        <f>+F33*E33</f>
        <v>136315.65900000001</v>
      </c>
      <c r="H33" s="62">
        <f>+'JAP-23,  p43 Sch 40 Summary'!C26/100</f>
        <v>1.1100000000000001E-3</v>
      </c>
      <c r="I33" s="29">
        <f>+H33*E33</f>
        <v>146903.28300000002</v>
      </c>
    </row>
    <row r="34" spans="1:11">
      <c r="A34" s="5">
        <f t="shared" si="0"/>
        <v>23</v>
      </c>
      <c r="C34" s="12">
        <f>SUM(C32:C33)</f>
        <v>220784013</v>
      </c>
      <c r="D34" s="12">
        <f>SUM(D32:D33)</f>
        <v>0</v>
      </c>
      <c r="E34" s="12">
        <f>SUM(E32:E33)</f>
        <v>220784013</v>
      </c>
      <c r="G34" s="13">
        <f>SUM(G31:G33)</f>
        <v>242442.1146</v>
      </c>
      <c r="I34" s="13">
        <f>SUM(I31:I33)</f>
        <v>261873.60990000004</v>
      </c>
      <c r="J34" s="54">
        <f>+I34-G34</f>
        <v>19431.495300000039</v>
      </c>
      <c r="K34" s="52">
        <f>+J34/G34</f>
        <v>8.0149009309127842E-2</v>
      </c>
    </row>
    <row r="35" spans="1:11">
      <c r="A35" s="5">
        <f t="shared" si="0"/>
        <v>24</v>
      </c>
    </row>
    <row r="36" spans="1:11">
      <c r="A36" s="5">
        <f t="shared" si="0"/>
        <v>25</v>
      </c>
      <c r="B36" s="24" t="s">
        <v>219</v>
      </c>
    </row>
    <row r="37" spans="1:11">
      <c r="A37" s="5">
        <f t="shared" si="0"/>
        <v>26</v>
      </c>
      <c r="B37" s="27" t="s">
        <v>220</v>
      </c>
      <c r="G37" s="13">
        <v>4134663.4357020003</v>
      </c>
      <c r="H37" s="15"/>
      <c r="I37" s="13">
        <v>3830189.4600000004</v>
      </c>
      <c r="J37" s="54">
        <f>+I37-G37</f>
        <v>-304473.97570199985</v>
      </c>
      <c r="K37" s="52">
        <f>+J37/G37</f>
        <v>-7.3639361567601203E-2</v>
      </c>
    </row>
    <row r="38" spans="1:11">
      <c r="A38" s="5">
        <f t="shared" si="0"/>
        <v>27</v>
      </c>
    </row>
    <row r="39" spans="1:11">
      <c r="A39" s="5">
        <f t="shared" si="0"/>
        <v>28</v>
      </c>
      <c r="B39" s="24" t="s">
        <v>176</v>
      </c>
      <c r="E39" s="12">
        <v>-3231627</v>
      </c>
      <c r="F39" s="58">
        <f>+G39/E39</f>
        <v>6.890337282118264E-2</v>
      </c>
      <c r="G39" s="13">
        <v>-222670</v>
      </c>
      <c r="H39" s="58">
        <f>+F39</f>
        <v>6.890337282118264E-2</v>
      </c>
      <c r="I39" s="13">
        <f>+H39*E39</f>
        <v>-222670</v>
      </c>
      <c r="J39" s="54">
        <f>+I39-G39</f>
        <v>0</v>
      </c>
      <c r="K39" s="52">
        <f>+J39/G39</f>
        <v>0</v>
      </c>
    </row>
    <row r="40" spans="1:11">
      <c r="A40" s="5">
        <f t="shared" si="0"/>
        <v>29</v>
      </c>
    </row>
    <row r="41" spans="1:11" ht="13.5" thickBot="1">
      <c r="A41" s="5">
        <f t="shared" si="0"/>
        <v>30</v>
      </c>
      <c r="B41" s="2" t="s">
        <v>221</v>
      </c>
      <c r="E41" s="34">
        <f>SUM(E39,E21)</f>
        <v>755105598.26613879</v>
      </c>
      <c r="G41" s="63">
        <f>SUM(G37,G34,G30,G26,G21,G16,G39)</f>
        <v>52013001.872035034</v>
      </c>
      <c r="I41" s="63">
        <f>SUM(I37,I34,I30,I26,I21,I16,I39)</f>
        <v>55369648.580827639</v>
      </c>
      <c r="J41" s="63">
        <f>SUM(J37,J34,J30,J26,J16,J39)</f>
        <v>3356646.7087926073</v>
      </c>
      <c r="K41" s="64">
        <f>+J41/G41</f>
        <v>6.4534762232158718E-2</v>
      </c>
    </row>
    <row r="42" spans="1:11" ht="13.5" thickTop="1">
      <c r="A42" s="5"/>
    </row>
    <row r="43" spans="1:11">
      <c r="A43" s="5"/>
      <c r="B43" s="24"/>
      <c r="G43" s="29"/>
    </row>
    <row r="44" spans="1:11">
      <c r="A44" s="5"/>
      <c r="B44" s="24"/>
      <c r="G44" s="29"/>
    </row>
    <row r="46" spans="1:11">
      <c r="B46" s="24"/>
      <c r="F46" s="58"/>
    </row>
    <row r="47" spans="1:11">
      <c r="B47" s="60"/>
      <c r="F47" s="58"/>
      <c r="G47" s="29"/>
    </row>
    <row r="48" spans="1:11">
      <c r="B48" s="61"/>
      <c r="F48" s="58"/>
      <c r="G48" s="29"/>
    </row>
    <row r="49" spans="7:7">
      <c r="G49" s="37"/>
    </row>
  </sheetData>
  <mergeCells count="11">
    <mergeCell ref="A1:K1"/>
    <mergeCell ref="A2:K2"/>
    <mergeCell ref="A3:K3"/>
    <mergeCell ref="A4:K4"/>
    <mergeCell ref="C8:E8"/>
    <mergeCell ref="F8:G8"/>
    <mergeCell ref="H8:I8"/>
    <mergeCell ref="J8:K8"/>
    <mergeCell ref="A5:K5"/>
    <mergeCell ref="F7:G7"/>
    <mergeCell ref="H7:I7"/>
  </mergeCells>
  <phoneticPr fontId="11" type="noConversion"/>
  <printOptions horizontalCentered="1"/>
  <pageMargins left="0.25" right="0.25" top="1" bottom="1.1499999999999999" header="0.5" footer="0.5"/>
  <pageSetup scale="75" orientation="landscape" r:id="rId1"/>
  <headerFooter alignWithMargins="0">
    <oddFooter>&amp;R&amp;"Times New Roman,Regular"Exhibit No.___(JAP-23)
Page 13 of 49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K32"/>
  <sheetViews>
    <sheetView zoomScaleNormal="100" workbookViewId="0">
      <selection activeCell="A25" sqref="A25:F34"/>
    </sheetView>
  </sheetViews>
  <sheetFormatPr defaultColWidth="27.5703125" defaultRowHeight="12.75"/>
  <cols>
    <col min="1" max="1" width="4.28515625" style="2" bestFit="1" customWidth="1"/>
    <col min="2" max="2" width="26.5703125" style="2" bestFit="1" customWidth="1"/>
    <col min="3" max="3" width="10.7109375" style="2" customWidth="1"/>
    <col min="4" max="4" width="10.42578125" style="2" customWidth="1"/>
    <col min="5" max="5" width="10.140625" style="2" customWidth="1"/>
    <col min="6" max="6" width="12.140625" style="2" bestFit="1" customWidth="1"/>
    <col min="7" max="7" width="10" style="2" customWidth="1"/>
    <col min="8" max="8" width="11.5703125" style="2" bestFit="1" customWidth="1"/>
    <col min="9" max="9" width="10.42578125" style="2" customWidth="1"/>
    <col min="10" max="10" width="7" style="2" bestFit="1" customWidth="1"/>
    <col min="11" max="16384" width="27.5703125" style="2"/>
  </cols>
  <sheetData>
    <row r="1" spans="1:11">
      <c r="A1" s="327" t="str">
        <f>+'JAP-23,  p4 Residential Sch 7'!A1</f>
        <v>Puget Sound Energy</v>
      </c>
      <c r="B1" s="327"/>
      <c r="C1" s="327"/>
      <c r="D1" s="327"/>
      <c r="E1" s="327"/>
      <c r="F1" s="327"/>
      <c r="G1" s="327"/>
      <c r="H1" s="327"/>
      <c r="I1" s="327"/>
      <c r="J1" s="327"/>
    </row>
    <row r="2" spans="1:11">
      <c r="A2" s="327" t="str">
        <f>+'JAP-23,  p4 Residential Sch 7'!A2</f>
        <v>Proforma and Proposed Revenue</v>
      </c>
      <c r="B2" s="327"/>
      <c r="C2" s="327"/>
      <c r="D2" s="327"/>
      <c r="E2" s="327"/>
      <c r="F2" s="327"/>
      <c r="G2" s="327"/>
      <c r="H2" s="327"/>
      <c r="I2" s="327"/>
      <c r="J2" s="327"/>
    </row>
    <row r="3" spans="1:11">
      <c r="A3" s="327" t="str">
        <f>+'JAP-23,  p4 Residential Sch 7'!A3</f>
        <v>Test Year Twelve Months ended December 2010</v>
      </c>
      <c r="B3" s="327"/>
      <c r="C3" s="327"/>
      <c r="D3" s="327"/>
      <c r="E3" s="327"/>
      <c r="F3" s="327"/>
      <c r="G3" s="327"/>
      <c r="H3" s="327"/>
      <c r="I3" s="327"/>
      <c r="J3" s="327"/>
    </row>
    <row r="4" spans="1:11">
      <c r="A4" s="327" t="s">
        <v>222</v>
      </c>
      <c r="B4" s="327"/>
      <c r="C4" s="327"/>
      <c r="D4" s="327"/>
      <c r="E4" s="327"/>
      <c r="F4" s="327"/>
      <c r="G4" s="327"/>
      <c r="H4" s="327"/>
      <c r="I4" s="327"/>
      <c r="J4" s="327"/>
    </row>
    <row r="5" spans="1:11">
      <c r="A5" s="327" t="s">
        <v>223</v>
      </c>
      <c r="B5" s="327"/>
      <c r="C5" s="327"/>
      <c r="D5" s="327"/>
      <c r="E5" s="327"/>
      <c r="F5" s="327"/>
      <c r="G5" s="327"/>
      <c r="H5" s="327"/>
      <c r="I5" s="327"/>
      <c r="J5" s="327"/>
    </row>
    <row r="7" spans="1:11">
      <c r="E7" s="336" t="s">
        <v>85</v>
      </c>
      <c r="F7" s="337"/>
      <c r="G7" s="338" t="s">
        <v>86</v>
      </c>
      <c r="H7" s="339"/>
    </row>
    <row r="8" spans="1:11">
      <c r="A8" s="11" t="s">
        <v>450</v>
      </c>
      <c r="C8" s="333" t="s">
        <v>165</v>
      </c>
      <c r="D8" s="334"/>
      <c r="E8" s="340" t="str">
        <f>+'JAP-23,  p4 Residential Sch 7'!F8</f>
        <v>Rates Effective 5-1-10</v>
      </c>
      <c r="F8" s="332"/>
      <c r="G8" s="340" t="str">
        <f>+'JAP-23,  p4 Residential Sch 7'!H8</f>
        <v>Rates Effective May 2012</v>
      </c>
      <c r="H8" s="332"/>
      <c r="I8" s="333" t="s">
        <v>166</v>
      </c>
      <c r="J8" s="334"/>
    </row>
    <row r="9" spans="1:11">
      <c r="A9" s="176" t="s">
        <v>451</v>
      </c>
      <c r="B9" s="176"/>
      <c r="C9" s="203" t="s">
        <v>85</v>
      </c>
      <c r="D9" s="204" t="s">
        <v>167</v>
      </c>
      <c r="E9" s="203" t="s">
        <v>168</v>
      </c>
      <c r="F9" s="204" t="s">
        <v>169</v>
      </c>
      <c r="G9" s="176" t="s">
        <v>168</v>
      </c>
      <c r="H9" s="204" t="s">
        <v>169</v>
      </c>
      <c r="I9" s="203" t="s">
        <v>170</v>
      </c>
      <c r="J9" s="204" t="s">
        <v>171</v>
      </c>
    </row>
    <row r="10" spans="1:11" s="5" customFormat="1">
      <c r="A10" s="167"/>
      <c r="B10" s="167" t="s">
        <v>477</v>
      </c>
      <c r="C10" s="133" t="s">
        <v>478</v>
      </c>
      <c r="D10" s="133" t="s">
        <v>479</v>
      </c>
      <c r="E10" s="133" t="s">
        <v>480</v>
      </c>
      <c r="F10" s="133" t="s">
        <v>481</v>
      </c>
      <c r="G10" s="133" t="s">
        <v>482</v>
      </c>
      <c r="H10" s="133" t="s">
        <v>483</v>
      </c>
      <c r="I10" s="133" t="s">
        <v>484</v>
      </c>
      <c r="J10" s="133" t="s">
        <v>485</v>
      </c>
      <c r="K10" s="133"/>
    </row>
    <row r="11" spans="1:11" s="5" customFormat="1">
      <c r="A11" s="167"/>
      <c r="B11" s="167"/>
      <c r="C11" s="133"/>
      <c r="D11" s="133"/>
      <c r="E11" s="133"/>
      <c r="F11" s="133"/>
      <c r="G11" s="133"/>
      <c r="H11" s="133"/>
      <c r="I11" s="133"/>
      <c r="J11" s="133"/>
      <c r="K11" s="133"/>
    </row>
    <row r="12" spans="1:11">
      <c r="A12" s="5">
        <v>1</v>
      </c>
      <c r="B12" s="24" t="s">
        <v>187</v>
      </c>
      <c r="C12" s="12">
        <v>52477260</v>
      </c>
      <c r="D12" s="12">
        <f>SUM(C12:C12)</f>
        <v>52477260</v>
      </c>
      <c r="E12" s="58">
        <v>5.3779E-2</v>
      </c>
      <c r="F12" s="13">
        <f>+E12*D12</f>
        <v>2822174.5655399999</v>
      </c>
      <c r="G12" s="58">
        <f>+'JAP-23,  p40 Rate Des Sch 46'!$E$10</f>
        <v>5.8076000000000003E-2</v>
      </c>
      <c r="H12" s="13">
        <f>+G12*D12</f>
        <v>3047669.35176</v>
      </c>
      <c r="I12" s="13">
        <f>+H12-F12</f>
        <v>225494.78622000013</v>
      </c>
      <c r="J12" s="52">
        <f>+I12/F12</f>
        <v>7.9901076628423787E-2</v>
      </c>
    </row>
    <row r="13" spans="1:11">
      <c r="A13" s="5">
        <f>+A12+1</f>
        <v>2</v>
      </c>
      <c r="C13" s="81"/>
      <c r="D13" s="81"/>
    </row>
    <row r="14" spans="1:11">
      <c r="A14" s="5">
        <f t="shared" ref="A14:A24" si="0">+A13+1</f>
        <v>3</v>
      </c>
      <c r="B14" s="24" t="s">
        <v>224</v>
      </c>
      <c r="C14" s="12">
        <v>293562</v>
      </c>
      <c r="D14" s="12">
        <f>SUM(C14:C14)</f>
        <v>293562</v>
      </c>
      <c r="E14" s="74">
        <v>2.02</v>
      </c>
      <c r="F14" s="13">
        <f>+E14*D14</f>
        <v>592995.24</v>
      </c>
      <c r="G14" s="74">
        <f>+'JAP-23,  p40 Rate Des Sch 46'!$E$15</f>
        <v>2.1800000000000002</v>
      </c>
      <c r="H14" s="13">
        <f>+G14*D14</f>
        <v>639965.16</v>
      </c>
      <c r="I14" s="13">
        <f>+H14-F14</f>
        <v>46969.920000000042</v>
      </c>
      <c r="J14" s="52">
        <f>+I14/F14</f>
        <v>7.9207920792079278E-2</v>
      </c>
    </row>
    <row r="15" spans="1:11">
      <c r="A15" s="5">
        <f t="shared" si="0"/>
        <v>4</v>
      </c>
      <c r="C15" s="19"/>
      <c r="D15" s="19"/>
      <c r="F15" s="17"/>
      <c r="H15" s="17"/>
      <c r="I15" s="17"/>
      <c r="J15" s="56"/>
    </row>
    <row r="16" spans="1:11">
      <c r="A16" s="5">
        <f t="shared" si="0"/>
        <v>5</v>
      </c>
      <c r="B16" s="10" t="s">
        <v>175</v>
      </c>
      <c r="C16" s="12">
        <f>+C12</f>
        <v>52477260</v>
      </c>
      <c r="D16" s="12">
        <f>SUM(C16:C16)</f>
        <v>52477260</v>
      </c>
      <c r="E16" s="58">
        <v>0</v>
      </c>
      <c r="F16" s="13">
        <f>+E16*D16</f>
        <v>0</v>
      </c>
      <c r="G16" s="58">
        <v>0</v>
      </c>
      <c r="H16" s="13">
        <f>+G16*D16</f>
        <v>0</v>
      </c>
      <c r="I16" s="13">
        <f>+H16-F16</f>
        <v>0</v>
      </c>
      <c r="J16" s="56"/>
    </row>
    <row r="17" spans="1:10">
      <c r="A17" s="5">
        <f t="shared" si="0"/>
        <v>6</v>
      </c>
      <c r="C17" s="19"/>
      <c r="D17" s="19"/>
      <c r="F17" s="17"/>
      <c r="H17" s="17"/>
      <c r="I17" s="17"/>
      <c r="J17" s="56"/>
    </row>
    <row r="18" spans="1:10">
      <c r="A18" s="5">
        <f t="shared" si="0"/>
        <v>7</v>
      </c>
      <c r="B18" s="10" t="s">
        <v>176</v>
      </c>
      <c r="C18" s="12">
        <v>-274176</v>
      </c>
      <c r="D18" s="12">
        <f>SUM(C18:C18)</f>
        <v>-274176</v>
      </c>
      <c r="E18" s="58">
        <f>ROUND(+F18/D18,6)</f>
        <v>6.3549999999999995E-2</v>
      </c>
      <c r="F18" s="13">
        <v>-17424</v>
      </c>
      <c r="G18" s="58">
        <f>+'JAP-23,  p40 Rate Des Sch 46'!$E$12</f>
        <v>6.8636000000000003E-2</v>
      </c>
      <c r="H18" s="13">
        <f>+G18*D18</f>
        <v>-18818.343936000001</v>
      </c>
      <c r="I18" s="13">
        <f>+H18-F18</f>
        <v>-1394.3439360000011</v>
      </c>
      <c r="J18" s="52">
        <f>+I18/F18</f>
        <v>8.0024330578512465E-2</v>
      </c>
    </row>
    <row r="19" spans="1:10">
      <c r="A19" s="5">
        <f t="shared" si="0"/>
        <v>8</v>
      </c>
      <c r="C19" s="19"/>
      <c r="D19" s="19"/>
      <c r="F19" s="17"/>
      <c r="H19" s="17"/>
      <c r="I19" s="17"/>
      <c r="J19" s="56"/>
    </row>
    <row r="20" spans="1:10" ht="13.5" thickBot="1">
      <c r="A20" s="5">
        <f t="shared" si="0"/>
        <v>9</v>
      </c>
      <c r="B20" s="2" t="s">
        <v>60</v>
      </c>
      <c r="C20" s="34">
        <f>SUM(C12,C18)</f>
        <v>52203084</v>
      </c>
      <c r="D20" s="34">
        <f>SUM(D12,D18)</f>
        <v>52203084</v>
      </c>
      <c r="F20" s="63">
        <f>SUM(F14,F12,F16,F18)</f>
        <v>3397745.8055400001</v>
      </c>
      <c r="H20" s="63">
        <f>SUM(H14,H12,H16,H18)</f>
        <v>3668816.1678240001</v>
      </c>
      <c r="I20" s="63">
        <f>SUM(I14,I12,I16,I18)</f>
        <v>271070.36228400015</v>
      </c>
      <c r="J20" s="64">
        <f>+I20/F20</f>
        <v>7.9779470801500774E-2</v>
      </c>
    </row>
    <row r="21" spans="1:10" ht="13.5" thickTop="1">
      <c r="A21" s="5">
        <f t="shared" si="0"/>
        <v>10</v>
      </c>
    </row>
    <row r="22" spans="1:10">
      <c r="A22" s="5">
        <f t="shared" si="0"/>
        <v>11</v>
      </c>
      <c r="D22" s="71"/>
    </row>
    <row r="23" spans="1:10">
      <c r="A23" s="5">
        <f t="shared" si="0"/>
        <v>12</v>
      </c>
      <c r="B23" s="24" t="s">
        <v>225</v>
      </c>
      <c r="C23" s="24"/>
      <c r="F23" s="209">
        <v>0.9</v>
      </c>
      <c r="G23" s="58">
        <f>+G12*F23</f>
        <v>5.2268400000000007E-2</v>
      </c>
      <c r="H23" s="74"/>
    </row>
    <row r="24" spans="1:10">
      <c r="A24" s="5">
        <f t="shared" si="0"/>
        <v>13</v>
      </c>
      <c r="B24" s="2" t="s">
        <v>226</v>
      </c>
      <c r="F24" s="2">
        <v>12</v>
      </c>
      <c r="G24" s="53">
        <f>+F24*G14</f>
        <v>26.160000000000004</v>
      </c>
      <c r="H24" s="74"/>
    </row>
    <row r="25" spans="1:10">
      <c r="A25" s="5"/>
    </row>
    <row r="26" spans="1:10">
      <c r="A26" s="5"/>
      <c r="B26" s="24"/>
      <c r="F26" s="37"/>
    </row>
    <row r="27" spans="1:10">
      <c r="A27" s="5"/>
      <c r="B27" s="24"/>
      <c r="F27" s="37"/>
    </row>
    <row r="28" spans="1:10">
      <c r="F28" s="29"/>
      <c r="H28" s="29"/>
    </row>
    <row r="29" spans="1:10">
      <c r="F29" s="37"/>
      <c r="H29" s="37"/>
    </row>
    <row r="32" spans="1:10">
      <c r="B32" s="24"/>
      <c r="C32" s="24"/>
      <c r="E32" s="58"/>
      <c r="F32" s="29"/>
    </row>
  </sheetData>
  <mergeCells count="11">
    <mergeCell ref="G8:H8"/>
    <mergeCell ref="G7:H7"/>
    <mergeCell ref="A1:J1"/>
    <mergeCell ref="A2:J2"/>
    <mergeCell ref="A3:J3"/>
    <mergeCell ref="A4:J4"/>
    <mergeCell ref="C8:D8"/>
    <mergeCell ref="A5:J5"/>
    <mergeCell ref="E7:F7"/>
    <mergeCell ref="I8:J8"/>
    <mergeCell ref="E8:F8"/>
  </mergeCells>
  <phoneticPr fontId="0" type="noConversion"/>
  <printOptions horizontalCentered="1"/>
  <pageMargins left="0.25" right="0.25" top="1" bottom="1.1599999999999999" header="0.5" footer="0.5"/>
  <pageSetup scale="85" orientation="landscape" r:id="rId1"/>
  <headerFooter alignWithMargins="0">
    <oddFooter>&amp;R&amp;"Times New Roman,Regular"Exhibit No.___(JAP-23)
Page 14 of 49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L30"/>
  <sheetViews>
    <sheetView zoomScaleNormal="100" workbookViewId="0">
      <selection activeCell="A22" sqref="A22:H33"/>
    </sheetView>
  </sheetViews>
  <sheetFormatPr defaultRowHeight="12.75"/>
  <cols>
    <col min="1" max="1" width="9.140625" style="2"/>
    <col min="2" max="2" width="21.42578125" style="2" customWidth="1"/>
    <col min="3" max="3" width="12.28515625" style="2" customWidth="1"/>
    <col min="4" max="4" width="11.28515625" style="2" bestFit="1" customWidth="1"/>
    <col min="5" max="5" width="14" style="2" bestFit="1" customWidth="1"/>
    <col min="6" max="6" width="11.85546875" style="2" bestFit="1" customWidth="1"/>
    <col min="7" max="7" width="15" style="2" bestFit="1" customWidth="1"/>
    <col min="8" max="8" width="11.42578125" style="2" bestFit="1" customWidth="1"/>
    <col min="9" max="9" width="15" style="2" bestFit="1" customWidth="1"/>
    <col min="10" max="10" width="12.85546875" style="2" bestFit="1" customWidth="1"/>
    <col min="11" max="11" width="7.85546875" style="2" bestFit="1" customWidth="1"/>
    <col min="12" max="16384" width="9.140625" style="2"/>
  </cols>
  <sheetData>
    <row r="1" spans="1:12">
      <c r="A1" s="327" t="str">
        <f>+'JAP-23,  p4 Residential Sch 7'!A1</f>
        <v>Puget Sound Energy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</row>
    <row r="2" spans="1:12">
      <c r="A2" s="327" t="str">
        <f>+'JAP-23,  p4 Residential Sch 7'!A2</f>
        <v>Proforma and Proposed Revenue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</row>
    <row r="3" spans="1:12">
      <c r="A3" s="327" t="str">
        <f>+'JAP-23,  p4 Residential Sch 7'!$A$3</f>
        <v>Test Year Twelve Months ended December 2010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</row>
    <row r="4" spans="1:12">
      <c r="A4" s="327" t="s">
        <v>227</v>
      </c>
      <c r="B4" s="327"/>
      <c r="C4" s="327"/>
      <c r="D4" s="327"/>
      <c r="E4" s="327"/>
      <c r="F4" s="327"/>
      <c r="G4" s="327"/>
      <c r="H4" s="327"/>
      <c r="I4" s="327"/>
      <c r="J4" s="327"/>
      <c r="K4" s="327"/>
    </row>
    <row r="5" spans="1:12">
      <c r="A5" s="327" t="s">
        <v>228</v>
      </c>
      <c r="B5" s="327"/>
      <c r="C5" s="327"/>
      <c r="D5" s="327"/>
      <c r="E5" s="327"/>
      <c r="F5" s="327"/>
      <c r="G5" s="327"/>
      <c r="H5" s="327"/>
      <c r="I5" s="327"/>
      <c r="J5" s="327"/>
      <c r="K5" s="327"/>
    </row>
    <row r="7" spans="1:12">
      <c r="F7" s="336" t="s">
        <v>85</v>
      </c>
      <c r="G7" s="337"/>
      <c r="H7" s="338" t="s">
        <v>86</v>
      </c>
      <c r="I7" s="339"/>
    </row>
    <row r="8" spans="1:12">
      <c r="A8" s="11" t="s">
        <v>450</v>
      </c>
      <c r="C8" s="333" t="s">
        <v>165</v>
      </c>
      <c r="D8" s="335"/>
      <c r="E8" s="334"/>
      <c r="F8" s="340" t="str">
        <f>+'JAP-23,  p4 Residential Sch 7'!F8</f>
        <v>Rates Effective 5-1-10</v>
      </c>
      <c r="G8" s="332"/>
      <c r="H8" s="340" t="str">
        <f>+'JAP-23,  p4 Residential Sch 7'!H8</f>
        <v>Rates Effective May 2012</v>
      </c>
      <c r="I8" s="332"/>
      <c r="J8" s="333" t="s">
        <v>166</v>
      </c>
      <c r="K8" s="334"/>
    </row>
    <row r="9" spans="1:12">
      <c r="A9" s="176" t="s">
        <v>451</v>
      </c>
      <c r="B9" s="176"/>
      <c r="C9" s="203" t="s">
        <v>85</v>
      </c>
      <c r="D9" s="318" t="s">
        <v>433</v>
      </c>
      <c r="E9" s="204" t="s">
        <v>167</v>
      </c>
      <c r="F9" s="203" t="s">
        <v>168</v>
      </c>
      <c r="G9" s="204" t="s">
        <v>169</v>
      </c>
      <c r="H9" s="176" t="s">
        <v>168</v>
      </c>
      <c r="I9" s="204" t="s">
        <v>169</v>
      </c>
      <c r="J9" s="203" t="s">
        <v>170</v>
      </c>
      <c r="K9" s="204" t="s">
        <v>171</v>
      </c>
    </row>
    <row r="10" spans="1:12" s="5" customFormat="1">
      <c r="A10" s="167"/>
      <c r="B10" s="167" t="s">
        <v>477</v>
      </c>
      <c r="C10" s="133" t="s">
        <v>478</v>
      </c>
      <c r="D10" s="133" t="s">
        <v>479</v>
      </c>
      <c r="E10" s="133" t="s">
        <v>480</v>
      </c>
      <c r="F10" s="133" t="s">
        <v>481</v>
      </c>
      <c r="G10" s="133" t="s">
        <v>482</v>
      </c>
      <c r="H10" s="133" t="s">
        <v>483</v>
      </c>
      <c r="I10" s="133" t="s">
        <v>484</v>
      </c>
      <c r="J10" s="133" t="s">
        <v>485</v>
      </c>
      <c r="K10" s="133" t="s">
        <v>486</v>
      </c>
      <c r="L10" s="133"/>
    </row>
    <row r="11" spans="1:12" s="5" customFormat="1">
      <c r="A11" s="167"/>
      <c r="B11" s="167"/>
      <c r="C11" s="133"/>
      <c r="D11" s="133"/>
      <c r="E11" s="133"/>
      <c r="F11" s="133"/>
      <c r="G11" s="133"/>
      <c r="H11" s="133"/>
      <c r="I11" s="133"/>
      <c r="J11" s="133"/>
      <c r="K11" s="133"/>
      <c r="L11" s="133"/>
    </row>
    <row r="12" spans="1:12">
      <c r="A12" s="5">
        <v>1</v>
      </c>
      <c r="B12" s="24" t="s">
        <v>187</v>
      </c>
      <c r="C12" s="12">
        <v>527248219.58399999</v>
      </c>
      <c r="D12" s="12">
        <v>0</v>
      </c>
      <c r="E12" s="12">
        <f>SUM(C12:D12)</f>
        <v>527248219.58399999</v>
      </c>
      <c r="F12" s="58">
        <v>5.3779E-2</v>
      </c>
      <c r="G12" s="13">
        <f>+F12*E12</f>
        <v>28354882.001007937</v>
      </c>
      <c r="H12" s="58">
        <f>+'JAP-23,  p41 Rate Des Sch 49'!$E$10</f>
        <v>5.8076000000000003E-2</v>
      </c>
      <c r="I12" s="13">
        <f>+H12*E12</f>
        <v>30620467.600560386</v>
      </c>
      <c r="J12" s="13">
        <f>+I12-G12</f>
        <v>2265585.5995524488</v>
      </c>
      <c r="K12" s="52">
        <f>+J12/G12</f>
        <v>7.9901076628423759E-2</v>
      </c>
    </row>
    <row r="13" spans="1:12">
      <c r="A13" s="5">
        <f>+A12+1</f>
        <v>2</v>
      </c>
      <c r="C13" s="81"/>
      <c r="E13" s="81"/>
    </row>
    <row r="14" spans="1:12">
      <c r="A14" s="5">
        <f t="shared" ref="A14:A20" si="0">+A13+1</f>
        <v>3</v>
      </c>
      <c r="B14" s="24" t="s">
        <v>224</v>
      </c>
      <c r="C14" s="12">
        <v>1358853</v>
      </c>
      <c r="D14" s="24"/>
      <c r="E14" s="12">
        <f>SUM(C14:D14)</f>
        <v>1358853</v>
      </c>
      <c r="F14" s="74">
        <v>3.58</v>
      </c>
      <c r="G14" s="13">
        <f>+F14*E14</f>
        <v>4864693.74</v>
      </c>
      <c r="H14" s="74">
        <f>+'JAP-23,  p41 Rate Des Sch 49'!$E$15</f>
        <v>3.87</v>
      </c>
      <c r="I14" s="13">
        <f>+H14*E14</f>
        <v>5258761.1100000003</v>
      </c>
      <c r="J14" s="13">
        <f>+I14-G14</f>
        <v>394067.37000000011</v>
      </c>
      <c r="K14" s="52">
        <f>+J14/G14</f>
        <v>8.1005586592178797E-2</v>
      </c>
    </row>
    <row r="15" spans="1:12">
      <c r="A15" s="5">
        <f t="shared" si="0"/>
        <v>4</v>
      </c>
      <c r="C15" s="19"/>
      <c r="E15" s="19"/>
      <c r="G15" s="17"/>
      <c r="I15" s="17"/>
      <c r="J15" s="17"/>
      <c r="K15" s="56"/>
    </row>
    <row r="16" spans="1:12">
      <c r="A16" s="5">
        <f t="shared" si="0"/>
        <v>5</v>
      </c>
      <c r="B16" s="10" t="s">
        <v>175</v>
      </c>
      <c r="C16" s="12">
        <f>+C12</f>
        <v>527248219.58399999</v>
      </c>
      <c r="D16" s="10"/>
      <c r="E16" s="12">
        <f>SUM(C16:D16)</f>
        <v>527248219.58399999</v>
      </c>
      <c r="F16" s="58">
        <v>0</v>
      </c>
      <c r="G16" s="13">
        <f>+F16*E16</f>
        <v>0</v>
      </c>
      <c r="H16" s="58">
        <v>0</v>
      </c>
      <c r="I16" s="13">
        <f>+H16*E16</f>
        <v>0</v>
      </c>
      <c r="J16" s="13">
        <f>+I16-G16</f>
        <v>0</v>
      </c>
    </row>
    <row r="17" spans="1:11">
      <c r="A17" s="5">
        <f t="shared" si="0"/>
        <v>6</v>
      </c>
      <c r="C17" s="19"/>
      <c r="E17" s="19"/>
      <c r="G17" s="17"/>
      <c r="I17" s="17"/>
      <c r="J17" s="17"/>
      <c r="K17" s="56"/>
    </row>
    <row r="18" spans="1:11">
      <c r="A18" s="5">
        <f t="shared" si="0"/>
        <v>7</v>
      </c>
      <c r="B18" s="10" t="s">
        <v>176</v>
      </c>
      <c r="C18" s="12">
        <v>-2927025</v>
      </c>
      <c r="D18" s="10"/>
      <c r="E18" s="12">
        <f>SUM(C18:D18)</f>
        <v>-2927025</v>
      </c>
      <c r="F18" s="58">
        <f>ROUND(+G18/E18,6)</f>
        <v>6.1227999999999998E-2</v>
      </c>
      <c r="G18" s="13">
        <v>-179217</v>
      </c>
      <c r="H18" s="58">
        <f>+'JAP-23,  p41 Rate Des Sch 49'!$E$12</f>
        <v>6.6128000000000006E-2</v>
      </c>
      <c r="I18" s="13">
        <f>+H18*E18</f>
        <v>-193558.30920000002</v>
      </c>
      <c r="J18" s="13">
        <f>+I18-G18</f>
        <v>-14341.309200000018</v>
      </c>
      <c r="K18" s="52">
        <f>+J18/G18</f>
        <v>8.0022035855973589E-2</v>
      </c>
    </row>
    <row r="19" spans="1:11">
      <c r="A19" s="5">
        <f t="shared" si="0"/>
        <v>8</v>
      </c>
      <c r="C19" s="19"/>
      <c r="E19" s="19"/>
      <c r="G19" s="17"/>
      <c r="I19" s="17"/>
      <c r="J19" s="17"/>
      <c r="K19" s="56"/>
    </row>
    <row r="20" spans="1:11" ht="13.5" thickBot="1">
      <c r="A20" s="5">
        <f t="shared" si="0"/>
        <v>9</v>
      </c>
      <c r="B20" s="2" t="s">
        <v>60</v>
      </c>
      <c r="C20" s="34">
        <f>SUM(C12,C18)</f>
        <v>524321194.58399999</v>
      </c>
      <c r="E20" s="34">
        <f>SUM(E12,E18)</f>
        <v>524321194.58399999</v>
      </c>
      <c r="G20" s="63">
        <f>SUM(G14,G12,G16,G18)</f>
        <v>33040358.741007939</v>
      </c>
      <c r="I20" s="63">
        <f>SUM(I14,I12,I16,I18)</f>
        <v>35685670.401360393</v>
      </c>
      <c r="J20" s="63">
        <f>SUM(J14,J12,J16,J18)</f>
        <v>2645311.6603524489</v>
      </c>
      <c r="K20" s="64">
        <f>+J20/G20</f>
        <v>8.0063042931468792E-2</v>
      </c>
    </row>
    <row r="21" spans="1:11" ht="13.5" thickTop="1"/>
    <row r="23" spans="1:11">
      <c r="B23" s="24"/>
      <c r="E23" s="81"/>
      <c r="G23" s="29"/>
      <c r="I23" s="29"/>
      <c r="J23" s="208"/>
    </row>
    <row r="24" spans="1:11">
      <c r="B24" s="24"/>
      <c r="E24" s="81"/>
      <c r="G24" s="37"/>
      <c r="I24" s="37"/>
      <c r="J24" s="208"/>
    </row>
    <row r="25" spans="1:11">
      <c r="G25" s="37"/>
    </row>
    <row r="30" spans="1:11">
      <c r="B30" s="24"/>
      <c r="C30" s="24"/>
      <c r="D30" s="24"/>
      <c r="F30" s="58"/>
      <c r="G30" s="29"/>
    </row>
  </sheetData>
  <mergeCells count="11">
    <mergeCell ref="A1:K1"/>
    <mergeCell ref="A2:K2"/>
    <mergeCell ref="A3:K3"/>
    <mergeCell ref="A4:K4"/>
    <mergeCell ref="F8:G8"/>
    <mergeCell ref="H8:I8"/>
    <mergeCell ref="J8:K8"/>
    <mergeCell ref="C8:E8"/>
    <mergeCell ref="A5:K5"/>
    <mergeCell ref="F7:G7"/>
    <mergeCell ref="H7:I7"/>
  </mergeCells>
  <phoneticPr fontId="0" type="noConversion"/>
  <printOptions horizontalCentered="1"/>
  <pageMargins left="0.25" right="0.25" top="1" bottom="1.1299999999999999" header="0.5" footer="0.5"/>
  <pageSetup scale="85" orientation="landscape" r:id="rId1"/>
  <headerFooter alignWithMargins="0">
    <oddFooter>&amp;R&amp;"Times New Roman,Regular"Exhibit No.___(JAP-23)
Page 15 of 49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L28"/>
  <sheetViews>
    <sheetView zoomScaleNormal="100" workbookViewId="0">
      <selection activeCell="H36" sqref="H36"/>
    </sheetView>
  </sheetViews>
  <sheetFormatPr defaultColWidth="12.28515625" defaultRowHeight="12.75"/>
  <cols>
    <col min="1" max="1" width="4.28515625" style="2" bestFit="1" customWidth="1"/>
    <col min="2" max="2" width="30.28515625" style="2" bestFit="1" customWidth="1"/>
    <col min="3" max="11" width="11.85546875" style="2" customWidth="1"/>
    <col min="12" max="16384" width="12.28515625" style="2"/>
  </cols>
  <sheetData>
    <row r="1" spans="1:12">
      <c r="A1" s="327" t="str">
        <f>+'JAP-23,  p4 Residential Sch 7'!A1</f>
        <v>Puget Sound Energy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</row>
    <row r="2" spans="1:12">
      <c r="A2" s="327" t="str">
        <f>+'JAP-23,  p4 Residential Sch 7'!A2</f>
        <v>Proforma and Proposed Revenue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</row>
    <row r="3" spans="1:12">
      <c r="A3" s="327" t="str">
        <f>+'JAP-23,  p4 Residential Sch 7'!A3</f>
        <v>Test Year Twelve Months ended December 2010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</row>
    <row r="4" spans="1:12">
      <c r="A4" s="328" t="s">
        <v>513</v>
      </c>
      <c r="B4" s="327"/>
      <c r="C4" s="327"/>
      <c r="D4" s="327"/>
      <c r="E4" s="327"/>
      <c r="F4" s="327"/>
      <c r="G4" s="327"/>
      <c r="H4" s="327"/>
      <c r="I4" s="327"/>
      <c r="J4" s="327"/>
      <c r="K4" s="327"/>
    </row>
    <row r="5" spans="1:12">
      <c r="B5" s="1"/>
      <c r="C5" s="1"/>
      <c r="D5" s="1"/>
      <c r="E5" s="1"/>
      <c r="F5" s="1"/>
      <c r="G5" s="1"/>
      <c r="H5" s="1"/>
      <c r="I5" s="1"/>
      <c r="J5" s="1"/>
      <c r="K5" s="1"/>
    </row>
    <row r="7" spans="1:12">
      <c r="F7" s="336" t="s">
        <v>85</v>
      </c>
      <c r="G7" s="337"/>
      <c r="H7" s="338" t="s">
        <v>86</v>
      </c>
      <c r="I7" s="339"/>
    </row>
    <row r="8" spans="1:12">
      <c r="A8" s="11" t="s">
        <v>450</v>
      </c>
      <c r="C8" s="333" t="s">
        <v>165</v>
      </c>
      <c r="D8" s="335"/>
      <c r="E8" s="334"/>
      <c r="F8" s="340" t="str">
        <f>+'JAP-23,  p4 Residential Sch 7'!F8</f>
        <v>Rates Effective 5-1-10</v>
      </c>
      <c r="G8" s="332"/>
      <c r="H8" s="340" t="str">
        <f>+'JAP-23,  p4 Residential Sch 7'!H8</f>
        <v>Rates Effective May 2012</v>
      </c>
      <c r="I8" s="332"/>
      <c r="J8" s="333" t="s">
        <v>166</v>
      </c>
      <c r="K8" s="334"/>
    </row>
    <row r="9" spans="1:12">
      <c r="A9" s="176" t="s">
        <v>451</v>
      </c>
      <c r="B9" s="176"/>
      <c r="C9" s="203" t="s">
        <v>85</v>
      </c>
      <c r="D9" s="176" t="s">
        <v>433</v>
      </c>
      <c r="E9" s="204" t="s">
        <v>167</v>
      </c>
      <c r="F9" s="203" t="s">
        <v>168</v>
      </c>
      <c r="G9" s="204" t="s">
        <v>169</v>
      </c>
      <c r="H9" s="176" t="s">
        <v>168</v>
      </c>
      <c r="I9" s="204" t="s">
        <v>169</v>
      </c>
      <c r="J9" s="203" t="s">
        <v>170</v>
      </c>
      <c r="K9" s="204" t="s">
        <v>171</v>
      </c>
    </row>
    <row r="10" spans="1:12" s="5" customFormat="1">
      <c r="A10" s="167"/>
      <c r="B10" s="167" t="s">
        <v>477</v>
      </c>
      <c r="C10" s="133" t="s">
        <v>478</v>
      </c>
      <c r="D10" s="133" t="s">
        <v>479</v>
      </c>
      <c r="E10" s="133" t="s">
        <v>480</v>
      </c>
      <c r="F10" s="133" t="s">
        <v>481</v>
      </c>
      <c r="G10" s="133" t="s">
        <v>482</v>
      </c>
      <c r="H10" s="133" t="s">
        <v>483</v>
      </c>
      <c r="I10" s="133" t="s">
        <v>484</v>
      </c>
      <c r="J10" s="133" t="s">
        <v>485</v>
      </c>
      <c r="K10" s="133" t="s">
        <v>486</v>
      </c>
      <c r="L10" s="133"/>
    </row>
    <row r="11" spans="1:12" s="5" customFormat="1">
      <c r="A11" s="167"/>
      <c r="B11" s="167"/>
      <c r="C11" s="133"/>
      <c r="D11" s="133"/>
      <c r="E11" s="133"/>
      <c r="F11" s="133"/>
      <c r="G11" s="133"/>
      <c r="H11" s="133"/>
      <c r="I11" s="133"/>
      <c r="J11" s="133"/>
      <c r="K11" s="133"/>
      <c r="L11" s="133"/>
    </row>
    <row r="12" spans="1:12">
      <c r="A12" s="44"/>
      <c r="B12" s="333" t="s">
        <v>452</v>
      </c>
      <c r="C12" s="335"/>
      <c r="D12" s="335"/>
      <c r="E12" s="335"/>
      <c r="F12" s="335"/>
      <c r="G12" s="335"/>
      <c r="H12" s="335"/>
      <c r="I12" s="335"/>
      <c r="J12" s="335"/>
      <c r="K12" s="334"/>
    </row>
    <row r="13" spans="1:12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</row>
    <row r="14" spans="1:12">
      <c r="A14" s="5">
        <v>1</v>
      </c>
      <c r="B14" s="24" t="s">
        <v>187</v>
      </c>
      <c r="C14" s="19">
        <v>7244326</v>
      </c>
      <c r="D14" s="19">
        <v>88247.908884030432</v>
      </c>
      <c r="E14" s="19">
        <f>+D14+C14</f>
        <v>7332573.9088840308</v>
      </c>
      <c r="F14" s="171">
        <v>3.5139999999999998E-2</v>
      </c>
      <c r="G14" s="17">
        <f>+F14*E14</f>
        <v>257666.64715818482</v>
      </c>
      <c r="H14" s="171"/>
      <c r="I14" s="17"/>
    </row>
    <row r="15" spans="1:12">
      <c r="A15" s="5">
        <f>+A14+1</f>
        <v>2</v>
      </c>
      <c r="C15" s="93"/>
      <c r="D15" s="93"/>
      <c r="E15" s="93"/>
      <c r="F15" s="32"/>
      <c r="G15" s="32"/>
      <c r="H15" s="32"/>
      <c r="I15" s="32"/>
    </row>
    <row r="16" spans="1:12">
      <c r="A16" s="5">
        <f t="shared" ref="A16:A28" si="0">+A15+1</f>
        <v>3</v>
      </c>
      <c r="B16" s="24" t="s">
        <v>190</v>
      </c>
      <c r="C16" s="19">
        <v>15165.239999999998</v>
      </c>
      <c r="D16" s="19"/>
      <c r="E16" s="19">
        <f>+D16+C16</f>
        <v>15165.239999999998</v>
      </c>
      <c r="F16" s="98">
        <v>5.25</v>
      </c>
      <c r="G16" s="17">
        <f>+F16*E16</f>
        <v>79617.509999999995</v>
      </c>
      <c r="H16" s="98"/>
      <c r="I16" s="17"/>
    </row>
    <row r="17" spans="1:11">
      <c r="A17" s="5">
        <f t="shared" si="0"/>
        <v>4</v>
      </c>
      <c r="C17" s="19"/>
      <c r="D17" s="19"/>
      <c r="E17" s="19"/>
      <c r="F17" s="32"/>
      <c r="G17" s="17"/>
      <c r="H17" s="32"/>
      <c r="I17" s="17"/>
    </row>
    <row r="18" spans="1:11">
      <c r="A18" s="5">
        <f t="shared" si="0"/>
        <v>5</v>
      </c>
      <c r="B18" s="24" t="s">
        <v>191</v>
      </c>
      <c r="C18" s="206">
        <v>2403120</v>
      </c>
      <c r="D18" s="206"/>
      <c r="E18" s="19">
        <f>+D18+C18</f>
        <v>2403120</v>
      </c>
      <c r="F18" s="207">
        <v>2.5000000000000001E-4</v>
      </c>
      <c r="G18" s="17">
        <f>+F18*E18</f>
        <v>600.78</v>
      </c>
      <c r="H18" s="207"/>
      <c r="I18" s="17"/>
    </row>
    <row r="19" spans="1:11">
      <c r="A19" s="5">
        <f t="shared" si="0"/>
        <v>6</v>
      </c>
      <c r="C19" s="93"/>
      <c r="D19" s="93"/>
      <c r="E19" s="93"/>
      <c r="F19" s="32"/>
      <c r="G19" s="32"/>
      <c r="H19" s="32"/>
      <c r="I19" s="32"/>
    </row>
    <row r="20" spans="1:11">
      <c r="A20" s="5">
        <f t="shared" si="0"/>
        <v>7</v>
      </c>
      <c r="B20" s="2" t="s">
        <v>60</v>
      </c>
      <c r="C20" s="32"/>
      <c r="D20" s="32"/>
      <c r="E20" s="32"/>
      <c r="F20" s="32"/>
      <c r="G20" s="54">
        <f>SUM(G14:G18)</f>
        <v>337884.93715818482</v>
      </c>
      <c r="H20" s="32"/>
      <c r="I20" s="54">
        <f>+G20*(1+'JAP-23,  p1 Rate Spread'!$I$31)</f>
        <v>501995.19582187716</v>
      </c>
      <c r="J20" s="54">
        <f>+I20-G20</f>
        <v>164110.25866369234</v>
      </c>
      <c r="K20" s="52">
        <f>+J20/G20</f>
        <v>0.48569865245831356</v>
      </c>
    </row>
    <row r="21" spans="1:11">
      <c r="A21" s="5">
        <f t="shared" si="0"/>
        <v>8</v>
      </c>
      <c r="C21" s="81"/>
      <c r="D21" s="81"/>
      <c r="E21" s="81"/>
    </row>
    <row r="22" spans="1:11">
      <c r="A22" s="5">
        <f t="shared" si="0"/>
        <v>9</v>
      </c>
    </row>
    <row r="23" spans="1:11">
      <c r="A23" s="5">
        <f t="shared" si="0"/>
        <v>10</v>
      </c>
      <c r="B23" s="341" t="s">
        <v>541</v>
      </c>
      <c r="C23" s="335"/>
      <c r="D23" s="335"/>
      <c r="E23" s="335"/>
      <c r="F23" s="335"/>
      <c r="G23" s="335"/>
      <c r="H23" s="335"/>
      <c r="I23" s="335"/>
      <c r="J23" s="335"/>
      <c r="K23" s="334"/>
    </row>
    <row r="24" spans="1:11">
      <c r="A24" s="5">
        <f t="shared" si="0"/>
        <v>11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</row>
    <row r="25" spans="1:11">
      <c r="A25" s="5">
        <f t="shared" si="0"/>
        <v>12</v>
      </c>
      <c r="B25" s="2" t="s">
        <v>60</v>
      </c>
      <c r="C25" s="32"/>
      <c r="D25" s="32"/>
      <c r="E25" s="32"/>
      <c r="F25" s="32"/>
      <c r="G25" s="54">
        <v>879870.14000000013</v>
      </c>
      <c r="H25" s="32"/>
      <c r="I25" s="54">
        <f>+G25*(1+'JAP-23,  p1 Rate Spread'!$I$31)</f>
        <v>1307221.8813363079</v>
      </c>
      <c r="J25" s="54">
        <f>+I25-G25</f>
        <v>427351.74133630772</v>
      </c>
      <c r="K25" s="52">
        <f>+J25/G25</f>
        <v>0.48569865245831351</v>
      </c>
    </row>
    <row r="26" spans="1:11">
      <c r="A26" s="5">
        <f t="shared" si="0"/>
        <v>13</v>
      </c>
    </row>
    <row r="27" spans="1:11">
      <c r="A27" s="5">
        <f t="shared" si="0"/>
        <v>14</v>
      </c>
    </row>
    <row r="28" spans="1:11">
      <c r="A28" s="5">
        <f t="shared" si="0"/>
        <v>15</v>
      </c>
      <c r="B28" s="2" t="s">
        <v>522</v>
      </c>
      <c r="G28" s="37">
        <f>+G25+G20</f>
        <v>1217755.077158185</v>
      </c>
      <c r="I28" s="37">
        <f>+I25+I20</f>
        <v>1809217.077158185</v>
      </c>
      <c r="J28" s="37">
        <f>+J25+J20</f>
        <v>591462</v>
      </c>
      <c r="K28" s="52">
        <f>+J28/G28</f>
        <v>0.48569865245831351</v>
      </c>
    </row>
  </sheetData>
  <mergeCells count="12">
    <mergeCell ref="B23:K23"/>
    <mergeCell ref="A1:K1"/>
    <mergeCell ref="A2:K2"/>
    <mergeCell ref="A3:K3"/>
    <mergeCell ref="A4:K4"/>
    <mergeCell ref="F7:G7"/>
    <mergeCell ref="H7:I7"/>
    <mergeCell ref="F8:G8"/>
    <mergeCell ref="H8:I8"/>
    <mergeCell ref="J8:K8"/>
    <mergeCell ref="B12:K12"/>
    <mergeCell ref="C8:E8"/>
  </mergeCells>
  <phoneticPr fontId="0" type="noConversion"/>
  <printOptions horizontalCentered="1"/>
  <pageMargins left="0.25" right="0.25" top="1" bottom="1.17" header="0.5" footer="0.5"/>
  <pageSetup scale="85" orientation="landscape" r:id="rId1"/>
  <headerFooter alignWithMargins="0">
    <oddFooter>&amp;R&amp;"Times New Roman,Regular"Exhibit No.___(JAP-23)
Page 16 of 49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5"/>
  <sheetViews>
    <sheetView topLeftCell="A9" zoomScaleNormal="100" workbookViewId="0">
      <selection activeCell="A29" sqref="A29:I55"/>
    </sheetView>
  </sheetViews>
  <sheetFormatPr defaultRowHeight="12.75"/>
  <cols>
    <col min="1" max="1" width="4.28515625" style="2" bestFit="1" customWidth="1"/>
    <col min="2" max="2" width="29.85546875" style="2" bestFit="1" customWidth="1"/>
    <col min="3" max="3" width="14" style="2" bestFit="1" customWidth="1"/>
    <col min="4" max="4" width="11.7109375" style="2" bestFit="1" customWidth="1"/>
    <col min="5" max="5" width="13.28515625" style="2" bestFit="1" customWidth="1"/>
    <col min="6" max="6" width="11.28515625" style="2" bestFit="1" customWidth="1"/>
    <col min="7" max="7" width="13.28515625" style="2" bestFit="1" customWidth="1"/>
    <col min="8" max="8" width="11.85546875" style="2" bestFit="1" customWidth="1"/>
    <col min="9" max="9" width="11.28515625" style="2" bestFit="1" customWidth="1"/>
    <col min="10" max="16384" width="9.140625" style="2"/>
  </cols>
  <sheetData>
    <row r="1" spans="1:12">
      <c r="A1" s="327" t="str">
        <f>+'JAP-23,  p4 Residential Sch 7'!A1</f>
        <v>Puget Sound Energy</v>
      </c>
      <c r="B1" s="327"/>
      <c r="C1" s="327"/>
      <c r="D1" s="327"/>
      <c r="E1" s="327"/>
      <c r="F1" s="327"/>
      <c r="G1" s="327"/>
      <c r="H1" s="327"/>
      <c r="I1" s="327"/>
    </row>
    <row r="2" spans="1:12">
      <c r="A2" s="327" t="str">
        <f>+'JAP-23,  p4 Residential Sch 7'!A2</f>
        <v>Proforma and Proposed Revenue</v>
      </c>
      <c r="B2" s="327"/>
      <c r="C2" s="327"/>
      <c r="D2" s="327"/>
      <c r="E2" s="327"/>
      <c r="F2" s="327"/>
      <c r="G2" s="327"/>
      <c r="H2" s="327"/>
      <c r="I2" s="327"/>
    </row>
    <row r="3" spans="1:12">
      <c r="A3" s="327" t="str">
        <f>+'JAP-23,  p4 Residential Sch 7'!A3</f>
        <v>Test Year Twelve Months ended December 2010</v>
      </c>
      <c r="B3" s="327"/>
      <c r="C3" s="327"/>
      <c r="D3" s="327"/>
      <c r="E3" s="327"/>
      <c r="F3" s="327"/>
      <c r="G3" s="327"/>
      <c r="H3" s="327"/>
      <c r="I3" s="327"/>
    </row>
    <row r="4" spans="1:12">
      <c r="A4" s="327" t="s">
        <v>6</v>
      </c>
      <c r="B4" s="327"/>
      <c r="C4" s="327"/>
      <c r="D4" s="327"/>
      <c r="E4" s="327"/>
      <c r="F4" s="327"/>
      <c r="G4" s="327"/>
      <c r="H4" s="327"/>
      <c r="I4" s="327"/>
    </row>
    <row r="5" spans="1:12">
      <c r="A5" s="327" t="s">
        <v>39</v>
      </c>
      <c r="B5" s="327"/>
      <c r="C5" s="327"/>
      <c r="D5" s="327"/>
      <c r="E5" s="327"/>
      <c r="F5" s="327"/>
      <c r="G5" s="327"/>
      <c r="H5" s="327"/>
      <c r="I5" s="327"/>
    </row>
    <row r="7" spans="1:12">
      <c r="D7" s="336" t="s">
        <v>85</v>
      </c>
      <c r="E7" s="337"/>
      <c r="F7" s="338" t="s">
        <v>86</v>
      </c>
      <c r="G7" s="339"/>
    </row>
    <row r="8" spans="1:12">
      <c r="A8" s="11" t="s">
        <v>450</v>
      </c>
      <c r="D8" s="340" t="str">
        <f>+'JAP-23,  p4 Residential Sch 7'!F8</f>
        <v>Rates Effective 5-1-10</v>
      </c>
      <c r="E8" s="332"/>
      <c r="F8" s="340" t="str">
        <f>+'JAP-23,  p4 Residential Sch 7'!H8</f>
        <v>Rates Effective May 2012</v>
      </c>
      <c r="G8" s="332"/>
      <c r="H8" s="333" t="s">
        <v>166</v>
      </c>
      <c r="I8" s="334"/>
    </row>
    <row r="9" spans="1:12">
      <c r="A9" s="176" t="s">
        <v>451</v>
      </c>
      <c r="B9" s="176"/>
      <c r="C9" s="176" t="s">
        <v>165</v>
      </c>
      <c r="D9" s="203" t="s">
        <v>168</v>
      </c>
      <c r="E9" s="204" t="s">
        <v>169</v>
      </c>
      <c r="F9" s="176" t="s">
        <v>168</v>
      </c>
      <c r="G9" s="204" t="s">
        <v>169</v>
      </c>
      <c r="H9" s="203" t="s">
        <v>170</v>
      </c>
      <c r="I9" s="204" t="s">
        <v>171</v>
      </c>
    </row>
    <row r="10" spans="1:12" s="5" customFormat="1">
      <c r="A10" s="167"/>
      <c r="B10" s="167" t="s">
        <v>477</v>
      </c>
      <c r="C10" s="133" t="s">
        <v>478</v>
      </c>
      <c r="D10" s="133" t="s">
        <v>479</v>
      </c>
      <c r="E10" s="133" t="s">
        <v>480</v>
      </c>
      <c r="F10" s="133" t="s">
        <v>481</v>
      </c>
      <c r="G10" s="133" t="s">
        <v>482</v>
      </c>
      <c r="H10" s="133" t="s">
        <v>483</v>
      </c>
      <c r="I10" s="133" t="s">
        <v>484</v>
      </c>
      <c r="J10" s="133"/>
      <c r="K10" s="133"/>
      <c r="L10" s="133"/>
    </row>
    <row r="11" spans="1:12" s="5" customFormat="1">
      <c r="A11" s="167"/>
      <c r="B11" s="167"/>
      <c r="C11" s="133"/>
      <c r="D11" s="133"/>
      <c r="E11" s="133"/>
      <c r="F11" s="133"/>
      <c r="G11" s="133"/>
      <c r="H11" s="133"/>
      <c r="I11" s="133"/>
      <c r="J11" s="133"/>
      <c r="K11" s="133"/>
      <c r="L11" s="133"/>
    </row>
    <row r="12" spans="1:12">
      <c r="A12" s="5">
        <v>1</v>
      </c>
      <c r="B12" s="101" t="s">
        <v>246</v>
      </c>
      <c r="C12" s="44"/>
      <c r="D12" s="205"/>
      <c r="E12" s="205"/>
      <c r="F12" s="205"/>
      <c r="G12" s="205"/>
      <c r="H12" s="205"/>
      <c r="I12" s="205"/>
      <c r="J12" s="205"/>
      <c r="K12" s="205"/>
    </row>
    <row r="13" spans="1:12">
      <c r="A13" s="5">
        <f>+A12+1</f>
        <v>2</v>
      </c>
      <c r="B13" s="27" t="s">
        <v>12</v>
      </c>
      <c r="C13" s="81">
        <v>108959334.99970001</v>
      </c>
      <c r="D13" s="53"/>
      <c r="E13" s="17"/>
      <c r="F13" s="184"/>
      <c r="G13" s="17"/>
      <c r="H13" s="55"/>
      <c r="I13" s="56"/>
    </row>
    <row r="14" spans="1:12">
      <c r="A14" s="5">
        <f t="shared" ref="A14:A28" si="0">+A13+1</f>
        <v>3</v>
      </c>
      <c r="B14" s="27" t="s">
        <v>247</v>
      </c>
      <c r="C14" s="206">
        <v>24</v>
      </c>
      <c r="D14" s="74">
        <v>800</v>
      </c>
      <c r="E14" s="17">
        <f>+D14*C14</f>
        <v>19200</v>
      </c>
      <c r="F14" s="184">
        <f>+'JAP-23, p42 Rate Des Sch 449-59'!$E$10</f>
        <v>995</v>
      </c>
      <c r="G14" s="17">
        <f>+F14*C14</f>
        <v>23880</v>
      </c>
      <c r="H14" s="55">
        <f>+G14-E14</f>
        <v>4680</v>
      </c>
      <c r="I14" s="56">
        <f>+H14/E14</f>
        <v>0.24374999999999999</v>
      </c>
    </row>
    <row r="15" spans="1:12">
      <c r="A15" s="5">
        <f t="shared" si="0"/>
        <v>4</v>
      </c>
      <c r="B15" s="27" t="s">
        <v>248</v>
      </c>
      <c r="C15" s="18">
        <v>197728</v>
      </c>
      <c r="D15" s="113">
        <v>4.0200000000000005</v>
      </c>
      <c r="E15" s="17">
        <f>+D15*C15</f>
        <v>794866.56</v>
      </c>
      <c r="F15" s="116">
        <f>+'JAP-23, p42 Rate Des Sch 449-59'!$E$16</f>
        <v>4.2169999999999996</v>
      </c>
      <c r="G15" s="17">
        <f>+F15*C15</f>
        <v>833818.97599999991</v>
      </c>
      <c r="H15" s="55">
        <f>+G15-E15</f>
        <v>38952.415999999852</v>
      </c>
      <c r="I15" s="56">
        <f>+H15/E15</f>
        <v>4.9004975124377917E-2</v>
      </c>
    </row>
    <row r="16" spans="1:12" ht="13.5" thickBot="1">
      <c r="A16" s="5">
        <f t="shared" si="0"/>
        <v>5</v>
      </c>
      <c r="B16" s="57" t="s">
        <v>249</v>
      </c>
      <c r="E16" s="63">
        <f>SUM(E14:E15)</f>
        <v>814066.56</v>
      </c>
      <c r="G16" s="63">
        <f>SUM(G14:G15)</f>
        <v>857698.97599999991</v>
      </c>
      <c r="H16" s="63">
        <f>SUM(H14:H15)</f>
        <v>43632.415999999852</v>
      </c>
      <c r="I16" s="64">
        <f>+H16/E16</f>
        <v>5.3598093993689963E-2</v>
      </c>
    </row>
    <row r="17" spans="1:9" ht="13.5" thickTop="1">
      <c r="A17" s="5">
        <f t="shared" si="0"/>
        <v>6</v>
      </c>
      <c r="E17" s="37"/>
    </row>
    <row r="18" spans="1:9">
      <c r="A18" s="5">
        <f t="shared" si="0"/>
        <v>7</v>
      </c>
      <c r="B18" s="101" t="s">
        <v>250</v>
      </c>
      <c r="C18" s="44"/>
      <c r="D18" s="205"/>
      <c r="E18" s="205"/>
      <c r="F18" s="205"/>
      <c r="G18" s="205"/>
      <c r="H18" s="205"/>
      <c r="I18" s="205"/>
    </row>
    <row r="19" spans="1:9">
      <c r="A19" s="5">
        <f t="shared" si="0"/>
        <v>8</v>
      </c>
      <c r="B19" s="27" t="s">
        <v>12</v>
      </c>
      <c r="C19" s="81">
        <v>1690805020.9988999</v>
      </c>
      <c r="D19" s="53"/>
      <c r="E19" s="17"/>
      <c r="F19" s="184"/>
      <c r="G19" s="17"/>
      <c r="H19" s="55"/>
      <c r="I19" s="56"/>
    </row>
    <row r="20" spans="1:9">
      <c r="A20" s="5">
        <f t="shared" si="0"/>
        <v>9</v>
      </c>
      <c r="B20" s="27" t="s">
        <v>247</v>
      </c>
      <c r="C20" s="206">
        <v>168</v>
      </c>
      <c r="D20" s="74">
        <v>800</v>
      </c>
      <c r="E20" s="17">
        <f>+D20*C20</f>
        <v>134400</v>
      </c>
      <c r="F20" s="184">
        <f>+'JAP-23, p42 Rate Des Sch 449-59'!$E$11</f>
        <v>995</v>
      </c>
      <c r="G20" s="17">
        <f>+F20*C20</f>
        <v>167160</v>
      </c>
      <c r="H20" s="55">
        <f>+G20-E20</f>
        <v>32760</v>
      </c>
      <c r="I20" s="56">
        <f>+H20/E20</f>
        <v>0.24374999999999999</v>
      </c>
    </row>
    <row r="21" spans="1:9">
      <c r="A21" s="5">
        <f t="shared" si="0"/>
        <v>10</v>
      </c>
      <c r="B21" s="27" t="s">
        <v>248</v>
      </c>
      <c r="C21" s="18">
        <v>2948760</v>
      </c>
      <c r="D21" s="116">
        <v>1.544</v>
      </c>
      <c r="E21" s="17">
        <f>+D21*C21</f>
        <v>4552885.4400000004</v>
      </c>
      <c r="F21" s="116">
        <f>+'JAP-23, p42 Rate Des Sch 449-59'!$E$17</f>
        <v>1.7330000000000001</v>
      </c>
      <c r="G21" s="17">
        <f>+F21*C21</f>
        <v>5110201.08</v>
      </c>
      <c r="H21" s="55">
        <f>+G21-E21</f>
        <v>557315.63999999966</v>
      </c>
      <c r="I21" s="56">
        <f>+H21/E21</f>
        <v>0.12240932642487039</v>
      </c>
    </row>
    <row r="22" spans="1:9" ht="13.5" thickBot="1">
      <c r="A22" s="5">
        <f t="shared" si="0"/>
        <v>11</v>
      </c>
      <c r="B22" s="57" t="s">
        <v>251</v>
      </c>
      <c r="E22" s="63">
        <f>SUM(E20:E21)</f>
        <v>4687285.4400000004</v>
      </c>
      <c r="G22" s="63">
        <f>SUM(G20:G21)</f>
        <v>5277361.08</v>
      </c>
      <c r="H22" s="63">
        <f>SUM(H20:H21)</f>
        <v>590075.63999999966</v>
      </c>
      <c r="I22" s="64">
        <f>+H22/E22</f>
        <v>0.12588856547212957</v>
      </c>
    </row>
    <row r="23" spans="1:9" ht="13.5" thickTop="1">
      <c r="A23" s="5">
        <f t="shared" si="0"/>
        <v>12</v>
      </c>
      <c r="B23" s="57"/>
      <c r="E23" s="55"/>
      <c r="G23" s="55"/>
      <c r="H23" s="55"/>
      <c r="I23" s="56"/>
    </row>
    <row r="24" spans="1:9">
      <c r="A24" s="5">
        <f t="shared" si="0"/>
        <v>13</v>
      </c>
      <c r="B24" s="10" t="s">
        <v>144</v>
      </c>
      <c r="D24" s="58"/>
      <c r="E24" s="54">
        <v>928876.88022500172</v>
      </c>
      <c r="F24" s="58"/>
      <c r="G24" s="54">
        <f>+E24</f>
        <v>928876.88022500172</v>
      </c>
      <c r="H24" s="54">
        <f>+G24-E24</f>
        <v>0</v>
      </c>
      <c r="I24" s="52">
        <f>+H24/E24</f>
        <v>0</v>
      </c>
    </row>
    <row r="25" spans="1:9">
      <c r="A25" s="5">
        <f t="shared" si="0"/>
        <v>14</v>
      </c>
    </row>
    <row r="26" spans="1:9">
      <c r="A26" s="5">
        <f t="shared" si="0"/>
        <v>15</v>
      </c>
      <c r="B26" s="10" t="s">
        <v>176</v>
      </c>
      <c r="C26" s="12">
        <v>-9180243</v>
      </c>
      <c r="D26" s="58">
        <f>ROUND(+E26/C26,6)</f>
        <v>5.0000000000000001E-3</v>
      </c>
      <c r="E26" s="54">
        <v>-45901</v>
      </c>
      <c r="F26" s="58">
        <f>+G26/C26</f>
        <v>5.5002054172380629E-3</v>
      </c>
      <c r="G26" s="54">
        <f>SUM('JAP-23, p42 Rate Des Sch 449-59'!$G$24:$G$25)</f>
        <v>-50493.222280161805</v>
      </c>
      <c r="H26" s="54">
        <f>+G26-E26</f>
        <v>-4592.2222801618045</v>
      </c>
      <c r="I26" s="52">
        <f>+H26/E26</f>
        <v>0.1000462360332412</v>
      </c>
    </row>
    <row r="27" spans="1:9">
      <c r="A27" s="5">
        <f t="shared" si="0"/>
        <v>16</v>
      </c>
    </row>
    <row r="28" spans="1:9" ht="13.5" thickBot="1">
      <c r="A28" s="5">
        <f t="shared" si="0"/>
        <v>17</v>
      </c>
      <c r="B28" s="2" t="s">
        <v>252</v>
      </c>
      <c r="C28" s="34">
        <f>SUM(C26,C19,C13)</f>
        <v>1790584112.9986</v>
      </c>
      <c r="E28" s="63">
        <f>+E22+E16+E26+E24</f>
        <v>6384327.8802250018</v>
      </c>
      <c r="G28" s="63">
        <f>+G22+G16+G26+G24</f>
        <v>7013443.7139448402</v>
      </c>
      <c r="H28" s="63">
        <f>+H22+H16+H26+H24</f>
        <v>629115.83371983771</v>
      </c>
      <c r="I28" s="64">
        <f>+H28/E28</f>
        <v>9.8540652285180858E-2</v>
      </c>
    </row>
    <row r="29" spans="1:9" ht="13.5" thickTop="1">
      <c r="A29" s="5"/>
      <c r="C29" s="81"/>
    </row>
    <row r="30" spans="1:9">
      <c r="A30" s="5"/>
      <c r="B30" s="24"/>
      <c r="E30" s="37"/>
      <c r="G30" s="37"/>
      <c r="H30" s="37"/>
    </row>
    <row r="31" spans="1:9">
      <c r="A31" s="5"/>
      <c r="B31" s="24"/>
      <c r="E31" s="29"/>
    </row>
    <row r="32" spans="1:9">
      <c r="E32" s="37"/>
    </row>
    <row r="34" spans="2:8">
      <c r="B34" s="24"/>
    </row>
    <row r="35" spans="2:8">
      <c r="B35" s="27"/>
      <c r="E35" s="37"/>
      <c r="G35" s="37"/>
      <c r="H35" s="37"/>
    </row>
    <row r="36" spans="2:8">
      <c r="B36" s="27"/>
      <c r="E36" s="29"/>
      <c r="G36" s="29"/>
      <c r="H36" s="37"/>
    </row>
    <row r="37" spans="2:8">
      <c r="B37" s="27"/>
      <c r="E37" s="29"/>
      <c r="G37" s="29"/>
      <c r="H37" s="37"/>
    </row>
    <row r="38" spans="2:8">
      <c r="E38" s="37"/>
      <c r="G38" s="37"/>
      <c r="H38" s="37"/>
    </row>
    <row r="40" spans="2:8">
      <c r="B40" s="24"/>
    </row>
    <row r="41" spans="2:8">
      <c r="B41" s="27"/>
      <c r="E41" s="37"/>
      <c r="G41" s="37"/>
      <c r="H41" s="37"/>
    </row>
    <row r="42" spans="2:8">
      <c r="B42" s="27"/>
      <c r="E42" s="29"/>
      <c r="G42" s="29"/>
      <c r="H42" s="37"/>
    </row>
    <row r="43" spans="2:8">
      <c r="B43" s="27"/>
      <c r="E43" s="29"/>
      <c r="G43" s="29"/>
      <c r="H43" s="37"/>
    </row>
    <row r="44" spans="2:8">
      <c r="E44" s="37"/>
      <c r="G44" s="37"/>
      <c r="H44" s="37"/>
    </row>
    <row r="46" spans="2:8">
      <c r="B46" s="10"/>
    </row>
    <row r="47" spans="2:8">
      <c r="B47" s="27"/>
      <c r="E47" s="37"/>
      <c r="G47" s="37"/>
      <c r="H47" s="37"/>
    </row>
    <row r="48" spans="2:8">
      <c r="B48" s="27"/>
      <c r="E48" s="37"/>
      <c r="G48" s="37"/>
      <c r="H48" s="37"/>
    </row>
    <row r="49" spans="2:8">
      <c r="B49" s="27"/>
      <c r="E49" s="37"/>
      <c r="G49" s="37"/>
      <c r="H49" s="37"/>
    </row>
    <row r="50" spans="2:8">
      <c r="E50" s="37"/>
      <c r="G50" s="37"/>
      <c r="H50" s="37"/>
    </row>
    <row r="51" spans="2:8">
      <c r="E51" s="37"/>
      <c r="G51" s="37"/>
      <c r="H51" s="37"/>
    </row>
    <row r="52" spans="2:8">
      <c r="G52" s="37"/>
    </row>
    <row r="54" spans="2:8">
      <c r="G54" s="37"/>
    </row>
    <row r="55" spans="2:8">
      <c r="G55" s="37"/>
    </row>
  </sheetData>
  <mergeCells count="10">
    <mergeCell ref="D8:E8"/>
    <mergeCell ref="F8:G8"/>
    <mergeCell ref="H8:I8"/>
    <mergeCell ref="A1:I1"/>
    <mergeCell ref="A2:I2"/>
    <mergeCell ref="A3:I3"/>
    <mergeCell ref="A4:I4"/>
    <mergeCell ref="A5:I5"/>
    <mergeCell ref="D7:E7"/>
    <mergeCell ref="F7:G7"/>
  </mergeCells>
  <phoneticPr fontId="0" type="noConversion"/>
  <printOptions horizontalCentered="1"/>
  <pageMargins left="0.25" right="0.25" top="1" bottom="1.21" header="0.5" footer="0.5"/>
  <pageSetup orientation="landscape" r:id="rId1"/>
  <headerFooter alignWithMargins="0">
    <oddFooter>&amp;R&amp;"Times New Roman,Regular"Exhibit No.___(JAP-23)
Page 17 of 49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1:L28"/>
  <sheetViews>
    <sheetView zoomScaleNormal="100" workbookViewId="0">
      <selection activeCell="A23" sqref="A23:E26"/>
    </sheetView>
  </sheetViews>
  <sheetFormatPr defaultRowHeight="12.75"/>
  <cols>
    <col min="1" max="1" width="9.140625" style="2"/>
    <col min="2" max="2" width="29.85546875" style="2" bestFit="1" customWidth="1"/>
    <col min="3" max="3" width="14" style="2" bestFit="1" customWidth="1"/>
    <col min="4" max="4" width="11.7109375" style="2" bestFit="1" customWidth="1"/>
    <col min="5" max="5" width="13.28515625" style="2" bestFit="1" customWidth="1"/>
    <col min="6" max="6" width="11.28515625" style="2" bestFit="1" customWidth="1"/>
    <col min="7" max="7" width="13.28515625" style="2" bestFit="1" customWidth="1"/>
    <col min="8" max="8" width="11.85546875" style="2" bestFit="1" customWidth="1"/>
    <col min="9" max="9" width="7.85546875" style="2" bestFit="1" customWidth="1"/>
    <col min="10" max="16384" width="9.140625" style="2"/>
  </cols>
  <sheetData>
    <row r="1" spans="1:12">
      <c r="A1" s="327" t="str">
        <f>+'JAP-23,  p4 Residential Sch 7'!A1</f>
        <v>Puget Sound Energy</v>
      </c>
      <c r="B1" s="327"/>
      <c r="C1" s="327"/>
      <c r="D1" s="327"/>
      <c r="E1" s="327"/>
      <c r="F1" s="327"/>
      <c r="G1" s="327"/>
      <c r="H1" s="327"/>
      <c r="I1" s="327"/>
    </row>
    <row r="2" spans="1:12">
      <c r="A2" s="327" t="str">
        <f>+'JAP-23,  p4 Residential Sch 7'!A2</f>
        <v>Proforma and Proposed Revenue</v>
      </c>
      <c r="B2" s="327"/>
      <c r="C2" s="327"/>
      <c r="D2" s="327"/>
      <c r="E2" s="327"/>
      <c r="F2" s="327"/>
      <c r="G2" s="327"/>
      <c r="H2" s="327"/>
      <c r="I2" s="327"/>
    </row>
    <row r="3" spans="1:12">
      <c r="A3" s="327" t="str">
        <f>+'JAP-23,  p4 Residential Sch 7'!A3</f>
        <v>Test Year Twelve Months ended December 2010</v>
      </c>
      <c r="B3" s="327"/>
      <c r="C3" s="327"/>
      <c r="D3" s="327"/>
      <c r="E3" s="327"/>
      <c r="F3" s="327"/>
      <c r="G3" s="327"/>
      <c r="H3" s="327"/>
      <c r="I3" s="327"/>
    </row>
    <row r="4" spans="1:12">
      <c r="A4" s="327" t="s">
        <v>7</v>
      </c>
      <c r="B4" s="327"/>
      <c r="C4" s="327"/>
      <c r="D4" s="327"/>
      <c r="E4" s="327"/>
      <c r="F4" s="327"/>
      <c r="G4" s="327"/>
      <c r="H4" s="327"/>
      <c r="I4" s="327"/>
    </row>
    <row r="5" spans="1:12">
      <c r="A5" s="327" t="s">
        <v>253</v>
      </c>
      <c r="B5" s="327"/>
      <c r="C5" s="327"/>
      <c r="D5" s="327"/>
      <c r="E5" s="327"/>
      <c r="F5" s="327"/>
      <c r="G5" s="327"/>
      <c r="H5" s="327"/>
      <c r="I5" s="327"/>
    </row>
    <row r="7" spans="1:12">
      <c r="D7" s="336" t="s">
        <v>85</v>
      </c>
      <c r="E7" s="337"/>
      <c r="F7" s="338" t="s">
        <v>86</v>
      </c>
      <c r="G7" s="339"/>
    </row>
    <row r="8" spans="1:12">
      <c r="A8" s="11" t="s">
        <v>450</v>
      </c>
      <c r="D8" s="340" t="str">
        <f>+'JAP-23,  p4 Residential Sch 7'!F8</f>
        <v>Rates Effective 5-1-10</v>
      </c>
      <c r="E8" s="332"/>
      <c r="F8" s="340" t="str">
        <f>+'JAP-23,  p4 Residential Sch 7'!H8</f>
        <v>Rates Effective May 2012</v>
      </c>
      <c r="G8" s="332"/>
      <c r="H8" s="333" t="s">
        <v>166</v>
      </c>
      <c r="I8" s="334"/>
    </row>
    <row r="9" spans="1:12">
      <c r="A9" s="176" t="s">
        <v>451</v>
      </c>
      <c r="B9" s="176"/>
      <c r="C9" s="176" t="s">
        <v>165</v>
      </c>
      <c r="D9" s="203" t="s">
        <v>168</v>
      </c>
      <c r="E9" s="204" t="s">
        <v>169</v>
      </c>
      <c r="F9" s="176" t="s">
        <v>168</v>
      </c>
      <c r="G9" s="204" t="s">
        <v>169</v>
      </c>
      <c r="H9" s="203" t="s">
        <v>170</v>
      </c>
      <c r="I9" s="204" t="s">
        <v>171</v>
      </c>
    </row>
    <row r="10" spans="1:12" s="5" customFormat="1">
      <c r="A10" s="167"/>
      <c r="B10" s="167" t="s">
        <v>477</v>
      </c>
      <c r="C10" s="133" t="s">
        <v>478</v>
      </c>
      <c r="D10" s="133" t="s">
        <v>479</v>
      </c>
      <c r="E10" s="133" t="s">
        <v>480</v>
      </c>
      <c r="F10" s="133" t="s">
        <v>481</v>
      </c>
      <c r="G10" s="133" t="s">
        <v>482</v>
      </c>
      <c r="H10" s="133" t="s">
        <v>483</v>
      </c>
      <c r="I10" s="133" t="s">
        <v>484</v>
      </c>
      <c r="J10" s="133"/>
      <c r="K10" s="133"/>
      <c r="L10" s="133"/>
    </row>
    <row r="11" spans="1:12" s="5" customFormat="1">
      <c r="A11" s="167"/>
      <c r="B11" s="167"/>
      <c r="C11" s="133"/>
      <c r="D11" s="133"/>
      <c r="E11" s="133"/>
      <c r="F11" s="133"/>
      <c r="G11" s="133"/>
      <c r="H11" s="133"/>
      <c r="I11" s="133"/>
      <c r="J11" s="133"/>
      <c r="K11" s="133"/>
      <c r="L11" s="133"/>
    </row>
    <row r="12" spans="1:12">
      <c r="A12" s="5">
        <v>1</v>
      </c>
      <c r="B12" s="101" t="s">
        <v>250</v>
      </c>
      <c r="C12" s="44"/>
      <c r="D12" s="205"/>
      <c r="E12" s="205"/>
      <c r="F12" s="205"/>
      <c r="G12" s="205"/>
      <c r="H12" s="205"/>
      <c r="I12" s="205"/>
    </row>
    <row r="13" spans="1:12">
      <c r="A13" s="5">
        <f>+A12+1</f>
        <v>2</v>
      </c>
      <c r="B13" s="27" t="s">
        <v>12</v>
      </c>
      <c r="C13" s="81">
        <v>165542812.99970001</v>
      </c>
      <c r="D13" s="53"/>
      <c r="E13" s="17"/>
      <c r="F13" s="184"/>
      <c r="G13" s="17"/>
      <c r="H13" s="55"/>
      <c r="I13" s="56"/>
    </row>
    <row r="14" spans="1:12">
      <c r="A14" s="5">
        <f t="shared" ref="A14:A22" si="0">+A13+1</f>
        <v>3</v>
      </c>
      <c r="B14" s="27" t="s">
        <v>247</v>
      </c>
      <c r="C14" s="206">
        <v>48</v>
      </c>
      <c r="D14" s="184">
        <v>800</v>
      </c>
      <c r="E14" s="17">
        <f>+D14*C14</f>
        <v>38400</v>
      </c>
      <c r="F14" s="184">
        <f>+'JAP-23, p42 Rate Des Sch 449-59'!$E$12</f>
        <v>995</v>
      </c>
      <c r="G14" s="17">
        <f>+F14*C14</f>
        <v>47760</v>
      </c>
      <c r="H14" s="55">
        <f>+G14-E14</f>
        <v>9360</v>
      </c>
      <c r="I14" s="56">
        <f>+H14/E14</f>
        <v>0.24374999999999999</v>
      </c>
    </row>
    <row r="15" spans="1:12">
      <c r="A15" s="5">
        <f t="shared" si="0"/>
        <v>4</v>
      </c>
      <c r="B15" s="27" t="s">
        <v>254</v>
      </c>
      <c r="C15" s="18">
        <v>347350</v>
      </c>
      <c r="D15" s="116">
        <v>1.544</v>
      </c>
      <c r="E15" s="17">
        <f>+D15*C15</f>
        <v>536308.4</v>
      </c>
      <c r="F15" s="116">
        <f>+'JAP-23, p42 Rate Des Sch 449-59'!$E$18</f>
        <v>1.7330000000000001</v>
      </c>
      <c r="G15" s="17">
        <f>+F15*C15</f>
        <v>601957.55000000005</v>
      </c>
      <c r="H15" s="55">
        <f>+G15-E15</f>
        <v>65649.150000000023</v>
      </c>
      <c r="I15" s="56">
        <f>+H15/E15</f>
        <v>0.1224093264248705</v>
      </c>
    </row>
    <row r="16" spans="1:12" ht="13.5" thickBot="1">
      <c r="A16" s="5">
        <f t="shared" si="0"/>
        <v>5</v>
      </c>
      <c r="B16" s="57" t="s">
        <v>251</v>
      </c>
      <c r="E16" s="63">
        <f>SUM(E14:E15)</f>
        <v>574708.4</v>
      </c>
      <c r="G16" s="63">
        <f>SUM(G14:G15)</f>
        <v>649717.55000000005</v>
      </c>
      <c r="H16" s="63">
        <f>SUM(H14:H15)</f>
        <v>75009.150000000023</v>
      </c>
      <c r="I16" s="64">
        <f>+H16/E16</f>
        <v>0.13051688473667694</v>
      </c>
    </row>
    <row r="17" spans="1:9" ht="13.5" thickTop="1">
      <c r="A17" s="5">
        <f t="shared" si="0"/>
        <v>6</v>
      </c>
    </row>
    <row r="18" spans="1:9">
      <c r="A18" s="5">
        <f t="shared" si="0"/>
        <v>7</v>
      </c>
      <c r="B18" s="10" t="s">
        <v>144</v>
      </c>
      <c r="D18" s="58"/>
      <c r="E18" s="54">
        <v>80549.859690788959</v>
      </c>
      <c r="F18" s="58"/>
      <c r="G18" s="54">
        <f>+E18</f>
        <v>80549.859690788959</v>
      </c>
      <c r="H18" s="54">
        <f>+G18-E18</f>
        <v>0</v>
      </c>
      <c r="I18" s="52">
        <f>+H18/E18</f>
        <v>0</v>
      </c>
    </row>
    <row r="19" spans="1:9">
      <c r="A19" s="5">
        <f t="shared" si="0"/>
        <v>8</v>
      </c>
    </row>
    <row r="20" spans="1:9" ht="13.5" thickBot="1">
      <c r="A20" s="5">
        <f t="shared" si="0"/>
        <v>9</v>
      </c>
      <c r="B20" s="10" t="s">
        <v>176</v>
      </c>
      <c r="C20" s="12">
        <v>-1213422</v>
      </c>
      <c r="D20" s="58">
        <f>ROUND(+E20/C20,6)</f>
        <v>5.0000000000000001E-3</v>
      </c>
      <c r="E20" s="63">
        <v>-6067</v>
      </c>
      <c r="F20" s="58">
        <f>+G20/C20</f>
        <v>5.500205417238062E-3</v>
      </c>
      <c r="G20" s="63">
        <f>+'JAP-23, p42 Rate Des Sch 449-59'!$G$26</f>
        <v>-6674.0702577958436</v>
      </c>
      <c r="H20" s="63">
        <f>+G20-E20</f>
        <v>-607.07025779584364</v>
      </c>
      <c r="I20" s="64">
        <f>+H20/E20</f>
        <v>0.10006102815161425</v>
      </c>
    </row>
    <row r="21" spans="1:9" ht="13.5" thickTop="1">
      <c r="A21" s="5">
        <f t="shared" si="0"/>
        <v>10</v>
      </c>
    </row>
    <row r="22" spans="1:9" ht="13.5" thickBot="1">
      <c r="A22" s="5">
        <f t="shared" si="0"/>
        <v>11</v>
      </c>
      <c r="B22" s="24" t="s">
        <v>368</v>
      </c>
      <c r="C22" s="34">
        <f>SUM(C13,C20)</f>
        <v>164329390.99970001</v>
      </c>
      <c r="E22" s="63">
        <f>SUM(E20,E16,E18)</f>
        <v>649191.25969078904</v>
      </c>
      <c r="G22" s="63">
        <f>SUM(G20,G16,G18)</f>
        <v>723593.33943299321</v>
      </c>
      <c r="H22" s="63">
        <f>SUM(H20,H16,H18)</f>
        <v>74402.07974220418</v>
      </c>
      <c r="I22" s="64">
        <f>+H22/E22</f>
        <v>0.11460733432800993</v>
      </c>
    </row>
    <row r="23" spans="1:9" ht="13.5" thickTop="1">
      <c r="A23" s="5"/>
      <c r="C23" s="81"/>
    </row>
    <row r="24" spans="1:9">
      <c r="A24" s="5"/>
      <c r="B24" s="24"/>
      <c r="E24" s="37"/>
    </row>
    <row r="25" spans="1:9">
      <c r="A25" s="5"/>
      <c r="B25" s="24"/>
      <c r="E25" s="29"/>
    </row>
    <row r="26" spans="1:9">
      <c r="A26" s="5"/>
    </row>
    <row r="27" spans="1:9">
      <c r="A27" s="5"/>
    </row>
    <row r="28" spans="1:9">
      <c r="A28" s="5"/>
    </row>
  </sheetData>
  <mergeCells count="10">
    <mergeCell ref="D8:E8"/>
    <mergeCell ref="F8:G8"/>
    <mergeCell ref="H8:I8"/>
    <mergeCell ref="A1:I1"/>
    <mergeCell ref="A2:I2"/>
    <mergeCell ref="A3:I3"/>
    <mergeCell ref="A4:I4"/>
    <mergeCell ref="A5:I5"/>
    <mergeCell ref="D7:E7"/>
    <mergeCell ref="F7:G7"/>
  </mergeCells>
  <phoneticPr fontId="0" type="noConversion"/>
  <printOptions horizontalCentered="1"/>
  <pageMargins left="0.25" right="0.25" top="1" bottom="1.19" header="0.5" footer="0.5"/>
  <pageSetup scale="85" orientation="landscape" r:id="rId1"/>
  <headerFooter alignWithMargins="0">
    <oddFooter>&amp;R&amp;"Times New Roman,Regular"Exhibit No.___(JAP-23)
Page 18 of 49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:K34"/>
  <sheetViews>
    <sheetView zoomScaleNormal="100" workbookViewId="0">
      <selection activeCell="F25" sqref="F25"/>
    </sheetView>
  </sheetViews>
  <sheetFormatPr defaultRowHeight="12.75"/>
  <cols>
    <col min="1" max="1" width="6.140625" style="2" customWidth="1"/>
    <col min="2" max="2" width="27.42578125" style="2" bestFit="1" customWidth="1"/>
    <col min="3" max="3" width="11.140625" style="2" customWidth="1"/>
    <col min="4" max="4" width="11.28515625" style="2" customWidth="1"/>
    <col min="5" max="5" width="14.140625" style="2" customWidth="1"/>
    <col min="6" max="6" width="12.28515625" style="2" bestFit="1" customWidth="1"/>
    <col min="7" max="7" width="12.85546875" style="2" bestFit="1" customWidth="1"/>
    <col min="8" max="8" width="12.28515625" style="2" bestFit="1" customWidth="1"/>
    <col min="9" max="9" width="9.140625" style="2"/>
    <col min="10" max="10" width="12.28515625" style="2" hidden="1" customWidth="1"/>
    <col min="11" max="11" width="10.7109375" style="2" hidden="1" customWidth="1"/>
    <col min="12" max="16384" width="9.140625" style="2"/>
  </cols>
  <sheetData>
    <row r="1" spans="1:11">
      <c r="A1" s="327" t="s">
        <v>8</v>
      </c>
      <c r="B1" s="327"/>
      <c r="C1" s="327"/>
      <c r="D1" s="327"/>
      <c r="E1" s="327"/>
      <c r="F1" s="327"/>
      <c r="G1" s="327"/>
      <c r="H1" s="327"/>
    </row>
    <row r="2" spans="1:11">
      <c r="A2" s="327" t="s">
        <v>229</v>
      </c>
      <c r="B2" s="327"/>
      <c r="C2" s="327"/>
      <c r="D2" s="327"/>
      <c r="E2" s="327"/>
      <c r="F2" s="327"/>
      <c r="G2" s="327"/>
      <c r="H2" s="327"/>
    </row>
    <row r="3" spans="1:11">
      <c r="A3" s="327" t="s">
        <v>230</v>
      </c>
      <c r="B3" s="327"/>
      <c r="C3" s="327"/>
      <c r="D3" s="327"/>
      <c r="E3" s="327"/>
      <c r="F3" s="327"/>
      <c r="G3" s="327"/>
      <c r="H3" s="327"/>
    </row>
    <row r="4" spans="1:11">
      <c r="A4" s="327" t="str">
        <f>+'JAP-23,  p1 Rate Spread'!A2</f>
        <v>Twelve Months ended December 2010</v>
      </c>
      <c r="B4" s="327"/>
      <c r="C4" s="327"/>
      <c r="D4" s="327"/>
      <c r="E4" s="327"/>
      <c r="F4" s="327"/>
      <c r="G4" s="327"/>
      <c r="H4" s="327"/>
    </row>
    <row r="7" spans="1:11" s="5" customFormat="1" ht="38.25">
      <c r="A7" s="3" t="s">
        <v>46</v>
      </c>
      <c r="B7" s="3" t="s">
        <v>11</v>
      </c>
      <c r="C7" s="3" t="s">
        <v>436</v>
      </c>
      <c r="D7" s="3" t="s">
        <v>12</v>
      </c>
      <c r="E7" s="4" t="s">
        <v>231</v>
      </c>
      <c r="F7" s="4" t="s">
        <v>232</v>
      </c>
      <c r="G7" s="3" t="s">
        <v>233</v>
      </c>
      <c r="H7" s="3" t="s">
        <v>157</v>
      </c>
      <c r="J7" s="4" t="s">
        <v>255</v>
      </c>
      <c r="K7" s="4" t="s">
        <v>256</v>
      </c>
    </row>
    <row r="8" spans="1:11" s="5" customFormat="1">
      <c r="A8" s="167"/>
      <c r="B8" s="167" t="s">
        <v>477</v>
      </c>
      <c r="C8" s="133" t="s">
        <v>478</v>
      </c>
      <c r="D8" s="133" t="s">
        <v>479</v>
      </c>
      <c r="E8" s="133" t="s">
        <v>480</v>
      </c>
      <c r="F8" s="133" t="s">
        <v>481</v>
      </c>
      <c r="G8" s="133" t="s">
        <v>482</v>
      </c>
      <c r="H8" s="133" t="s">
        <v>483</v>
      </c>
      <c r="I8" s="133"/>
      <c r="J8" s="133"/>
      <c r="K8" s="133"/>
    </row>
    <row r="9" spans="1:11" s="5" customFormat="1">
      <c r="A9" s="167"/>
      <c r="B9" s="167"/>
      <c r="C9" s="133"/>
      <c r="D9" s="133"/>
      <c r="E9" s="133"/>
      <c r="F9" s="133"/>
      <c r="G9" s="133"/>
      <c r="H9" s="133"/>
      <c r="I9" s="133"/>
      <c r="J9" s="133"/>
      <c r="K9" s="133"/>
    </row>
    <row r="10" spans="1:11" s="5" customFormat="1">
      <c r="A10" s="5">
        <v>1</v>
      </c>
      <c r="B10" s="189" t="s">
        <v>234</v>
      </c>
      <c r="C10" s="190">
        <v>6939.1080000000002</v>
      </c>
      <c r="D10" s="190">
        <f t="shared" ref="D10:D23" si="0">SUM(C10:C10)</f>
        <v>6939.1080000000002</v>
      </c>
      <c r="E10" s="191">
        <f>+'JAP-23,  p20 Sch 003'!I12</f>
        <v>615.96</v>
      </c>
      <c r="F10" s="191">
        <f>+'JAP-23,  p20 Sch 003'!J12</f>
        <v>665.52</v>
      </c>
      <c r="G10" s="192">
        <f>+F10-E10</f>
        <v>49.559999999999945</v>
      </c>
      <c r="H10" s="185">
        <f>+G10/E10</f>
        <v>8.045977011494243E-2</v>
      </c>
      <c r="J10" s="192">
        <f>+'JAP-23,  p20 Sch 003'!I16</f>
        <v>0</v>
      </c>
    </row>
    <row r="11" spans="1:11">
      <c r="A11" s="11">
        <f>+A10+1</f>
        <v>2</v>
      </c>
      <c r="B11" s="10" t="s">
        <v>235</v>
      </c>
      <c r="C11" s="190">
        <v>388781.29509999999</v>
      </c>
      <c r="D11" s="190">
        <f t="shared" si="0"/>
        <v>388781.29509999999</v>
      </c>
      <c r="E11" s="192">
        <f>SUM('JAP-23,  p21 Sch 50'!I14)</f>
        <v>9893</v>
      </c>
      <c r="F11" s="192">
        <f>SUM('JAP-23,  p21 Sch 50'!J14)</f>
        <v>10685</v>
      </c>
      <c r="G11" s="192">
        <f>+F11-E11</f>
        <v>792</v>
      </c>
      <c r="H11" s="185">
        <f>+G11/E11</f>
        <v>8.005660568078439E-2</v>
      </c>
      <c r="J11" s="192">
        <f>+'JAP-23,  p21 Sch 50'!I27</f>
        <v>0</v>
      </c>
    </row>
    <row r="12" spans="1:11">
      <c r="A12" s="11">
        <f t="shared" ref="A12:A31" si="1">+A11+1</f>
        <v>3</v>
      </c>
      <c r="B12" s="10" t="s">
        <v>236</v>
      </c>
      <c r="C12" s="190"/>
      <c r="D12" s="190">
        <f t="shared" si="0"/>
        <v>0</v>
      </c>
      <c r="E12" s="192">
        <f>SUM('JAP-23,  p21 Sch 50'!I21)</f>
        <v>27166</v>
      </c>
      <c r="F12" s="192">
        <f>SUM('JAP-23,  p21 Sch 50'!J21)</f>
        <v>29346</v>
      </c>
      <c r="G12" s="192">
        <f t="shared" ref="G12:G21" si="2">+F12-E12</f>
        <v>2180</v>
      </c>
      <c r="H12" s="185">
        <f t="shared" ref="H12:H21" si="3">+G12/E12</f>
        <v>8.0247368033571381E-2</v>
      </c>
      <c r="J12" s="192"/>
    </row>
    <row r="13" spans="1:11">
      <c r="A13" s="11">
        <f t="shared" si="1"/>
        <v>4</v>
      </c>
      <c r="B13" s="10" t="s">
        <v>514</v>
      </c>
      <c r="C13" s="190">
        <v>2692.9903000000004</v>
      </c>
      <c r="D13" s="190">
        <f t="shared" si="0"/>
        <v>2692.9903000000004</v>
      </c>
      <c r="E13" s="192">
        <f>+'JAP-23,  p22 Sch 51'!I13</f>
        <v>232</v>
      </c>
      <c r="F13" s="192">
        <f>+'JAP-23,  p22 Sch 51'!J13</f>
        <v>249</v>
      </c>
      <c r="G13" s="192">
        <f t="shared" si="2"/>
        <v>17</v>
      </c>
      <c r="H13" s="185">
        <f t="shared" si="3"/>
        <v>7.3275862068965511E-2</v>
      </c>
      <c r="J13" s="192"/>
    </row>
    <row r="14" spans="1:11">
      <c r="A14" s="11">
        <f t="shared" si="1"/>
        <v>5</v>
      </c>
      <c r="B14" s="10" t="s">
        <v>515</v>
      </c>
      <c r="C14" s="190"/>
      <c r="D14" s="190">
        <f t="shared" si="0"/>
        <v>0</v>
      </c>
      <c r="E14" s="192">
        <f>+'JAP-23,  p23 Sch 51 O&amp;M'!F10</f>
        <v>468.71635200000003</v>
      </c>
      <c r="F14" s="192">
        <f>+'JAP-23,  p23 Sch 51 O&amp;M'!G10</f>
        <v>506.57421120000004</v>
      </c>
      <c r="G14" s="192">
        <f t="shared" si="2"/>
        <v>37.857859200000007</v>
      </c>
      <c r="H14" s="185">
        <f t="shared" si="3"/>
        <v>8.0769230769230774E-2</v>
      </c>
      <c r="J14" s="192"/>
    </row>
    <row r="15" spans="1:11">
      <c r="A15" s="11">
        <f t="shared" si="1"/>
        <v>6</v>
      </c>
      <c r="B15" s="24" t="s">
        <v>237</v>
      </c>
      <c r="C15" s="190"/>
      <c r="D15" s="190">
        <f t="shared" si="0"/>
        <v>0</v>
      </c>
      <c r="E15" s="192">
        <f>+'JAP-23,  p25 Sch 52 O&amp;M'!F10</f>
        <v>1418963.0070150564</v>
      </c>
      <c r="F15" s="192">
        <f>+'JAP-23,  p25 Sch 52 O&amp;M'!G10</f>
        <v>1532264.2357120763</v>
      </c>
      <c r="G15" s="192">
        <f t="shared" si="2"/>
        <v>113301.22869701986</v>
      </c>
      <c r="H15" s="185">
        <f t="shared" si="3"/>
        <v>7.9847908745247248E-2</v>
      </c>
      <c r="J15" s="192"/>
    </row>
    <row r="16" spans="1:11">
      <c r="A16" s="11">
        <f t="shared" si="1"/>
        <v>7</v>
      </c>
      <c r="B16" s="10" t="s">
        <v>238</v>
      </c>
      <c r="C16" s="190">
        <v>11649986.409599999</v>
      </c>
      <c r="D16" s="190">
        <f t="shared" si="0"/>
        <v>11649986.409599999</v>
      </c>
      <c r="E16" s="192">
        <f>+'JAP-23,  p24 Sch 52'!I27</f>
        <v>1180678</v>
      </c>
      <c r="F16" s="192">
        <f>+'JAP-23,  p24 Sch 52'!J27</f>
        <v>1274928</v>
      </c>
      <c r="G16" s="192">
        <f t="shared" si="2"/>
        <v>94250</v>
      </c>
      <c r="H16" s="185">
        <f t="shared" si="3"/>
        <v>7.9827014647516084E-2</v>
      </c>
      <c r="J16" s="192" t="e">
        <f>+'JAP-23,  p24 Sch 52'!I33</f>
        <v>#REF!</v>
      </c>
    </row>
    <row r="17" spans="1:11">
      <c r="A17" s="11">
        <f t="shared" si="1"/>
        <v>8</v>
      </c>
      <c r="B17" s="10" t="s">
        <v>239</v>
      </c>
      <c r="C17" s="190">
        <v>47931648.587399997</v>
      </c>
      <c r="D17" s="190">
        <f t="shared" si="0"/>
        <v>47931648.587399997</v>
      </c>
      <c r="E17" s="192">
        <f>SUM('JAP-23,  p26 Sch 53'!I37)</f>
        <v>11198187</v>
      </c>
      <c r="F17" s="192">
        <f>SUM('JAP-23,  p26 Sch 53'!J37)</f>
        <v>12094272</v>
      </c>
      <c r="G17" s="192">
        <f t="shared" si="2"/>
        <v>896085</v>
      </c>
      <c r="H17" s="185">
        <f t="shared" si="3"/>
        <v>8.0020542611049447E-2</v>
      </c>
      <c r="J17" s="192" t="e">
        <f>+'JAP-23,  p26 Sch 53'!I42</f>
        <v>#REF!</v>
      </c>
    </row>
    <row r="18" spans="1:11">
      <c r="A18" s="11">
        <f t="shared" si="1"/>
        <v>9</v>
      </c>
      <c r="B18" s="24" t="s">
        <v>240</v>
      </c>
      <c r="C18" s="190">
        <v>10929065.179199999</v>
      </c>
      <c r="D18" s="190">
        <f t="shared" si="0"/>
        <v>10929065.179199999</v>
      </c>
      <c r="E18" s="192">
        <f>SUM('JAP-23,  p27 Sch 54'!I20)</f>
        <v>1128461</v>
      </c>
      <c r="F18" s="192">
        <f>SUM('JAP-23,  p27 Sch 54'!J20)</f>
        <v>1218743</v>
      </c>
      <c r="G18" s="192">
        <f t="shared" si="2"/>
        <v>90282</v>
      </c>
      <c r="H18" s="185">
        <f t="shared" si="3"/>
        <v>8.0004537152812541E-2</v>
      </c>
      <c r="J18" s="192" t="e">
        <f>+'JAP-23,  p27 Sch 54'!I25</f>
        <v>#REF!</v>
      </c>
    </row>
    <row r="19" spans="1:11">
      <c r="A19" s="11">
        <f t="shared" si="1"/>
        <v>10</v>
      </c>
      <c r="B19" s="24" t="s">
        <v>241</v>
      </c>
      <c r="C19" s="190">
        <v>4262193.1139000002</v>
      </c>
      <c r="D19" s="190">
        <f t="shared" si="0"/>
        <v>4262193.1139000002</v>
      </c>
      <c r="E19" s="192">
        <f>+'JAP-23,  p28 Sch 55 &amp; 56'!I18</f>
        <v>1103741</v>
      </c>
      <c r="F19" s="192">
        <f>+'JAP-23,  p28 Sch 55 &amp; 56'!J18</f>
        <v>1192413</v>
      </c>
      <c r="G19" s="192">
        <f t="shared" si="2"/>
        <v>88672</v>
      </c>
      <c r="H19" s="185">
        <f t="shared" si="3"/>
        <v>8.033768791772708E-2</v>
      </c>
      <c r="J19" s="192" t="e">
        <f>+'JAP-23,  p28 Sch 55 &amp; 56'!I23</f>
        <v>#REF!</v>
      </c>
    </row>
    <row r="20" spans="1:11">
      <c r="A20" s="11">
        <f t="shared" si="1"/>
        <v>11</v>
      </c>
      <c r="B20" s="24" t="s">
        <v>242</v>
      </c>
      <c r="C20" s="190">
        <v>4192518.7005999992</v>
      </c>
      <c r="D20" s="190">
        <f t="shared" si="0"/>
        <v>4192518.7005999992</v>
      </c>
      <c r="E20" s="192">
        <f>+'JAP-23,  p29 Sch 57'!H11</f>
        <v>426610.16252999997</v>
      </c>
      <c r="F20" s="192">
        <f>+'JAP-23,  p29 Sch 57'!I11</f>
        <v>460834.80452999996</v>
      </c>
      <c r="G20" s="192">
        <f t="shared" si="2"/>
        <v>34224.641999999993</v>
      </c>
      <c r="H20" s="185">
        <f t="shared" si="3"/>
        <v>8.0224628961091046E-2</v>
      </c>
      <c r="J20" s="192">
        <f>+'JAP-23,  p29 Sch 57'!H18</f>
        <v>0</v>
      </c>
    </row>
    <row r="21" spans="1:11">
      <c r="A21" s="11">
        <f t="shared" si="1"/>
        <v>12</v>
      </c>
      <c r="B21" s="24" t="s">
        <v>243</v>
      </c>
      <c r="C21" s="190">
        <v>2131023.9604000002</v>
      </c>
      <c r="D21" s="190">
        <f t="shared" si="0"/>
        <v>2131023.9604000002</v>
      </c>
      <c r="E21" s="192">
        <f>+'JAP-23,  p30 Sch 58 &amp; 59'!J31</f>
        <v>413870</v>
      </c>
      <c r="F21" s="192">
        <f>+'JAP-23,  p30 Sch 58 &amp; 59'!K31</f>
        <v>446947</v>
      </c>
      <c r="G21" s="192">
        <f t="shared" si="2"/>
        <v>33077</v>
      </c>
      <c r="H21" s="185">
        <f t="shared" si="3"/>
        <v>7.9921231304515908E-2</v>
      </c>
      <c r="J21" s="192">
        <f>+'JAP-23,  p30 Sch 58 &amp; 59'!J36</f>
        <v>0</v>
      </c>
    </row>
    <row r="22" spans="1:11">
      <c r="A22" s="11">
        <f t="shared" si="1"/>
        <v>13</v>
      </c>
      <c r="B22" s="24" t="s">
        <v>244</v>
      </c>
      <c r="C22" s="193"/>
      <c r="D22" s="190">
        <f t="shared" si="0"/>
        <v>0</v>
      </c>
      <c r="E22" s="192">
        <f>+'JAP-23,  p31 Sch 55 &amp; 58 pole'!F10</f>
        <v>25660</v>
      </c>
      <c r="F22" s="192">
        <f>+'JAP-23,  p31 Sch 55 &amp; 58 pole'!G10</f>
        <v>27767</v>
      </c>
      <c r="G22" s="192">
        <f>+F22-E22</f>
        <v>2107</v>
      </c>
      <c r="H22" s="185">
        <f>+G22/E22</f>
        <v>8.2112236944660952E-2</v>
      </c>
      <c r="J22" s="192"/>
    </row>
    <row r="23" spans="1:11">
      <c r="A23" s="11">
        <f t="shared" si="1"/>
        <v>14</v>
      </c>
      <c r="B23" s="2" t="s">
        <v>245</v>
      </c>
      <c r="C23" s="193"/>
      <c r="D23" s="190">
        <f t="shared" si="0"/>
        <v>0</v>
      </c>
      <c r="E23" s="192">
        <f>+'JAP-23,  p31 Sch 55 &amp; 58 pole'!F15</f>
        <v>41028</v>
      </c>
      <c r="F23" s="192">
        <f>+'JAP-23,  p31 Sch 55 &amp; 58 pole'!G15</f>
        <v>44297</v>
      </c>
      <c r="G23" s="192">
        <f>+F23-E23</f>
        <v>3269</v>
      </c>
      <c r="H23" s="185">
        <f>+G23/E23</f>
        <v>7.9677293555620546E-2</v>
      </c>
      <c r="J23" s="192"/>
    </row>
    <row r="24" spans="1:11">
      <c r="A24" s="11">
        <f t="shared" si="1"/>
        <v>15</v>
      </c>
      <c r="B24" s="10"/>
      <c r="C24" s="193"/>
      <c r="D24" s="193"/>
      <c r="E24" s="192"/>
      <c r="F24" s="192"/>
      <c r="G24" s="192"/>
      <c r="H24" s="185"/>
      <c r="J24" s="192"/>
    </row>
    <row r="25" spans="1:11" ht="13.5" thickBot="1">
      <c r="A25" s="11">
        <f t="shared" si="1"/>
        <v>16</v>
      </c>
      <c r="C25" s="194">
        <f>SUM(C10:C23)</f>
        <v>81494849.34449999</v>
      </c>
      <c r="D25" s="194">
        <f>SUM(D10:D23)</f>
        <v>81494849.34449999</v>
      </c>
      <c r="E25" s="195">
        <f>SUM(E10:E24)</f>
        <v>16975573.845897056</v>
      </c>
      <c r="F25" s="195">
        <f>SUM(F10:F24)</f>
        <v>18333918.134453274</v>
      </c>
      <c r="G25" s="195">
        <f>SUM(G10:G24)</f>
        <v>1358344.2885562198</v>
      </c>
      <c r="H25" s="188">
        <f>+G25/E25</f>
        <v>8.0017577072042684E-2</v>
      </c>
      <c r="J25" s="195" t="e">
        <f>SUM(J10:J23)</f>
        <v>#REF!</v>
      </c>
      <c r="K25" s="196" t="e">
        <f>+J25/D25</f>
        <v>#REF!</v>
      </c>
    </row>
    <row r="26" spans="1:11" ht="13.5" thickTop="1">
      <c r="A26" s="11">
        <f t="shared" si="1"/>
        <v>17</v>
      </c>
      <c r="D26" s="197"/>
      <c r="F26" s="198"/>
      <c r="G26" s="198"/>
      <c r="H26" s="185"/>
    </row>
    <row r="27" spans="1:11">
      <c r="A27" s="11">
        <f t="shared" si="1"/>
        <v>18</v>
      </c>
      <c r="B27" s="2" t="str">
        <f>+'JAP-23,  p20 Sch 003'!$B$14</f>
        <v>Proposed Increase</v>
      </c>
      <c r="G27" s="192">
        <f>+'JAP-23,  p1 Rate Spread'!J27</f>
        <v>1358603.7769733656</v>
      </c>
    </row>
    <row r="28" spans="1:11">
      <c r="A28" s="11">
        <f t="shared" si="1"/>
        <v>19</v>
      </c>
      <c r="B28" s="24" t="s">
        <v>60</v>
      </c>
      <c r="G28" s="156">
        <f>+E25</f>
        <v>16975573.845897056</v>
      </c>
    </row>
    <row r="29" spans="1:11">
      <c r="A29" s="11">
        <f t="shared" si="1"/>
        <v>20</v>
      </c>
      <c r="B29" s="2" t="s">
        <v>470</v>
      </c>
      <c r="G29" s="309">
        <f>+G27/E25</f>
        <v>8.0032863059986387E-2</v>
      </c>
    </row>
    <row r="30" spans="1:11">
      <c r="A30" s="11">
        <f t="shared" si="1"/>
        <v>21</v>
      </c>
      <c r="E30" s="71"/>
    </row>
    <row r="31" spans="1:11">
      <c r="A31" s="11">
        <f t="shared" si="1"/>
        <v>22</v>
      </c>
      <c r="B31" s="10" t="s">
        <v>257</v>
      </c>
      <c r="C31" s="10"/>
      <c r="D31" s="199"/>
      <c r="E31" s="192"/>
      <c r="F31" s="200"/>
      <c r="G31" s="198">
        <f>+G27-G25</f>
        <v>259.48841714579612</v>
      </c>
      <c r="H31" s="201"/>
    </row>
    <row r="34" spans="6:6">
      <c r="F34" s="202"/>
    </row>
  </sheetData>
  <mergeCells count="4">
    <mergeCell ref="A1:H1"/>
    <mergeCell ref="A2:H2"/>
    <mergeCell ref="A3:H3"/>
    <mergeCell ref="A4:H4"/>
  </mergeCells>
  <phoneticPr fontId="0" type="noConversion"/>
  <printOptions horizontalCentered="1"/>
  <pageMargins left="0.25" right="0.25" top="1" bottom="1" header="0.5" footer="0.5"/>
  <pageSetup scale="85" orientation="landscape" r:id="rId1"/>
  <headerFooter alignWithMargins="0">
    <oddFooter>&amp;R&amp;"Times New Roman,Regular"Exhibit No.___(JAP-23)
Page 19 of 49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18"/>
  <sheetViews>
    <sheetView zoomScaleNormal="100" workbookViewId="0">
      <selection activeCell="A3" sqref="A3:H3"/>
    </sheetView>
  </sheetViews>
  <sheetFormatPr defaultRowHeight="39.75" customHeight="1"/>
  <cols>
    <col min="1" max="1" width="4.42578125" style="2" bestFit="1" customWidth="1"/>
    <col min="2" max="2" width="26.28515625" style="2" bestFit="1" customWidth="1"/>
    <col min="3" max="3" width="7.7109375" style="2" customWidth="1"/>
    <col min="4" max="4" width="20.42578125" style="2" bestFit="1" customWidth="1"/>
    <col min="5" max="5" width="30.140625" style="2" bestFit="1" customWidth="1"/>
    <col min="6" max="6" width="20.7109375" style="2" bestFit="1" customWidth="1"/>
    <col min="7" max="7" width="28.7109375" style="2" bestFit="1" customWidth="1"/>
    <col min="8" max="8" width="8" style="2" customWidth="1"/>
    <col min="9" max="16384" width="9.140625" style="2"/>
  </cols>
  <sheetData>
    <row r="1" spans="1:8" ht="12.75">
      <c r="A1" s="329" t="s">
        <v>8</v>
      </c>
      <c r="B1" s="329"/>
      <c r="C1" s="329"/>
      <c r="D1" s="329"/>
      <c r="E1" s="329"/>
      <c r="F1" s="329"/>
      <c r="G1" s="329"/>
      <c r="H1" s="329"/>
    </row>
    <row r="2" spans="1:8" ht="12.75">
      <c r="A2" s="330" t="s">
        <v>1</v>
      </c>
      <c r="B2" s="329"/>
      <c r="C2" s="329"/>
      <c r="D2" s="329"/>
      <c r="E2" s="329"/>
      <c r="F2" s="329"/>
      <c r="G2" s="329"/>
      <c r="H2" s="329"/>
    </row>
    <row r="3" spans="1:8" ht="12.75">
      <c r="A3" s="330" t="s">
        <v>556</v>
      </c>
      <c r="B3" s="329"/>
      <c r="C3" s="329"/>
      <c r="D3" s="329"/>
      <c r="E3" s="329"/>
      <c r="F3" s="329"/>
      <c r="G3" s="329"/>
      <c r="H3" s="329"/>
    </row>
    <row r="4" spans="1:8" ht="13.5" thickBot="1"/>
    <row r="5" spans="1:8" ht="39.75" customHeight="1" thickBot="1">
      <c r="A5" s="220" t="s">
        <v>46</v>
      </c>
      <c r="B5" s="221" t="s">
        <v>374</v>
      </c>
      <c r="C5" s="221" t="s">
        <v>375</v>
      </c>
      <c r="D5" s="221" t="s">
        <v>314</v>
      </c>
      <c r="E5" s="221" t="s">
        <v>376</v>
      </c>
      <c r="F5" s="221" t="s">
        <v>377</v>
      </c>
      <c r="G5" s="221" t="s">
        <v>378</v>
      </c>
      <c r="H5" s="222" t="s">
        <v>379</v>
      </c>
    </row>
    <row r="6" spans="1:8" ht="39.75" customHeight="1">
      <c r="A6" s="223">
        <v>1</v>
      </c>
      <c r="B6" s="224" t="s">
        <v>24</v>
      </c>
      <c r="C6" s="225">
        <v>7</v>
      </c>
      <c r="D6" s="175" t="s">
        <v>437</v>
      </c>
      <c r="E6" s="225" t="s">
        <v>380</v>
      </c>
      <c r="F6" s="225" t="s">
        <v>380</v>
      </c>
      <c r="G6" s="226" t="s">
        <v>499</v>
      </c>
      <c r="H6" s="227" t="s">
        <v>380</v>
      </c>
    </row>
    <row r="7" spans="1:8" ht="39.75" customHeight="1">
      <c r="A7" s="228">
        <f>+A6+1</f>
        <v>2</v>
      </c>
      <c r="B7" s="229" t="s">
        <v>381</v>
      </c>
      <c r="C7" s="175">
        <v>24</v>
      </c>
      <c r="D7" s="175" t="s">
        <v>437</v>
      </c>
      <c r="E7" s="175" t="s">
        <v>380</v>
      </c>
      <c r="F7" s="175" t="s">
        <v>380</v>
      </c>
      <c r="G7" s="226" t="s">
        <v>474</v>
      </c>
      <c r="H7" s="231" t="s">
        <v>380</v>
      </c>
    </row>
    <row r="8" spans="1:8" ht="39.75" customHeight="1">
      <c r="A8" s="228">
        <f t="shared" ref="A8:A18" si="0">+A7+1</f>
        <v>3</v>
      </c>
      <c r="B8" s="229" t="s">
        <v>382</v>
      </c>
      <c r="C8" s="175">
        <v>25</v>
      </c>
      <c r="D8" s="175" t="s">
        <v>437</v>
      </c>
      <c r="E8" s="175" t="s">
        <v>437</v>
      </c>
      <c r="F8" s="175" t="s">
        <v>91</v>
      </c>
      <c r="G8" s="233" t="s">
        <v>494</v>
      </c>
      <c r="H8" s="231" t="s">
        <v>380</v>
      </c>
    </row>
    <row r="9" spans="1:8" ht="39.75" customHeight="1">
      <c r="A9" s="228">
        <f t="shared" si="0"/>
        <v>4</v>
      </c>
      <c r="B9" s="229" t="s">
        <v>383</v>
      </c>
      <c r="C9" s="175">
        <v>26</v>
      </c>
      <c r="D9" s="175" t="s">
        <v>437</v>
      </c>
      <c r="E9" s="233" t="s">
        <v>384</v>
      </c>
      <c r="F9" s="175" t="s">
        <v>91</v>
      </c>
      <c r="G9" s="233" t="s">
        <v>384</v>
      </c>
      <c r="H9" s="231" t="s">
        <v>380</v>
      </c>
    </row>
    <row r="10" spans="1:8" ht="39.75" customHeight="1">
      <c r="A10" s="228">
        <f t="shared" si="0"/>
        <v>5</v>
      </c>
      <c r="B10" s="229" t="s">
        <v>386</v>
      </c>
      <c r="C10" s="175">
        <v>29</v>
      </c>
      <c r="D10" s="175" t="s">
        <v>437</v>
      </c>
      <c r="E10" s="175" t="s">
        <v>437</v>
      </c>
      <c r="F10" s="175" t="s">
        <v>91</v>
      </c>
      <c r="G10" s="233" t="s">
        <v>500</v>
      </c>
      <c r="H10" s="231" t="s">
        <v>380</v>
      </c>
    </row>
    <row r="11" spans="1:8" ht="39.75" customHeight="1">
      <c r="A11" s="228">
        <f t="shared" si="0"/>
        <v>6</v>
      </c>
      <c r="B11" s="230" t="s">
        <v>387</v>
      </c>
      <c r="C11" s="175">
        <v>31</v>
      </c>
      <c r="D11" s="175" t="s">
        <v>437</v>
      </c>
      <c r="E11" s="175" t="s">
        <v>437</v>
      </c>
      <c r="F11" s="175" t="s">
        <v>91</v>
      </c>
      <c r="G11" s="232" t="s">
        <v>475</v>
      </c>
      <c r="H11" s="231" t="s">
        <v>380</v>
      </c>
    </row>
    <row r="12" spans="1:8" ht="39.75" customHeight="1">
      <c r="A12" s="228">
        <f t="shared" si="0"/>
        <v>7</v>
      </c>
      <c r="B12" s="229" t="s">
        <v>388</v>
      </c>
      <c r="C12" s="175">
        <v>35</v>
      </c>
      <c r="D12" s="234" t="s">
        <v>389</v>
      </c>
      <c r="E12" s="175" t="s">
        <v>437</v>
      </c>
      <c r="F12" s="175" t="s">
        <v>91</v>
      </c>
      <c r="G12" s="175" t="s">
        <v>385</v>
      </c>
      <c r="H12" s="231" t="s">
        <v>380</v>
      </c>
    </row>
    <row r="13" spans="1:8" ht="39.75" customHeight="1">
      <c r="A13" s="228">
        <f t="shared" si="0"/>
        <v>8</v>
      </c>
      <c r="B13" s="229" t="s">
        <v>390</v>
      </c>
      <c r="C13" s="175">
        <v>43</v>
      </c>
      <c r="D13" s="234" t="s">
        <v>389</v>
      </c>
      <c r="E13" s="175" t="s">
        <v>437</v>
      </c>
      <c r="F13" s="175" t="s">
        <v>91</v>
      </c>
      <c r="G13" s="175" t="s">
        <v>385</v>
      </c>
      <c r="H13" s="231" t="s">
        <v>380</v>
      </c>
    </row>
    <row r="14" spans="1:8" ht="39.75" customHeight="1">
      <c r="A14" s="228">
        <f t="shared" si="0"/>
        <v>9</v>
      </c>
      <c r="B14" s="229" t="s">
        <v>36</v>
      </c>
      <c r="C14" s="175">
        <v>40</v>
      </c>
      <c r="D14" s="233" t="s">
        <v>391</v>
      </c>
      <c r="E14" s="233" t="s">
        <v>392</v>
      </c>
      <c r="F14" s="233" t="s">
        <v>393</v>
      </c>
      <c r="G14" s="175" t="s">
        <v>394</v>
      </c>
      <c r="H14" s="231" t="s">
        <v>380</v>
      </c>
    </row>
    <row r="15" spans="1:8" ht="39.75" customHeight="1">
      <c r="A15" s="228">
        <f t="shared" si="0"/>
        <v>10</v>
      </c>
      <c r="B15" s="230" t="s">
        <v>395</v>
      </c>
      <c r="C15" s="175">
        <v>46</v>
      </c>
      <c r="D15" s="175" t="s">
        <v>380</v>
      </c>
      <c r="E15" s="175" t="s">
        <v>437</v>
      </c>
      <c r="F15" s="175" t="s">
        <v>380</v>
      </c>
      <c r="G15" s="175" t="s">
        <v>396</v>
      </c>
      <c r="H15" s="231" t="s">
        <v>380</v>
      </c>
    </row>
    <row r="16" spans="1:8" ht="39.75" customHeight="1">
      <c r="A16" s="228">
        <f t="shared" si="0"/>
        <v>11</v>
      </c>
      <c r="B16" s="229" t="s">
        <v>397</v>
      </c>
      <c r="C16" s="175">
        <v>49</v>
      </c>
      <c r="D16" s="175" t="s">
        <v>380</v>
      </c>
      <c r="E16" s="175" t="s">
        <v>437</v>
      </c>
      <c r="F16" s="175" t="s">
        <v>380</v>
      </c>
      <c r="G16" s="232" t="s">
        <v>475</v>
      </c>
      <c r="H16" s="231" t="s">
        <v>380</v>
      </c>
    </row>
    <row r="17" spans="1:8" ht="39.75" customHeight="1">
      <c r="A17" s="228">
        <f t="shared" si="0"/>
        <v>12</v>
      </c>
      <c r="B17" s="230" t="s">
        <v>40</v>
      </c>
      <c r="C17" s="175" t="s">
        <v>41</v>
      </c>
      <c r="D17" s="175" t="s">
        <v>380</v>
      </c>
      <c r="E17" s="175" t="s">
        <v>380</v>
      </c>
      <c r="F17" s="175" t="s">
        <v>380</v>
      </c>
      <c r="G17" s="175" t="s">
        <v>380</v>
      </c>
      <c r="H17" s="231" t="s">
        <v>91</v>
      </c>
    </row>
    <row r="18" spans="1:8" ht="39.75" customHeight="1">
      <c r="A18" s="228">
        <f t="shared" si="0"/>
        <v>13</v>
      </c>
      <c r="B18" s="230" t="s">
        <v>443</v>
      </c>
      <c r="C18" s="175" t="s">
        <v>449</v>
      </c>
      <c r="D18" s="175" t="s">
        <v>445</v>
      </c>
      <c r="E18" s="175" t="s">
        <v>476</v>
      </c>
      <c r="F18" s="175" t="s">
        <v>380</v>
      </c>
      <c r="G18" s="175" t="s">
        <v>380</v>
      </c>
      <c r="H18" s="231" t="s">
        <v>380</v>
      </c>
    </row>
  </sheetData>
  <mergeCells count="3">
    <mergeCell ref="A1:H1"/>
    <mergeCell ref="A2:H2"/>
    <mergeCell ref="A3:H3"/>
  </mergeCells>
  <phoneticPr fontId="0" type="noConversion"/>
  <printOptions horizontalCentered="1"/>
  <pageMargins left="0.25" right="0.25" top="1" bottom="1.04" header="0.5" footer="0.5"/>
  <pageSetup scale="75" orientation="landscape" r:id="rId1"/>
  <headerFooter alignWithMargins="0">
    <oddFooter>&amp;R&amp;"Times New Roman,Regular"Exhibit No.___(JAP-23)
Page 2 of 49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dimension ref="A1:L17"/>
  <sheetViews>
    <sheetView zoomScaleNormal="100" workbookViewId="0">
      <selection activeCell="A15" sqref="A15:I18"/>
    </sheetView>
  </sheetViews>
  <sheetFormatPr defaultRowHeight="12.75"/>
  <cols>
    <col min="1" max="1" width="5.140625" style="2" customWidth="1"/>
    <col min="2" max="2" width="18" style="2" bestFit="1" customWidth="1"/>
    <col min="3" max="3" width="9.85546875" style="2" bestFit="1" customWidth="1"/>
    <col min="4" max="4" width="19.85546875" style="2" bestFit="1" customWidth="1"/>
    <col min="5" max="5" width="8.28515625" style="2" bestFit="1" customWidth="1"/>
    <col min="6" max="6" width="10" style="2" bestFit="1" customWidth="1"/>
    <col min="7" max="7" width="8.42578125" style="2" bestFit="1" customWidth="1"/>
    <col min="8" max="8" width="8.85546875" style="2" bestFit="1" customWidth="1"/>
    <col min="9" max="9" width="8.42578125" style="2" bestFit="1" customWidth="1"/>
    <col min="10" max="10" width="8.85546875" style="2" bestFit="1" customWidth="1"/>
    <col min="11" max="11" width="8" style="2" bestFit="1" customWidth="1"/>
    <col min="12" max="12" width="7.28515625" style="2" bestFit="1" customWidth="1"/>
    <col min="13" max="16384" width="9.140625" style="2"/>
  </cols>
  <sheetData>
    <row r="1" spans="1:12">
      <c r="A1" s="327" t="s">
        <v>8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</row>
    <row r="2" spans="1:12">
      <c r="A2" s="327" t="s">
        <v>258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</row>
    <row r="3" spans="1:12">
      <c r="A3" s="327" t="str">
        <f>+'JAP-23,  p19 Lighting Summary'!A4</f>
        <v>Twelve Months ended December 2010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</row>
    <row r="4" spans="1:12">
      <c r="A4" s="327" t="s">
        <v>259</v>
      </c>
      <c r="B4" s="327"/>
      <c r="C4" s="327"/>
      <c r="D4" s="327"/>
      <c r="E4" s="327"/>
      <c r="F4" s="327"/>
      <c r="G4" s="327"/>
      <c r="H4" s="327"/>
      <c r="I4" s="327"/>
      <c r="J4" s="327"/>
      <c r="K4" s="327"/>
      <c r="L4" s="327"/>
    </row>
    <row r="5" spans="1:12">
      <c r="A5" s="327" t="s">
        <v>260</v>
      </c>
      <c r="B5" s="327"/>
      <c r="C5" s="327"/>
      <c r="D5" s="327"/>
      <c r="E5" s="327"/>
      <c r="F5" s="327"/>
      <c r="G5" s="327"/>
      <c r="H5" s="327"/>
      <c r="I5" s="327"/>
      <c r="J5" s="327"/>
      <c r="K5" s="327"/>
      <c r="L5" s="327"/>
    </row>
    <row r="7" spans="1:12" s="5" customFormat="1" ht="51">
      <c r="A7" s="3" t="s">
        <v>46</v>
      </c>
      <c r="B7" s="3" t="s">
        <v>11</v>
      </c>
      <c r="C7" s="4" t="s">
        <v>261</v>
      </c>
      <c r="D7" s="3" t="s">
        <v>262</v>
      </c>
      <c r="E7" s="4" t="s">
        <v>516</v>
      </c>
      <c r="F7" s="4" t="s">
        <v>517</v>
      </c>
      <c r="G7" s="4" t="s">
        <v>263</v>
      </c>
      <c r="H7" s="4" t="s">
        <v>264</v>
      </c>
      <c r="I7" s="4" t="s">
        <v>265</v>
      </c>
      <c r="J7" s="4" t="s">
        <v>232</v>
      </c>
      <c r="K7" s="3" t="s">
        <v>233</v>
      </c>
      <c r="L7" s="3" t="s">
        <v>157</v>
      </c>
    </row>
    <row r="8" spans="1:12" s="5" customFormat="1">
      <c r="A8" s="167"/>
      <c r="B8" s="167" t="s">
        <v>477</v>
      </c>
      <c r="C8" s="133" t="s">
        <v>478</v>
      </c>
      <c r="D8" s="133" t="s">
        <v>479</v>
      </c>
      <c r="E8" s="133" t="s">
        <v>480</v>
      </c>
      <c r="F8" s="133" t="s">
        <v>481</v>
      </c>
      <c r="G8" s="133" t="s">
        <v>483</v>
      </c>
      <c r="H8" s="133" t="s">
        <v>484</v>
      </c>
      <c r="I8" s="133" t="s">
        <v>485</v>
      </c>
      <c r="J8" s="133" t="s">
        <v>486</v>
      </c>
      <c r="K8" s="133" t="s">
        <v>487</v>
      </c>
      <c r="L8" s="133" t="s">
        <v>488</v>
      </c>
    </row>
    <row r="9" spans="1:12" s="5" customFormat="1">
      <c r="A9" s="167"/>
      <c r="B9" s="167"/>
      <c r="C9" s="133"/>
      <c r="D9" s="133"/>
      <c r="E9" s="133"/>
      <c r="F9" s="133"/>
      <c r="G9" s="133"/>
      <c r="H9" s="133"/>
      <c r="I9" s="133"/>
      <c r="J9" s="133"/>
      <c r="K9" s="133"/>
    </row>
    <row r="10" spans="1:12">
      <c r="A10" s="11">
        <v>1</v>
      </c>
      <c r="B10" s="10" t="s">
        <v>234</v>
      </c>
      <c r="C10" s="18">
        <v>22</v>
      </c>
      <c r="D10" s="18" t="s">
        <v>266</v>
      </c>
      <c r="E10" s="18">
        <v>59</v>
      </c>
      <c r="F10" s="18"/>
      <c r="G10" s="184">
        <v>0.87</v>
      </c>
      <c r="H10" s="184">
        <f>ROUND(+(G10)*(1+H14),2)</f>
        <v>0.94</v>
      </c>
      <c r="I10" s="29">
        <f>ROUND(+G10*$E10*12,2)</f>
        <v>615.96</v>
      </c>
      <c r="J10" s="29">
        <f>ROUND(+H10*$E10*12,2)</f>
        <v>665.52</v>
      </c>
      <c r="K10" s="29">
        <f>+J10-I10</f>
        <v>49.559999999999945</v>
      </c>
      <c r="L10" s="21">
        <f>+K10/I10</f>
        <v>8.045977011494243E-2</v>
      </c>
    </row>
    <row r="11" spans="1:12">
      <c r="A11" s="11">
        <f t="shared" ref="A11:A14" si="0">+A10+1</f>
        <v>2</v>
      </c>
      <c r="C11" s="18"/>
      <c r="D11" s="18"/>
      <c r="E11" s="18"/>
      <c r="F11" s="18"/>
      <c r="G11" s="74"/>
      <c r="H11" s="74"/>
      <c r="I11" s="29"/>
      <c r="J11" s="29"/>
      <c r="K11" s="29"/>
      <c r="L11" s="21"/>
    </row>
    <row r="12" spans="1:12" ht="13.5" thickBot="1">
      <c r="A12" s="11">
        <f t="shared" si="0"/>
        <v>3</v>
      </c>
      <c r="C12" s="18"/>
      <c r="D12" s="18"/>
      <c r="E12" s="34">
        <f>SUM(E10:E11)</f>
        <v>59</v>
      </c>
      <c r="F12" s="34">
        <f>+'JAP-23,  p19 Lighting Summary'!D10</f>
        <v>6939.1080000000002</v>
      </c>
      <c r="G12" s="74"/>
      <c r="H12" s="74"/>
      <c r="I12" s="35">
        <f>SUM(I10:I11)</f>
        <v>615.96</v>
      </c>
      <c r="J12" s="35">
        <f>SUM(J10:J11)</f>
        <v>665.52</v>
      </c>
      <c r="K12" s="35">
        <f>SUM(K10:K11)</f>
        <v>49.559999999999945</v>
      </c>
      <c r="L12" s="64">
        <f>+K12/I12</f>
        <v>8.045977011494243E-2</v>
      </c>
    </row>
    <row r="13" spans="1:12" ht="13.5" thickTop="1">
      <c r="A13" s="11">
        <f t="shared" si="0"/>
        <v>4</v>
      </c>
      <c r="C13" s="18"/>
      <c r="D13" s="18"/>
      <c r="E13" s="18"/>
      <c r="F13" s="18"/>
      <c r="G13" s="74"/>
      <c r="H13" s="74"/>
      <c r="L13" s="21"/>
    </row>
    <row r="14" spans="1:12">
      <c r="A14" s="11">
        <f t="shared" si="0"/>
        <v>5</v>
      </c>
      <c r="B14" s="2" t="s">
        <v>14</v>
      </c>
      <c r="H14" s="115">
        <f>+'JAP-23,  p19 Lighting Summary'!G29</f>
        <v>8.0032863059986387E-2</v>
      </c>
    </row>
    <row r="15" spans="1:12">
      <c r="A15" s="11"/>
    </row>
    <row r="16" spans="1:12">
      <c r="A16" s="11"/>
      <c r="B16" s="10"/>
      <c r="I16" s="29"/>
    </row>
    <row r="17" spans="1:9">
      <c r="A17" s="11"/>
      <c r="B17" s="10"/>
      <c r="I17" s="37"/>
    </row>
  </sheetData>
  <mergeCells count="5">
    <mergeCell ref="A5:L5"/>
    <mergeCell ref="A1:L1"/>
    <mergeCell ref="A2:L2"/>
    <mergeCell ref="A3:L3"/>
    <mergeCell ref="A4:L4"/>
  </mergeCells>
  <phoneticPr fontId="0" type="noConversion"/>
  <printOptions horizontalCentered="1"/>
  <pageMargins left="0.25" right="0.25" top="1" bottom="1.1499999999999999" header="0.5" footer="0.5"/>
  <pageSetup scale="85" orientation="landscape" r:id="rId1"/>
  <headerFooter alignWithMargins="0">
    <oddFooter>&amp;R&amp;"Times New Roman,Regular"Exhibit No.___(JAP-23)
Page 20 of 49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A1:L28"/>
  <sheetViews>
    <sheetView zoomScaleNormal="100" workbookViewId="0">
      <selection activeCell="A26" sqref="A26:I29"/>
    </sheetView>
  </sheetViews>
  <sheetFormatPr defaultRowHeight="12.75"/>
  <cols>
    <col min="1" max="1" width="6.5703125" style="2" customWidth="1"/>
    <col min="2" max="2" width="22.5703125" style="2" bestFit="1" customWidth="1"/>
    <col min="3" max="3" width="9.85546875" style="2" bestFit="1" customWidth="1"/>
    <col min="4" max="4" width="14.28515625" style="2" customWidth="1"/>
    <col min="5" max="5" width="9.42578125" style="2" bestFit="1" customWidth="1"/>
    <col min="6" max="6" width="10" style="2" bestFit="1" customWidth="1"/>
    <col min="7" max="7" width="8.42578125" style="2" bestFit="1" customWidth="1"/>
    <col min="8" max="8" width="8.85546875" style="2" bestFit="1" customWidth="1"/>
    <col min="9" max="9" width="10.28515625" style="2" bestFit="1" customWidth="1"/>
    <col min="10" max="10" width="8.85546875" style="2" bestFit="1" customWidth="1"/>
    <col min="11" max="11" width="9.28515625" style="2" bestFit="1" customWidth="1"/>
    <col min="12" max="12" width="7.28515625" style="2" bestFit="1" customWidth="1"/>
    <col min="13" max="16384" width="9.140625" style="2"/>
  </cols>
  <sheetData>
    <row r="1" spans="1:12">
      <c r="A1" s="327" t="s">
        <v>8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</row>
    <row r="2" spans="1:12">
      <c r="A2" s="327" t="s">
        <v>258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</row>
    <row r="3" spans="1:12">
      <c r="A3" s="327" t="str">
        <f>+'JAP-23,  p19 Lighting Summary'!A4</f>
        <v>Twelve Months ended December 2010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</row>
    <row r="4" spans="1:12">
      <c r="A4" s="327" t="s">
        <v>267</v>
      </c>
      <c r="B4" s="327"/>
      <c r="C4" s="327"/>
      <c r="D4" s="327"/>
      <c r="E4" s="327"/>
      <c r="F4" s="327"/>
      <c r="G4" s="327"/>
      <c r="H4" s="327"/>
      <c r="I4" s="327"/>
      <c r="J4" s="327"/>
      <c r="K4" s="327"/>
      <c r="L4" s="327"/>
    </row>
    <row r="5" spans="1:12">
      <c r="A5" s="327" t="s">
        <v>268</v>
      </c>
      <c r="B5" s="327"/>
      <c r="C5" s="327"/>
      <c r="D5" s="327"/>
      <c r="E5" s="327"/>
      <c r="F5" s="327"/>
      <c r="G5" s="327"/>
      <c r="H5" s="327"/>
      <c r="I5" s="327"/>
      <c r="J5" s="327"/>
      <c r="K5" s="327"/>
      <c r="L5" s="327"/>
    </row>
    <row r="7" spans="1:12" s="5" customFormat="1" ht="51">
      <c r="A7" s="3" t="s">
        <v>46</v>
      </c>
      <c r="B7" s="3" t="s">
        <v>11</v>
      </c>
      <c r="C7" s="4" t="s">
        <v>261</v>
      </c>
      <c r="D7" s="3" t="s">
        <v>262</v>
      </c>
      <c r="E7" s="3" t="str">
        <f>+'JAP-23,  p20 Sch 003'!E7</f>
        <v>Inventory
@
12-31-10</v>
      </c>
      <c r="F7" s="4" t="str">
        <f>+'JAP-23,  p20 Sch 003'!F7</f>
        <v>Billed kWh
12 Months
ended
12-31-10</v>
      </c>
      <c r="G7" s="4" t="str">
        <f>+'JAP-23,  p20 Sch 003'!G7</f>
        <v>Proforma Base Lamp Charge</v>
      </c>
      <c r="H7" s="4" t="str">
        <f>+'JAP-23,  p20 Sch 003'!H7</f>
        <v>Proposed Lamp Charge</v>
      </c>
      <c r="I7" s="4" t="s">
        <v>265</v>
      </c>
      <c r="J7" s="4" t="s">
        <v>232</v>
      </c>
      <c r="K7" s="3" t="s">
        <v>233</v>
      </c>
      <c r="L7" s="3" t="s">
        <v>157</v>
      </c>
    </row>
    <row r="8" spans="1:12" s="5" customFormat="1">
      <c r="A8" s="167"/>
      <c r="B8" s="167" t="s">
        <v>477</v>
      </c>
      <c r="C8" s="133" t="s">
        <v>478</v>
      </c>
      <c r="D8" s="133" t="s">
        <v>479</v>
      </c>
      <c r="E8" s="133" t="s">
        <v>480</v>
      </c>
      <c r="F8" s="133" t="s">
        <v>481</v>
      </c>
      <c r="G8" s="133" t="s">
        <v>483</v>
      </c>
      <c r="H8" s="133" t="s">
        <v>484</v>
      </c>
      <c r="I8" s="133" t="s">
        <v>485</v>
      </c>
      <c r="J8" s="133" t="s">
        <v>486</v>
      </c>
      <c r="K8" s="133" t="s">
        <v>487</v>
      </c>
      <c r="L8" s="133" t="s">
        <v>488</v>
      </c>
    </row>
    <row r="9" spans="1:12" s="5" customFormat="1">
      <c r="A9" s="167"/>
      <c r="B9" s="167"/>
      <c r="C9" s="133"/>
      <c r="D9" s="133"/>
      <c r="E9" s="133"/>
      <c r="F9" s="133"/>
      <c r="G9" s="133"/>
      <c r="H9" s="133"/>
      <c r="I9" s="133"/>
      <c r="J9" s="133"/>
      <c r="K9" s="133"/>
    </row>
    <row r="10" spans="1:12">
      <c r="A10" s="11">
        <v>1</v>
      </c>
      <c r="B10" s="10" t="s">
        <v>235</v>
      </c>
      <c r="C10" s="18">
        <v>327</v>
      </c>
      <c r="D10" s="18" t="s">
        <v>269</v>
      </c>
      <c r="E10" s="18">
        <v>0</v>
      </c>
      <c r="F10" s="18"/>
      <c r="G10" s="184">
        <v>11.89</v>
      </c>
      <c r="H10" s="184">
        <f>ROUND(+(G10)*(1+$H$25),2)</f>
        <v>12.84</v>
      </c>
      <c r="I10" s="29">
        <f t="shared" ref="I10:J13" si="0">ROUND(+G10*$E10*12,0)</f>
        <v>0</v>
      </c>
      <c r="J10" s="29">
        <f t="shared" si="0"/>
        <v>0</v>
      </c>
      <c r="K10" s="29">
        <f t="shared" ref="K10:K20" si="1">+J10-I10</f>
        <v>0</v>
      </c>
      <c r="L10" s="185" t="str">
        <f>IF(+K10=0,"na",K10/I10)</f>
        <v>na</v>
      </c>
    </row>
    <row r="11" spans="1:12">
      <c r="A11" s="11">
        <f>+A10+1</f>
        <v>2</v>
      </c>
      <c r="B11" s="10" t="str">
        <f>+B10</f>
        <v>50E-A</v>
      </c>
      <c r="C11" s="18">
        <v>100</v>
      </c>
      <c r="D11" s="18" t="s">
        <v>270</v>
      </c>
      <c r="E11" s="18">
        <v>13</v>
      </c>
      <c r="F11" s="18"/>
      <c r="G11" s="184">
        <v>5.92</v>
      </c>
      <c r="H11" s="184">
        <f>ROUND(+(G11)*(1+$H$25),2)</f>
        <v>6.39</v>
      </c>
      <c r="I11" s="29">
        <f t="shared" si="0"/>
        <v>924</v>
      </c>
      <c r="J11" s="29">
        <f t="shared" si="0"/>
        <v>997</v>
      </c>
      <c r="K11" s="29">
        <f t="shared" si="1"/>
        <v>73</v>
      </c>
      <c r="L11" s="21">
        <f t="shared" ref="L11:L21" si="2">+K11/I11</f>
        <v>7.9004329004329008E-2</v>
      </c>
    </row>
    <row r="12" spans="1:12">
      <c r="A12" s="11">
        <f t="shared" ref="A12:A25" si="3">+A11+1</f>
        <v>3</v>
      </c>
      <c r="B12" s="10" t="str">
        <f>+B11</f>
        <v>50E-A</v>
      </c>
      <c r="C12" s="18">
        <v>175</v>
      </c>
      <c r="D12" s="18" t="str">
        <f>+D11</f>
        <v>Mercury Vapor</v>
      </c>
      <c r="E12" s="18">
        <v>19</v>
      </c>
      <c r="F12" s="18"/>
      <c r="G12" s="184">
        <v>8.7200000000000006</v>
      </c>
      <c r="H12" s="184">
        <f>ROUND(+(G12)*(1+$H$25),2)</f>
        <v>9.42</v>
      </c>
      <c r="I12" s="29">
        <f t="shared" si="0"/>
        <v>1988</v>
      </c>
      <c r="J12" s="29">
        <f t="shared" si="0"/>
        <v>2148</v>
      </c>
      <c r="K12" s="29">
        <f t="shared" si="1"/>
        <v>160</v>
      </c>
      <c r="L12" s="21">
        <f t="shared" si="2"/>
        <v>8.0482897384305835E-2</v>
      </c>
    </row>
    <row r="13" spans="1:12">
      <c r="A13" s="11">
        <f t="shared" si="3"/>
        <v>4</v>
      </c>
      <c r="B13" s="10" t="str">
        <f>+B12</f>
        <v>50E-A</v>
      </c>
      <c r="C13" s="18">
        <v>400</v>
      </c>
      <c r="D13" s="18" t="str">
        <f>+D12</f>
        <v>Mercury Vapor</v>
      </c>
      <c r="E13" s="18">
        <v>34</v>
      </c>
      <c r="F13" s="18"/>
      <c r="G13" s="184">
        <v>17.11</v>
      </c>
      <c r="H13" s="184">
        <f>ROUND(+(G13)*(1+$H$25),2)</f>
        <v>18.48</v>
      </c>
      <c r="I13" s="29">
        <f t="shared" si="0"/>
        <v>6981</v>
      </c>
      <c r="J13" s="29">
        <f t="shared" si="0"/>
        <v>7540</v>
      </c>
      <c r="K13" s="29">
        <f t="shared" si="1"/>
        <v>559</v>
      </c>
      <c r="L13" s="21">
        <f t="shared" si="2"/>
        <v>8.0074487895716945E-2</v>
      </c>
    </row>
    <row r="14" spans="1:12">
      <c r="A14" s="11">
        <f t="shared" si="3"/>
        <v>5</v>
      </c>
      <c r="B14" s="10"/>
      <c r="C14" s="18"/>
      <c r="D14" s="18"/>
      <c r="E14" s="12">
        <f>SUM(E10:E13)</f>
        <v>66</v>
      </c>
      <c r="F14" s="12">
        <v>106628.56509999999</v>
      </c>
      <c r="G14" s="74"/>
      <c r="H14" s="74"/>
      <c r="I14" s="13">
        <f>SUM(I10:I13)</f>
        <v>9893</v>
      </c>
      <c r="J14" s="13">
        <f>SUM(J10:J13)</f>
        <v>10685</v>
      </c>
      <c r="K14" s="13">
        <f>SUM(K10:K13)</f>
        <v>792</v>
      </c>
      <c r="L14" s="52">
        <f t="shared" si="2"/>
        <v>8.005660568078439E-2</v>
      </c>
    </row>
    <row r="15" spans="1:12">
      <c r="A15" s="11">
        <f t="shared" si="3"/>
        <v>6</v>
      </c>
      <c r="B15" s="10"/>
      <c r="C15" s="18"/>
      <c r="D15" s="18"/>
      <c r="E15" s="18"/>
      <c r="F15" s="18"/>
      <c r="G15" s="74"/>
      <c r="H15" s="74"/>
      <c r="I15" s="29"/>
      <c r="J15" s="29"/>
      <c r="K15" s="29"/>
      <c r="L15" s="21"/>
    </row>
    <row r="16" spans="1:12">
      <c r="A16" s="11">
        <f t="shared" si="3"/>
        <v>7</v>
      </c>
      <c r="B16" s="10" t="s">
        <v>236</v>
      </c>
      <c r="C16" s="18">
        <v>100</v>
      </c>
      <c r="D16" s="18" t="str">
        <f>+D13</f>
        <v>Mercury Vapor</v>
      </c>
      <c r="E16" s="18">
        <v>9</v>
      </c>
      <c r="F16" s="18"/>
      <c r="G16" s="184">
        <v>4.05</v>
      </c>
      <c r="H16" s="184">
        <f>ROUND(+(G16)*(1+$H$25),2)</f>
        <v>4.37</v>
      </c>
      <c r="I16" s="29">
        <f t="shared" ref="I16:J20" si="4">ROUND(+G16*$E16*12,0)</f>
        <v>437</v>
      </c>
      <c r="J16" s="29">
        <f t="shared" si="4"/>
        <v>472</v>
      </c>
      <c r="K16" s="29">
        <f t="shared" si="1"/>
        <v>35</v>
      </c>
      <c r="L16" s="21">
        <f t="shared" si="2"/>
        <v>8.0091533180778038E-2</v>
      </c>
    </row>
    <row r="17" spans="1:12">
      <c r="A17" s="11">
        <f t="shared" si="3"/>
        <v>8</v>
      </c>
      <c r="B17" s="10" t="str">
        <f>+B16</f>
        <v>50E-B</v>
      </c>
      <c r="C17" s="18">
        <v>175</v>
      </c>
      <c r="D17" s="18" t="str">
        <f>+D16</f>
        <v>Mercury Vapor</v>
      </c>
      <c r="E17" s="18">
        <v>114</v>
      </c>
      <c r="F17" s="18"/>
      <c r="G17" s="184">
        <v>6.83</v>
      </c>
      <c r="H17" s="184">
        <f>ROUND(+(G17)*(1+$H$25),2)</f>
        <v>7.38</v>
      </c>
      <c r="I17" s="29">
        <f t="shared" si="4"/>
        <v>9343</v>
      </c>
      <c r="J17" s="29">
        <f t="shared" si="4"/>
        <v>10096</v>
      </c>
      <c r="K17" s="29">
        <f t="shared" si="1"/>
        <v>753</v>
      </c>
      <c r="L17" s="21">
        <f t="shared" si="2"/>
        <v>8.059509793428235E-2</v>
      </c>
    </row>
    <row r="18" spans="1:12">
      <c r="A18" s="11">
        <f t="shared" si="3"/>
        <v>9</v>
      </c>
      <c r="B18" s="10" t="str">
        <f>+B17</f>
        <v>50E-B</v>
      </c>
      <c r="C18" s="18">
        <v>400</v>
      </c>
      <c r="D18" s="18" t="str">
        <f>+D17</f>
        <v>Mercury Vapor</v>
      </c>
      <c r="E18" s="18">
        <v>94</v>
      </c>
      <c r="F18" s="18"/>
      <c r="G18" s="184">
        <v>15.11</v>
      </c>
      <c r="H18" s="184">
        <f>ROUND(+(G18)*(1+$H$25),2)</f>
        <v>16.32</v>
      </c>
      <c r="I18" s="29">
        <f t="shared" si="4"/>
        <v>17044</v>
      </c>
      <c r="J18" s="29">
        <f t="shared" si="4"/>
        <v>18409</v>
      </c>
      <c r="K18" s="29">
        <f t="shared" si="1"/>
        <v>1365</v>
      </c>
      <c r="L18" s="21">
        <f t="shared" si="2"/>
        <v>8.0086834076507865E-2</v>
      </c>
    </row>
    <row r="19" spans="1:12">
      <c r="A19" s="11">
        <f t="shared" si="3"/>
        <v>10</v>
      </c>
      <c r="B19" s="10" t="str">
        <f>+B18</f>
        <v>50E-B</v>
      </c>
      <c r="C19" s="18">
        <v>700</v>
      </c>
      <c r="D19" s="18" t="str">
        <f>+D18</f>
        <v>Mercury Vapor</v>
      </c>
      <c r="E19" s="18">
        <v>1</v>
      </c>
      <c r="F19" s="18"/>
      <c r="G19" s="184">
        <v>28.51</v>
      </c>
      <c r="H19" s="184">
        <f>ROUND(+(G19)*(1+$H$25),2)</f>
        <v>30.79</v>
      </c>
      <c r="I19" s="29">
        <f t="shared" si="4"/>
        <v>342</v>
      </c>
      <c r="J19" s="29">
        <f t="shared" si="4"/>
        <v>369</v>
      </c>
      <c r="K19" s="29">
        <f t="shared" si="1"/>
        <v>27</v>
      </c>
      <c r="L19" s="21">
        <f t="shared" si="2"/>
        <v>7.8947368421052627E-2</v>
      </c>
    </row>
    <row r="20" spans="1:12">
      <c r="A20" s="11">
        <f t="shared" si="3"/>
        <v>11</v>
      </c>
      <c r="B20" s="10" t="str">
        <f>+B19</f>
        <v>50E-B</v>
      </c>
      <c r="C20" s="18">
        <v>1000</v>
      </c>
      <c r="D20" s="18" t="str">
        <f>+D19</f>
        <v>Mercury Vapor</v>
      </c>
      <c r="E20" s="18">
        <v>0</v>
      </c>
      <c r="F20" s="18"/>
      <c r="G20" s="184">
        <v>38.56</v>
      </c>
      <c r="H20" s="184">
        <f>ROUND(+(G20)*(1+$H$25),2)</f>
        <v>41.65</v>
      </c>
      <c r="I20" s="29">
        <f t="shared" si="4"/>
        <v>0</v>
      </c>
      <c r="J20" s="29">
        <f t="shared" si="4"/>
        <v>0</v>
      </c>
      <c r="K20" s="29">
        <f t="shared" si="1"/>
        <v>0</v>
      </c>
      <c r="L20" s="21" t="e">
        <f t="shared" si="2"/>
        <v>#DIV/0!</v>
      </c>
    </row>
    <row r="21" spans="1:12">
      <c r="A21" s="11">
        <f t="shared" si="3"/>
        <v>12</v>
      </c>
      <c r="B21" s="10"/>
      <c r="C21" s="18"/>
      <c r="D21" s="18"/>
      <c r="E21" s="12">
        <f>SUM(E16:E20)</f>
        <v>218</v>
      </c>
      <c r="F21" s="12">
        <v>282152.73000000004</v>
      </c>
      <c r="G21" s="74"/>
      <c r="H21" s="74"/>
      <c r="I21" s="13">
        <f>SUM(I16:I20)</f>
        <v>27166</v>
      </c>
      <c r="J21" s="13">
        <f>SUM(J16:J20)</f>
        <v>29346</v>
      </c>
      <c r="K21" s="13">
        <f>SUM(K16:K20)</f>
        <v>2180</v>
      </c>
      <c r="L21" s="52">
        <f t="shared" si="2"/>
        <v>8.0247368033571381E-2</v>
      </c>
    </row>
    <row r="22" spans="1:12">
      <c r="A22" s="11">
        <f t="shared" si="3"/>
        <v>13</v>
      </c>
      <c r="C22" s="18"/>
      <c r="D22" s="18"/>
      <c r="E22" s="18"/>
      <c r="F22" s="18"/>
      <c r="G22" s="74"/>
      <c r="H22" s="74"/>
      <c r="I22" s="29"/>
      <c r="J22" s="29"/>
      <c r="K22" s="29"/>
      <c r="L22" s="21"/>
    </row>
    <row r="23" spans="1:12" ht="13.5" thickBot="1">
      <c r="A23" s="11">
        <f t="shared" si="3"/>
        <v>14</v>
      </c>
      <c r="C23" s="18"/>
      <c r="D23" s="18"/>
      <c r="E23" s="34">
        <f>SUM(E21,E14)</f>
        <v>284</v>
      </c>
      <c r="F23" s="34">
        <f>SUM(F21,F14)</f>
        <v>388781.29510000005</v>
      </c>
      <c r="G23" s="74"/>
      <c r="H23" s="74"/>
      <c r="I23" s="35">
        <f>SUM(I21,I14)</f>
        <v>37059</v>
      </c>
      <c r="J23" s="35">
        <f>SUM(J21,J14)</f>
        <v>40031</v>
      </c>
      <c r="K23" s="35">
        <f>SUM(K21,K14)</f>
        <v>2972</v>
      </c>
      <c r="L23" s="64">
        <f>+K23/I23</f>
        <v>8.0196443508999168E-2</v>
      </c>
    </row>
    <row r="24" spans="1:12" ht="13.5" thickTop="1">
      <c r="A24" s="11">
        <f t="shared" si="3"/>
        <v>15</v>
      </c>
      <c r="C24" s="18"/>
      <c r="D24" s="18"/>
      <c r="E24" s="18"/>
      <c r="F24" s="18"/>
      <c r="G24" s="74"/>
      <c r="H24" s="74"/>
      <c r="L24" s="21"/>
    </row>
    <row r="25" spans="1:12">
      <c r="A25" s="11">
        <f t="shared" si="3"/>
        <v>16</v>
      </c>
      <c r="B25" s="2" t="str">
        <f>+'JAP-23,  p20 Sch 003'!$B$14</f>
        <v>Proposed Increase</v>
      </c>
      <c r="H25" s="115">
        <f>+'JAP-23,  p19 Lighting Summary'!$G$29</f>
        <v>8.0032863059986387E-2</v>
      </c>
    </row>
    <row r="26" spans="1:12">
      <c r="A26" s="11"/>
    </row>
    <row r="27" spans="1:12">
      <c r="A27" s="11"/>
      <c r="B27" s="10"/>
      <c r="I27" s="29"/>
    </row>
    <row r="28" spans="1:12">
      <c r="A28" s="11"/>
      <c r="B28" s="10"/>
      <c r="I28" s="37"/>
    </row>
  </sheetData>
  <mergeCells count="5">
    <mergeCell ref="A5:L5"/>
    <mergeCell ref="A1:L1"/>
    <mergeCell ref="A2:L2"/>
    <mergeCell ref="A3:L3"/>
    <mergeCell ref="A4:L4"/>
  </mergeCells>
  <phoneticPr fontId="0" type="noConversion"/>
  <printOptions horizontalCentered="1"/>
  <pageMargins left="0.25" right="0.25" top="1" bottom="1.1599999999999999" header="0.5" footer="0.5"/>
  <pageSetup scale="85" orientation="landscape" r:id="rId1"/>
  <headerFooter alignWithMargins="0">
    <oddFooter>&amp;R&amp;"Times New Roman,Regular"Exhibit No.___(JAP-23)
Page 21 of 49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9"/>
  <sheetViews>
    <sheetView zoomScaleNormal="100" workbookViewId="0">
      <selection activeCell="A5" sqref="A5:L5"/>
    </sheetView>
  </sheetViews>
  <sheetFormatPr defaultRowHeight="12.75"/>
  <cols>
    <col min="1" max="1" width="18" bestFit="1" customWidth="1"/>
    <col min="2" max="2" width="18" customWidth="1"/>
    <col min="3" max="3" width="9.85546875" bestFit="1" customWidth="1"/>
    <col min="4" max="4" width="13.85546875" bestFit="1" customWidth="1"/>
    <col min="5" max="5" width="8.28515625" bestFit="1" customWidth="1"/>
    <col min="6" max="6" width="11.7109375" customWidth="1"/>
    <col min="7" max="8" width="10.7109375" bestFit="1" customWidth="1"/>
    <col min="9" max="10" width="11.28515625" bestFit="1" customWidth="1"/>
    <col min="11" max="11" width="9.28515625" bestFit="1" customWidth="1"/>
    <col min="12" max="12" width="8.5703125" bestFit="1" customWidth="1"/>
  </cols>
  <sheetData>
    <row r="1" spans="1:14">
      <c r="A1" s="327" t="s">
        <v>8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</row>
    <row r="2" spans="1:14">
      <c r="A2" s="327" t="s">
        <v>258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</row>
    <row r="3" spans="1:14">
      <c r="A3" s="327" t="str">
        <f>+'JAP-23,  p19 Lighting Summary'!A4</f>
        <v>Twelve Months ended December 2010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155"/>
      <c r="N3" s="155"/>
    </row>
    <row r="4" spans="1:14">
      <c r="A4" s="327" t="s">
        <v>518</v>
      </c>
      <c r="B4" s="327"/>
      <c r="C4" s="327"/>
      <c r="D4" s="327"/>
      <c r="E4" s="327"/>
      <c r="F4" s="327"/>
      <c r="G4" s="327"/>
      <c r="H4" s="327"/>
      <c r="I4" s="327"/>
      <c r="J4" s="327"/>
      <c r="K4" s="327"/>
      <c r="L4" s="327"/>
    </row>
    <row r="5" spans="1:14">
      <c r="A5" s="328" t="s">
        <v>547</v>
      </c>
      <c r="B5" s="327"/>
      <c r="C5" s="327"/>
      <c r="D5" s="327"/>
      <c r="E5" s="327"/>
      <c r="F5" s="327"/>
      <c r="G5" s="327"/>
      <c r="H5" s="327"/>
      <c r="I5" s="327"/>
      <c r="J5" s="327"/>
      <c r="K5" s="327"/>
      <c r="L5" s="327"/>
    </row>
    <row r="7" spans="1:14" s="274" customFormat="1" ht="51">
      <c r="A7" s="3" t="s">
        <v>46</v>
      </c>
      <c r="B7" s="3" t="str">
        <f>+'JAP-23,  p20 Sch 003'!B7</f>
        <v>Schedule</v>
      </c>
      <c r="C7" s="4" t="s">
        <v>261</v>
      </c>
      <c r="D7" s="3" t="s">
        <v>262</v>
      </c>
      <c r="E7" s="3" t="str">
        <f>+'JAP-23,  p20 Sch 003'!E7</f>
        <v>Inventory
@
12-31-10</v>
      </c>
      <c r="F7" s="3" t="str">
        <f>+'JAP-23,  p20 Sch 003'!F7</f>
        <v>Billed kWh
12 Months
ended
12-31-10</v>
      </c>
      <c r="G7" s="3" t="str">
        <f>+'JAP-23,  p20 Sch 003'!G7</f>
        <v>Proforma Base Lamp Charge</v>
      </c>
      <c r="H7" s="3" t="str">
        <f>+'JAP-23,  p20 Sch 003'!H7</f>
        <v>Proposed Lamp Charge</v>
      </c>
      <c r="I7" s="3" t="str">
        <f>+'JAP-23,  p20 Sch 003'!I7</f>
        <v>Annual Proforma Revenue</v>
      </c>
      <c r="J7" s="3" t="str">
        <f>+'JAP-23,  p20 Sch 003'!J7</f>
        <v>Annual Proposed Revenue</v>
      </c>
      <c r="K7" s="3" t="str">
        <f>+'JAP-23,  p20 Sch 003'!K7</f>
        <v>Revenue Change</v>
      </c>
      <c r="L7" s="3" t="str">
        <f>+'JAP-23,  p20 Sch 003'!L7</f>
        <v>% Change</v>
      </c>
    </row>
    <row r="8" spans="1:14" s="5" customFormat="1">
      <c r="A8" s="167"/>
      <c r="B8" s="167" t="s">
        <v>477</v>
      </c>
      <c r="C8" s="133" t="s">
        <v>478</v>
      </c>
      <c r="D8" s="133" t="s">
        <v>479</v>
      </c>
      <c r="E8" s="133" t="s">
        <v>480</v>
      </c>
      <c r="F8" s="133" t="s">
        <v>481</v>
      </c>
      <c r="G8" s="133" t="s">
        <v>482</v>
      </c>
      <c r="H8" s="133" t="s">
        <v>483</v>
      </c>
      <c r="I8" s="133" t="s">
        <v>484</v>
      </c>
      <c r="J8" s="133" t="s">
        <v>485</v>
      </c>
      <c r="K8" s="133" t="s">
        <v>486</v>
      </c>
      <c r="L8" s="133" t="s">
        <v>487</v>
      </c>
      <c r="M8" s="133"/>
    </row>
    <row r="9" spans="1:14">
      <c r="A9" s="280">
        <v>1</v>
      </c>
      <c r="B9" s="284" t="s">
        <v>519</v>
      </c>
      <c r="C9" s="285">
        <v>70</v>
      </c>
      <c r="D9" s="285" t="s">
        <v>274</v>
      </c>
      <c r="E9" s="286">
        <v>2</v>
      </c>
      <c r="F9" s="285">
        <f>+C9*350/1000*E9</f>
        <v>49</v>
      </c>
      <c r="G9" s="289">
        <v>9.3381000000000006E-2</v>
      </c>
      <c r="H9" s="289">
        <f>ROUND(G9*(1+$H$16),6)</f>
        <v>0.100855</v>
      </c>
      <c r="I9" s="287">
        <f t="shared" ref="I9:J11" si="0">ROUND(+G9*$F9*12,0)</f>
        <v>55</v>
      </c>
      <c r="J9" s="287">
        <f t="shared" si="0"/>
        <v>59</v>
      </c>
      <c r="K9" s="287">
        <f>+J9-I9</f>
        <v>4</v>
      </c>
      <c r="L9" s="288">
        <f>IF(+K9=0,"na",K9/I9)</f>
        <v>7.2727272727272724E-2</v>
      </c>
    </row>
    <row r="10" spans="1:14">
      <c r="A10" s="280">
        <f>+A9+1</f>
        <v>2</v>
      </c>
      <c r="B10" s="284" t="s">
        <v>519</v>
      </c>
      <c r="C10" s="285">
        <v>90</v>
      </c>
      <c r="D10" s="285" t="s">
        <v>274</v>
      </c>
      <c r="E10" s="286">
        <v>3</v>
      </c>
      <c r="F10" s="285">
        <f>+C10*350/1000*E10</f>
        <v>94.5</v>
      </c>
      <c r="G10" s="289">
        <f>+G9</f>
        <v>9.3381000000000006E-2</v>
      </c>
      <c r="H10" s="289">
        <f>ROUND(G10*(1+$H$16),6)</f>
        <v>0.100855</v>
      </c>
      <c r="I10" s="287">
        <f t="shared" si="0"/>
        <v>106</v>
      </c>
      <c r="J10" s="287">
        <f t="shared" si="0"/>
        <v>114</v>
      </c>
      <c r="K10" s="287">
        <f>+J10-I10</f>
        <v>8</v>
      </c>
      <c r="L10" s="288">
        <f>IF(+K10=0,"na",K10/I10)</f>
        <v>7.5471698113207544E-2</v>
      </c>
    </row>
    <row r="11" spans="1:14">
      <c r="A11" s="280">
        <f t="shared" ref="A11:A16" si="1">+A10+1</f>
        <v>3</v>
      </c>
      <c r="B11" s="284" t="str">
        <f>+B9</f>
        <v>51E</v>
      </c>
      <c r="C11" s="285">
        <v>180</v>
      </c>
      <c r="D11" s="285" t="s">
        <v>274</v>
      </c>
      <c r="E11" s="286">
        <v>1</v>
      </c>
      <c r="F11" s="285">
        <f>+C11*350/1000*E11</f>
        <v>63</v>
      </c>
      <c r="G11" s="289">
        <f>+G10</f>
        <v>9.3381000000000006E-2</v>
      </c>
      <c r="H11" s="289">
        <f>ROUND(G11*(1+$H$16),6)</f>
        <v>0.100855</v>
      </c>
      <c r="I11" s="287">
        <f t="shared" si="0"/>
        <v>71</v>
      </c>
      <c r="J11" s="287">
        <f t="shared" si="0"/>
        <v>76</v>
      </c>
      <c r="K11" s="287">
        <f>+J11-I11</f>
        <v>5</v>
      </c>
      <c r="L11" s="288">
        <f>IF(+K11=0,"na",K11/I11)</f>
        <v>7.0422535211267609E-2</v>
      </c>
      <c r="N11" s="282"/>
    </row>
    <row r="12" spans="1:14">
      <c r="A12" s="280">
        <f t="shared" si="1"/>
        <v>4</v>
      </c>
      <c r="B12" s="284"/>
      <c r="C12" s="285"/>
      <c r="D12" s="285"/>
      <c r="E12" s="285"/>
      <c r="F12" s="285"/>
      <c r="G12" s="290"/>
      <c r="H12" s="290"/>
      <c r="I12" s="287"/>
      <c r="J12" s="287"/>
      <c r="K12" s="287"/>
      <c r="L12" s="291"/>
    </row>
    <row r="13" spans="1:14" ht="13.5" thickBot="1">
      <c r="A13" s="280">
        <f t="shared" si="1"/>
        <v>5</v>
      </c>
      <c r="B13" s="292"/>
      <c r="C13" s="285"/>
      <c r="D13" s="285"/>
      <c r="E13" s="293">
        <f>SUM(E9:E11)</f>
        <v>6</v>
      </c>
      <c r="F13" s="294">
        <v>2692.9903000000004</v>
      </c>
      <c r="G13" s="290"/>
      <c r="H13" s="290"/>
      <c r="I13" s="295">
        <f>SUM(I9:I11)</f>
        <v>232</v>
      </c>
      <c r="J13" s="295">
        <f>SUM(J9:J11)</f>
        <v>249</v>
      </c>
      <c r="K13" s="295">
        <f>SUM(K9:K11)</f>
        <v>17</v>
      </c>
      <c r="L13" s="296">
        <f>+K13/I13</f>
        <v>7.3275862068965511E-2</v>
      </c>
    </row>
    <row r="14" spans="1:14" ht="13.5" thickTop="1">
      <c r="A14" s="280">
        <f t="shared" si="1"/>
        <v>6</v>
      </c>
      <c r="B14" s="292"/>
      <c r="C14" s="285"/>
      <c r="D14" s="285"/>
      <c r="E14" s="285"/>
      <c r="F14" s="285"/>
      <c r="G14" s="290"/>
      <c r="H14" s="290"/>
      <c r="I14" s="292"/>
      <c r="J14" s="292"/>
      <c r="K14" s="292"/>
      <c r="L14" s="291"/>
    </row>
    <row r="15" spans="1:14">
      <c r="A15" s="280">
        <f t="shared" si="1"/>
        <v>7</v>
      </c>
      <c r="B15" s="292"/>
      <c r="C15" s="292"/>
      <c r="D15" s="292"/>
      <c r="E15" s="292"/>
      <c r="F15" s="297"/>
      <c r="G15" s="292"/>
      <c r="H15" s="292"/>
      <c r="I15" s="292"/>
      <c r="J15" s="292"/>
      <c r="K15" s="292"/>
      <c r="L15" s="292"/>
    </row>
    <row r="16" spans="1:14">
      <c r="A16" s="280">
        <f t="shared" si="1"/>
        <v>8</v>
      </c>
      <c r="B16" s="292" t="s">
        <v>14</v>
      </c>
      <c r="C16" s="292"/>
      <c r="D16" s="292"/>
      <c r="E16" s="292"/>
      <c r="F16" s="292"/>
      <c r="G16" s="292"/>
      <c r="H16" s="298">
        <f>+'JAP-23,  p19 Lighting Summary'!G29</f>
        <v>8.0032863059986387E-2</v>
      </c>
      <c r="I16" s="292"/>
      <c r="J16" s="292"/>
      <c r="K16" s="292"/>
      <c r="L16" s="292"/>
    </row>
    <row r="19" spans="1:9">
      <c r="A19" s="275"/>
      <c r="B19" s="275"/>
      <c r="I19" s="281"/>
    </row>
  </sheetData>
  <mergeCells count="5">
    <mergeCell ref="A1:L1"/>
    <mergeCell ref="A2:L2"/>
    <mergeCell ref="A3:L3"/>
    <mergeCell ref="A4:L4"/>
    <mergeCell ref="A5:L5"/>
  </mergeCells>
  <printOptions horizontalCentered="1"/>
  <pageMargins left="0.75" right="0.75" top="1" bottom="1" header="0.5" footer="0.5"/>
  <pageSetup scale="87" orientation="landscape" r:id="rId1"/>
  <headerFooter alignWithMargins="0">
    <oddFooter>&amp;R&amp;"Times New Roman,Regular"Exhibit No.___(JAP-23)
Page 22 of 49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3"/>
  <sheetViews>
    <sheetView zoomScaleNormal="100" workbookViewId="0">
      <selection sqref="A1:I10"/>
    </sheetView>
  </sheetViews>
  <sheetFormatPr defaultRowHeight="12.75"/>
  <cols>
    <col min="1" max="1" width="16.5703125" bestFit="1" customWidth="1"/>
    <col min="2" max="2" width="11.85546875" bestFit="1" customWidth="1"/>
    <col min="3" max="3" width="9.28515625" customWidth="1"/>
    <col min="4" max="4" width="8.85546875" bestFit="1" customWidth="1"/>
    <col min="5" max="6" width="14.42578125" bestFit="1" customWidth="1"/>
    <col min="7" max="7" width="8" bestFit="1" customWidth="1"/>
    <col min="8" max="8" width="8.28515625" customWidth="1"/>
  </cols>
  <sheetData>
    <row r="1" spans="1:9">
      <c r="A1" s="327" t="s">
        <v>8</v>
      </c>
      <c r="B1" s="327"/>
      <c r="C1" s="327"/>
      <c r="D1" s="327"/>
      <c r="E1" s="327"/>
      <c r="F1" s="327"/>
      <c r="G1" s="327"/>
      <c r="H1" s="327"/>
      <c r="I1" s="327"/>
    </row>
    <row r="2" spans="1:9">
      <c r="A2" s="327" t="s">
        <v>258</v>
      </c>
      <c r="B2" s="327"/>
      <c r="C2" s="327"/>
      <c r="D2" s="327"/>
      <c r="E2" s="327"/>
      <c r="F2" s="327"/>
      <c r="G2" s="327"/>
      <c r="H2" s="327"/>
      <c r="I2" s="327"/>
    </row>
    <row r="3" spans="1:9">
      <c r="A3" s="327" t="str">
        <f>+'JAP-23,  p19 Lighting Summary'!A4</f>
        <v>Twelve Months ended December 2010</v>
      </c>
      <c r="B3" s="327"/>
      <c r="C3" s="327"/>
      <c r="D3" s="327"/>
      <c r="E3" s="327"/>
      <c r="F3" s="327"/>
      <c r="G3" s="327"/>
      <c r="H3" s="327"/>
      <c r="I3" s="327"/>
    </row>
    <row r="4" spans="1:9">
      <c r="A4" s="328" t="s">
        <v>520</v>
      </c>
      <c r="B4" s="327"/>
      <c r="C4" s="327"/>
      <c r="D4" s="327"/>
      <c r="E4" s="327"/>
      <c r="F4" s="327"/>
      <c r="G4" s="327"/>
      <c r="H4" s="327"/>
      <c r="I4" s="327"/>
    </row>
    <row r="5" spans="1:9">
      <c r="A5" s="327" t="str">
        <f>+'JAP-23,  p22 Sch 51'!A5</f>
        <v>Company Owned LED (Light Emitting Diode) Lighting Service</v>
      </c>
      <c r="B5" s="327"/>
      <c r="C5" s="327"/>
      <c r="D5" s="327"/>
      <c r="E5" s="327"/>
      <c r="F5" s="327"/>
      <c r="G5" s="327"/>
      <c r="H5" s="327"/>
      <c r="I5" s="327"/>
    </row>
    <row r="6" spans="1:9">
      <c r="A6" s="2"/>
      <c r="B6" s="2"/>
      <c r="C6" s="2"/>
      <c r="D6" s="2"/>
      <c r="E6" s="2"/>
      <c r="F6" s="2"/>
      <c r="G6" s="2"/>
      <c r="H6" s="2"/>
      <c r="I6" s="2"/>
    </row>
    <row r="7" spans="1:9" s="274" customFormat="1" ht="51">
      <c r="A7" s="3" t="s">
        <v>46</v>
      </c>
      <c r="B7" s="3" t="s">
        <v>11</v>
      </c>
      <c r="C7" s="4" t="s">
        <v>277</v>
      </c>
      <c r="D7" s="4" t="s">
        <v>278</v>
      </c>
      <c r="E7" s="4" t="s">
        <v>279</v>
      </c>
      <c r="F7" s="4" t="s">
        <v>265</v>
      </c>
      <c r="G7" s="4" t="s">
        <v>232</v>
      </c>
      <c r="H7" s="3" t="s">
        <v>233</v>
      </c>
      <c r="I7" s="3" t="s">
        <v>157</v>
      </c>
    </row>
    <row r="8" spans="1:9">
      <c r="A8" s="167"/>
      <c r="B8" s="167" t="s">
        <v>477</v>
      </c>
      <c r="C8" s="133" t="s">
        <v>478</v>
      </c>
      <c r="D8" s="133" t="s">
        <v>479</v>
      </c>
      <c r="E8" s="133" t="s">
        <v>480</v>
      </c>
      <c r="F8" s="133" t="s">
        <v>481</v>
      </c>
      <c r="G8" s="133" t="s">
        <v>482</v>
      </c>
      <c r="H8" s="133" t="s">
        <v>483</v>
      </c>
      <c r="I8" s="133" t="s">
        <v>484</v>
      </c>
    </row>
    <row r="9" spans="1:9">
      <c r="A9" s="167"/>
      <c r="B9" s="167"/>
      <c r="C9" s="133"/>
      <c r="D9" s="133"/>
      <c r="E9" s="133"/>
      <c r="F9" s="133"/>
      <c r="G9" s="133"/>
      <c r="H9" s="133"/>
      <c r="I9" s="133"/>
    </row>
    <row r="10" spans="1:9">
      <c r="A10" s="280">
        <v>1</v>
      </c>
      <c r="B10" s="24" t="s">
        <v>521</v>
      </c>
      <c r="C10" s="29">
        <v>15022.960000000001</v>
      </c>
      <c r="D10" s="148">
        <v>2.5999999999999999E-3</v>
      </c>
      <c r="E10" s="148">
        <f>ROUND((+D10*(1+E13)),5)</f>
        <v>2.81E-3</v>
      </c>
      <c r="F10" s="29">
        <f>+D10*C10*12</f>
        <v>468.71635200000003</v>
      </c>
      <c r="G10" s="29">
        <f>+C10*E10*12</f>
        <v>506.57421120000004</v>
      </c>
      <c r="H10" s="29">
        <f>+G10-F10</f>
        <v>37.857859200000007</v>
      </c>
      <c r="I10" s="21">
        <f>+H10/F10</f>
        <v>8.0769230769230774E-2</v>
      </c>
    </row>
    <row r="11" spans="1:9">
      <c r="A11" s="280">
        <f>+A10+1</f>
        <v>2</v>
      </c>
      <c r="B11" s="24"/>
      <c r="C11" s="18"/>
      <c r="D11" s="16"/>
      <c r="E11" s="148"/>
      <c r="F11" s="29"/>
      <c r="G11" s="29"/>
      <c r="H11" s="29"/>
      <c r="I11" s="21"/>
    </row>
    <row r="12" spans="1:9">
      <c r="A12" s="280">
        <f>+A11+1</f>
        <v>3</v>
      </c>
      <c r="B12" s="24"/>
      <c r="C12" s="18"/>
      <c r="D12" s="16"/>
      <c r="E12" s="148"/>
      <c r="F12" s="29"/>
      <c r="G12" s="29"/>
      <c r="H12" s="29"/>
      <c r="I12" s="21"/>
    </row>
    <row r="13" spans="1:9">
      <c r="A13" s="280">
        <f>+A12+1</f>
        <v>4</v>
      </c>
      <c r="B13" s="2" t="str">
        <f>+'JAP-23,  p20 Sch 003'!$B$14</f>
        <v>Proposed Increase</v>
      </c>
      <c r="C13" s="2"/>
      <c r="D13" s="2"/>
      <c r="E13" s="115">
        <f>+'JAP-23,  p19 Lighting Summary'!G29</f>
        <v>8.0032863059986387E-2</v>
      </c>
      <c r="F13" s="2"/>
      <c r="G13" s="2"/>
      <c r="H13" s="2"/>
      <c r="I13" s="2"/>
    </row>
    <row r="23" spans="6:6">
      <c r="F23" s="283"/>
    </row>
  </sheetData>
  <mergeCells count="5">
    <mergeCell ref="A1:I1"/>
    <mergeCell ref="A2:I2"/>
    <mergeCell ref="A3:I3"/>
    <mergeCell ref="A4:I4"/>
    <mergeCell ref="A5:I5"/>
  </mergeCells>
  <printOptions horizontalCentered="1"/>
  <pageMargins left="0.75" right="0.75" top="1" bottom="1" header="0.5" footer="0.5"/>
  <pageSetup orientation="landscape" r:id="rId1"/>
  <headerFooter alignWithMargins="0">
    <oddFooter>&amp;R&amp;"Times New Roman,Regular"Exhibit No.___(JAP-23)
Page 23 of 49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dimension ref="A1:N33"/>
  <sheetViews>
    <sheetView zoomScaleNormal="100" workbookViewId="0">
      <selection activeCell="H20" sqref="H20"/>
    </sheetView>
  </sheetViews>
  <sheetFormatPr defaultRowHeight="12.75"/>
  <cols>
    <col min="1" max="1" width="6.42578125" style="2" customWidth="1"/>
    <col min="2" max="2" width="18" style="2" bestFit="1" customWidth="1"/>
    <col min="3" max="3" width="9.85546875" style="2" bestFit="1" customWidth="1"/>
    <col min="4" max="4" width="13.85546875" style="2" bestFit="1" customWidth="1"/>
    <col min="5" max="5" width="8.28515625" style="2" bestFit="1" customWidth="1"/>
    <col min="6" max="6" width="10.28515625" style="2" bestFit="1" customWidth="1"/>
    <col min="7" max="7" width="8.42578125" style="2" bestFit="1" customWidth="1"/>
    <col min="8" max="8" width="8.85546875" style="2" bestFit="1" customWidth="1"/>
    <col min="9" max="9" width="12" style="2" customWidth="1"/>
    <col min="10" max="10" width="10.42578125" style="2" customWidth="1"/>
    <col min="11" max="11" width="9.28515625" style="2" bestFit="1" customWidth="1"/>
    <col min="12" max="12" width="8.5703125" style="2" bestFit="1" customWidth="1"/>
    <col min="13" max="16384" width="9.140625" style="2"/>
  </cols>
  <sheetData>
    <row r="1" spans="1:14">
      <c r="A1" s="327" t="s">
        <v>8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</row>
    <row r="2" spans="1:14">
      <c r="A2" s="327" t="s">
        <v>258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</row>
    <row r="3" spans="1:14">
      <c r="A3" s="327" t="str">
        <f>+'JAP-23,  p19 Lighting Summary'!A4</f>
        <v>Twelve Months ended December 2010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</row>
    <row r="4" spans="1:14">
      <c r="A4" s="327" t="s">
        <v>271</v>
      </c>
      <c r="B4" s="327"/>
      <c r="C4" s="327"/>
      <c r="D4" s="327"/>
      <c r="E4" s="327"/>
      <c r="F4" s="327"/>
      <c r="G4" s="327"/>
      <c r="H4" s="327"/>
      <c r="I4" s="327"/>
      <c r="J4" s="327"/>
      <c r="K4" s="327"/>
      <c r="L4" s="327"/>
    </row>
    <row r="5" spans="1:14">
      <c r="A5" s="327" t="s">
        <v>272</v>
      </c>
      <c r="B5" s="327"/>
      <c r="C5" s="327"/>
      <c r="D5" s="327"/>
      <c r="E5" s="327"/>
      <c r="F5" s="327"/>
      <c r="G5" s="327"/>
      <c r="H5" s="327"/>
      <c r="I5" s="327"/>
      <c r="J5" s="327"/>
      <c r="K5" s="327"/>
      <c r="L5" s="327"/>
    </row>
    <row r="7" spans="1:14" s="5" customFormat="1" ht="51">
      <c r="A7" s="3" t="s">
        <v>46</v>
      </c>
      <c r="B7" s="3" t="s">
        <v>11</v>
      </c>
      <c r="C7" s="4" t="s">
        <v>261</v>
      </c>
      <c r="D7" s="3" t="s">
        <v>262</v>
      </c>
      <c r="E7" s="3" t="str">
        <f>+'JAP-23,  p20 Sch 003'!E7</f>
        <v>Inventory
@
12-31-10</v>
      </c>
      <c r="F7" s="4" t="str">
        <f>+'JAP-23,  p20 Sch 003'!F7</f>
        <v>Billed kWh
12 Months
ended
12-31-10</v>
      </c>
      <c r="G7" s="4" t="str">
        <f>+'JAP-23,  p20 Sch 003'!G7</f>
        <v>Proforma Base Lamp Charge</v>
      </c>
      <c r="H7" s="4" t="str">
        <f>+'JAP-23,  p20 Sch 003'!H7</f>
        <v>Proposed Lamp Charge</v>
      </c>
      <c r="I7" s="4" t="s">
        <v>265</v>
      </c>
      <c r="J7" s="4" t="s">
        <v>232</v>
      </c>
      <c r="K7" s="3" t="s">
        <v>233</v>
      </c>
      <c r="L7" s="3" t="s">
        <v>157</v>
      </c>
    </row>
    <row r="8" spans="1:14" s="5" customFormat="1">
      <c r="A8" s="167"/>
      <c r="B8" s="167" t="s">
        <v>477</v>
      </c>
      <c r="C8" s="133" t="s">
        <v>478</v>
      </c>
      <c r="D8" s="133" t="s">
        <v>479</v>
      </c>
      <c r="E8" s="133" t="s">
        <v>480</v>
      </c>
      <c r="F8" s="133" t="s">
        <v>481</v>
      </c>
      <c r="G8" s="133" t="s">
        <v>483</v>
      </c>
      <c r="H8" s="133" t="s">
        <v>484</v>
      </c>
      <c r="I8" s="133" t="s">
        <v>485</v>
      </c>
      <c r="J8" s="133" t="s">
        <v>486</v>
      </c>
      <c r="K8" s="133" t="s">
        <v>487</v>
      </c>
      <c r="L8" s="133" t="s">
        <v>488</v>
      </c>
    </row>
    <row r="9" spans="1:14" s="5" customFormat="1">
      <c r="A9" s="167"/>
      <c r="B9" s="167"/>
      <c r="C9" s="133"/>
      <c r="D9" s="133"/>
      <c r="E9" s="133"/>
      <c r="F9" s="133"/>
      <c r="G9" s="133"/>
      <c r="H9" s="133"/>
      <c r="I9" s="133"/>
      <c r="J9" s="133"/>
      <c r="K9" s="133"/>
    </row>
    <row r="10" spans="1:14">
      <c r="A10" s="11">
        <v>1</v>
      </c>
      <c r="B10" s="24" t="s">
        <v>273</v>
      </c>
      <c r="C10" s="18">
        <v>50</v>
      </c>
      <c r="D10" s="18" t="s">
        <v>274</v>
      </c>
      <c r="E10" s="18">
        <v>0</v>
      </c>
      <c r="F10" s="18"/>
      <c r="G10" s="184">
        <v>2.0099999999999998</v>
      </c>
      <c r="H10" s="184">
        <f>ROUND((+G10)*(1+$H$30),2)</f>
        <v>2.17</v>
      </c>
      <c r="I10" s="29">
        <f>ROUND(+G10*$E10*12,0)</f>
        <v>0</v>
      </c>
      <c r="J10" s="29">
        <f t="shared" ref="J10:J17" si="0">ROUND(+H10*$E10*12,0)</f>
        <v>0</v>
      </c>
      <c r="K10" s="29">
        <f t="shared" ref="K10:K17" si="1">+J10-I10</f>
        <v>0</v>
      </c>
      <c r="L10" s="185" t="str">
        <f>IF(+K10=0,"na",K10/I10)</f>
        <v>na</v>
      </c>
    </row>
    <row r="11" spans="1:14">
      <c r="A11" s="11">
        <f>+A10+1</f>
        <v>2</v>
      </c>
      <c r="B11" s="10" t="str">
        <f t="shared" ref="B11:B17" si="2">+B10</f>
        <v xml:space="preserve">52E </v>
      </c>
      <c r="C11" s="18">
        <v>70</v>
      </c>
      <c r="D11" s="18" t="s">
        <v>274</v>
      </c>
      <c r="E11" s="18">
        <v>555</v>
      </c>
      <c r="F11" s="18"/>
      <c r="G11" s="184">
        <v>2.93</v>
      </c>
      <c r="H11" s="184">
        <f t="shared" ref="H11:H17" si="3">ROUND((+G11)*(1+$H$30),2)</f>
        <v>3.16</v>
      </c>
      <c r="I11" s="29">
        <f t="shared" ref="I11:I17" si="4">ROUND(+G11*$E11*12,0)</f>
        <v>19514</v>
      </c>
      <c r="J11" s="29">
        <f t="shared" si="0"/>
        <v>21046</v>
      </c>
      <c r="K11" s="29">
        <f t="shared" si="1"/>
        <v>1532</v>
      </c>
      <c r="L11" s="185">
        <f t="shared" ref="L11:L25" si="5">IF(+K11=0,"na",K11/I11)</f>
        <v>7.8507738034231833E-2</v>
      </c>
      <c r="N11" s="37"/>
    </row>
    <row r="12" spans="1:14">
      <c r="A12" s="11">
        <f t="shared" ref="A12:A33" si="6">+A11+1</f>
        <v>3</v>
      </c>
      <c r="B12" s="10" t="str">
        <f t="shared" si="2"/>
        <v xml:space="preserve">52E </v>
      </c>
      <c r="C12" s="18">
        <v>100</v>
      </c>
      <c r="D12" s="18" t="s">
        <v>274</v>
      </c>
      <c r="E12" s="18">
        <v>9572</v>
      </c>
      <c r="F12" s="18"/>
      <c r="G12" s="184">
        <v>4.1399999999999997</v>
      </c>
      <c r="H12" s="184">
        <f t="shared" si="3"/>
        <v>4.47</v>
      </c>
      <c r="I12" s="29">
        <f t="shared" si="4"/>
        <v>475537</v>
      </c>
      <c r="J12" s="29">
        <f t="shared" si="0"/>
        <v>513442</v>
      </c>
      <c r="K12" s="29">
        <f t="shared" si="1"/>
        <v>37905</v>
      </c>
      <c r="L12" s="185">
        <f t="shared" si="5"/>
        <v>7.9709885876388165E-2</v>
      </c>
      <c r="N12" s="37"/>
    </row>
    <row r="13" spans="1:14">
      <c r="A13" s="11">
        <f t="shared" si="6"/>
        <v>4</v>
      </c>
      <c r="B13" s="10" t="str">
        <f t="shared" si="2"/>
        <v xml:space="preserve">52E </v>
      </c>
      <c r="C13" s="18">
        <v>150</v>
      </c>
      <c r="D13" s="18" t="s">
        <v>274</v>
      </c>
      <c r="E13" s="18">
        <v>3952</v>
      </c>
      <c r="F13" s="18"/>
      <c r="G13" s="184">
        <v>6.01</v>
      </c>
      <c r="H13" s="184">
        <f t="shared" si="3"/>
        <v>6.49</v>
      </c>
      <c r="I13" s="29">
        <f t="shared" si="4"/>
        <v>285018</v>
      </c>
      <c r="J13" s="29">
        <f t="shared" si="0"/>
        <v>307782</v>
      </c>
      <c r="K13" s="29">
        <f t="shared" si="1"/>
        <v>22764</v>
      </c>
      <c r="L13" s="185">
        <f t="shared" si="5"/>
        <v>7.9868639875376291E-2</v>
      </c>
      <c r="N13" s="37"/>
    </row>
    <row r="14" spans="1:14">
      <c r="A14" s="11">
        <f t="shared" si="6"/>
        <v>5</v>
      </c>
      <c r="B14" s="10" t="str">
        <f t="shared" si="2"/>
        <v xml:space="preserve">52E </v>
      </c>
      <c r="C14" s="18">
        <v>200</v>
      </c>
      <c r="D14" s="18" t="s">
        <v>274</v>
      </c>
      <c r="E14" s="18">
        <v>1073</v>
      </c>
      <c r="F14" s="18"/>
      <c r="G14" s="184">
        <v>7.96</v>
      </c>
      <c r="H14" s="184">
        <f t="shared" si="3"/>
        <v>8.6</v>
      </c>
      <c r="I14" s="29">
        <f t="shared" si="4"/>
        <v>102493</v>
      </c>
      <c r="J14" s="29">
        <f t="shared" si="0"/>
        <v>110734</v>
      </c>
      <c r="K14" s="29">
        <f t="shared" si="1"/>
        <v>8241</v>
      </c>
      <c r="L14" s="185">
        <f t="shared" si="5"/>
        <v>8.040549110670972E-2</v>
      </c>
      <c r="N14" s="37"/>
    </row>
    <row r="15" spans="1:14">
      <c r="A15" s="11">
        <f t="shared" si="6"/>
        <v>6</v>
      </c>
      <c r="B15" s="10" t="str">
        <f t="shared" si="2"/>
        <v xml:space="preserve">52E </v>
      </c>
      <c r="C15" s="18">
        <v>250</v>
      </c>
      <c r="D15" s="18" t="s">
        <v>274</v>
      </c>
      <c r="E15" s="18">
        <v>1193</v>
      </c>
      <c r="F15" s="18"/>
      <c r="G15" s="184">
        <v>9.89</v>
      </c>
      <c r="H15" s="184">
        <f t="shared" si="3"/>
        <v>10.68</v>
      </c>
      <c r="I15" s="29">
        <f t="shared" si="4"/>
        <v>141585</v>
      </c>
      <c r="J15" s="29">
        <f t="shared" si="0"/>
        <v>152895</v>
      </c>
      <c r="K15" s="29">
        <f t="shared" si="1"/>
        <v>11310</v>
      </c>
      <c r="L15" s="185">
        <f t="shared" si="5"/>
        <v>7.9881343362644353E-2</v>
      </c>
      <c r="N15" s="37"/>
    </row>
    <row r="16" spans="1:14">
      <c r="A16" s="11">
        <f t="shared" si="6"/>
        <v>7</v>
      </c>
      <c r="B16" s="10" t="str">
        <f t="shared" si="2"/>
        <v xml:space="preserve">52E </v>
      </c>
      <c r="C16" s="18">
        <v>310</v>
      </c>
      <c r="D16" s="18" t="s">
        <v>274</v>
      </c>
      <c r="E16" s="18">
        <v>153</v>
      </c>
      <c r="F16" s="18"/>
      <c r="G16" s="184">
        <v>13.48</v>
      </c>
      <c r="H16" s="184">
        <f t="shared" si="3"/>
        <v>14.56</v>
      </c>
      <c r="I16" s="29">
        <f t="shared" si="4"/>
        <v>24749</v>
      </c>
      <c r="J16" s="29">
        <f t="shared" si="0"/>
        <v>26732</v>
      </c>
      <c r="K16" s="29">
        <f t="shared" si="1"/>
        <v>1983</v>
      </c>
      <c r="L16" s="185">
        <f t="shared" si="5"/>
        <v>8.0124449472705972E-2</v>
      </c>
      <c r="N16" s="37"/>
    </row>
    <row r="17" spans="1:14">
      <c r="A17" s="11">
        <f t="shared" si="6"/>
        <v>8</v>
      </c>
      <c r="B17" s="10" t="str">
        <f t="shared" si="2"/>
        <v xml:space="preserve">52E </v>
      </c>
      <c r="C17" s="18">
        <v>400</v>
      </c>
      <c r="D17" s="18" t="s">
        <v>274</v>
      </c>
      <c r="E17" s="18">
        <v>499</v>
      </c>
      <c r="F17" s="18"/>
      <c r="G17" s="184">
        <v>15.42</v>
      </c>
      <c r="H17" s="184">
        <f t="shared" si="3"/>
        <v>16.649999999999999</v>
      </c>
      <c r="I17" s="29">
        <f t="shared" si="4"/>
        <v>92335</v>
      </c>
      <c r="J17" s="29">
        <f t="shared" si="0"/>
        <v>99700</v>
      </c>
      <c r="K17" s="29">
        <f t="shared" si="1"/>
        <v>7365</v>
      </c>
      <c r="L17" s="185">
        <f t="shared" si="5"/>
        <v>7.9763903178642986E-2</v>
      </c>
      <c r="N17" s="37"/>
    </row>
    <row r="18" spans="1:14">
      <c r="A18" s="11">
        <f t="shared" si="6"/>
        <v>9</v>
      </c>
      <c r="B18" s="10"/>
      <c r="C18" s="18"/>
      <c r="D18" s="18"/>
      <c r="E18" s="18"/>
      <c r="F18" s="18"/>
      <c r="G18" s="74"/>
      <c r="H18" s="74"/>
      <c r="I18" s="29"/>
      <c r="J18" s="29"/>
      <c r="K18" s="29"/>
      <c r="L18" s="21"/>
      <c r="N18" s="37"/>
    </row>
    <row r="19" spans="1:14">
      <c r="A19" s="11">
        <f t="shared" si="6"/>
        <v>10</v>
      </c>
      <c r="B19" s="24" t="str">
        <f>+B14</f>
        <v xml:space="preserve">52E </v>
      </c>
      <c r="C19" s="18">
        <v>70</v>
      </c>
      <c r="D19" s="18" t="s">
        <v>275</v>
      </c>
      <c r="E19" s="18">
        <v>33</v>
      </c>
      <c r="F19" s="18"/>
      <c r="G19" s="184">
        <v>3.18</v>
      </c>
      <c r="H19" s="184">
        <f t="shared" ref="H19:H25" si="7">ROUND((+G19)*(1+$H$30),2)</f>
        <v>3.43</v>
      </c>
      <c r="I19" s="29">
        <f t="shared" ref="I19:I25" si="8">ROUND(+G19*$E19*12,0)</f>
        <v>1259</v>
      </c>
      <c r="J19" s="29">
        <f t="shared" ref="J19:J25" si="9">ROUND(+H19*$E19*12,0)</f>
        <v>1358</v>
      </c>
      <c r="K19" s="29">
        <f t="shared" ref="K19:K25" si="10">+J19-I19</f>
        <v>99</v>
      </c>
      <c r="L19" s="185">
        <f>IF(+K19=0,"na",K19/I19)</f>
        <v>7.8633836378077845E-2</v>
      </c>
      <c r="N19" s="37"/>
    </row>
    <row r="20" spans="1:14">
      <c r="A20" s="11">
        <f t="shared" si="6"/>
        <v>11</v>
      </c>
      <c r="B20" s="24" t="str">
        <f>+B15</f>
        <v xml:space="preserve">52E </v>
      </c>
      <c r="C20" s="18">
        <v>100</v>
      </c>
      <c r="D20" s="18" t="s">
        <v>275</v>
      </c>
      <c r="E20" s="18">
        <v>0</v>
      </c>
      <c r="F20" s="18"/>
      <c r="G20" s="184">
        <v>4.0599999999999996</v>
      </c>
      <c r="H20" s="184">
        <f t="shared" si="7"/>
        <v>4.38</v>
      </c>
      <c r="I20" s="29">
        <f t="shared" si="8"/>
        <v>0</v>
      </c>
      <c r="J20" s="29">
        <f t="shared" si="9"/>
        <v>0</v>
      </c>
      <c r="K20" s="29">
        <f t="shared" si="10"/>
        <v>0</v>
      </c>
      <c r="L20" s="185" t="str">
        <f>IF(+K20=0,"na",K20/I20)</f>
        <v>na</v>
      </c>
      <c r="N20" s="37"/>
    </row>
    <row r="21" spans="1:14">
      <c r="A21" s="11">
        <f t="shared" si="6"/>
        <v>12</v>
      </c>
      <c r="B21" s="24" t="str">
        <f>+B16</f>
        <v xml:space="preserve">52E </v>
      </c>
      <c r="C21" s="18">
        <v>150</v>
      </c>
      <c r="D21" s="18" t="s">
        <v>275</v>
      </c>
      <c r="E21" s="18">
        <v>127</v>
      </c>
      <c r="F21" s="18"/>
      <c r="G21" s="184">
        <v>5.84</v>
      </c>
      <c r="H21" s="184">
        <f t="shared" si="7"/>
        <v>6.31</v>
      </c>
      <c r="I21" s="29">
        <f t="shared" si="8"/>
        <v>8900</v>
      </c>
      <c r="J21" s="29">
        <f t="shared" si="9"/>
        <v>9616</v>
      </c>
      <c r="K21" s="29">
        <f t="shared" si="10"/>
        <v>716</v>
      </c>
      <c r="L21" s="185">
        <f>IF(+K21=0,"na",K21/I21)</f>
        <v>8.0449438202247189E-2</v>
      </c>
      <c r="N21" s="37"/>
    </row>
    <row r="22" spans="1:14">
      <c r="A22" s="11">
        <f t="shared" si="6"/>
        <v>13</v>
      </c>
      <c r="B22" s="24" t="str">
        <f>+B17</f>
        <v xml:space="preserve">52E </v>
      </c>
      <c r="C22" s="18">
        <v>175</v>
      </c>
      <c r="D22" s="18" t="s">
        <v>275</v>
      </c>
      <c r="E22" s="18">
        <v>222</v>
      </c>
      <c r="F22" s="18"/>
      <c r="G22" s="184">
        <v>6.91</v>
      </c>
      <c r="H22" s="184">
        <f t="shared" si="7"/>
        <v>7.46</v>
      </c>
      <c r="I22" s="29">
        <f t="shared" si="8"/>
        <v>18408</v>
      </c>
      <c r="J22" s="29">
        <f t="shared" si="9"/>
        <v>19873</v>
      </c>
      <c r="K22" s="29">
        <f t="shared" si="10"/>
        <v>1465</v>
      </c>
      <c r="L22" s="185">
        <f t="shared" si="5"/>
        <v>7.9584963059539326E-2</v>
      </c>
      <c r="N22" s="37"/>
    </row>
    <row r="23" spans="1:14">
      <c r="A23" s="11">
        <f t="shared" si="6"/>
        <v>14</v>
      </c>
      <c r="B23" s="10" t="str">
        <f>+B22</f>
        <v xml:space="preserve">52E </v>
      </c>
      <c r="C23" s="18">
        <v>250</v>
      </c>
      <c r="D23" s="18" t="str">
        <f>+D22</f>
        <v>Metal Halide</v>
      </c>
      <c r="E23" s="18">
        <v>7</v>
      </c>
      <c r="F23" s="18"/>
      <c r="G23" s="184">
        <v>9.39</v>
      </c>
      <c r="H23" s="184">
        <f t="shared" si="7"/>
        <v>10.14</v>
      </c>
      <c r="I23" s="29">
        <f t="shared" si="8"/>
        <v>789</v>
      </c>
      <c r="J23" s="29">
        <f t="shared" si="9"/>
        <v>852</v>
      </c>
      <c r="K23" s="29">
        <f t="shared" si="10"/>
        <v>63</v>
      </c>
      <c r="L23" s="185">
        <f t="shared" si="5"/>
        <v>7.9847908745247151E-2</v>
      </c>
      <c r="N23" s="37"/>
    </row>
    <row r="24" spans="1:14">
      <c r="A24" s="11">
        <f t="shared" si="6"/>
        <v>15</v>
      </c>
      <c r="B24" s="10" t="str">
        <f>+B23</f>
        <v xml:space="preserve">52E </v>
      </c>
      <c r="C24" s="18">
        <v>400</v>
      </c>
      <c r="D24" s="18" t="str">
        <f>+D23</f>
        <v>Metal Halide</v>
      </c>
      <c r="E24" s="18">
        <v>14</v>
      </c>
      <c r="F24" s="18"/>
      <c r="G24" s="184">
        <v>14.73</v>
      </c>
      <c r="H24" s="184">
        <f t="shared" si="7"/>
        <v>15.91</v>
      </c>
      <c r="I24" s="29">
        <f t="shared" si="8"/>
        <v>2475</v>
      </c>
      <c r="J24" s="29">
        <f t="shared" si="9"/>
        <v>2673</v>
      </c>
      <c r="K24" s="29">
        <f t="shared" si="10"/>
        <v>198</v>
      </c>
      <c r="L24" s="185">
        <f t="shared" si="5"/>
        <v>0.08</v>
      </c>
      <c r="N24" s="37"/>
    </row>
    <row r="25" spans="1:14">
      <c r="A25" s="11">
        <f t="shared" si="6"/>
        <v>16</v>
      </c>
      <c r="B25" s="10" t="str">
        <f>+B24</f>
        <v xml:space="preserve">52E </v>
      </c>
      <c r="C25" s="18">
        <v>1000</v>
      </c>
      <c r="D25" s="18" t="str">
        <f>+D24</f>
        <v>Metal Halide</v>
      </c>
      <c r="E25" s="18">
        <v>18</v>
      </c>
      <c r="F25" s="18"/>
      <c r="G25" s="184">
        <v>35.26</v>
      </c>
      <c r="H25" s="184">
        <f t="shared" si="7"/>
        <v>38.08</v>
      </c>
      <c r="I25" s="29">
        <f t="shared" si="8"/>
        <v>7616</v>
      </c>
      <c r="J25" s="29">
        <f t="shared" si="9"/>
        <v>8225</v>
      </c>
      <c r="K25" s="29">
        <f t="shared" si="10"/>
        <v>609</v>
      </c>
      <c r="L25" s="185">
        <f t="shared" si="5"/>
        <v>7.9963235294117641E-2</v>
      </c>
      <c r="N25" s="37"/>
    </row>
    <row r="26" spans="1:14">
      <c r="A26" s="11">
        <f t="shared" si="6"/>
        <v>17</v>
      </c>
      <c r="B26" s="10"/>
      <c r="C26" s="18"/>
      <c r="D26" s="18"/>
      <c r="E26" s="18"/>
      <c r="F26" s="18"/>
      <c r="G26" s="74"/>
      <c r="H26" s="74"/>
      <c r="I26" s="29"/>
      <c r="J26" s="29"/>
      <c r="K26" s="29"/>
      <c r="L26" s="21"/>
    </row>
    <row r="27" spans="1:14" ht="13.5" thickBot="1">
      <c r="A27" s="11">
        <f t="shared" si="6"/>
        <v>18</v>
      </c>
      <c r="C27" s="18"/>
      <c r="D27" s="18"/>
      <c r="E27" s="34">
        <f>SUM(E10:E25)</f>
        <v>17418</v>
      </c>
      <c r="F27" s="34">
        <f>+'JAP-23,  p19 Lighting Summary'!D16</f>
        <v>11649986.409599999</v>
      </c>
      <c r="G27" s="74"/>
      <c r="H27" s="74"/>
      <c r="I27" s="35">
        <f>SUM(I10:I25)</f>
        <v>1180678</v>
      </c>
      <c r="J27" s="35">
        <f>SUM(J10:J25)</f>
        <v>1274928</v>
      </c>
      <c r="K27" s="35">
        <f>SUM(K10:K25)</f>
        <v>94250</v>
      </c>
      <c r="L27" s="64">
        <f>+K27/I27</f>
        <v>7.9827014647516084E-2</v>
      </c>
    </row>
    <row r="28" spans="1:14" ht="13.5" thickTop="1">
      <c r="A28" s="11">
        <f t="shared" si="6"/>
        <v>19</v>
      </c>
      <c r="C28" s="18"/>
      <c r="D28" s="18"/>
      <c r="E28" s="18"/>
      <c r="F28" s="18"/>
      <c r="G28" s="74"/>
      <c r="H28" s="74"/>
      <c r="L28" s="21"/>
    </row>
    <row r="29" spans="1:14">
      <c r="A29" s="11">
        <f t="shared" si="6"/>
        <v>20</v>
      </c>
    </row>
    <row r="30" spans="1:14">
      <c r="A30" s="11">
        <f t="shared" si="6"/>
        <v>21</v>
      </c>
      <c r="B30" s="2" t="str">
        <f>+'JAP-23,  p20 Sch 003'!$B$14</f>
        <v>Proposed Increase</v>
      </c>
      <c r="H30" s="115">
        <f>+'JAP-23,  p19 Lighting Summary'!$G$29</f>
        <v>8.0032863059986387E-2</v>
      </c>
    </row>
    <row r="31" spans="1:14" hidden="1">
      <c r="A31" s="11">
        <f t="shared" si="6"/>
        <v>22</v>
      </c>
    </row>
    <row r="32" spans="1:14" hidden="1">
      <c r="A32" s="11">
        <f t="shared" si="6"/>
        <v>23</v>
      </c>
    </row>
    <row r="33" spans="1:9" hidden="1">
      <c r="A33" s="11">
        <f t="shared" si="6"/>
        <v>24</v>
      </c>
      <c r="B33" s="24">
        <f>+'JAP-23,  p20 Sch 003'!$B$16</f>
        <v>0</v>
      </c>
      <c r="I33" s="29" t="e">
        <f>(SUMPRODUCT(E10:E17,#REF!)+SUMPRODUCT(E19:E25,#REF!))*12</f>
        <v>#REF!</v>
      </c>
    </row>
  </sheetData>
  <mergeCells count="5">
    <mergeCell ref="A5:L5"/>
    <mergeCell ref="A1:L1"/>
    <mergeCell ref="A2:L2"/>
    <mergeCell ref="A3:L3"/>
    <mergeCell ref="A4:L4"/>
  </mergeCells>
  <phoneticPr fontId="0" type="noConversion"/>
  <printOptions horizontalCentered="1"/>
  <pageMargins left="0.25" right="0.25" top="1" bottom="1.1399999999999999" header="0.5" footer="0.5"/>
  <pageSetup scale="85" orientation="landscape" r:id="rId1"/>
  <headerFooter alignWithMargins="0">
    <oddFooter>&amp;R&amp;"Times New Roman,Regular"Exhibit No.___(JAP-23)
Page 24 of 49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dimension ref="A1:L25"/>
  <sheetViews>
    <sheetView zoomScaleNormal="100" workbookViewId="0">
      <selection activeCell="L23" sqref="L23"/>
    </sheetView>
  </sheetViews>
  <sheetFormatPr defaultRowHeight="12.75"/>
  <cols>
    <col min="1" max="1" width="6.7109375" style="2" customWidth="1"/>
    <col min="2" max="2" width="29.85546875" style="2" bestFit="1" customWidth="1"/>
    <col min="3" max="3" width="12.28515625" style="2" bestFit="1" customWidth="1"/>
    <col min="4" max="4" width="8.42578125" style="2" bestFit="1" customWidth="1"/>
    <col min="5" max="5" width="9.85546875" style="2" bestFit="1" customWidth="1"/>
    <col min="6" max="6" width="12.28515625" style="2" bestFit="1" customWidth="1"/>
    <col min="7" max="7" width="12.5703125" style="2" customWidth="1"/>
    <col min="8" max="8" width="10.28515625" style="2" bestFit="1" customWidth="1"/>
    <col min="9" max="9" width="7.28515625" style="2" bestFit="1" customWidth="1"/>
    <col min="10" max="16384" width="9.140625" style="2"/>
  </cols>
  <sheetData>
    <row r="1" spans="1:12">
      <c r="A1" s="327" t="s">
        <v>8</v>
      </c>
      <c r="B1" s="327"/>
      <c r="C1" s="327"/>
      <c r="D1" s="327"/>
      <c r="E1" s="327"/>
      <c r="F1" s="327"/>
      <c r="G1" s="327"/>
      <c r="H1" s="327"/>
      <c r="I1" s="327"/>
    </row>
    <row r="2" spans="1:12">
      <c r="A2" s="327" t="s">
        <v>258</v>
      </c>
      <c r="B2" s="327"/>
      <c r="C2" s="327"/>
      <c r="D2" s="327"/>
      <c r="E2" s="327"/>
      <c r="F2" s="327"/>
      <c r="G2" s="327"/>
      <c r="H2" s="327"/>
      <c r="I2" s="327"/>
    </row>
    <row r="3" spans="1:12">
      <c r="A3" s="327" t="str">
        <f>+'JAP-23,  p19 Lighting Summary'!A4</f>
        <v>Twelve Months ended December 2010</v>
      </c>
      <c r="B3" s="327"/>
      <c r="C3" s="327"/>
      <c r="D3" s="327"/>
      <c r="E3" s="327"/>
      <c r="F3" s="327"/>
      <c r="G3" s="327"/>
      <c r="H3" s="327"/>
      <c r="I3" s="327"/>
    </row>
    <row r="4" spans="1:12">
      <c r="A4" s="327" t="s">
        <v>276</v>
      </c>
      <c r="B4" s="327"/>
      <c r="C4" s="327"/>
      <c r="D4" s="327"/>
      <c r="E4" s="327"/>
      <c r="F4" s="327"/>
      <c r="G4" s="327"/>
      <c r="H4" s="327"/>
      <c r="I4" s="327"/>
    </row>
    <row r="5" spans="1:12">
      <c r="A5" s="327" t="s">
        <v>272</v>
      </c>
      <c r="B5" s="327"/>
      <c r="C5" s="327"/>
      <c r="D5" s="327"/>
      <c r="E5" s="327"/>
      <c r="F5" s="327"/>
      <c r="G5" s="327"/>
      <c r="H5" s="327"/>
      <c r="I5" s="327"/>
    </row>
    <row r="7" spans="1:12" s="5" customFormat="1" ht="38.25">
      <c r="A7" s="3" t="s">
        <v>46</v>
      </c>
      <c r="B7" s="3" t="s">
        <v>11</v>
      </c>
      <c r="C7" s="4" t="s">
        <v>277</v>
      </c>
      <c r="D7" s="4" t="s">
        <v>278</v>
      </c>
      <c r="E7" s="4" t="s">
        <v>279</v>
      </c>
      <c r="F7" s="4" t="s">
        <v>265</v>
      </c>
      <c r="G7" s="4" t="s">
        <v>232</v>
      </c>
      <c r="H7" s="3" t="s">
        <v>233</v>
      </c>
      <c r="I7" s="3" t="s">
        <v>157</v>
      </c>
    </row>
    <row r="8" spans="1:12" s="5" customFormat="1">
      <c r="A8" s="167"/>
      <c r="B8" s="167" t="s">
        <v>477</v>
      </c>
      <c r="C8" s="133" t="s">
        <v>478</v>
      </c>
      <c r="D8" s="133" t="s">
        <v>479</v>
      </c>
      <c r="E8" s="133" t="s">
        <v>480</v>
      </c>
      <c r="F8" s="133" t="s">
        <v>481</v>
      </c>
      <c r="G8" s="133" t="s">
        <v>482</v>
      </c>
      <c r="H8" s="133" t="s">
        <v>483</v>
      </c>
      <c r="I8" s="133" t="s">
        <v>484</v>
      </c>
      <c r="J8" s="133"/>
      <c r="K8" s="133"/>
      <c r="L8" s="133"/>
    </row>
    <row r="9" spans="1:12" s="5" customFormat="1">
      <c r="A9" s="167"/>
      <c r="B9" s="167"/>
      <c r="C9" s="133"/>
      <c r="D9" s="133"/>
      <c r="E9" s="133"/>
      <c r="F9" s="133"/>
      <c r="G9" s="133"/>
      <c r="H9" s="133"/>
      <c r="I9" s="133"/>
      <c r="J9" s="133"/>
      <c r="K9" s="133"/>
      <c r="L9" s="133"/>
    </row>
    <row r="10" spans="1:12">
      <c r="A10" s="11">
        <v>1</v>
      </c>
      <c r="B10" s="24" t="s">
        <v>280</v>
      </c>
      <c r="C10" s="29">
        <v>44960805.038499892</v>
      </c>
      <c r="D10" s="148">
        <v>2.63E-3</v>
      </c>
      <c r="E10" s="148">
        <f>ROUND((+D10*(1+E13)),5)</f>
        <v>2.8400000000000001E-3</v>
      </c>
      <c r="F10" s="29">
        <f>+D10*C10*12</f>
        <v>1418963.0070150564</v>
      </c>
      <c r="G10" s="29">
        <f>+C10*E10*12</f>
        <v>1532264.2357120763</v>
      </c>
      <c r="H10" s="29">
        <f>+G10-F10</f>
        <v>113301.22869701986</v>
      </c>
      <c r="I10" s="21">
        <f>+H10/F10</f>
        <v>7.9847908745247248E-2</v>
      </c>
    </row>
    <row r="11" spans="1:12">
      <c r="A11" s="11">
        <f>+A10+1</f>
        <v>2</v>
      </c>
      <c r="B11" s="24" t="s">
        <v>472</v>
      </c>
      <c r="C11" s="18"/>
      <c r="D11" s="148">
        <v>1.5169999999999999E-2</v>
      </c>
      <c r="E11" s="148">
        <f>ROUND((+D11*(1+E13)),5)-0</f>
        <v>1.6379999999999999E-2</v>
      </c>
      <c r="F11" s="29">
        <v>0</v>
      </c>
      <c r="G11" s="29">
        <f>+C11*E11*12</f>
        <v>0</v>
      </c>
      <c r="H11" s="29">
        <f>+G11-F11</f>
        <v>0</v>
      </c>
      <c r="I11" s="21">
        <f>(+E11/D11)-1</f>
        <v>7.9762689518787067E-2</v>
      </c>
    </row>
    <row r="12" spans="1:12">
      <c r="A12" s="11">
        <f>+A11+1</f>
        <v>3</v>
      </c>
      <c r="B12" s="24"/>
      <c r="C12" s="18"/>
      <c r="D12" s="16"/>
      <c r="E12" s="148"/>
      <c r="F12" s="29"/>
      <c r="G12" s="29"/>
      <c r="H12" s="29"/>
      <c r="I12" s="21"/>
    </row>
    <row r="13" spans="1:12">
      <c r="A13" s="11">
        <f>+A12+1</f>
        <v>4</v>
      </c>
      <c r="B13" s="2" t="str">
        <f>+'JAP-23,  p20 Sch 003'!$B$14</f>
        <v>Proposed Increase</v>
      </c>
      <c r="E13" s="115">
        <f>+'JAP-23,  p19 Lighting Summary'!G29</f>
        <v>8.0032863059986387E-2</v>
      </c>
    </row>
    <row r="17" spans="3:9">
      <c r="C17" s="29"/>
      <c r="D17" s="16"/>
      <c r="E17" s="148"/>
      <c r="F17" s="29"/>
      <c r="G17" s="29"/>
      <c r="H17" s="29"/>
      <c r="I17" s="21"/>
    </row>
    <row r="25" spans="3:9">
      <c r="G25" s="115"/>
    </row>
  </sheetData>
  <mergeCells count="5">
    <mergeCell ref="A5:I5"/>
    <mergeCell ref="A1:I1"/>
    <mergeCell ref="A2:I2"/>
    <mergeCell ref="A3:I3"/>
    <mergeCell ref="A4:I4"/>
  </mergeCells>
  <phoneticPr fontId="0" type="noConversion"/>
  <printOptions horizontalCentered="1"/>
  <pageMargins left="0.25" right="0.25" top="1" bottom="1.19" header="0.5" footer="0.5"/>
  <pageSetup scale="85" orientation="landscape" r:id="rId1"/>
  <headerFooter alignWithMargins="0">
    <oddFooter>&amp;R&amp;"Times New Roman,Regular"Exhibit No.___(JAP-23)
Page 25 of 49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dimension ref="A1:L43"/>
  <sheetViews>
    <sheetView zoomScaleNormal="100" workbookViewId="0">
      <selection activeCell="I43" sqref="I43"/>
    </sheetView>
  </sheetViews>
  <sheetFormatPr defaultRowHeight="12.75"/>
  <cols>
    <col min="1" max="1" width="5.5703125" style="2" customWidth="1"/>
    <col min="2" max="2" width="20.28515625" style="2" bestFit="1" customWidth="1"/>
    <col min="3" max="3" width="10" style="2" bestFit="1" customWidth="1"/>
    <col min="4" max="4" width="13.85546875" style="2" bestFit="1" customWidth="1"/>
    <col min="5" max="5" width="8.7109375" style="2" bestFit="1" customWidth="1"/>
    <col min="6" max="6" width="12" style="2" bestFit="1" customWidth="1"/>
    <col min="7" max="8" width="9" style="2" bestFit="1" customWidth="1"/>
    <col min="9" max="10" width="13" style="2" bestFit="1" customWidth="1"/>
    <col min="11" max="11" width="11.42578125" style="2" bestFit="1" customWidth="1"/>
    <col min="12" max="12" width="7.42578125" style="2" bestFit="1" customWidth="1"/>
    <col min="13" max="16384" width="9.140625" style="2"/>
  </cols>
  <sheetData>
    <row r="1" spans="1:12">
      <c r="A1" s="327" t="s">
        <v>8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</row>
    <row r="2" spans="1:12">
      <c r="A2" s="327" t="s">
        <v>258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</row>
    <row r="3" spans="1:12">
      <c r="A3" s="327" t="str">
        <f>+'JAP-23,  p19 Lighting Summary'!A4</f>
        <v>Twelve Months ended December 2010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</row>
    <row r="4" spans="1:12">
      <c r="A4" s="327" t="s">
        <v>281</v>
      </c>
      <c r="B4" s="327"/>
      <c r="C4" s="327"/>
      <c r="D4" s="327"/>
      <c r="E4" s="327"/>
      <c r="F4" s="327"/>
      <c r="G4" s="327"/>
      <c r="H4" s="327"/>
      <c r="I4" s="327"/>
      <c r="J4" s="327"/>
      <c r="K4" s="327"/>
      <c r="L4" s="327"/>
    </row>
    <row r="5" spans="1:12">
      <c r="A5" s="327" t="s">
        <v>282</v>
      </c>
      <c r="B5" s="327"/>
      <c r="C5" s="327"/>
      <c r="D5" s="327"/>
      <c r="E5" s="327"/>
      <c r="F5" s="327"/>
      <c r="G5" s="327"/>
      <c r="H5" s="327"/>
      <c r="I5" s="327"/>
      <c r="J5" s="327"/>
      <c r="K5" s="327"/>
      <c r="L5" s="327"/>
    </row>
    <row r="7" spans="1:12" s="5" customFormat="1" ht="51">
      <c r="A7" s="3" t="s">
        <v>46</v>
      </c>
      <c r="B7" s="3" t="s">
        <v>11</v>
      </c>
      <c r="C7" s="4" t="s">
        <v>261</v>
      </c>
      <c r="D7" s="3" t="s">
        <v>262</v>
      </c>
      <c r="E7" s="3" t="str">
        <f>+'JAP-23,  p20 Sch 003'!E7</f>
        <v>Inventory
@
12-31-10</v>
      </c>
      <c r="F7" s="4" t="str">
        <f>+'JAP-23,  p20 Sch 003'!F7</f>
        <v>Billed kWh
12 Months
ended
12-31-10</v>
      </c>
      <c r="G7" s="4" t="str">
        <f>+'JAP-23,  p20 Sch 003'!G7</f>
        <v>Proforma Base Lamp Charge</v>
      </c>
      <c r="H7" s="4" t="str">
        <f>+'JAP-23,  p20 Sch 003'!H7</f>
        <v>Proposed Lamp Charge</v>
      </c>
      <c r="I7" s="4" t="s">
        <v>265</v>
      </c>
      <c r="J7" s="4" t="s">
        <v>232</v>
      </c>
      <c r="K7" s="3" t="s">
        <v>233</v>
      </c>
      <c r="L7" s="3" t="s">
        <v>157</v>
      </c>
    </row>
    <row r="8" spans="1:12" s="5" customFormat="1">
      <c r="A8" s="167"/>
      <c r="B8" s="167" t="s">
        <v>477</v>
      </c>
      <c r="C8" s="133" t="s">
        <v>478</v>
      </c>
      <c r="D8" s="133" t="s">
        <v>479</v>
      </c>
      <c r="E8" s="133" t="s">
        <v>480</v>
      </c>
      <c r="F8" s="133" t="s">
        <v>481</v>
      </c>
      <c r="G8" s="133" t="s">
        <v>483</v>
      </c>
      <c r="H8" s="133" t="s">
        <v>484</v>
      </c>
      <c r="I8" s="133" t="s">
        <v>485</v>
      </c>
      <c r="J8" s="133" t="s">
        <v>486</v>
      </c>
      <c r="K8" s="133" t="s">
        <v>487</v>
      </c>
      <c r="L8" s="133" t="s">
        <v>488</v>
      </c>
    </row>
    <row r="9" spans="1:12" s="5" customFormat="1">
      <c r="A9" s="167"/>
      <c r="B9" s="167"/>
      <c r="C9" s="133"/>
      <c r="D9" s="133"/>
      <c r="E9" s="133"/>
      <c r="F9" s="133"/>
      <c r="G9" s="133"/>
      <c r="H9" s="133"/>
      <c r="I9" s="133"/>
      <c r="J9" s="133"/>
      <c r="K9" s="133"/>
    </row>
    <row r="10" spans="1:12">
      <c r="A10" s="11">
        <v>1</v>
      </c>
      <c r="B10" s="24" t="s">
        <v>283</v>
      </c>
      <c r="C10" s="18">
        <v>50</v>
      </c>
      <c r="D10" s="18" t="s">
        <v>274</v>
      </c>
      <c r="E10" s="18">
        <v>16</v>
      </c>
      <c r="F10" s="18"/>
      <c r="G10" s="184">
        <v>9.02</v>
      </c>
      <c r="H10" s="184">
        <f>ROUND((+(G10)*(1+$H$39)),2)</f>
        <v>9.74</v>
      </c>
      <c r="I10" s="29">
        <f t="shared" ref="I10:J13" si="0">ROUND(+G10*$E10*12,0)</f>
        <v>1732</v>
      </c>
      <c r="J10" s="29">
        <f t="shared" si="0"/>
        <v>1870</v>
      </c>
      <c r="K10" s="29">
        <f>+J10-I10</f>
        <v>138</v>
      </c>
      <c r="L10" s="185">
        <f>IF(K10=0,"na",+K10/I10)</f>
        <v>7.9676674364896075E-2</v>
      </c>
    </row>
    <row r="11" spans="1:12">
      <c r="A11" s="11">
        <f>+A10+1</f>
        <v>2</v>
      </c>
      <c r="B11" s="10" t="str">
        <f t="shared" ref="B11:B18" si="1">+B10</f>
        <v>53E - Company Owned</v>
      </c>
      <c r="C11" s="18">
        <v>70</v>
      </c>
      <c r="D11" s="18" t="s">
        <v>274</v>
      </c>
      <c r="E11" s="18">
        <v>6273</v>
      </c>
      <c r="F11" s="18"/>
      <c r="G11" s="184">
        <v>10.32</v>
      </c>
      <c r="H11" s="184">
        <f t="shared" ref="H11:H35" si="2">ROUND((+(G11)*(1+$H$39)),2)</f>
        <v>11.15</v>
      </c>
      <c r="I11" s="29">
        <f t="shared" si="0"/>
        <v>776848</v>
      </c>
      <c r="J11" s="29">
        <f t="shared" si="0"/>
        <v>839327</v>
      </c>
      <c r="K11" s="29">
        <f>+J11-I11</f>
        <v>62479</v>
      </c>
      <c r="L11" s="185">
        <f t="shared" ref="L11:L28" si="3">IF(K11=0,"na",+K11/I11)</f>
        <v>8.0426286738203609E-2</v>
      </c>
    </row>
    <row r="12" spans="1:12">
      <c r="A12" s="11">
        <f t="shared" ref="A12:A39" si="4">+A11+1</f>
        <v>3</v>
      </c>
      <c r="B12" s="10" t="str">
        <f t="shared" si="1"/>
        <v>53E - Company Owned</v>
      </c>
      <c r="C12" s="18">
        <v>100</v>
      </c>
      <c r="D12" s="18" t="s">
        <v>274</v>
      </c>
      <c r="E12" s="18">
        <v>46063</v>
      </c>
      <c r="F12" s="18"/>
      <c r="G12" s="184">
        <v>11.63</v>
      </c>
      <c r="H12" s="184">
        <f t="shared" si="2"/>
        <v>12.56</v>
      </c>
      <c r="I12" s="29">
        <f t="shared" si="0"/>
        <v>6428552</v>
      </c>
      <c r="J12" s="29">
        <f t="shared" si="0"/>
        <v>6942615</v>
      </c>
      <c r="K12" s="29">
        <f>+J12-I12</f>
        <v>514063</v>
      </c>
      <c r="L12" s="185">
        <f t="shared" si="3"/>
        <v>7.9965597229360516E-2</v>
      </c>
    </row>
    <row r="13" spans="1:12">
      <c r="A13" s="11">
        <f t="shared" si="4"/>
        <v>4</v>
      </c>
      <c r="B13" s="10" t="str">
        <f t="shared" si="1"/>
        <v>53E - Company Owned</v>
      </c>
      <c r="C13" s="18">
        <v>150</v>
      </c>
      <c r="D13" s="18" t="s">
        <v>274</v>
      </c>
      <c r="E13" s="18">
        <v>5283</v>
      </c>
      <c r="F13" s="18"/>
      <c r="G13" s="184">
        <v>13.790000000000001</v>
      </c>
      <c r="H13" s="184">
        <f>ROUND((+(G13)*(1+$H$39)),2)+0.01</f>
        <v>14.9</v>
      </c>
      <c r="I13" s="29">
        <f t="shared" si="0"/>
        <v>874231</v>
      </c>
      <c r="J13" s="29">
        <f t="shared" si="0"/>
        <v>944600</v>
      </c>
      <c r="K13" s="29">
        <f>+J13-I13</f>
        <v>70369</v>
      </c>
      <c r="L13" s="185">
        <f t="shared" si="3"/>
        <v>8.0492455655313072E-2</v>
      </c>
    </row>
    <row r="14" spans="1:12">
      <c r="A14" s="11">
        <f t="shared" si="4"/>
        <v>5</v>
      </c>
      <c r="B14" s="10" t="str">
        <f t="shared" si="1"/>
        <v>53E - Company Owned</v>
      </c>
      <c r="C14" s="18">
        <v>200</v>
      </c>
      <c r="D14" s="18" t="s">
        <v>274</v>
      </c>
      <c r="E14" s="18">
        <v>7197</v>
      </c>
      <c r="F14" s="18"/>
      <c r="G14" s="184">
        <v>16.54</v>
      </c>
      <c r="H14" s="184">
        <f t="shared" si="2"/>
        <v>17.86</v>
      </c>
      <c r="I14" s="29">
        <f>ROUND(+G14*$E14*12,0)</f>
        <v>1428461</v>
      </c>
      <c r="J14" s="29">
        <f t="shared" ref="J14:J20" si="5">ROUND(+H14*$E14*12,0)</f>
        <v>1542461</v>
      </c>
      <c r="K14" s="29">
        <f t="shared" ref="K14:K20" si="6">+J14-I14</f>
        <v>114000</v>
      </c>
      <c r="L14" s="185">
        <f t="shared" si="3"/>
        <v>7.9806169016865006E-2</v>
      </c>
    </row>
    <row r="15" spans="1:12">
      <c r="A15" s="11">
        <f t="shared" si="4"/>
        <v>6</v>
      </c>
      <c r="B15" s="10" t="str">
        <f t="shared" si="1"/>
        <v>53E - Company Owned</v>
      </c>
      <c r="C15" s="18">
        <v>250</v>
      </c>
      <c r="D15" s="18" t="s">
        <v>274</v>
      </c>
      <c r="E15" s="18">
        <v>2286</v>
      </c>
      <c r="F15" s="18"/>
      <c r="G15" s="184">
        <v>18.61</v>
      </c>
      <c r="H15" s="184">
        <f t="shared" si="2"/>
        <v>20.100000000000001</v>
      </c>
      <c r="I15" s="29">
        <f>ROUND(+G15*$E15*12,0)</f>
        <v>510510</v>
      </c>
      <c r="J15" s="29">
        <f t="shared" si="5"/>
        <v>551383</v>
      </c>
      <c r="K15" s="29">
        <f t="shared" si="6"/>
        <v>40873</v>
      </c>
      <c r="L15" s="185">
        <f t="shared" si="3"/>
        <v>8.0063074180721241E-2</v>
      </c>
    </row>
    <row r="16" spans="1:12">
      <c r="A16" s="11">
        <f t="shared" si="4"/>
        <v>7</v>
      </c>
      <c r="B16" s="10" t="str">
        <f t="shared" si="1"/>
        <v>53E - Company Owned</v>
      </c>
      <c r="C16" s="18">
        <v>310</v>
      </c>
      <c r="D16" s="18" t="s">
        <v>274</v>
      </c>
      <c r="E16" s="18">
        <v>23</v>
      </c>
      <c r="F16" s="18"/>
      <c r="G16" s="184">
        <v>21.52</v>
      </c>
      <c r="H16" s="184">
        <f t="shared" si="2"/>
        <v>23.24</v>
      </c>
      <c r="I16" s="29">
        <f>ROUND(+G16*$E16*12,0)</f>
        <v>5940</v>
      </c>
      <c r="J16" s="29">
        <f t="shared" si="5"/>
        <v>6414</v>
      </c>
      <c r="K16" s="29">
        <f t="shared" si="6"/>
        <v>474</v>
      </c>
      <c r="L16" s="185">
        <f t="shared" si="3"/>
        <v>7.9797979797979798E-2</v>
      </c>
    </row>
    <row r="17" spans="1:12">
      <c r="A17" s="11">
        <f t="shared" si="4"/>
        <v>8</v>
      </c>
      <c r="B17" s="10" t="str">
        <f t="shared" si="1"/>
        <v>53E - Company Owned</v>
      </c>
      <c r="C17" s="18">
        <v>400</v>
      </c>
      <c r="D17" s="18" t="s">
        <v>274</v>
      </c>
      <c r="E17" s="18">
        <v>1276</v>
      </c>
      <c r="F17" s="18"/>
      <c r="G17" s="184">
        <v>25.16</v>
      </c>
      <c r="H17" s="184">
        <f t="shared" si="2"/>
        <v>27.17</v>
      </c>
      <c r="I17" s="29">
        <f>ROUND(+G17*$E17*12,0)</f>
        <v>385250</v>
      </c>
      <c r="J17" s="29">
        <f t="shared" si="5"/>
        <v>416027</v>
      </c>
      <c r="K17" s="29">
        <f t="shared" si="6"/>
        <v>30777</v>
      </c>
      <c r="L17" s="185">
        <f t="shared" si="3"/>
        <v>7.9888384166125898E-2</v>
      </c>
    </row>
    <row r="18" spans="1:12">
      <c r="A18" s="11">
        <f t="shared" si="4"/>
        <v>9</v>
      </c>
      <c r="B18" s="10" t="str">
        <f t="shared" si="1"/>
        <v>53E - Company Owned</v>
      </c>
      <c r="C18" s="18">
        <v>1000</v>
      </c>
      <c r="D18" s="18" t="s">
        <v>274</v>
      </c>
      <c r="E18" s="18">
        <v>0</v>
      </c>
      <c r="F18" s="18"/>
      <c r="G18" s="184">
        <v>55.77</v>
      </c>
      <c r="H18" s="184">
        <f t="shared" si="2"/>
        <v>60.23</v>
      </c>
      <c r="I18" s="29">
        <f>ROUND(+G18*$E18*12,0)</f>
        <v>0</v>
      </c>
      <c r="J18" s="29">
        <f t="shared" si="5"/>
        <v>0</v>
      </c>
      <c r="K18" s="29">
        <f t="shared" si="6"/>
        <v>0</v>
      </c>
      <c r="L18" s="185" t="str">
        <f t="shared" si="3"/>
        <v>na</v>
      </c>
    </row>
    <row r="19" spans="1:12">
      <c r="A19" s="11">
        <f t="shared" si="4"/>
        <v>10</v>
      </c>
      <c r="B19" s="10"/>
      <c r="C19" s="18"/>
      <c r="D19" s="18"/>
      <c r="E19" s="18"/>
      <c r="F19" s="18"/>
      <c r="G19" s="74"/>
      <c r="H19" s="74"/>
      <c r="I19" s="29"/>
      <c r="J19" s="29"/>
      <c r="K19" s="29"/>
      <c r="L19" s="21"/>
    </row>
    <row r="20" spans="1:12">
      <c r="A20" s="11">
        <f t="shared" si="4"/>
        <v>11</v>
      </c>
      <c r="B20" s="24" t="s">
        <v>284</v>
      </c>
      <c r="C20" s="18">
        <v>50</v>
      </c>
      <c r="D20" s="18" t="s">
        <v>274</v>
      </c>
      <c r="E20" s="18">
        <v>14</v>
      </c>
      <c r="F20" s="18"/>
      <c r="G20" s="184">
        <v>4.09</v>
      </c>
      <c r="H20" s="184">
        <f t="shared" si="2"/>
        <v>4.42</v>
      </c>
      <c r="I20" s="29">
        <f t="shared" ref="I20:I28" si="7">ROUND(+G20*$E20*12,0)</f>
        <v>687</v>
      </c>
      <c r="J20" s="29">
        <f t="shared" si="5"/>
        <v>743</v>
      </c>
      <c r="K20" s="29">
        <f t="shared" si="6"/>
        <v>56</v>
      </c>
      <c r="L20" s="185">
        <f t="shared" si="3"/>
        <v>8.1513828238719069E-2</v>
      </c>
    </row>
    <row r="21" spans="1:12">
      <c r="A21" s="11">
        <f t="shared" si="4"/>
        <v>12</v>
      </c>
      <c r="B21" s="10" t="str">
        <f t="shared" ref="B21:B28" si="8">+B20</f>
        <v>53E - Customer Owned</v>
      </c>
      <c r="C21" s="18">
        <v>70</v>
      </c>
      <c r="D21" s="18" t="s">
        <v>274</v>
      </c>
      <c r="E21" s="18">
        <v>135</v>
      </c>
      <c r="F21" s="18"/>
      <c r="G21" s="184">
        <v>5.0999999999999996</v>
      </c>
      <c r="H21" s="184">
        <f t="shared" si="2"/>
        <v>5.51</v>
      </c>
      <c r="I21" s="29">
        <f t="shared" si="7"/>
        <v>8262</v>
      </c>
      <c r="J21" s="29">
        <f t="shared" ref="J21:J28" si="9">ROUND(+H21*$E21*12,0)</f>
        <v>8926</v>
      </c>
      <c r="K21" s="29">
        <f t="shared" ref="K21:K28" si="10">+J21-I21</f>
        <v>664</v>
      </c>
      <c r="L21" s="185">
        <f t="shared" si="3"/>
        <v>8.0367949648995407E-2</v>
      </c>
    </row>
    <row r="22" spans="1:12">
      <c r="A22" s="11">
        <f t="shared" si="4"/>
        <v>13</v>
      </c>
      <c r="B22" s="10" t="str">
        <f t="shared" si="8"/>
        <v>53E - Customer Owned</v>
      </c>
      <c r="C22" s="18">
        <v>100</v>
      </c>
      <c r="D22" s="18" t="s">
        <v>274</v>
      </c>
      <c r="E22" s="18">
        <v>591</v>
      </c>
      <c r="F22" s="18"/>
      <c r="G22" s="184">
        <v>6.27</v>
      </c>
      <c r="H22" s="184">
        <f t="shared" si="2"/>
        <v>6.77</v>
      </c>
      <c r="I22" s="29">
        <f t="shared" si="7"/>
        <v>44467</v>
      </c>
      <c r="J22" s="29">
        <f t="shared" si="9"/>
        <v>48013</v>
      </c>
      <c r="K22" s="29">
        <f t="shared" si="10"/>
        <v>3546</v>
      </c>
      <c r="L22" s="185">
        <f t="shared" si="3"/>
        <v>7.9744529651202017E-2</v>
      </c>
    </row>
    <row r="23" spans="1:12">
      <c r="A23" s="11">
        <f t="shared" si="4"/>
        <v>14</v>
      </c>
      <c r="B23" s="10" t="str">
        <f t="shared" si="8"/>
        <v>53E - Customer Owned</v>
      </c>
      <c r="C23" s="18">
        <v>150</v>
      </c>
      <c r="D23" s="18" t="s">
        <v>274</v>
      </c>
      <c r="E23" s="18">
        <v>391</v>
      </c>
      <c r="F23" s="18"/>
      <c r="G23" s="184">
        <v>8.1999999999999993</v>
      </c>
      <c r="H23" s="184">
        <f t="shared" si="2"/>
        <v>8.86</v>
      </c>
      <c r="I23" s="29">
        <f t="shared" si="7"/>
        <v>38474</v>
      </c>
      <c r="J23" s="29">
        <f t="shared" si="9"/>
        <v>41571</v>
      </c>
      <c r="K23" s="29">
        <f t="shared" si="10"/>
        <v>3097</v>
      </c>
      <c r="L23" s="185">
        <f t="shared" si="3"/>
        <v>8.0495919322139634E-2</v>
      </c>
    </row>
    <row r="24" spans="1:12">
      <c r="A24" s="11">
        <f t="shared" si="4"/>
        <v>15</v>
      </c>
      <c r="B24" s="10" t="str">
        <f t="shared" si="8"/>
        <v>53E - Customer Owned</v>
      </c>
      <c r="C24" s="18">
        <v>200</v>
      </c>
      <c r="D24" s="18" t="s">
        <v>274</v>
      </c>
      <c r="E24" s="18">
        <v>1503</v>
      </c>
      <c r="F24" s="18"/>
      <c r="G24" s="184">
        <v>10.119999999999999</v>
      </c>
      <c r="H24" s="184">
        <f t="shared" si="2"/>
        <v>10.93</v>
      </c>
      <c r="I24" s="29">
        <f t="shared" si="7"/>
        <v>182524</v>
      </c>
      <c r="J24" s="29">
        <f t="shared" si="9"/>
        <v>197133</v>
      </c>
      <c r="K24" s="29">
        <f t="shared" si="10"/>
        <v>14609</v>
      </c>
      <c r="L24" s="185">
        <f t="shared" si="3"/>
        <v>8.0038789419473608E-2</v>
      </c>
    </row>
    <row r="25" spans="1:12">
      <c r="A25" s="11">
        <f t="shared" si="4"/>
        <v>16</v>
      </c>
      <c r="B25" s="10" t="str">
        <f t="shared" si="8"/>
        <v>53E - Customer Owned</v>
      </c>
      <c r="C25" s="18">
        <v>250</v>
      </c>
      <c r="D25" s="18" t="s">
        <v>274</v>
      </c>
      <c r="E25" s="18">
        <v>824</v>
      </c>
      <c r="F25" s="18"/>
      <c r="G25" s="184">
        <v>12.12</v>
      </c>
      <c r="H25" s="184">
        <f t="shared" si="2"/>
        <v>13.09</v>
      </c>
      <c r="I25" s="29">
        <f t="shared" si="7"/>
        <v>119843</v>
      </c>
      <c r="J25" s="29">
        <f t="shared" si="9"/>
        <v>129434</v>
      </c>
      <c r="K25" s="29">
        <f t="shared" si="10"/>
        <v>9591</v>
      </c>
      <c r="L25" s="185">
        <f t="shared" si="3"/>
        <v>8.002970553140358E-2</v>
      </c>
    </row>
    <row r="26" spans="1:12">
      <c r="A26" s="11">
        <f t="shared" si="4"/>
        <v>17</v>
      </c>
      <c r="B26" s="10" t="str">
        <f t="shared" si="8"/>
        <v>53E - Customer Owned</v>
      </c>
      <c r="C26" s="18">
        <v>310</v>
      </c>
      <c r="D26" s="18" t="s">
        <v>274</v>
      </c>
      <c r="E26" s="18">
        <v>36</v>
      </c>
      <c r="F26" s="18"/>
      <c r="G26" s="184">
        <v>14.6</v>
      </c>
      <c r="H26" s="184">
        <f t="shared" si="2"/>
        <v>15.77</v>
      </c>
      <c r="I26" s="29">
        <f t="shared" si="7"/>
        <v>6307</v>
      </c>
      <c r="J26" s="29">
        <f t="shared" si="9"/>
        <v>6813</v>
      </c>
      <c r="K26" s="29">
        <f t="shared" si="10"/>
        <v>506</v>
      </c>
      <c r="L26" s="185">
        <f t="shared" si="3"/>
        <v>8.0228317742191219E-2</v>
      </c>
    </row>
    <row r="27" spans="1:12">
      <c r="A27" s="11">
        <f t="shared" si="4"/>
        <v>18</v>
      </c>
      <c r="B27" s="10" t="str">
        <f t="shared" si="8"/>
        <v>53E - Customer Owned</v>
      </c>
      <c r="C27" s="18">
        <v>400</v>
      </c>
      <c r="D27" s="18" t="s">
        <v>274</v>
      </c>
      <c r="E27" s="18">
        <v>1817</v>
      </c>
      <c r="F27" s="18"/>
      <c r="G27" s="184">
        <v>17.649999999999999</v>
      </c>
      <c r="H27" s="184">
        <f t="shared" si="2"/>
        <v>19.059999999999999</v>
      </c>
      <c r="I27" s="29">
        <f t="shared" si="7"/>
        <v>384841</v>
      </c>
      <c r="J27" s="29">
        <f t="shared" si="9"/>
        <v>415584</v>
      </c>
      <c r="K27" s="29">
        <f t="shared" si="10"/>
        <v>30743</v>
      </c>
      <c r="L27" s="185">
        <f t="shared" si="3"/>
        <v>7.9884939494492532E-2</v>
      </c>
    </row>
    <row r="28" spans="1:12">
      <c r="A28" s="11">
        <f t="shared" si="4"/>
        <v>19</v>
      </c>
      <c r="B28" s="10" t="str">
        <f t="shared" si="8"/>
        <v>53E - Customer Owned</v>
      </c>
      <c r="C28" s="18">
        <v>1000</v>
      </c>
      <c r="D28" s="18" t="s">
        <v>274</v>
      </c>
      <c r="E28" s="18">
        <v>1</v>
      </c>
      <c r="F28" s="18"/>
      <c r="G28" s="184">
        <v>42.7</v>
      </c>
      <c r="H28" s="184">
        <f t="shared" si="2"/>
        <v>46.12</v>
      </c>
      <c r="I28" s="29">
        <f t="shared" si="7"/>
        <v>512</v>
      </c>
      <c r="J28" s="29">
        <f t="shared" si="9"/>
        <v>553</v>
      </c>
      <c r="K28" s="29">
        <f t="shared" si="10"/>
        <v>41</v>
      </c>
      <c r="L28" s="185">
        <f t="shared" si="3"/>
        <v>8.0078125E-2</v>
      </c>
    </row>
    <row r="29" spans="1:12">
      <c r="A29" s="11">
        <f t="shared" si="4"/>
        <v>20</v>
      </c>
      <c r="B29" s="10"/>
      <c r="C29" s="18"/>
      <c r="D29" s="18"/>
      <c r="E29" s="18"/>
      <c r="F29" s="18"/>
      <c r="G29" s="184"/>
      <c r="H29" s="184"/>
      <c r="I29" s="29"/>
      <c r="J29" s="29"/>
      <c r="K29" s="29"/>
      <c r="L29" s="185"/>
    </row>
    <row r="30" spans="1:12">
      <c r="A30" s="11">
        <f t="shared" si="4"/>
        <v>21</v>
      </c>
      <c r="B30" s="10" t="str">
        <f>+B28</f>
        <v>53E - Customer Owned</v>
      </c>
      <c r="C30" s="18">
        <v>70</v>
      </c>
      <c r="D30" s="18" t="s">
        <v>285</v>
      </c>
      <c r="E30" s="18">
        <v>0</v>
      </c>
      <c r="F30" s="18"/>
      <c r="G30" s="184">
        <v>9.09</v>
      </c>
      <c r="H30" s="184">
        <f t="shared" si="2"/>
        <v>9.82</v>
      </c>
      <c r="I30" s="29">
        <f t="shared" ref="I30:I35" si="11">ROUND(+G30*$E30*12,0)</f>
        <v>0</v>
      </c>
      <c r="J30" s="29">
        <f t="shared" ref="J30:J35" si="12">ROUND(+H30*$E30*12,0)</f>
        <v>0</v>
      </c>
      <c r="K30" s="29">
        <f t="shared" ref="K30:K35" si="13">+J30-I30</f>
        <v>0</v>
      </c>
      <c r="L30" s="185" t="str">
        <f t="shared" ref="L30:L35" si="14">IF(K30=0,"na",+K30/I30)</f>
        <v>na</v>
      </c>
    </row>
    <row r="31" spans="1:12">
      <c r="A31" s="11">
        <f t="shared" si="4"/>
        <v>22</v>
      </c>
      <c r="B31" s="10" t="str">
        <f>+B30</f>
        <v>53E - Customer Owned</v>
      </c>
      <c r="C31" s="18">
        <v>100</v>
      </c>
      <c r="D31" s="18" t="s">
        <v>285</v>
      </c>
      <c r="E31" s="18">
        <v>0</v>
      </c>
      <c r="F31" s="18"/>
      <c r="G31" s="184">
        <v>9.9600000000000009</v>
      </c>
      <c r="H31" s="184">
        <f t="shared" si="2"/>
        <v>10.76</v>
      </c>
      <c r="I31" s="29">
        <f t="shared" si="11"/>
        <v>0</v>
      </c>
      <c r="J31" s="29">
        <f t="shared" si="12"/>
        <v>0</v>
      </c>
      <c r="K31" s="29">
        <f t="shared" si="13"/>
        <v>0</v>
      </c>
      <c r="L31" s="185" t="str">
        <f t="shared" si="14"/>
        <v>na</v>
      </c>
    </row>
    <row r="32" spans="1:12">
      <c r="A32" s="11">
        <f t="shared" si="4"/>
        <v>23</v>
      </c>
      <c r="B32" s="10" t="str">
        <f>+B31</f>
        <v>53E - Customer Owned</v>
      </c>
      <c r="C32" s="18">
        <v>150</v>
      </c>
      <c r="D32" s="18" t="s">
        <v>285</v>
      </c>
      <c r="E32" s="18">
        <v>0</v>
      </c>
      <c r="F32" s="18"/>
      <c r="G32" s="184">
        <v>12.07</v>
      </c>
      <c r="H32" s="184">
        <f t="shared" si="2"/>
        <v>13.04</v>
      </c>
      <c r="I32" s="29">
        <f t="shared" si="11"/>
        <v>0</v>
      </c>
      <c r="J32" s="29">
        <f t="shared" si="12"/>
        <v>0</v>
      </c>
      <c r="K32" s="29">
        <f t="shared" si="13"/>
        <v>0</v>
      </c>
      <c r="L32" s="185" t="str">
        <f t="shared" si="14"/>
        <v>na</v>
      </c>
    </row>
    <row r="33" spans="1:12">
      <c r="A33" s="11">
        <f t="shared" si="4"/>
        <v>24</v>
      </c>
      <c r="B33" s="10" t="str">
        <f>+B32</f>
        <v>53E - Customer Owned</v>
      </c>
      <c r="C33" s="18">
        <v>175</v>
      </c>
      <c r="D33" s="18" t="s">
        <v>285</v>
      </c>
      <c r="E33" s="18">
        <v>4</v>
      </c>
      <c r="F33" s="18"/>
      <c r="G33" s="184">
        <v>15.54</v>
      </c>
      <c r="H33" s="184">
        <f t="shared" si="2"/>
        <v>16.78</v>
      </c>
      <c r="I33" s="29">
        <f t="shared" si="11"/>
        <v>746</v>
      </c>
      <c r="J33" s="29">
        <f t="shared" si="12"/>
        <v>805</v>
      </c>
      <c r="K33" s="29">
        <f t="shared" si="13"/>
        <v>59</v>
      </c>
      <c r="L33" s="185">
        <f t="shared" si="14"/>
        <v>7.9088471849865949E-2</v>
      </c>
    </row>
    <row r="34" spans="1:12">
      <c r="A34" s="11">
        <f t="shared" si="4"/>
        <v>25</v>
      </c>
      <c r="B34" s="10" t="str">
        <f>+B33</f>
        <v>53E - Customer Owned</v>
      </c>
      <c r="C34" s="18">
        <v>250</v>
      </c>
      <c r="D34" s="18" t="s">
        <v>285</v>
      </c>
      <c r="E34" s="18">
        <v>0</v>
      </c>
      <c r="F34" s="18"/>
      <c r="G34" s="184">
        <v>16.05</v>
      </c>
      <c r="H34" s="184">
        <f t="shared" si="2"/>
        <v>17.329999999999998</v>
      </c>
      <c r="I34" s="29">
        <f t="shared" si="11"/>
        <v>0</v>
      </c>
      <c r="J34" s="29">
        <f t="shared" si="12"/>
        <v>0</v>
      </c>
      <c r="K34" s="29">
        <f t="shared" si="13"/>
        <v>0</v>
      </c>
      <c r="L34" s="185" t="str">
        <f t="shared" si="14"/>
        <v>na</v>
      </c>
    </row>
    <row r="35" spans="1:12">
      <c r="A35" s="11">
        <f t="shared" si="4"/>
        <v>26</v>
      </c>
      <c r="B35" s="10" t="str">
        <f>+B34</f>
        <v>53E - Customer Owned</v>
      </c>
      <c r="C35" s="18">
        <v>400</v>
      </c>
      <c r="D35" s="18" t="s">
        <v>285</v>
      </c>
      <c r="E35" s="18">
        <v>0</v>
      </c>
      <c r="F35" s="18"/>
      <c r="G35" s="184">
        <v>18.05</v>
      </c>
      <c r="H35" s="184">
        <f t="shared" si="2"/>
        <v>19.489999999999998</v>
      </c>
      <c r="I35" s="29">
        <f t="shared" si="11"/>
        <v>0</v>
      </c>
      <c r="J35" s="29">
        <f t="shared" si="12"/>
        <v>0</v>
      </c>
      <c r="K35" s="29">
        <f t="shared" si="13"/>
        <v>0</v>
      </c>
      <c r="L35" s="185" t="str">
        <f t="shared" si="14"/>
        <v>na</v>
      </c>
    </row>
    <row r="36" spans="1:12">
      <c r="A36" s="11">
        <f t="shared" si="4"/>
        <v>27</v>
      </c>
      <c r="B36" s="10"/>
      <c r="C36" s="18"/>
      <c r="D36" s="18"/>
      <c r="E36" s="18"/>
      <c r="F36" s="18"/>
      <c r="G36" s="74"/>
      <c r="H36" s="74"/>
      <c r="I36" s="29"/>
      <c r="J36" s="29"/>
      <c r="K36" s="29"/>
      <c r="L36" s="21"/>
    </row>
    <row r="37" spans="1:12" ht="13.5" thickBot="1">
      <c r="A37" s="11">
        <f t="shared" si="4"/>
        <v>28</v>
      </c>
      <c r="C37" s="18"/>
      <c r="D37" s="18"/>
      <c r="E37" s="34">
        <f>SUM(E10:E35)</f>
        <v>73733</v>
      </c>
      <c r="F37" s="34">
        <f>+'JAP-23,  p19 Lighting Summary'!D17</f>
        <v>47931648.587399997</v>
      </c>
      <c r="G37" s="74"/>
      <c r="H37" s="74"/>
      <c r="I37" s="35">
        <f>SUM(I10:I35)</f>
        <v>11198187</v>
      </c>
      <c r="J37" s="35">
        <f>SUM(J10:J35)</f>
        <v>12094272</v>
      </c>
      <c r="K37" s="35">
        <f>SUM(K10:K35)</f>
        <v>896085</v>
      </c>
      <c r="L37" s="64">
        <f>+K37/I37</f>
        <v>8.0020542611049447E-2</v>
      </c>
    </row>
    <row r="38" spans="1:12" ht="13.5" thickTop="1">
      <c r="A38" s="11">
        <f t="shared" si="4"/>
        <v>29</v>
      </c>
      <c r="C38" s="18"/>
      <c r="D38" s="18"/>
      <c r="E38" s="18"/>
      <c r="F38" s="18"/>
      <c r="G38" s="74"/>
      <c r="H38" s="74"/>
      <c r="L38" s="21"/>
    </row>
    <row r="39" spans="1:12">
      <c r="A39" s="11">
        <f t="shared" si="4"/>
        <v>30</v>
      </c>
      <c r="B39" s="2" t="str">
        <f>+'JAP-23,  p20 Sch 003'!$B$14</f>
        <v>Proposed Increase</v>
      </c>
      <c r="H39" s="115">
        <f>+'JAP-23,  p19 Lighting Summary'!$G$29</f>
        <v>8.0032863059986387E-2</v>
      </c>
    </row>
    <row r="42" spans="1:12" hidden="1">
      <c r="B42" s="24">
        <f>+'JAP-23,  p20 Sch 003'!$B$16</f>
        <v>0</v>
      </c>
      <c r="I42" s="29" t="e">
        <f>(SUMPRODUCT(E10:E18,#REF!)+SUMPRODUCT(E20:E28,#REF!))*12</f>
        <v>#REF!</v>
      </c>
    </row>
    <row r="43" spans="1:12">
      <c r="I43" s="156"/>
    </row>
  </sheetData>
  <mergeCells count="5">
    <mergeCell ref="A5:L5"/>
    <mergeCell ref="A1:L1"/>
    <mergeCell ref="A2:L2"/>
    <mergeCell ref="A3:L3"/>
    <mergeCell ref="A4:L4"/>
  </mergeCells>
  <phoneticPr fontId="0" type="noConversion"/>
  <printOptions horizontalCentered="1"/>
  <pageMargins left="0.25" right="0.25" top="1" bottom="1.2" header="0.5" footer="0.5"/>
  <pageSetup scale="80" orientation="landscape" r:id="rId1"/>
  <headerFooter alignWithMargins="0">
    <oddFooter>&amp;R&amp;"Times New Roman,Regular"Exhibit No.___(JAP-23)
Page 26 of 49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dimension ref="A1:L31"/>
  <sheetViews>
    <sheetView zoomScaleNormal="100" workbookViewId="0">
      <selection sqref="A1:L20"/>
    </sheetView>
  </sheetViews>
  <sheetFormatPr defaultRowHeight="12.75"/>
  <cols>
    <col min="1" max="1" width="5.28515625" style="2" customWidth="1"/>
    <col min="2" max="2" width="20.28515625" style="2" bestFit="1" customWidth="1"/>
    <col min="3" max="3" width="9.85546875" style="2" bestFit="1" customWidth="1"/>
    <col min="4" max="4" width="13.85546875" style="2" bestFit="1" customWidth="1"/>
    <col min="5" max="5" width="8.28515625" style="2" bestFit="1" customWidth="1"/>
    <col min="6" max="6" width="11.28515625" style="2" bestFit="1" customWidth="1"/>
    <col min="7" max="7" width="8.42578125" style="2" bestFit="1" customWidth="1"/>
    <col min="8" max="8" width="8.85546875" style="2" bestFit="1" customWidth="1"/>
    <col min="9" max="9" width="12.28515625" style="2" bestFit="1" customWidth="1"/>
    <col min="10" max="10" width="11.28515625" style="2" bestFit="1" customWidth="1"/>
    <col min="11" max="11" width="9.7109375" style="2" bestFit="1" customWidth="1"/>
    <col min="12" max="12" width="7.28515625" style="2" bestFit="1" customWidth="1"/>
    <col min="13" max="16384" width="9.140625" style="2"/>
  </cols>
  <sheetData>
    <row r="1" spans="1:12">
      <c r="A1" s="327" t="s">
        <v>8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</row>
    <row r="2" spans="1:12">
      <c r="A2" s="327" t="s">
        <v>258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</row>
    <row r="3" spans="1:12">
      <c r="A3" s="327" t="str">
        <f>+'JAP-23,  p19 Lighting Summary'!A4</f>
        <v>Twelve Months ended December 2010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</row>
    <row r="4" spans="1:12">
      <c r="A4" s="327" t="s">
        <v>286</v>
      </c>
      <c r="B4" s="327"/>
      <c r="C4" s="327"/>
      <c r="D4" s="327"/>
      <c r="E4" s="327"/>
      <c r="F4" s="327"/>
      <c r="G4" s="327"/>
      <c r="H4" s="327"/>
      <c r="I4" s="327"/>
      <c r="J4" s="327"/>
      <c r="K4" s="327"/>
      <c r="L4" s="327"/>
    </row>
    <row r="5" spans="1:12">
      <c r="A5" s="327" t="s">
        <v>287</v>
      </c>
      <c r="B5" s="327"/>
      <c r="C5" s="327"/>
      <c r="D5" s="327"/>
      <c r="E5" s="327"/>
      <c r="F5" s="327"/>
      <c r="G5" s="327"/>
      <c r="H5" s="327"/>
      <c r="I5" s="327"/>
      <c r="J5" s="327"/>
      <c r="K5" s="327"/>
      <c r="L5" s="327"/>
    </row>
    <row r="7" spans="1:12" s="5" customFormat="1" ht="51">
      <c r="A7" s="3" t="s">
        <v>46</v>
      </c>
      <c r="B7" s="3" t="s">
        <v>11</v>
      </c>
      <c r="C7" s="4" t="s">
        <v>261</v>
      </c>
      <c r="D7" s="3" t="s">
        <v>262</v>
      </c>
      <c r="E7" s="3" t="str">
        <f>+'JAP-23,  p20 Sch 003'!E7</f>
        <v>Inventory
@
12-31-10</v>
      </c>
      <c r="F7" s="4" t="str">
        <f>+'JAP-23,  p20 Sch 003'!F7</f>
        <v>Billed kWh
12 Months
ended
12-31-10</v>
      </c>
      <c r="G7" s="4" t="str">
        <f>+'JAP-23,  p20 Sch 003'!G7</f>
        <v>Proforma Base Lamp Charge</v>
      </c>
      <c r="H7" s="4" t="str">
        <f>+'JAP-23,  p20 Sch 003'!H7</f>
        <v>Proposed Lamp Charge</v>
      </c>
      <c r="I7" s="4" t="s">
        <v>265</v>
      </c>
      <c r="J7" s="4" t="s">
        <v>232</v>
      </c>
      <c r="K7" s="3" t="s">
        <v>233</v>
      </c>
      <c r="L7" s="3" t="s">
        <v>157</v>
      </c>
    </row>
    <row r="8" spans="1:12" s="5" customFormat="1">
      <c r="A8" s="167"/>
      <c r="B8" s="167" t="s">
        <v>477</v>
      </c>
      <c r="C8" s="133" t="s">
        <v>478</v>
      </c>
      <c r="D8" s="133" t="s">
        <v>479</v>
      </c>
      <c r="E8" s="133" t="s">
        <v>480</v>
      </c>
      <c r="F8" s="133" t="s">
        <v>481</v>
      </c>
      <c r="G8" s="133" t="s">
        <v>483</v>
      </c>
      <c r="H8" s="133" t="s">
        <v>484</v>
      </c>
      <c r="I8" s="133" t="s">
        <v>485</v>
      </c>
      <c r="J8" s="133" t="s">
        <v>486</v>
      </c>
      <c r="K8" s="133" t="s">
        <v>487</v>
      </c>
      <c r="L8" s="133" t="s">
        <v>488</v>
      </c>
    </row>
    <row r="9" spans="1:12" s="5" customFormat="1">
      <c r="A9" s="167"/>
      <c r="B9" s="167"/>
      <c r="C9" s="133"/>
      <c r="D9" s="133"/>
      <c r="E9" s="133"/>
      <c r="F9" s="133"/>
      <c r="G9" s="133"/>
      <c r="H9" s="133"/>
      <c r="I9" s="133"/>
      <c r="J9" s="133"/>
      <c r="K9" s="133"/>
    </row>
    <row r="10" spans="1:12">
      <c r="A10" s="11">
        <v>1</v>
      </c>
      <c r="B10" s="24" t="s">
        <v>288</v>
      </c>
      <c r="C10" s="18">
        <v>50</v>
      </c>
      <c r="D10" s="18" t="s">
        <v>274</v>
      </c>
      <c r="E10" s="18">
        <v>204</v>
      </c>
      <c r="F10" s="18"/>
      <c r="G10" s="184">
        <v>2.0099999999999998</v>
      </c>
      <c r="H10" s="184">
        <f>ROUND((G10)*(1+$H$22),2)</f>
        <v>2.17</v>
      </c>
      <c r="I10" s="29">
        <f>ROUND(+G10*$E10*12,0)</f>
        <v>4920</v>
      </c>
      <c r="J10" s="29">
        <f t="shared" ref="J10:J18" si="0">ROUND(+H10*$E10*12,0)</f>
        <v>5312</v>
      </c>
      <c r="K10" s="29">
        <f t="shared" ref="K10:K18" si="1">+J10-I10</f>
        <v>392</v>
      </c>
      <c r="L10" s="21">
        <f t="shared" ref="L10:L18" si="2">+K10/I10</f>
        <v>7.9674796747967486E-2</v>
      </c>
    </row>
    <row r="11" spans="1:12">
      <c r="A11" s="11">
        <f>+A10+1</f>
        <v>2</v>
      </c>
      <c r="B11" s="10" t="str">
        <f t="shared" ref="B11:B18" si="3">+B10</f>
        <v>54E - Customer Owned</v>
      </c>
      <c r="C11" s="18">
        <v>70</v>
      </c>
      <c r="D11" s="18" t="s">
        <v>274</v>
      </c>
      <c r="E11" s="18">
        <v>999</v>
      </c>
      <c r="F11" s="18"/>
      <c r="G11" s="184">
        <v>2.93</v>
      </c>
      <c r="H11" s="184">
        <f t="shared" ref="H11:H18" si="4">ROUND((G11)*(1+$H$22),2)</f>
        <v>3.16</v>
      </c>
      <c r="I11" s="29">
        <f t="shared" ref="I11:I18" si="5">ROUND(+G11*$E11*12,0)</f>
        <v>35125</v>
      </c>
      <c r="J11" s="29">
        <f t="shared" si="0"/>
        <v>37882</v>
      </c>
      <c r="K11" s="29">
        <f t="shared" si="1"/>
        <v>2757</v>
      </c>
      <c r="L11" s="21">
        <f t="shared" si="2"/>
        <v>7.8491103202846982E-2</v>
      </c>
    </row>
    <row r="12" spans="1:12">
      <c r="A12" s="11">
        <f t="shared" ref="A12:A22" si="6">+A11+1</f>
        <v>3</v>
      </c>
      <c r="B12" s="10" t="str">
        <f t="shared" si="3"/>
        <v>54E - Customer Owned</v>
      </c>
      <c r="C12" s="18">
        <v>100</v>
      </c>
      <c r="D12" s="18" t="s">
        <v>274</v>
      </c>
      <c r="E12" s="18">
        <v>2345</v>
      </c>
      <c r="F12" s="18"/>
      <c r="G12" s="184">
        <v>4.13</v>
      </c>
      <c r="H12" s="184">
        <f t="shared" si="4"/>
        <v>4.46</v>
      </c>
      <c r="I12" s="29">
        <f t="shared" si="5"/>
        <v>116218</v>
      </c>
      <c r="J12" s="29">
        <f t="shared" si="0"/>
        <v>125504</v>
      </c>
      <c r="K12" s="29">
        <f t="shared" si="1"/>
        <v>9286</v>
      </c>
      <c r="L12" s="21">
        <f t="shared" si="2"/>
        <v>7.9901564301571179E-2</v>
      </c>
    </row>
    <row r="13" spans="1:12">
      <c r="A13" s="11">
        <f t="shared" si="6"/>
        <v>4</v>
      </c>
      <c r="B13" s="10" t="str">
        <f t="shared" si="3"/>
        <v>54E - Customer Owned</v>
      </c>
      <c r="C13" s="18">
        <v>150</v>
      </c>
      <c r="D13" s="18" t="s">
        <v>274</v>
      </c>
      <c r="E13" s="18">
        <v>1051</v>
      </c>
      <c r="F13" s="18"/>
      <c r="G13" s="184">
        <v>6</v>
      </c>
      <c r="H13" s="184">
        <f t="shared" si="4"/>
        <v>6.48</v>
      </c>
      <c r="I13" s="29">
        <f t="shared" si="5"/>
        <v>75672</v>
      </c>
      <c r="J13" s="29">
        <f t="shared" si="0"/>
        <v>81726</v>
      </c>
      <c r="K13" s="29">
        <f t="shared" si="1"/>
        <v>6054</v>
      </c>
      <c r="L13" s="21">
        <f t="shared" si="2"/>
        <v>8.0003171582619728E-2</v>
      </c>
    </row>
    <row r="14" spans="1:12">
      <c r="A14" s="11">
        <f t="shared" si="6"/>
        <v>5</v>
      </c>
      <c r="B14" s="10" t="str">
        <f t="shared" si="3"/>
        <v>54E - Customer Owned</v>
      </c>
      <c r="C14" s="18">
        <v>200</v>
      </c>
      <c r="D14" s="18" t="s">
        <v>274</v>
      </c>
      <c r="E14" s="18">
        <v>1823</v>
      </c>
      <c r="F14" s="18"/>
      <c r="G14" s="184">
        <v>7.95</v>
      </c>
      <c r="H14" s="184">
        <f t="shared" si="4"/>
        <v>8.59</v>
      </c>
      <c r="I14" s="29">
        <f t="shared" si="5"/>
        <v>173914</v>
      </c>
      <c r="J14" s="29">
        <f t="shared" si="0"/>
        <v>187915</v>
      </c>
      <c r="K14" s="29">
        <f t="shared" si="1"/>
        <v>14001</v>
      </c>
      <c r="L14" s="21">
        <f t="shared" si="2"/>
        <v>8.0505307220810285E-2</v>
      </c>
    </row>
    <row r="15" spans="1:12">
      <c r="A15" s="11">
        <f t="shared" si="6"/>
        <v>6</v>
      </c>
      <c r="B15" s="10" t="str">
        <f t="shared" si="3"/>
        <v>54E - Customer Owned</v>
      </c>
      <c r="C15" s="18">
        <v>250</v>
      </c>
      <c r="D15" s="18" t="s">
        <v>274</v>
      </c>
      <c r="E15" s="18">
        <v>2338</v>
      </c>
      <c r="F15" s="18"/>
      <c r="G15" s="184">
        <v>9.86</v>
      </c>
      <c r="H15" s="184">
        <f t="shared" si="4"/>
        <v>10.65</v>
      </c>
      <c r="I15" s="29">
        <f t="shared" si="5"/>
        <v>276632</v>
      </c>
      <c r="J15" s="29">
        <f t="shared" si="0"/>
        <v>298796</v>
      </c>
      <c r="K15" s="29">
        <f t="shared" si="1"/>
        <v>22164</v>
      </c>
      <c r="L15" s="21">
        <f t="shared" si="2"/>
        <v>8.0120882616617026E-2</v>
      </c>
    </row>
    <row r="16" spans="1:12">
      <c r="A16" s="11">
        <f t="shared" si="6"/>
        <v>7</v>
      </c>
      <c r="B16" s="10" t="str">
        <f t="shared" si="3"/>
        <v>54E - Customer Owned</v>
      </c>
      <c r="C16" s="18">
        <v>310</v>
      </c>
      <c r="D16" s="18" t="s">
        <v>274</v>
      </c>
      <c r="E16" s="18">
        <v>130</v>
      </c>
      <c r="F16" s="18"/>
      <c r="G16" s="184">
        <v>13.46</v>
      </c>
      <c r="H16" s="184">
        <f t="shared" si="4"/>
        <v>14.54</v>
      </c>
      <c r="I16" s="29">
        <f t="shared" si="5"/>
        <v>20998</v>
      </c>
      <c r="J16" s="29">
        <f t="shared" si="0"/>
        <v>22682</v>
      </c>
      <c r="K16" s="29">
        <f t="shared" si="1"/>
        <v>1684</v>
      </c>
      <c r="L16" s="21">
        <f t="shared" si="2"/>
        <v>8.0198114106105348E-2</v>
      </c>
    </row>
    <row r="17" spans="1:12">
      <c r="A17" s="11">
        <f t="shared" si="6"/>
        <v>8</v>
      </c>
      <c r="B17" s="10" t="str">
        <f t="shared" si="3"/>
        <v>54E - Customer Owned</v>
      </c>
      <c r="C17" s="18">
        <v>400</v>
      </c>
      <c r="D17" s="18" t="s">
        <v>274</v>
      </c>
      <c r="E17" s="18">
        <v>2272</v>
      </c>
      <c r="F17" s="18"/>
      <c r="G17" s="184">
        <v>15.4</v>
      </c>
      <c r="H17" s="184">
        <f t="shared" si="4"/>
        <v>16.63</v>
      </c>
      <c r="I17" s="29">
        <f t="shared" si="5"/>
        <v>419866</v>
      </c>
      <c r="J17" s="29">
        <f t="shared" si="0"/>
        <v>453400</v>
      </c>
      <c r="K17" s="29">
        <f t="shared" si="1"/>
        <v>33534</v>
      </c>
      <c r="L17" s="21">
        <f t="shared" si="2"/>
        <v>7.9868338946235226E-2</v>
      </c>
    </row>
    <row r="18" spans="1:12">
      <c r="A18" s="11">
        <f t="shared" si="6"/>
        <v>9</v>
      </c>
      <c r="B18" s="10" t="str">
        <f t="shared" si="3"/>
        <v>54E - Customer Owned</v>
      </c>
      <c r="C18" s="18">
        <v>1000</v>
      </c>
      <c r="D18" s="18" t="s">
        <v>274</v>
      </c>
      <c r="E18" s="18">
        <v>11</v>
      </c>
      <c r="F18" s="18"/>
      <c r="G18" s="184">
        <v>38.76</v>
      </c>
      <c r="H18" s="184">
        <f t="shared" si="4"/>
        <v>41.86</v>
      </c>
      <c r="I18" s="29">
        <f t="shared" si="5"/>
        <v>5116</v>
      </c>
      <c r="J18" s="29">
        <f t="shared" si="0"/>
        <v>5526</v>
      </c>
      <c r="K18" s="29">
        <f t="shared" si="1"/>
        <v>410</v>
      </c>
      <c r="L18" s="21">
        <f t="shared" si="2"/>
        <v>8.0140734949179046E-2</v>
      </c>
    </row>
    <row r="19" spans="1:12">
      <c r="A19" s="11">
        <f t="shared" si="6"/>
        <v>10</v>
      </c>
      <c r="B19" s="10"/>
      <c r="C19" s="18"/>
      <c r="D19" s="18"/>
      <c r="E19" s="18"/>
      <c r="F19" s="18"/>
      <c r="G19" s="74"/>
      <c r="H19" s="74"/>
      <c r="I19" s="29"/>
      <c r="J19" s="29"/>
      <c r="K19" s="29"/>
      <c r="L19" s="21"/>
    </row>
    <row r="20" spans="1:12" ht="13.5" thickBot="1">
      <c r="A20" s="11">
        <f t="shared" si="6"/>
        <v>11</v>
      </c>
      <c r="C20" s="18"/>
      <c r="D20" s="18"/>
      <c r="E20" s="34">
        <f>SUM(E10:E19)</f>
        <v>11173</v>
      </c>
      <c r="F20" s="34">
        <f>+'JAP-23,  p19 Lighting Summary'!D18</f>
        <v>10929065.179199999</v>
      </c>
      <c r="G20" s="74"/>
      <c r="H20" s="74"/>
      <c r="I20" s="35">
        <f>SUM(I10:I18)</f>
        <v>1128461</v>
      </c>
      <c r="J20" s="35">
        <f>SUM(J10:J18)</f>
        <v>1218743</v>
      </c>
      <c r="K20" s="35">
        <f>SUM(K10:K18)</f>
        <v>90282</v>
      </c>
      <c r="L20" s="64">
        <f>+K20/I20</f>
        <v>8.0004537152812541E-2</v>
      </c>
    </row>
    <row r="21" spans="1:12" ht="13.5" thickTop="1">
      <c r="A21" s="11">
        <f t="shared" si="6"/>
        <v>12</v>
      </c>
      <c r="F21" s="81"/>
    </row>
    <row r="22" spans="1:12">
      <c r="A22" s="11">
        <f t="shared" si="6"/>
        <v>13</v>
      </c>
      <c r="B22" s="2" t="str">
        <f>+'JAP-23,  p20 Sch 003'!$B$14</f>
        <v>Proposed Increase</v>
      </c>
      <c r="H22" s="115">
        <f>+'JAP-23,  p19 Lighting Summary'!$G$29</f>
        <v>8.0032863059986387E-2</v>
      </c>
      <c r="I22" s="29"/>
    </row>
    <row r="23" spans="1:12">
      <c r="A23" s="11"/>
    </row>
    <row r="24" spans="1:12">
      <c r="A24" s="11"/>
    </row>
    <row r="25" spans="1:12" hidden="1">
      <c r="A25" s="11"/>
      <c r="B25" s="24">
        <f>+'JAP-23,  p20 Sch 003'!$B$16</f>
        <v>0</v>
      </c>
      <c r="I25" s="29" t="e">
        <f>(SUMPRODUCT(E10:E18,#REF!))*12</f>
        <v>#REF!</v>
      </c>
    </row>
    <row r="26" spans="1:12">
      <c r="A26" s="11"/>
    </row>
    <row r="27" spans="1:12">
      <c r="A27" s="11"/>
    </row>
    <row r="28" spans="1:12">
      <c r="A28" s="11"/>
    </row>
    <row r="29" spans="1:12">
      <c r="A29" s="11"/>
    </row>
    <row r="30" spans="1:12">
      <c r="A30" s="11"/>
    </row>
    <row r="31" spans="1:12">
      <c r="A31" s="11"/>
    </row>
  </sheetData>
  <mergeCells count="5">
    <mergeCell ref="A5:L5"/>
    <mergeCell ref="A1:L1"/>
    <mergeCell ref="A2:L2"/>
    <mergeCell ref="A3:L3"/>
    <mergeCell ref="A4:L4"/>
  </mergeCells>
  <phoneticPr fontId="0" type="noConversion"/>
  <printOptions horizontalCentered="1"/>
  <pageMargins left="0.25" right="0.25" top="1" bottom="1.1499999999999999" header="0.5" footer="0.5"/>
  <pageSetup scale="85" orientation="landscape" r:id="rId1"/>
  <headerFooter alignWithMargins="0">
    <oddFooter>&amp;R&amp;"Times New Roman,Regular"Exhibit No.___(JAP-23)
Page 27 of 49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dimension ref="A1:L23"/>
  <sheetViews>
    <sheetView zoomScaleNormal="100" workbookViewId="0">
      <selection sqref="A1:L18"/>
    </sheetView>
  </sheetViews>
  <sheetFormatPr defaultRowHeight="12.75"/>
  <cols>
    <col min="1" max="1" width="5.7109375" style="2" customWidth="1"/>
    <col min="2" max="2" width="26.85546875" style="2" customWidth="1"/>
    <col min="3" max="3" width="9.85546875" style="2" bestFit="1" customWidth="1"/>
    <col min="4" max="4" width="13.85546875" style="2" bestFit="1" customWidth="1"/>
    <col min="5" max="5" width="8.28515625" style="2" bestFit="1" customWidth="1"/>
    <col min="6" max="8" width="10.28515625" style="2" bestFit="1" customWidth="1"/>
    <col min="9" max="10" width="11.28515625" style="2" bestFit="1" customWidth="1"/>
    <col min="11" max="11" width="9.7109375" style="2" bestFit="1" customWidth="1"/>
    <col min="12" max="12" width="7.28515625" style="2" bestFit="1" customWidth="1"/>
    <col min="13" max="16384" width="9.140625" style="2"/>
  </cols>
  <sheetData>
    <row r="1" spans="1:12">
      <c r="A1" s="327" t="s">
        <v>8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</row>
    <row r="2" spans="1:12">
      <c r="A2" s="327" t="s">
        <v>258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</row>
    <row r="3" spans="1:12">
      <c r="A3" s="327" t="str">
        <f>+'JAP-23,  p19 Lighting Summary'!A4</f>
        <v>Twelve Months ended December 2010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</row>
    <row r="4" spans="1:12">
      <c r="A4" s="327" t="s">
        <v>289</v>
      </c>
      <c r="B4" s="327"/>
      <c r="C4" s="327"/>
      <c r="D4" s="327"/>
      <c r="E4" s="327"/>
      <c r="F4" s="327"/>
      <c r="G4" s="327"/>
      <c r="H4" s="327"/>
      <c r="I4" s="327"/>
      <c r="J4" s="327"/>
      <c r="K4" s="327"/>
      <c r="L4" s="327"/>
    </row>
    <row r="5" spans="1:12">
      <c r="A5" s="327" t="s">
        <v>290</v>
      </c>
      <c r="B5" s="327"/>
      <c r="C5" s="327"/>
      <c r="D5" s="327"/>
      <c r="E5" s="327"/>
      <c r="F5" s="327"/>
      <c r="G5" s="327"/>
      <c r="H5" s="327"/>
      <c r="I5" s="327"/>
      <c r="J5" s="327"/>
      <c r="K5" s="327"/>
      <c r="L5" s="327"/>
    </row>
    <row r="7" spans="1:12" s="5" customFormat="1" ht="51">
      <c r="A7" s="3" t="s">
        <v>46</v>
      </c>
      <c r="B7" s="3" t="s">
        <v>11</v>
      </c>
      <c r="C7" s="4" t="s">
        <v>261</v>
      </c>
      <c r="D7" s="3" t="s">
        <v>262</v>
      </c>
      <c r="E7" s="3" t="str">
        <f>+'JAP-23,  p20 Sch 003'!E7</f>
        <v>Inventory
@
12-31-10</v>
      </c>
      <c r="F7" s="4" t="str">
        <f>+'JAP-23,  p20 Sch 003'!F7</f>
        <v>Billed kWh
12 Months
ended
12-31-10</v>
      </c>
      <c r="G7" s="4" t="str">
        <f>+'JAP-23,  p20 Sch 003'!G7</f>
        <v>Proforma Base Lamp Charge</v>
      </c>
      <c r="H7" s="4" t="str">
        <f>+'JAP-23,  p20 Sch 003'!H7</f>
        <v>Proposed Lamp Charge</v>
      </c>
      <c r="I7" s="4" t="s">
        <v>265</v>
      </c>
      <c r="J7" s="4" t="s">
        <v>232</v>
      </c>
      <c r="K7" s="3" t="s">
        <v>233</v>
      </c>
      <c r="L7" s="3" t="s">
        <v>157</v>
      </c>
    </row>
    <row r="8" spans="1:12" s="5" customFormat="1">
      <c r="A8" s="167"/>
      <c r="B8" s="167" t="s">
        <v>477</v>
      </c>
      <c r="C8" s="133" t="s">
        <v>478</v>
      </c>
      <c r="D8" s="133" t="s">
        <v>479</v>
      </c>
      <c r="E8" s="133" t="s">
        <v>480</v>
      </c>
      <c r="F8" s="133" t="s">
        <v>481</v>
      </c>
      <c r="G8" s="133" t="s">
        <v>483</v>
      </c>
      <c r="H8" s="133" t="s">
        <v>484</v>
      </c>
      <c r="I8" s="133" t="s">
        <v>485</v>
      </c>
      <c r="J8" s="133" t="s">
        <v>486</v>
      </c>
      <c r="K8" s="133" t="s">
        <v>487</v>
      </c>
      <c r="L8" s="133" t="s">
        <v>488</v>
      </c>
    </row>
    <row r="9" spans="1:12" s="5" customFormat="1">
      <c r="A9" s="167"/>
      <c r="B9" s="167"/>
      <c r="C9" s="133"/>
      <c r="D9" s="133"/>
      <c r="E9" s="133"/>
      <c r="F9" s="133"/>
      <c r="G9" s="133"/>
      <c r="H9" s="133"/>
      <c r="I9" s="133"/>
      <c r="J9" s="133"/>
      <c r="K9" s="133"/>
    </row>
    <row r="10" spans="1:12">
      <c r="A10" s="11">
        <v>1</v>
      </c>
      <c r="B10" s="22" t="s">
        <v>291</v>
      </c>
      <c r="C10" s="18">
        <v>70</v>
      </c>
      <c r="D10" s="18" t="s">
        <v>274</v>
      </c>
      <c r="E10" s="18">
        <v>11</v>
      </c>
      <c r="F10" s="18"/>
      <c r="G10" s="184">
        <v>10.39</v>
      </c>
      <c r="H10" s="184">
        <f>ROUND((+G10)*(1+$H$20),2)</f>
        <v>11.22</v>
      </c>
      <c r="I10" s="29">
        <f t="shared" ref="I10:I15" si="0">ROUND(+G10*$E10*12,0)</f>
        <v>1371</v>
      </c>
      <c r="J10" s="29">
        <f t="shared" ref="J10:J15" si="1">ROUND(+H10*$E10*12,0)</f>
        <v>1481</v>
      </c>
      <c r="K10" s="29">
        <f t="shared" ref="K10:K15" si="2">+J10-I10</f>
        <v>110</v>
      </c>
      <c r="L10" s="21">
        <f t="shared" ref="L10:L15" si="3">+K10/I10</f>
        <v>8.0233406272793587E-2</v>
      </c>
    </row>
    <row r="11" spans="1:12">
      <c r="A11" s="11">
        <f>+A10+1</f>
        <v>2</v>
      </c>
      <c r="B11" s="27" t="str">
        <f>+B10</f>
        <v>55E &amp; 56E</v>
      </c>
      <c r="C11" s="18">
        <v>100</v>
      </c>
      <c r="D11" s="18" t="s">
        <v>274</v>
      </c>
      <c r="E11" s="18">
        <v>4887</v>
      </c>
      <c r="F11" s="18"/>
      <c r="G11" s="184">
        <v>11.69</v>
      </c>
      <c r="H11" s="184">
        <f t="shared" ref="H11:H17" si="4">ROUND((+G11)*(1+$H$20),2)</f>
        <v>12.63</v>
      </c>
      <c r="I11" s="29">
        <f t="shared" si="0"/>
        <v>685548</v>
      </c>
      <c r="J11" s="29">
        <f t="shared" si="1"/>
        <v>740674</v>
      </c>
      <c r="K11" s="29">
        <f t="shared" si="2"/>
        <v>55126</v>
      </c>
      <c r="L11" s="21">
        <f t="shared" si="3"/>
        <v>8.0411583142245321E-2</v>
      </c>
    </row>
    <row r="12" spans="1:12">
      <c r="A12" s="11">
        <f t="shared" ref="A12:A20" si="5">+A11+1</f>
        <v>3</v>
      </c>
      <c r="B12" s="27" t="str">
        <f>+B11</f>
        <v>55E &amp; 56E</v>
      </c>
      <c r="C12" s="18">
        <v>150</v>
      </c>
      <c r="D12" s="18" t="s">
        <v>274</v>
      </c>
      <c r="E12" s="18">
        <v>478</v>
      </c>
      <c r="F12" s="18"/>
      <c r="G12" s="184">
        <v>13.94</v>
      </c>
      <c r="H12" s="184">
        <f t="shared" si="4"/>
        <v>15.06</v>
      </c>
      <c r="I12" s="29">
        <f t="shared" si="0"/>
        <v>79960</v>
      </c>
      <c r="J12" s="29">
        <f t="shared" si="1"/>
        <v>86384</v>
      </c>
      <c r="K12" s="29">
        <f t="shared" si="2"/>
        <v>6424</v>
      </c>
      <c r="L12" s="21">
        <f t="shared" si="3"/>
        <v>8.0340170085042517E-2</v>
      </c>
    </row>
    <row r="13" spans="1:12">
      <c r="A13" s="11">
        <f t="shared" si="5"/>
        <v>4</v>
      </c>
      <c r="B13" s="27" t="str">
        <f>+B12</f>
        <v>55E &amp; 56E</v>
      </c>
      <c r="C13" s="18">
        <v>200</v>
      </c>
      <c r="D13" s="18" t="s">
        <v>274</v>
      </c>
      <c r="E13" s="18">
        <v>1434</v>
      </c>
      <c r="F13" s="18"/>
      <c r="G13" s="184">
        <v>16.71</v>
      </c>
      <c r="H13" s="184">
        <f t="shared" si="4"/>
        <v>18.05</v>
      </c>
      <c r="I13" s="29">
        <f t="shared" si="0"/>
        <v>287546</v>
      </c>
      <c r="J13" s="29">
        <f t="shared" si="1"/>
        <v>310604</v>
      </c>
      <c r="K13" s="29">
        <f t="shared" si="2"/>
        <v>23058</v>
      </c>
      <c r="L13" s="21">
        <f t="shared" si="3"/>
        <v>8.0188908905009987E-2</v>
      </c>
    </row>
    <row r="14" spans="1:12">
      <c r="A14" s="11">
        <f t="shared" si="5"/>
        <v>5</v>
      </c>
      <c r="B14" s="27" t="str">
        <f>+B13</f>
        <v>55E &amp; 56E</v>
      </c>
      <c r="C14" s="18">
        <v>250</v>
      </c>
      <c r="D14" s="18" t="s">
        <v>274</v>
      </c>
      <c r="E14" s="18">
        <v>125</v>
      </c>
      <c r="F14" s="18"/>
      <c r="G14" s="184">
        <v>18.84</v>
      </c>
      <c r="H14" s="184">
        <f t="shared" si="4"/>
        <v>20.350000000000001</v>
      </c>
      <c r="I14" s="29">
        <f t="shared" si="0"/>
        <v>28260</v>
      </c>
      <c r="J14" s="29">
        <f t="shared" si="1"/>
        <v>30525</v>
      </c>
      <c r="K14" s="29">
        <f t="shared" si="2"/>
        <v>2265</v>
      </c>
      <c r="L14" s="21">
        <f t="shared" si="3"/>
        <v>8.0148619957537151E-2</v>
      </c>
    </row>
    <row r="15" spans="1:12">
      <c r="A15" s="11">
        <f t="shared" si="5"/>
        <v>6</v>
      </c>
      <c r="B15" s="27" t="str">
        <f>+B14</f>
        <v>55E &amp; 56E</v>
      </c>
      <c r="C15" s="18">
        <v>400</v>
      </c>
      <c r="D15" s="18" t="s">
        <v>274</v>
      </c>
      <c r="E15" s="18">
        <v>69</v>
      </c>
      <c r="F15" s="18"/>
      <c r="G15" s="184">
        <v>25.43</v>
      </c>
      <c r="H15" s="184">
        <f t="shared" si="4"/>
        <v>27.47</v>
      </c>
      <c r="I15" s="29">
        <f t="shared" si="0"/>
        <v>21056</v>
      </c>
      <c r="J15" s="29">
        <f t="shared" si="1"/>
        <v>22745</v>
      </c>
      <c r="K15" s="29">
        <f t="shared" si="2"/>
        <v>1689</v>
      </c>
      <c r="L15" s="21">
        <f t="shared" si="3"/>
        <v>8.0214665653495443E-2</v>
      </c>
    </row>
    <row r="16" spans="1:12">
      <c r="A16" s="11">
        <f t="shared" si="5"/>
        <v>7</v>
      </c>
      <c r="B16" s="27"/>
      <c r="C16" s="18"/>
      <c r="D16" s="18"/>
      <c r="E16" s="18"/>
      <c r="F16" s="18"/>
      <c r="G16" s="184"/>
      <c r="H16" s="184"/>
      <c r="I16" s="29"/>
      <c r="J16" s="29"/>
      <c r="K16" s="29"/>
      <c r="L16" s="21"/>
    </row>
    <row r="17" spans="1:12">
      <c r="A17" s="11">
        <f t="shared" si="5"/>
        <v>8</v>
      </c>
      <c r="B17" s="27" t="str">
        <f>+B15</f>
        <v>55E &amp; 56E</v>
      </c>
      <c r="C17" s="18">
        <v>250</v>
      </c>
      <c r="D17" s="18" t="s">
        <v>275</v>
      </c>
      <c r="E17" s="18">
        <v>0</v>
      </c>
      <c r="F17" s="18"/>
      <c r="G17" s="184">
        <v>21.75</v>
      </c>
      <c r="H17" s="184">
        <f t="shared" si="4"/>
        <v>23.49</v>
      </c>
      <c r="I17" s="29">
        <f>ROUND(+G17*$E17*12,0)</f>
        <v>0</v>
      </c>
      <c r="J17" s="29">
        <f>ROUND(+H17*$E17*12,0)</f>
        <v>0</v>
      </c>
      <c r="K17" s="29">
        <f>+J17-I17</f>
        <v>0</v>
      </c>
      <c r="L17" s="185" t="str">
        <f>IF(K17=0,"na",+K17/I17)</f>
        <v>na</v>
      </c>
    </row>
    <row r="18" spans="1:12" ht="13.5" thickBot="1">
      <c r="A18" s="11">
        <f t="shared" si="5"/>
        <v>9</v>
      </c>
      <c r="B18" s="24" t="s">
        <v>292</v>
      </c>
      <c r="C18" s="18"/>
      <c r="D18" s="18"/>
      <c r="E18" s="34">
        <f>SUM(E10:E15)</f>
        <v>7004</v>
      </c>
      <c r="F18" s="34">
        <f>+'JAP-23,  p19 Lighting Summary'!D19</f>
        <v>4262193.1139000002</v>
      </c>
      <c r="G18" s="74"/>
      <c r="H18" s="74"/>
      <c r="I18" s="35">
        <f>SUM(I10:I17)</f>
        <v>1103741</v>
      </c>
      <c r="J18" s="35">
        <f>SUM(J10:J17)</f>
        <v>1192413</v>
      </c>
      <c r="K18" s="35">
        <f>SUM(K10:K17)</f>
        <v>88672</v>
      </c>
      <c r="L18" s="64">
        <f>+K18/I18</f>
        <v>8.033768791772708E-2</v>
      </c>
    </row>
    <row r="19" spans="1:12" ht="13.5" thickTop="1">
      <c r="A19" s="11">
        <f t="shared" si="5"/>
        <v>10</v>
      </c>
      <c r="B19" s="10"/>
      <c r="C19" s="18"/>
      <c r="D19" s="18"/>
      <c r="E19" s="18"/>
      <c r="F19" s="18"/>
      <c r="G19" s="74"/>
      <c r="H19" s="74"/>
      <c r="I19" s="29"/>
      <c r="J19" s="29"/>
      <c r="K19" s="29"/>
      <c r="L19" s="21"/>
    </row>
    <row r="20" spans="1:12">
      <c r="A20" s="11">
        <f t="shared" si="5"/>
        <v>11</v>
      </c>
      <c r="B20" s="2" t="str">
        <f>+'JAP-23,  p20 Sch 003'!$B$14</f>
        <v>Proposed Increase</v>
      </c>
      <c r="H20" s="115">
        <f>+'JAP-23,  p19 Lighting Summary'!$G$29</f>
        <v>8.0032863059986387E-2</v>
      </c>
    </row>
    <row r="22" spans="1:12">
      <c r="E22" s="81"/>
    </row>
    <row r="23" spans="1:12" hidden="1">
      <c r="B23" s="24">
        <f>+'JAP-23,  p20 Sch 003'!$B$16</f>
        <v>0</v>
      </c>
      <c r="I23" s="29" t="e">
        <f>(SUMPRODUCT(E17:E17,#REF!)+SUMPRODUCT(E10:E15,#REF!))*12</f>
        <v>#REF!</v>
      </c>
    </row>
  </sheetData>
  <mergeCells count="5">
    <mergeCell ref="A5:L5"/>
    <mergeCell ref="A1:L1"/>
    <mergeCell ref="A2:L2"/>
    <mergeCell ref="A3:L3"/>
    <mergeCell ref="A4:L4"/>
  </mergeCells>
  <phoneticPr fontId="0" type="noConversion"/>
  <printOptions horizontalCentered="1"/>
  <pageMargins left="0.25" right="0.25" top="1" bottom="1.17" header="0.5" footer="0.5"/>
  <pageSetup scale="85" orientation="landscape" r:id="rId1"/>
  <headerFooter alignWithMargins="0">
    <oddFooter>&amp;R&amp;"Times New Roman,Regular"Exhibit No.___(JAP-23)
Page 28 of 49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dimension ref="A1:K24"/>
  <sheetViews>
    <sheetView zoomScaleNormal="100" workbookViewId="0">
      <selection activeCell="B18" sqref="B18"/>
    </sheetView>
  </sheetViews>
  <sheetFormatPr defaultRowHeight="12.75"/>
  <cols>
    <col min="1" max="1" width="6.28515625" style="2" customWidth="1"/>
    <col min="2" max="2" width="18.5703125" style="2" bestFit="1" customWidth="1"/>
    <col min="3" max="3" width="13.85546875" style="2" customWidth="1"/>
    <col min="4" max="4" width="13.42578125" style="2" bestFit="1" customWidth="1"/>
    <col min="5" max="5" width="12.85546875" style="2" bestFit="1" customWidth="1"/>
    <col min="6" max="6" width="9.7109375" style="2" bestFit="1" customWidth="1"/>
    <col min="7" max="7" width="9.85546875" style="2" bestFit="1" customWidth="1"/>
    <col min="8" max="9" width="9.7109375" style="2" bestFit="1" customWidth="1"/>
    <col min="10" max="10" width="9.28515625" style="2" bestFit="1" customWidth="1"/>
    <col min="11" max="11" width="7.28515625" style="2" bestFit="1" customWidth="1"/>
    <col min="12" max="16384" width="9.140625" style="2"/>
  </cols>
  <sheetData>
    <row r="1" spans="1:11">
      <c r="A1" s="327" t="s">
        <v>8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</row>
    <row r="2" spans="1:11">
      <c r="A2" s="327" t="s">
        <v>258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</row>
    <row r="3" spans="1:11">
      <c r="A3" s="327" t="str">
        <f>+'JAP-23,  p19 Lighting Summary'!A4</f>
        <v>Twelve Months ended December 2010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</row>
    <row r="4" spans="1:11">
      <c r="A4" s="327" t="s">
        <v>293</v>
      </c>
      <c r="B4" s="327"/>
      <c r="C4" s="327"/>
      <c r="D4" s="327"/>
      <c r="E4" s="327"/>
      <c r="F4" s="327"/>
      <c r="G4" s="327"/>
      <c r="H4" s="327"/>
      <c r="I4" s="327"/>
      <c r="J4" s="327"/>
      <c r="K4" s="327"/>
    </row>
    <row r="5" spans="1:11">
      <c r="A5" s="327" t="s">
        <v>294</v>
      </c>
      <c r="B5" s="327"/>
      <c r="C5" s="327"/>
      <c r="D5" s="327"/>
      <c r="E5" s="327"/>
      <c r="F5" s="327"/>
      <c r="G5" s="327"/>
      <c r="H5" s="327"/>
      <c r="I5" s="327"/>
      <c r="J5" s="327"/>
      <c r="K5" s="327"/>
    </row>
    <row r="7" spans="1:11" s="5" customFormat="1" ht="38.25">
      <c r="A7" s="3" t="s">
        <v>46</v>
      </c>
      <c r="B7" s="3" t="s">
        <v>11</v>
      </c>
      <c r="C7" s="4" t="s">
        <v>312</v>
      </c>
      <c r="D7" s="4" t="s">
        <v>312</v>
      </c>
      <c r="E7" s="4" t="s">
        <v>295</v>
      </c>
      <c r="F7" s="4" t="s">
        <v>435</v>
      </c>
      <c r="G7" s="4" t="s">
        <v>434</v>
      </c>
      <c r="H7" s="4" t="str">
        <f>+'JAP-23,  p20 Sch 003'!I7</f>
        <v>Annual Proforma Revenue</v>
      </c>
      <c r="I7" s="4" t="str">
        <f>+'JAP-23,  p20 Sch 003'!J7</f>
        <v>Annual Proposed Revenue</v>
      </c>
      <c r="J7" s="3" t="s">
        <v>233</v>
      </c>
      <c r="K7" s="3" t="s">
        <v>157</v>
      </c>
    </row>
    <row r="8" spans="1:11" s="5" customFormat="1">
      <c r="A8" s="167"/>
      <c r="B8" s="167" t="s">
        <v>477</v>
      </c>
      <c r="C8" s="133" t="s">
        <v>478</v>
      </c>
      <c r="D8" s="133" t="s">
        <v>479</v>
      </c>
      <c r="E8" s="133" t="s">
        <v>480</v>
      </c>
      <c r="F8" s="133" t="s">
        <v>481</v>
      </c>
      <c r="G8" s="133" t="s">
        <v>482</v>
      </c>
      <c r="H8" s="133" t="s">
        <v>483</v>
      </c>
      <c r="I8" s="133" t="s">
        <v>485</v>
      </c>
      <c r="J8" s="133" t="s">
        <v>486</v>
      </c>
      <c r="K8" s="133" t="s">
        <v>487</v>
      </c>
    </row>
    <row r="9" spans="1:11" s="5" customFormat="1">
      <c r="A9" s="167"/>
      <c r="B9" s="167"/>
      <c r="C9" s="133"/>
      <c r="D9" s="133"/>
      <c r="E9" s="133"/>
      <c r="F9" s="133"/>
      <c r="G9" s="133"/>
      <c r="H9" s="133"/>
      <c r="I9" s="133"/>
      <c r="J9" s="133"/>
    </row>
    <row r="10" spans="1:11">
      <c r="A10" s="11">
        <v>1</v>
      </c>
      <c r="B10" s="2" t="s">
        <v>242</v>
      </c>
      <c r="C10" s="18">
        <f>+'JAP-23,  p19 Lighting Summary'!C20</f>
        <v>4192518.7005999992</v>
      </c>
      <c r="D10" s="18">
        <f>SUM(C10:C10)</f>
        <v>4192518.7005999992</v>
      </c>
      <c r="E10" s="18">
        <f>ROUND(D10/0.245,0)</f>
        <v>17112321</v>
      </c>
      <c r="F10" s="85">
        <v>2.4929999999999997E-2</v>
      </c>
      <c r="G10" s="85">
        <f>ROUND((+(F10)*(1+$G$15)),5)</f>
        <v>2.6929999999999999E-2</v>
      </c>
      <c r="H10" s="29">
        <f>+F10*$E10</f>
        <v>426610.16252999997</v>
      </c>
      <c r="I10" s="29">
        <f>+G10*$E10</f>
        <v>460834.80452999996</v>
      </c>
      <c r="J10" s="29">
        <f>+I10-H10</f>
        <v>34224.641999999993</v>
      </c>
      <c r="K10" s="21">
        <f>+J10/H10</f>
        <v>8.0224628961091046E-2</v>
      </c>
    </row>
    <row r="11" spans="1:11" ht="13.5" thickBot="1">
      <c r="A11" s="11">
        <f>+A10+1</f>
        <v>2</v>
      </c>
      <c r="D11" s="18"/>
      <c r="E11" s="18"/>
      <c r="F11" s="74"/>
      <c r="G11" s="74"/>
      <c r="H11" s="35">
        <f>SUM(H10:H10)</f>
        <v>426610.16252999997</v>
      </c>
      <c r="I11" s="35">
        <f>SUM(I10:I10)</f>
        <v>460834.80452999996</v>
      </c>
      <c r="J11" s="35">
        <f>SUM(J10:J10)</f>
        <v>34224.641999999993</v>
      </c>
      <c r="K11" s="64">
        <f>+J11/H11</f>
        <v>8.0224628961091046E-2</v>
      </c>
    </row>
    <row r="12" spans="1:11" ht="13.5" thickTop="1">
      <c r="A12" s="11">
        <f>+A11+1</f>
        <v>3</v>
      </c>
      <c r="D12" s="18"/>
      <c r="E12" s="18"/>
      <c r="F12" s="74"/>
      <c r="G12" s="74"/>
      <c r="K12" s="21"/>
    </row>
    <row r="13" spans="1:11" ht="13.5" customHeight="1">
      <c r="A13" s="11">
        <f>+A12+1</f>
        <v>4</v>
      </c>
      <c r="B13" s="2" t="s">
        <v>296</v>
      </c>
      <c r="H13" s="53">
        <v>4.21</v>
      </c>
      <c r="I13" s="74">
        <f>ROUND(+H13*(1+G15),2)</f>
        <v>4.55</v>
      </c>
    </row>
    <row r="14" spans="1:11" ht="13.5" customHeight="1">
      <c r="A14" s="11">
        <f>+A13+1</f>
        <v>5</v>
      </c>
      <c r="H14" s="53"/>
      <c r="I14" s="74"/>
    </row>
    <row r="15" spans="1:11">
      <c r="A15" s="11">
        <f>+A14+1</f>
        <v>6</v>
      </c>
      <c r="B15" s="2" t="str">
        <f>+'JAP-23,  p20 Sch 003'!$B$14</f>
        <v>Proposed Increase</v>
      </c>
      <c r="G15" s="115">
        <f>+'JAP-23,  p19 Lighting Summary'!$G$29</f>
        <v>8.0032863059986387E-2</v>
      </c>
    </row>
    <row r="18" spans="2:8">
      <c r="B18" s="24"/>
      <c r="C18" s="24"/>
      <c r="H18" s="29"/>
    </row>
    <row r="24" spans="2:8">
      <c r="G24" s="115"/>
    </row>
  </sheetData>
  <mergeCells count="5">
    <mergeCell ref="A5:K5"/>
    <mergeCell ref="A1:K1"/>
    <mergeCell ref="A2:K2"/>
    <mergeCell ref="A3:K3"/>
    <mergeCell ref="A4:K4"/>
  </mergeCells>
  <phoneticPr fontId="0" type="noConversion"/>
  <printOptions horizontalCentered="1"/>
  <pageMargins left="0.25" right="0.25" top="1" bottom="1.19" header="0.5" footer="0.5"/>
  <pageSetup scale="85" orientation="landscape" r:id="rId1"/>
  <headerFooter alignWithMargins="0">
    <oddFooter>&amp;R&amp;"Times New Roman,Regular"Exhibit No.___(JAP-23)
Page 29 of 49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J48"/>
  <sheetViews>
    <sheetView workbookViewId="0">
      <pane xSplit="3" ySplit="6" topLeftCell="D7" activePane="bottomRight" state="frozen"/>
      <selection activeCell="I38" sqref="I38"/>
      <selection pane="topRight" activeCell="I38" sqref="I38"/>
      <selection pane="bottomLeft" activeCell="I38" sqref="I38"/>
      <selection pane="bottomRight" activeCell="F6" sqref="F6"/>
    </sheetView>
  </sheetViews>
  <sheetFormatPr defaultRowHeight="12.75"/>
  <cols>
    <col min="1" max="1" width="4.28515625" style="2" bestFit="1" customWidth="1"/>
    <col min="2" max="2" width="34.140625" style="2" bestFit="1" customWidth="1"/>
    <col min="3" max="3" width="8" style="2" bestFit="1" customWidth="1"/>
    <col min="4" max="4" width="14.140625" style="2" customWidth="1"/>
    <col min="5" max="5" width="15.140625" style="2" bestFit="1" customWidth="1"/>
    <col min="6" max="6" width="13.5703125" style="2" customWidth="1"/>
    <col min="7" max="7" width="13.28515625" style="2" customWidth="1"/>
    <col min="8" max="8" width="12.5703125" style="2" bestFit="1" customWidth="1"/>
    <col min="9" max="9" width="9.7109375" style="2" bestFit="1" customWidth="1"/>
    <col min="10" max="10" width="8.140625" style="2" bestFit="1" customWidth="1"/>
    <col min="11" max="16384" width="9.140625" style="2"/>
  </cols>
  <sheetData>
    <row r="1" spans="1:10">
      <c r="B1" s="1" t="s">
        <v>8</v>
      </c>
      <c r="C1" s="1"/>
      <c r="D1" s="1"/>
      <c r="E1" s="1"/>
      <c r="F1" s="1"/>
      <c r="G1" s="1"/>
      <c r="H1" s="1"/>
      <c r="I1" s="1"/>
      <c r="J1" s="1"/>
    </row>
    <row r="2" spans="1:10">
      <c r="B2" s="1" t="s">
        <v>153</v>
      </c>
      <c r="C2" s="1"/>
      <c r="D2" s="1"/>
      <c r="E2" s="1"/>
      <c r="F2" s="1"/>
      <c r="G2" s="1"/>
      <c r="H2" s="1"/>
      <c r="I2" s="1"/>
      <c r="J2" s="1"/>
    </row>
    <row r="3" spans="1:10">
      <c r="B3" s="1" t="s">
        <v>506</v>
      </c>
      <c r="C3" s="1"/>
      <c r="D3" s="1"/>
      <c r="E3" s="1"/>
      <c r="F3" s="1"/>
      <c r="G3" s="1"/>
      <c r="H3" s="1"/>
      <c r="I3" s="1"/>
      <c r="J3" s="1"/>
    </row>
    <row r="4" spans="1:10">
      <c r="B4" s="1"/>
      <c r="C4" s="1"/>
      <c r="D4" s="1"/>
      <c r="E4" s="1"/>
      <c r="F4" s="1"/>
      <c r="G4" s="1"/>
      <c r="H4" s="1"/>
      <c r="I4" s="1"/>
      <c r="J4" s="1"/>
    </row>
    <row r="5" spans="1:10">
      <c r="B5" s="1"/>
      <c r="C5" s="1"/>
      <c r="D5" s="1"/>
      <c r="E5" s="1"/>
      <c r="F5" s="1"/>
      <c r="G5" s="1"/>
      <c r="H5" s="1"/>
      <c r="I5" s="1"/>
      <c r="J5" s="1"/>
    </row>
    <row r="6" spans="1:10" s="5" customFormat="1" ht="38.25">
      <c r="A6" s="3" t="s">
        <v>46</v>
      </c>
      <c r="B6" s="3" t="s">
        <v>10</v>
      </c>
      <c r="C6" s="3" t="s">
        <v>11</v>
      </c>
      <c r="D6" s="4" t="s">
        <v>502</v>
      </c>
      <c r="E6" s="4" t="s">
        <v>507</v>
      </c>
      <c r="F6" s="4" t="s">
        <v>557</v>
      </c>
      <c r="G6" s="4" t="s">
        <v>503</v>
      </c>
      <c r="H6" s="4" t="s">
        <v>155</v>
      </c>
      <c r="I6" s="3" t="s">
        <v>156</v>
      </c>
      <c r="J6" s="4" t="s">
        <v>157</v>
      </c>
    </row>
    <row r="7" spans="1:10" s="5" customFormat="1">
      <c r="A7" s="167"/>
      <c r="B7" s="167" t="s">
        <v>477</v>
      </c>
      <c r="C7" s="133" t="s">
        <v>478</v>
      </c>
      <c r="D7" s="133" t="s">
        <v>479</v>
      </c>
      <c r="E7" s="133" t="s">
        <v>480</v>
      </c>
      <c r="F7" s="133" t="s">
        <v>481</v>
      </c>
      <c r="G7" s="133" t="s">
        <v>504</v>
      </c>
      <c r="H7" s="133" t="s">
        <v>483</v>
      </c>
      <c r="I7" s="133" t="s">
        <v>484</v>
      </c>
      <c r="J7" s="133" t="s">
        <v>485</v>
      </c>
    </row>
    <row r="8" spans="1:10" s="5" customFormat="1">
      <c r="A8" s="5">
        <v>1</v>
      </c>
      <c r="B8" s="215" t="s">
        <v>24</v>
      </c>
      <c r="C8" s="167"/>
      <c r="D8" s="167"/>
      <c r="E8" s="133"/>
      <c r="F8" s="216"/>
      <c r="G8" s="133"/>
      <c r="H8" s="133"/>
      <c r="I8" s="133"/>
      <c r="J8" s="133"/>
    </row>
    <row r="9" spans="1:10">
      <c r="A9" s="5">
        <f>+A8+1</f>
        <v>2</v>
      </c>
      <c r="B9" s="27" t="str">
        <f>+'JAP-23,  p4 Residential Sch 7'!A4</f>
        <v>Residential</v>
      </c>
      <c r="C9" s="11">
        <v>7</v>
      </c>
      <c r="D9" s="211">
        <f>+'JAP-23,  p4 Residential Sch 7'!E24</f>
        <v>10732747750.487839</v>
      </c>
      <c r="E9" s="217">
        <f>+'JAP-23,  p4 Residential Sch 7'!G24</f>
        <v>1083315595.6361177</v>
      </c>
      <c r="F9" s="217">
        <f>+'JAP-23,  p4 Residential Sch 7'!I24</f>
        <v>1170017671.250267</v>
      </c>
      <c r="G9" s="217">
        <f>+F9-E9</f>
        <v>86702075.614149332</v>
      </c>
      <c r="H9" s="217"/>
      <c r="I9" s="217"/>
      <c r="J9" s="218"/>
    </row>
    <row r="10" spans="1:10">
      <c r="A10" s="5">
        <f t="shared" ref="A10:A43" si="0">+A9+1</f>
        <v>3</v>
      </c>
      <c r="B10" s="10" t="s">
        <v>158</v>
      </c>
      <c r="D10" s="12">
        <f>SUM(D9:D9)</f>
        <v>10732747750.487839</v>
      </c>
      <c r="E10" s="13">
        <f>SUM(E9:E9)</f>
        <v>1083315595.6361177</v>
      </c>
      <c r="F10" s="13">
        <f>SUM(F9:F9)</f>
        <v>1170017671.250267</v>
      </c>
      <c r="G10" s="13">
        <f>SUM(G9:G9)</f>
        <v>86702075.614149332</v>
      </c>
      <c r="H10" s="13">
        <f>+'JAP-23,  p1 Rate Spread'!J8</f>
        <v>86700848.716292992</v>
      </c>
      <c r="I10" s="13">
        <f>+H10-G10</f>
        <v>-1226.8978563398123</v>
      </c>
      <c r="J10" s="314">
        <f>+G10/E10</f>
        <v>8.0033995599627913E-2</v>
      </c>
    </row>
    <row r="11" spans="1:10">
      <c r="A11" s="5">
        <f t="shared" si="0"/>
        <v>4</v>
      </c>
      <c r="D11" s="19"/>
      <c r="E11" s="17"/>
      <c r="F11" s="17"/>
      <c r="G11" s="17"/>
      <c r="H11" s="17"/>
      <c r="I11" s="17"/>
      <c r="J11" s="315"/>
    </row>
    <row r="12" spans="1:10">
      <c r="A12" s="5">
        <f t="shared" si="0"/>
        <v>5</v>
      </c>
      <c r="B12" s="2" t="s">
        <v>25</v>
      </c>
      <c r="D12" s="19"/>
      <c r="E12" s="17"/>
      <c r="F12" s="17"/>
      <c r="G12" s="17"/>
      <c r="H12" s="17"/>
      <c r="I12" s="17"/>
      <c r="J12" s="315"/>
    </row>
    <row r="13" spans="1:10">
      <c r="A13" s="5">
        <f t="shared" si="0"/>
        <v>6</v>
      </c>
      <c r="B13" s="22" t="s">
        <v>26</v>
      </c>
      <c r="C13" s="11">
        <v>24</v>
      </c>
      <c r="D13" s="19">
        <f>+'JAP-23,  p5 Secondary Sch 24'!E24</f>
        <v>2594865425.6283207</v>
      </c>
      <c r="E13" s="17">
        <f>+'JAP-23,  p5 Secondary Sch 24'!G24</f>
        <v>245723262.34999925</v>
      </c>
      <c r="F13" s="17">
        <f>+'JAP-23,  p5 Secondary Sch 24'!I24</f>
        <v>265388609.26763767</v>
      </c>
      <c r="G13" s="217">
        <f>+F13-E13</f>
        <v>19665346.917638421</v>
      </c>
      <c r="H13" s="217"/>
      <c r="I13" s="217"/>
      <c r="J13" s="315"/>
    </row>
    <row r="14" spans="1:10">
      <c r="A14" s="5">
        <f t="shared" si="0"/>
        <v>7</v>
      </c>
      <c r="B14" s="22" t="s">
        <v>27</v>
      </c>
      <c r="C14" s="11">
        <v>25</v>
      </c>
      <c r="D14" s="19">
        <f>+'JAP-23,  p6 Secondary Sch 25'!E30</f>
        <v>2917644775.4625382</v>
      </c>
      <c r="E14" s="17">
        <f>+'JAP-23,  p6 Secondary Sch 25'!G30</f>
        <v>257383372.25405166</v>
      </c>
      <c r="F14" s="17">
        <f>+'JAP-23,  p6 Secondary Sch 25'!I30</f>
        <v>272832619.64619154</v>
      </c>
      <c r="G14" s="217">
        <f>+F14-E14</f>
        <v>15449247.392139882</v>
      </c>
      <c r="H14" s="217"/>
      <c r="I14" s="217"/>
      <c r="J14" s="315"/>
    </row>
    <row r="15" spans="1:10">
      <c r="A15" s="5">
        <f t="shared" si="0"/>
        <v>8</v>
      </c>
      <c r="B15" s="22" t="s">
        <v>29</v>
      </c>
      <c r="C15" s="11">
        <v>26</v>
      </c>
      <c r="D15" s="19">
        <f>+'JAP-23,  p7 Secondary Sch 26'!E26</f>
        <v>1981374593.334866</v>
      </c>
      <c r="E15" s="17">
        <f>+'JAP-23,  p7 Secondary Sch 26'!G26</f>
        <v>158818065.10912275</v>
      </c>
      <c r="F15" s="17">
        <f>+'JAP-23,  p7 Secondary Sch 26'!I26</f>
        <v>171525399.63947695</v>
      </c>
      <c r="G15" s="217">
        <f>+F15-E15</f>
        <v>12707334.530354202</v>
      </c>
      <c r="H15" s="217"/>
      <c r="I15" s="217"/>
      <c r="J15" s="315"/>
    </row>
    <row r="16" spans="1:10">
      <c r="A16" s="5">
        <f t="shared" si="0"/>
        <v>9</v>
      </c>
      <c r="B16" s="22" t="s">
        <v>511</v>
      </c>
      <c r="C16" s="11" t="s">
        <v>512</v>
      </c>
      <c r="D16" s="19">
        <f>+'JAP-23,  p8 Secondary Sch 26P'!E26</f>
        <v>9800136</v>
      </c>
      <c r="E16" s="17">
        <f>+'JAP-23,  p8 Secondary Sch 26P'!G26</f>
        <v>771403.31799999997</v>
      </c>
      <c r="F16" s="17">
        <f>+'JAP-23,  p8 Secondary Sch 26P'!I26</f>
        <v>833560.33548000001</v>
      </c>
      <c r="G16" s="217">
        <f>+F16-E16</f>
        <v>62157.017480000039</v>
      </c>
      <c r="H16" s="217"/>
      <c r="I16" s="217"/>
      <c r="J16" s="315"/>
    </row>
    <row r="17" spans="1:10">
      <c r="A17" s="5">
        <f t="shared" si="0"/>
        <v>10</v>
      </c>
      <c r="B17" s="27" t="s">
        <v>159</v>
      </c>
      <c r="C17" s="11">
        <v>29</v>
      </c>
      <c r="D17" s="19">
        <f>+'JAP-23,  p9 Secondary Sch 29'!E32</f>
        <v>14465705.34056692</v>
      </c>
      <c r="E17" s="17">
        <f>+'JAP-23,  p9 Secondary Sch 29'!G32</f>
        <v>1182201.8943712383</v>
      </c>
      <c r="F17" s="17">
        <f>+'JAP-23,  p9 Secondary Sch 29'!I32</f>
        <v>1253128.7601932159</v>
      </c>
      <c r="G17" s="217">
        <f>+F17-E17</f>
        <v>70926.865821977612</v>
      </c>
      <c r="H17" s="217"/>
      <c r="I17" s="217"/>
      <c r="J17" s="315"/>
    </row>
    <row r="18" spans="1:10">
      <c r="A18" s="5">
        <f t="shared" si="0"/>
        <v>11</v>
      </c>
      <c r="B18" s="24" t="s">
        <v>30</v>
      </c>
      <c r="D18" s="12">
        <f>SUM(D13:D17)</f>
        <v>7518150635.7662907</v>
      </c>
      <c r="E18" s="13">
        <f>SUM(E13:E17)</f>
        <v>663878304.92554486</v>
      </c>
      <c r="F18" s="13">
        <f>SUM(F13:F17)</f>
        <v>711833317.64897931</v>
      </c>
      <c r="G18" s="13">
        <f>SUM(G13:G17)</f>
        <v>47955012.723434485</v>
      </c>
      <c r="H18" s="13">
        <f>+'JAP-23,  p1 Rate Spread'!J14</f>
        <v>47958645.669640154</v>
      </c>
      <c r="I18" s="13">
        <f>+H18-G18</f>
        <v>3632.9462056681514</v>
      </c>
      <c r="J18" s="314">
        <f>+G18/E18</f>
        <v>7.2234643559880643E-2</v>
      </c>
    </row>
    <row r="19" spans="1:10">
      <c r="A19" s="5">
        <f t="shared" si="0"/>
        <v>12</v>
      </c>
      <c r="D19" s="19"/>
      <c r="E19" s="17"/>
      <c r="F19" s="17"/>
      <c r="G19" s="17"/>
      <c r="H19" s="17"/>
      <c r="I19" s="17"/>
      <c r="J19" s="315"/>
    </row>
    <row r="20" spans="1:10">
      <c r="A20" s="5">
        <f t="shared" si="0"/>
        <v>13</v>
      </c>
      <c r="B20" s="2" t="s">
        <v>31</v>
      </c>
      <c r="D20" s="19"/>
      <c r="E20" s="17"/>
      <c r="F20" s="17"/>
      <c r="G20" s="17"/>
      <c r="H20" s="17"/>
      <c r="I20" s="17"/>
      <c r="J20" s="315"/>
    </row>
    <row r="21" spans="1:10">
      <c r="A21" s="5">
        <f t="shared" si="0"/>
        <v>14</v>
      </c>
      <c r="B21" s="22" t="s">
        <v>160</v>
      </c>
      <c r="C21" s="11">
        <v>31</v>
      </c>
      <c r="D21" s="19">
        <f>+'JAP-23,  p10 Primary Sch 31'!E26</f>
        <v>1318347882.9575965</v>
      </c>
      <c r="E21" s="17">
        <f>+'JAP-23,  p10 Primary Sch 31'!G26</f>
        <v>104669291.30190486</v>
      </c>
      <c r="F21" s="17">
        <f>+'JAP-23,  p10 Primary Sch 31'!I26</f>
        <v>113045385.74906303</v>
      </c>
      <c r="G21" s="217">
        <f>+F21-E21</f>
        <v>8376094.4471581727</v>
      </c>
      <c r="H21" s="217"/>
      <c r="I21" s="217"/>
      <c r="J21" s="315"/>
    </row>
    <row r="22" spans="1:10">
      <c r="A22" s="5">
        <f t="shared" si="0"/>
        <v>15</v>
      </c>
      <c r="B22" s="27" t="s">
        <v>159</v>
      </c>
      <c r="C22" s="11">
        <v>35</v>
      </c>
      <c r="D22" s="19">
        <f>+'JAP-23,  p11 Primary Sch 35'!C26</f>
        <v>4638422</v>
      </c>
      <c r="E22" s="17">
        <f>+'JAP-23,  p11 Primary Sch 35'!E26</f>
        <v>256356.70069999996</v>
      </c>
      <c r="F22" s="17">
        <f>+'JAP-23,  p11 Primary Sch 35'!G26</f>
        <v>276873.07857999997</v>
      </c>
      <c r="G22" s="217">
        <f>+F22-E22</f>
        <v>20516.377880000015</v>
      </c>
      <c r="H22" s="217"/>
      <c r="I22" s="217"/>
      <c r="J22" s="315"/>
    </row>
    <row r="23" spans="1:10">
      <c r="A23" s="5">
        <f t="shared" si="0"/>
        <v>16</v>
      </c>
      <c r="B23" s="27" t="s">
        <v>34</v>
      </c>
      <c r="C23" s="11">
        <v>43</v>
      </c>
      <c r="D23" s="19">
        <f>+'JAP-23,  p12 Primary Sch 43'!E24</f>
        <v>148958013.30767041</v>
      </c>
      <c r="E23" s="17">
        <f>+'JAP-23,  p12 Primary Sch 43'!G24</f>
        <v>12686206.607833235</v>
      </c>
      <c r="F23" s="17">
        <f>+'JAP-23,  p12 Primary Sch 43'!I24</f>
        <v>13701477.274661751</v>
      </c>
      <c r="G23" s="217">
        <f>+F23-E23</f>
        <v>1015270.6668285169</v>
      </c>
      <c r="H23" s="217"/>
      <c r="I23" s="217"/>
      <c r="J23" s="315"/>
    </row>
    <row r="24" spans="1:10">
      <c r="A24" s="5">
        <f t="shared" si="0"/>
        <v>17</v>
      </c>
      <c r="B24" s="10" t="s">
        <v>35</v>
      </c>
      <c r="D24" s="12">
        <f>SUM(D21:D23)</f>
        <v>1471944318.2652669</v>
      </c>
      <c r="E24" s="13">
        <f>SUM(E21:E23)</f>
        <v>117611854.61043809</v>
      </c>
      <c r="F24" s="13">
        <f>SUM(F21:F23)</f>
        <v>127023736.10230479</v>
      </c>
      <c r="G24" s="13">
        <f>SUM(G21:G23)</f>
        <v>9411881.4918666892</v>
      </c>
      <c r="H24" s="13">
        <f>+'JAP-23,  p1 Rate Spread'!J19</f>
        <v>9412813.4542682208</v>
      </c>
      <c r="I24" s="13">
        <f>+H24-G24</f>
        <v>931.96240153163671</v>
      </c>
      <c r="J24" s="314">
        <f>+G24/E24</f>
        <v>8.002493900841337E-2</v>
      </c>
    </row>
    <row r="25" spans="1:10">
      <c r="A25" s="5">
        <f t="shared" si="0"/>
        <v>18</v>
      </c>
      <c r="J25" s="315"/>
    </row>
    <row r="26" spans="1:10">
      <c r="A26" s="5">
        <f t="shared" si="0"/>
        <v>19</v>
      </c>
      <c r="B26" s="2" t="s">
        <v>36</v>
      </c>
      <c r="C26" s="11">
        <v>40</v>
      </c>
      <c r="D26" s="12">
        <f>+'JAP-23,  p13 Campus Sch 40'!E41</f>
        <v>755105598.26613879</v>
      </c>
      <c r="E26" s="13">
        <f>+'JAP-23,  p13 Campus Sch 40'!G41</f>
        <v>52013001.872035034</v>
      </c>
      <c r="F26" s="13">
        <f>+'JAP-23,  p13 Campus Sch 40'!I41</f>
        <v>55369648.580827639</v>
      </c>
      <c r="G26" s="13">
        <f>+F26-E26</f>
        <v>3356646.7087926045</v>
      </c>
      <c r="H26" s="51">
        <f>+'JAP-23,  p1 Rate Spread'!J21</f>
        <v>3356646.7087926073</v>
      </c>
      <c r="I26" s="51">
        <f>+H26-G26</f>
        <v>0</v>
      </c>
      <c r="J26" s="314">
        <f>+G26/E26</f>
        <v>6.4534762232158663E-2</v>
      </c>
    </row>
    <row r="27" spans="1:10">
      <c r="A27" s="5">
        <f t="shared" si="0"/>
        <v>20</v>
      </c>
      <c r="J27" s="315"/>
    </row>
    <row r="28" spans="1:10">
      <c r="A28" s="5">
        <f t="shared" si="0"/>
        <v>21</v>
      </c>
      <c r="B28" s="2" t="s">
        <v>161</v>
      </c>
      <c r="D28" s="19"/>
      <c r="E28" s="17"/>
      <c r="F28" s="17"/>
      <c r="G28" s="17"/>
      <c r="H28" s="17"/>
      <c r="I28" s="17"/>
      <c r="J28" s="315"/>
    </row>
    <row r="29" spans="1:10">
      <c r="A29" s="5">
        <f t="shared" si="0"/>
        <v>22</v>
      </c>
      <c r="B29" s="22" t="s">
        <v>162</v>
      </c>
      <c r="C29" s="11">
        <v>46</v>
      </c>
      <c r="D29" s="19">
        <f>+'JAP-23,  p14 HV Sch 46'!D20</f>
        <v>52203084</v>
      </c>
      <c r="E29" s="17">
        <f>+'JAP-23,  p14 HV Sch 46'!F20</f>
        <v>3397745.8055400001</v>
      </c>
      <c r="F29" s="17">
        <f>+'JAP-23,  p14 HV Sch 46'!H20</f>
        <v>3668816.1678240001</v>
      </c>
      <c r="G29" s="217">
        <f>+F29-E29</f>
        <v>271070.36228400003</v>
      </c>
      <c r="H29" s="217"/>
      <c r="I29" s="217"/>
      <c r="J29" s="315"/>
    </row>
    <row r="30" spans="1:10">
      <c r="A30" s="5">
        <f t="shared" si="0"/>
        <v>23</v>
      </c>
      <c r="B30" s="22" t="s">
        <v>160</v>
      </c>
      <c r="C30" s="11">
        <v>49</v>
      </c>
      <c r="D30" s="19">
        <f>+'JAP-23,  p15 HV Sch 49'!E20</f>
        <v>524321194.58399999</v>
      </c>
      <c r="E30" s="17">
        <f>+'JAP-23,  p15 HV Sch 49'!G20</f>
        <v>33040358.741007939</v>
      </c>
      <c r="F30" s="17">
        <f>+'JAP-23,  p15 HV Sch 49'!I20</f>
        <v>35685670.401360393</v>
      </c>
      <c r="G30" s="217">
        <f>+F30-E30</f>
        <v>2645311.6603524536</v>
      </c>
      <c r="H30" s="217"/>
      <c r="I30" s="217"/>
      <c r="J30" s="315"/>
    </row>
    <row r="31" spans="1:10">
      <c r="A31" s="5">
        <f t="shared" si="0"/>
        <v>24</v>
      </c>
      <c r="B31" s="24" t="s">
        <v>37</v>
      </c>
      <c r="D31" s="12">
        <f>SUM(D29:D30)</f>
        <v>576524278.58399999</v>
      </c>
      <c r="E31" s="13">
        <f>SUM(E29:E30)</f>
        <v>36438104.546547942</v>
      </c>
      <c r="F31" s="13">
        <f>SUM(F29:F30)</f>
        <v>39354486.569184393</v>
      </c>
      <c r="G31" s="13">
        <f>SUM(G29:G30)</f>
        <v>2916382.0226364536</v>
      </c>
      <c r="H31" s="13">
        <f>+'JAP-23,  p1 Rate Spread'!J23</f>
        <v>2916245.8313393388</v>
      </c>
      <c r="I31" s="13">
        <f>+H31-G31</f>
        <v>-136.19129711482674</v>
      </c>
      <c r="J31" s="314">
        <f>+G31/E31</f>
        <v>8.0036600666505975E-2</v>
      </c>
    </row>
    <row r="32" spans="1:10">
      <c r="A32" s="5">
        <f t="shared" si="0"/>
        <v>25</v>
      </c>
      <c r="J32" s="315"/>
    </row>
    <row r="33" spans="1:10">
      <c r="A33" s="5">
        <f t="shared" si="0"/>
        <v>26</v>
      </c>
      <c r="B33" s="2" t="s">
        <v>40</v>
      </c>
      <c r="C33" s="11" t="s">
        <v>41</v>
      </c>
      <c r="D33" s="12">
        <f>+'JAP-23,  p19 Lighting Summary'!D25</f>
        <v>81494849.34449999</v>
      </c>
      <c r="E33" s="13">
        <f>+'JAP-23,  p19 Lighting Summary'!E25</f>
        <v>16975573.845897056</v>
      </c>
      <c r="F33" s="13">
        <f>+'JAP-23,  p19 Lighting Summary'!F25</f>
        <v>18333918.134453274</v>
      </c>
      <c r="G33" s="13">
        <f>+F33-E33</f>
        <v>1358344.2885562181</v>
      </c>
      <c r="H33" s="51">
        <f>+'JAP-23,  p1 Rate Spread'!J27</f>
        <v>1358603.7769733656</v>
      </c>
      <c r="I33" s="51">
        <f>+H33-G33</f>
        <v>259.48841714742593</v>
      </c>
      <c r="J33" s="314">
        <f>+G33/E33</f>
        <v>8.0017577072042587E-2</v>
      </c>
    </row>
    <row r="34" spans="1:10">
      <c r="A34" s="5">
        <f t="shared" si="0"/>
        <v>27</v>
      </c>
      <c r="C34" s="11"/>
      <c r="J34" s="315"/>
    </row>
    <row r="35" spans="1:10">
      <c r="A35" s="5">
        <f t="shared" si="0"/>
        <v>28</v>
      </c>
      <c r="B35" s="27" t="s">
        <v>3</v>
      </c>
      <c r="C35" s="11">
        <v>449</v>
      </c>
      <c r="D35" s="19">
        <f>SUM('JAP-23,  p17 Sch 449'!C28)</f>
        <v>1790584112.9986</v>
      </c>
      <c r="E35" s="17">
        <f>+'JAP-23,  p17 Sch 449'!E28</f>
        <v>6384327.8802250018</v>
      </c>
      <c r="F35" s="17">
        <f>+'JAP-23,  p17 Sch 449'!G28</f>
        <v>7013443.7139448402</v>
      </c>
      <c r="G35" s="217">
        <f>+F35-E35</f>
        <v>629115.83371983841</v>
      </c>
      <c r="H35" s="217"/>
      <c r="I35" s="217"/>
      <c r="J35" s="315"/>
    </row>
    <row r="36" spans="1:10">
      <c r="A36" s="5">
        <f t="shared" si="0"/>
        <v>29</v>
      </c>
      <c r="B36" s="27" t="s">
        <v>2</v>
      </c>
      <c r="C36" s="11">
        <v>459</v>
      </c>
      <c r="D36" s="19">
        <f>+'JAP-23,  p18 Sch 459'!C22</f>
        <v>164329390.99970001</v>
      </c>
      <c r="E36" s="17">
        <f>+'JAP-23,  p18 Sch 459'!E22</f>
        <v>649191.25969078904</v>
      </c>
      <c r="F36" s="17">
        <f>+'JAP-23,  p18 Sch 459'!G22</f>
        <v>723593.33943299321</v>
      </c>
      <c r="G36" s="217">
        <f>+F36-E36</f>
        <v>74402.079742204165</v>
      </c>
      <c r="H36" s="217"/>
      <c r="I36" s="217"/>
      <c r="J36" s="315"/>
    </row>
    <row r="37" spans="1:10">
      <c r="A37" s="5">
        <f t="shared" si="0"/>
        <v>30</v>
      </c>
      <c r="B37" s="10" t="s">
        <v>4</v>
      </c>
      <c r="D37" s="12">
        <f>SUM(D35:D36)</f>
        <v>1954913503.9983001</v>
      </c>
      <c r="E37" s="13">
        <f>SUM(E35:E36)</f>
        <v>7033519.1399157904</v>
      </c>
      <c r="F37" s="13">
        <f>SUM(F35:F36)</f>
        <v>7737037.0533778332</v>
      </c>
      <c r="G37" s="13">
        <f>SUM(G35:G36)</f>
        <v>703517.91346204258</v>
      </c>
      <c r="H37" s="13">
        <f>+'JAP-23,  p1 Rate Spread'!J25</f>
        <v>703640.84269334201</v>
      </c>
      <c r="I37" s="13">
        <f>+H37-G37</f>
        <v>122.92923129943665</v>
      </c>
      <c r="J37" s="314">
        <f>+G37/E37</f>
        <v>0.1000236011969487</v>
      </c>
    </row>
    <row r="38" spans="1:10">
      <c r="A38" s="5">
        <f t="shared" si="0"/>
        <v>31</v>
      </c>
      <c r="E38" s="37"/>
      <c r="J38" s="315"/>
    </row>
    <row r="39" spans="1:10" ht="13.5" thickBot="1">
      <c r="A39" s="5">
        <f t="shared" si="0"/>
        <v>32</v>
      </c>
      <c r="B39" s="24" t="s">
        <v>493</v>
      </c>
      <c r="D39" s="79">
        <f t="shared" ref="D39:I39" si="1">SUM(D10,D18,D24,D26,D31,D33,D37)</f>
        <v>23090880934.712334</v>
      </c>
      <c r="E39" s="35">
        <f t="shared" si="1"/>
        <v>1977265954.5764964</v>
      </c>
      <c r="F39" s="35">
        <f t="shared" si="1"/>
        <v>2129669815.3393941</v>
      </c>
      <c r="G39" s="35">
        <f t="shared" si="1"/>
        <v>152403860.76289779</v>
      </c>
      <c r="H39" s="35">
        <f t="shared" si="1"/>
        <v>152407445</v>
      </c>
      <c r="I39" s="35">
        <f t="shared" si="1"/>
        <v>3584.2371021920117</v>
      </c>
      <c r="J39" s="313">
        <f>+G39/E39</f>
        <v>7.7078078652065118E-2</v>
      </c>
    </row>
    <row r="40" spans="1:10" ht="13.5" thickTop="1">
      <c r="A40" s="5">
        <f t="shared" si="0"/>
        <v>33</v>
      </c>
      <c r="D40" s="219"/>
      <c r="E40" s="186"/>
      <c r="F40" s="186"/>
      <c r="G40" s="186"/>
      <c r="H40" s="186"/>
      <c r="I40" s="186"/>
      <c r="J40" s="316"/>
    </row>
    <row r="41" spans="1:10">
      <c r="A41" s="5">
        <f t="shared" si="0"/>
        <v>34</v>
      </c>
      <c r="B41" s="24" t="s">
        <v>5</v>
      </c>
      <c r="D41" s="12">
        <f>+'JAP-23,  p16 Firm Resale'!E14</f>
        <v>7332573.9088840308</v>
      </c>
      <c r="E41" s="12">
        <f>+'JAP-23,  p16 Firm Resale'!G28</f>
        <v>1217755.077158185</v>
      </c>
      <c r="F41" s="12">
        <f>+'JAP-23,  p16 Firm Resale'!I28</f>
        <v>1809217.077158185</v>
      </c>
      <c r="G41" s="13">
        <f>+F41-E41</f>
        <v>591462</v>
      </c>
      <c r="H41" s="13">
        <f>+'JAP-23,  p1 Rate Spread'!J31</f>
        <v>591462</v>
      </c>
      <c r="I41" s="13">
        <f>+H41-G41</f>
        <v>0</v>
      </c>
      <c r="J41" s="314">
        <f>+G41/E41</f>
        <v>0.48569865245831351</v>
      </c>
    </row>
    <row r="42" spans="1:10">
      <c r="A42" s="5">
        <f t="shared" si="0"/>
        <v>35</v>
      </c>
      <c r="J42" s="315"/>
    </row>
    <row r="43" spans="1:10" ht="13.5" thickBot="1">
      <c r="A43" s="5">
        <f t="shared" si="0"/>
        <v>36</v>
      </c>
      <c r="B43" s="24" t="s">
        <v>163</v>
      </c>
      <c r="D43" s="34">
        <f t="shared" ref="D43:I43" si="2">SUM(D39,D41)</f>
        <v>23098213508.621216</v>
      </c>
      <c r="E43" s="35">
        <f t="shared" si="2"/>
        <v>1978483709.6536546</v>
      </c>
      <c r="F43" s="35">
        <f t="shared" si="2"/>
        <v>2131479032.4165523</v>
      </c>
      <c r="G43" s="35">
        <f t="shared" si="2"/>
        <v>152995322.76289779</v>
      </c>
      <c r="H43" s="35">
        <f t="shared" si="2"/>
        <v>152998907</v>
      </c>
      <c r="I43" s="35">
        <f t="shared" si="2"/>
        <v>3584.2371021920117</v>
      </c>
      <c r="J43" s="313">
        <f>+G43/E43</f>
        <v>7.7329584275263277E-2</v>
      </c>
    </row>
    <row r="44" spans="1:10" ht="13.5" thickTop="1">
      <c r="A44" s="5"/>
      <c r="E44" s="29"/>
      <c r="F44" s="37"/>
      <c r="G44" s="37"/>
      <c r="H44" s="37"/>
      <c r="I44" s="37"/>
    </row>
    <row r="45" spans="1:10">
      <c r="A45" s="5"/>
      <c r="D45" s="18"/>
    </row>
    <row r="46" spans="1:10">
      <c r="A46" s="5"/>
      <c r="D46" s="18"/>
      <c r="E46" s="37"/>
    </row>
    <row r="47" spans="1:10">
      <c r="D47" s="18"/>
    </row>
    <row r="48" spans="1:10">
      <c r="D48" s="18"/>
    </row>
  </sheetData>
  <phoneticPr fontId="0" type="noConversion"/>
  <printOptions horizontalCentered="1"/>
  <pageMargins left="0.25" right="0.25" top="0.79" bottom="1.06" header="0.5" footer="0.5"/>
  <pageSetup scale="75" orientation="landscape" r:id="rId1"/>
  <headerFooter alignWithMargins="0">
    <oddFooter>&amp;R&amp;"Times New Roman,Regular"Exhibit No.___(JAP-23)
Page 3 of 49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dimension ref="A1:M37"/>
  <sheetViews>
    <sheetView zoomScaleNormal="100" workbookViewId="0">
      <selection activeCell="B36" sqref="B36"/>
    </sheetView>
  </sheetViews>
  <sheetFormatPr defaultRowHeight="12.75"/>
  <cols>
    <col min="1" max="1" width="5.28515625" style="2" customWidth="1"/>
    <col min="2" max="2" width="29" style="2" customWidth="1"/>
    <col min="3" max="3" width="9.85546875" style="2" bestFit="1" customWidth="1"/>
    <col min="4" max="4" width="9.85546875" style="2" customWidth="1"/>
    <col min="5" max="5" width="13.85546875" style="2" bestFit="1" customWidth="1"/>
    <col min="6" max="6" width="8.28515625" style="2" bestFit="1" customWidth="1"/>
    <col min="7" max="9" width="10.28515625" style="2" bestFit="1" customWidth="1"/>
    <col min="10" max="11" width="9.7109375" style="2" bestFit="1" customWidth="1"/>
    <col min="12" max="12" width="8.7109375" style="2" bestFit="1" customWidth="1"/>
    <col min="13" max="13" width="7.28515625" style="2" bestFit="1" customWidth="1"/>
    <col min="14" max="16384" width="9.140625" style="2"/>
  </cols>
  <sheetData>
    <row r="1" spans="1:13">
      <c r="A1" s="327" t="s">
        <v>8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</row>
    <row r="2" spans="1:13">
      <c r="A2" s="327" t="s">
        <v>258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</row>
    <row r="3" spans="1:13">
      <c r="A3" s="327" t="str">
        <f>+'JAP-23,  p19 Lighting Summary'!A4</f>
        <v>Twelve Months ended December 2010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</row>
    <row r="4" spans="1:13">
      <c r="A4" s="327" t="s">
        <v>297</v>
      </c>
      <c r="B4" s="327"/>
      <c r="C4" s="327"/>
      <c r="D4" s="327"/>
      <c r="E4" s="327"/>
      <c r="F4" s="327"/>
      <c r="G4" s="327"/>
      <c r="H4" s="327"/>
      <c r="I4" s="327"/>
      <c r="J4" s="327"/>
      <c r="K4" s="327"/>
      <c r="L4" s="327"/>
      <c r="M4" s="327"/>
    </row>
    <row r="5" spans="1:13">
      <c r="A5" s="327" t="s">
        <v>298</v>
      </c>
      <c r="B5" s="327"/>
      <c r="C5" s="327"/>
      <c r="D5" s="327"/>
      <c r="E5" s="327"/>
      <c r="F5" s="327"/>
      <c r="G5" s="327"/>
      <c r="H5" s="327"/>
      <c r="I5" s="327"/>
      <c r="J5" s="327"/>
      <c r="K5" s="327"/>
      <c r="L5" s="327"/>
      <c r="M5" s="327"/>
    </row>
    <row r="7" spans="1:13" s="5" customFormat="1" ht="51">
      <c r="A7" s="3" t="s">
        <v>46</v>
      </c>
      <c r="B7" s="3" t="s">
        <v>11</v>
      </c>
      <c r="C7" s="4" t="s">
        <v>261</v>
      </c>
      <c r="D7" s="4"/>
      <c r="E7" s="3" t="s">
        <v>262</v>
      </c>
      <c r="F7" s="3" t="str">
        <f>+'JAP-23,  p20 Sch 003'!E7</f>
        <v>Inventory
@
12-31-10</v>
      </c>
      <c r="G7" s="4" t="str">
        <f>+'JAP-23,  p20 Sch 003'!F7</f>
        <v>Billed kWh
12 Months
ended
12-31-10</v>
      </c>
      <c r="H7" s="4" t="str">
        <f>+'JAP-23,  p20 Sch 003'!G7</f>
        <v>Proforma Base Lamp Charge</v>
      </c>
      <c r="I7" s="4" t="str">
        <f>+'JAP-23,  p20 Sch 003'!H7</f>
        <v>Proposed Lamp Charge</v>
      </c>
      <c r="J7" s="4" t="s">
        <v>265</v>
      </c>
      <c r="K7" s="4" t="s">
        <v>232</v>
      </c>
      <c r="L7" s="3" t="s">
        <v>233</v>
      </c>
      <c r="M7" s="3" t="s">
        <v>157</v>
      </c>
    </row>
    <row r="8" spans="1:13" s="5" customFormat="1">
      <c r="A8" s="167"/>
      <c r="B8" s="167" t="s">
        <v>477</v>
      </c>
      <c r="C8" s="133" t="s">
        <v>478</v>
      </c>
      <c r="D8" s="133" t="s">
        <v>479</v>
      </c>
      <c r="E8" s="133" t="s">
        <v>480</v>
      </c>
      <c r="F8" s="133" t="s">
        <v>481</v>
      </c>
      <c r="G8" s="133" t="s">
        <v>482</v>
      </c>
      <c r="H8" s="133" t="s">
        <v>484</v>
      </c>
      <c r="I8" s="133" t="s">
        <v>485</v>
      </c>
      <c r="J8" s="133" t="s">
        <v>486</v>
      </c>
      <c r="K8" s="133" t="s">
        <v>487</v>
      </c>
      <c r="L8" s="133" t="s">
        <v>488</v>
      </c>
      <c r="M8" s="133" t="s">
        <v>489</v>
      </c>
    </row>
    <row r="9" spans="1:13" s="5" customFormat="1">
      <c r="A9" s="167"/>
      <c r="B9" s="167"/>
      <c r="C9" s="133"/>
      <c r="D9" s="133"/>
      <c r="E9" s="133"/>
      <c r="F9" s="133"/>
      <c r="G9" s="133"/>
      <c r="H9" s="133"/>
      <c r="I9" s="133"/>
      <c r="J9" s="133"/>
      <c r="K9" s="133"/>
    </row>
    <row r="10" spans="1:13">
      <c r="A10" s="11">
        <v>1</v>
      </c>
      <c r="B10" s="22" t="s">
        <v>299</v>
      </c>
      <c r="C10" s="18">
        <v>70</v>
      </c>
      <c r="D10" s="18" t="s">
        <v>300</v>
      </c>
      <c r="E10" s="18" t="s">
        <v>274</v>
      </c>
      <c r="F10" s="18">
        <v>69</v>
      </c>
      <c r="G10" s="18"/>
      <c r="H10" s="184">
        <v>12.42</v>
      </c>
      <c r="I10" s="184">
        <f t="shared" ref="I10:I15" si="0">ROUND(+(H10)*(1+$I$33),2)</f>
        <v>13.41</v>
      </c>
      <c r="J10" s="29">
        <f t="shared" ref="J10:J15" si="1">ROUND(+H10*$F10*12,0)</f>
        <v>10284</v>
      </c>
      <c r="K10" s="29">
        <f t="shared" ref="K10:K15" si="2">ROUND(+I10*$F10*12,0)</f>
        <v>11103</v>
      </c>
      <c r="L10" s="29">
        <f t="shared" ref="L10:L15" si="3">+K10-J10</f>
        <v>819</v>
      </c>
      <c r="M10" s="185">
        <f>IF(L10=0,"na",+L10/J10)</f>
        <v>7.9638273045507579E-2</v>
      </c>
    </row>
    <row r="11" spans="1:13">
      <c r="A11" s="11">
        <f>+A10+1</f>
        <v>2</v>
      </c>
      <c r="B11" s="27" t="str">
        <f>+B10</f>
        <v>58E &amp; 59E</v>
      </c>
      <c r="C11" s="18">
        <v>100</v>
      </c>
      <c r="D11" s="18" t="s">
        <v>300</v>
      </c>
      <c r="E11" s="18" t="s">
        <v>274</v>
      </c>
      <c r="F11" s="18">
        <v>5</v>
      </c>
      <c r="G11" s="18"/>
      <c r="H11" s="184">
        <v>13.62</v>
      </c>
      <c r="I11" s="184">
        <f t="shared" si="0"/>
        <v>14.71</v>
      </c>
      <c r="J11" s="29">
        <f t="shared" si="1"/>
        <v>817</v>
      </c>
      <c r="K11" s="29">
        <f t="shared" si="2"/>
        <v>883</v>
      </c>
      <c r="L11" s="29">
        <f t="shared" si="3"/>
        <v>66</v>
      </c>
      <c r="M11" s="185">
        <f t="shared" ref="M11:M31" si="4">IF(L11=0,"na",+L11/J11)</f>
        <v>8.0783353733170138E-2</v>
      </c>
    </row>
    <row r="12" spans="1:13">
      <c r="A12" s="11">
        <f t="shared" ref="A12:A33" si="5">+A11+1</f>
        <v>3</v>
      </c>
      <c r="B12" s="27" t="str">
        <f>+B11</f>
        <v>58E &amp; 59E</v>
      </c>
      <c r="C12" s="18">
        <v>150</v>
      </c>
      <c r="D12" s="18" t="s">
        <v>300</v>
      </c>
      <c r="E12" s="18" t="s">
        <v>274</v>
      </c>
      <c r="F12" s="18">
        <v>191</v>
      </c>
      <c r="G12" s="18"/>
      <c r="H12" s="184">
        <v>15.55</v>
      </c>
      <c r="I12" s="184">
        <f t="shared" si="0"/>
        <v>16.79</v>
      </c>
      <c r="J12" s="29">
        <f t="shared" si="1"/>
        <v>35641</v>
      </c>
      <c r="K12" s="29">
        <f t="shared" si="2"/>
        <v>38483</v>
      </c>
      <c r="L12" s="29">
        <f t="shared" si="3"/>
        <v>2842</v>
      </c>
      <c r="M12" s="185">
        <f t="shared" si="4"/>
        <v>7.9739625711960943E-2</v>
      </c>
    </row>
    <row r="13" spans="1:13">
      <c r="A13" s="11">
        <f t="shared" si="5"/>
        <v>4</v>
      </c>
      <c r="B13" s="27" t="str">
        <f>+B12</f>
        <v>58E &amp; 59E</v>
      </c>
      <c r="C13" s="18">
        <v>200</v>
      </c>
      <c r="D13" s="18" t="s">
        <v>300</v>
      </c>
      <c r="E13" s="18" t="s">
        <v>274</v>
      </c>
      <c r="F13" s="18">
        <v>345</v>
      </c>
      <c r="G13" s="18"/>
      <c r="H13" s="184">
        <v>18.16</v>
      </c>
      <c r="I13" s="184">
        <f t="shared" si="0"/>
        <v>19.61</v>
      </c>
      <c r="J13" s="29">
        <f t="shared" si="1"/>
        <v>75182</v>
      </c>
      <c r="K13" s="29">
        <f t="shared" si="2"/>
        <v>81185</v>
      </c>
      <c r="L13" s="29">
        <f t="shared" si="3"/>
        <v>6003</v>
      </c>
      <c r="M13" s="185">
        <f t="shared" si="4"/>
        <v>7.9846239791439441E-2</v>
      </c>
    </row>
    <row r="14" spans="1:13">
      <c r="A14" s="11">
        <f t="shared" si="5"/>
        <v>5</v>
      </c>
      <c r="B14" s="27" t="str">
        <f>+B13</f>
        <v>58E &amp; 59E</v>
      </c>
      <c r="C14" s="18">
        <v>250</v>
      </c>
      <c r="D14" s="18" t="s">
        <v>300</v>
      </c>
      <c r="E14" s="18" t="s">
        <v>274</v>
      </c>
      <c r="F14" s="18">
        <v>40</v>
      </c>
      <c r="G14" s="18"/>
      <c r="H14" s="184">
        <v>20.21</v>
      </c>
      <c r="I14" s="184">
        <f t="shared" si="0"/>
        <v>21.83</v>
      </c>
      <c r="J14" s="29">
        <f t="shared" si="1"/>
        <v>9701</v>
      </c>
      <c r="K14" s="29">
        <f t="shared" si="2"/>
        <v>10478</v>
      </c>
      <c r="L14" s="29">
        <f t="shared" si="3"/>
        <v>777</v>
      </c>
      <c r="M14" s="185">
        <f t="shared" si="4"/>
        <v>8.0094835583960411E-2</v>
      </c>
    </row>
    <row r="15" spans="1:13">
      <c r="A15" s="11">
        <f t="shared" si="5"/>
        <v>6</v>
      </c>
      <c r="B15" s="27" t="str">
        <f>+B14</f>
        <v>58E &amp; 59E</v>
      </c>
      <c r="C15" s="18">
        <v>400</v>
      </c>
      <c r="D15" s="18" t="s">
        <v>300</v>
      </c>
      <c r="E15" s="18" t="s">
        <v>274</v>
      </c>
      <c r="F15" s="18">
        <v>435</v>
      </c>
      <c r="G15" s="18"/>
      <c r="H15" s="184">
        <v>25.67</v>
      </c>
      <c r="I15" s="184">
        <f t="shared" si="0"/>
        <v>27.72</v>
      </c>
      <c r="J15" s="29">
        <f t="shared" si="1"/>
        <v>133997</v>
      </c>
      <c r="K15" s="29">
        <f t="shared" si="2"/>
        <v>144698</v>
      </c>
      <c r="L15" s="29">
        <f t="shared" si="3"/>
        <v>10701</v>
      </c>
      <c r="M15" s="185">
        <f t="shared" si="4"/>
        <v>7.9859996865601468E-2</v>
      </c>
    </row>
    <row r="16" spans="1:13">
      <c r="A16" s="11">
        <f t="shared" si="5"/>
        <v>7</v>
      </c>
      <c r="B16" s="27"/>
      <c r="C16" s="18"/>
      <c r="D16" s="18"/>
      <c r="E16" s="18"/>
      <c r="F16" s="18"/>
      <c r="G16" s="18"/>
      <c r="H16" s="184"/>
      <c r="I16" s="184"/>
      <c r="J16" s="29"/>
      <c r="K16" s="29"/>
      <c r="L16" s="29"/>
      <c r="M16" s="21"/>
    </row>
    <row r="17" spans="1:13">
      <c r="A17" s="11">
        <f t="shared" si="5"/>
        <v>8</v>
      </c>
      <c r="B17" s="27" t="str">
        <f>+B11</f>
        <v>58E &amp; 59E</v>
      </c>
      <c r="C17" s="18">
        <v>100</v>
      </c>
      <c r="D17" s="18" t="s">
        <v>301</v>
      </c>
      <c r="E17" s="18" t="s">
        <v>274</v>
      </c>
      <c r="F17" s="18">
        <v>2</v>
      </c>
      <c r="G17" s="18"/>
      <c r="H17" s="184">
        <v>15.54</v>
      </c>
      <c r="I17" s="184">
        <f>ROUND(+(H17)*(1+$I$33),2)</f>
        <v>16.78</v>
      </c>
      <c r="J17" s="29">
        <f t="shared" ref="J17:K21" si="6">ROUND(+H17*$F17*12,0)</f>
        <v>373</v>
      </c>
      <c r="K17" s="29">
        <f t="shared" si="6"/>
        <v>403</v>
      </c>
      <c r="L17" s="29">
        <f>+K17-J17</f>
        <v>30</v>
      </c>
      <c r="M17" s="185">
        <f t="shared" si="4"/>
        <v>8.0428954423592491E-2</v>
      </c>
    </row>
    <row r="18" spans="1:13">
      <c r="A18" s="11">
        <f t="shared" si="5"/>
        <v>9</v>
      </c>
      <c r="B18" s="27" t="str">
        <f>+B12</f>
        <v>58E &amp; 59E</v>
      </c>
      <c r="C18" s="18">
        <v>150</v>
      </c>
      <c r="D18" s="18" t="s">
        <v>301</v>
      </c>
      <c r="E18" s="18" t="s">
        <v>274</v>
      </c>
      <c r="F18" s="18">
        <v>11</v>
      </c>
      <c r="G18" s="18"/>
      <c r="H18" s="184">
        <v>17.39</v>
      </c>
      <c r="I18" s="184">
        <f>ROUND(+(H18)*(1+$I$33),2)</f>
        <v>18.78</v>
      </c>
      <c r="J18" s="29">
        <f t="shared" si="6"/>
        <v>2295</v>
      </c>
      <c r="K18" s="29">
        <f t="shared" si="6"/>
        <v>2479</v>
      </c>
      <c r="L18" s="29">
        <f>+K18-J18</f>
        <v>184</v>
      </c>
      <c r="M18" s="185">
        <f t="shared" si="4"/>
        <v>8.0174291938997819E-2</v>
      </c>
    </row>
    <row r="19" spans="1:13">
      <c r="A19" s="11">
        <f t="shared" si="5"/>
        <v>10</v>
      </c>
      <c r="B19" s="27" t="str">
        <f>+B13</f>
        <v>58E &amp; 59E</v>
      </c>
      <c r="C19" s="18">
        <v>200</v>
      </c>
      <c r="D19" s="18" t="s">
        <v>301</v>
      </c>
      <c r="E19" s="18" t="s">
        <v>274</v>
      </c>
      <c r="F19" s="18">
        <v>6</v>
      </c>
      <c r="G19" s="18"/>
      <c r="H19" s="184">
        <v>20.22</v>
      </c>
      <c r="I19" s="184">
        <f>ROUND(+(H19)*(1+$I$33),2)</f>
        <v>21.84</v>
      </c>
      <c r="J19" s="29">
        <f t="shared" si="6"/>
        <v>1456</v>
      </c>
      <c r="K19" s="29">
        <f t="shared" si="6"/>
        <v>1572</v>
      </c>
      <c r="L19" s="29">
        <f>+K19-J19</f>
        <v>116</v>
      </c>
      <c r="M19" s="185">
        <f>IF(L19=0,"na",+L19/J19)</f>
        <v>7.9670329670329665E-2</v>
      </c>
    </row>
    <row r="20" spans="1:13">
      <c r="A20" s="11">
        <f t="shared" si="5"/>
        <v>11</v>
      </c>
      <c r="B20" s="27" t="str">
        <f>+B14</f>
        <v>58E &amp; 59E</v>
      </c>
      <c r="C20" s="18">
        <v>250</v>
      </c>
      <c r="D20" s="18" t="s">
        <v>301</v>
      </c>
      <c r="E20" s="18" t="s">
        <v>274</v>
      </c>
      <c r="F20" s="18">
        <v>25</v>
      </c>
      <c r="G20" s="18"/>
      <c r="H20" s="184">
        <v>21.04</v>
      </c>
      <c r="I20" s="184">
        <f>ROUND(+(H20)*(1+$I$33),2)</f>
        <v>22.72</v>
      </c>
      <c r="J20" s="29">
        <f t="shared" si="6"/>
        <v>6312</v>
      </c>
      <c r="K20" s="29">
        <f t="shared" si="6"/>
        <v>6816</v>
      </c>
      <c r="L20" s="29">
        <f>+K20-J20</f>
        <v>504</v>
      </c>
      <c r="M20" s="185">
        <f>IF(L20=0,"na",+L20/J20)</f>
        <v>7.9847908745247151E-2</v>
      </c>
    </row>
    <row r="21" spans="1:13">
      <c r="A21" s="11">
        <f t="shared" si="5"/>
        <v>12</v>
      </c>
      <c r="B21" s="27" t="str">
        <f>+B13</f>
        <v>58E &amp; 59E</v>
      </c>
      <c r="C21" s="18">
        <v>400</v>
      </c>
      <c r="D21" s="18" t="s">
        <v>301</v>
      </c>
      <c r="E21" s="18" t="s">
        <v>274</v>
      </c>
      <c r="F21" s="18">
        <v>82</v>
      </c>
      <c r="G21" s="18"/>
      <c r="H21" s="184">
        <v>27.51</v>
      </c>
      <c r="I21" s="184">
        <f>ROUND(+(H21)*(1+$I$33),2)</f>
        <v>29.71</v>
      </c>
      <c r="J21" s="29">
        <f t="shared" si="6"/>
        <v>27070</v>
      </c>
      <c r="K21" s="29">
        <f t="shared" si="6"/>
        <v>29235</v>
      </c>
      <c r="L21" s="29">
        <f>+K21-J21</f>
        <v>2165</v>
      </c>
      <c r="M21" s="185">
        <f t="shared" si="4"/>
        <v>7.9977835241965278E-2</v>
      </c>
    </row>
    <row r="22" spans="1:13">
      <c r="A22" s="11">
        <f t="shared" si="5"/>
        <v>13</v>
      </c>
      <c r="B22" s="27"/>
      <c r="C22" s="18"/>
      <c r="D22" s="18"/>
      <c r="E22" s="18"/>
      <c r="F22" s="18"/>
      <c r="G22" s="18"/>
      <c r="H22" s="74"/>
      <c r="I22" s="74"/>
      <c r="J22" s="29"/>
      <c r="K22" s="29"/>
      <c r="L22" s="29"/>
      <c r="M22" s="21"/>
    </row>
    <row r="23" spans="1:13">
      <c r="A23" s="11">
        <f t="shared" si="5"/>
        <v>14</v>
      </c>
      <c r="B23" s="27" t="str">
        <f>+B14</f>
        <v>58E &amp; 59E</v>
      </c>
      <c r="C23" s="18">
        <v>175</v>
      </c>
      <c r="D23" s="18" t="s">
        <v>300</v>
      </c>
      <c r="E23" s="18" t="s">
        <v>275</v>
      </c>
      <c r="F23" s="18">
        <v>3</v>
      </c>
      <c r="G23" s="18"/>
      <c r="H23" s="184">
        <v>17.73</v>
      </c>
      <c r="I23" s="184">
        <f>ROUND(+(H23)*(1+$I$33),2)</f>
        <v>19.149999999999999</v>
      </c>
      <c r="J23" s="29">
        <f t="shared" ref="J23:K26" si="7">ROUND(+H23*$F23*12,0)</f>
        <v>638</v>
      </c>
      <c r="K23" s="29">
        <f t="shared" si="7"/>
        <v>689</v>
      </c>
      <c r="L23" s="29">
        <f>+K23-J23</f>
        <v>51</v>
      </c>
      <c r="M23" s="185">
        <f t="shared" si="4"/>
        <v>7.9937304075235111E-2</v>
      </c>
    </row>
    <row r="24" spans="1:13">
      <c r="A24" s="11">
        <f t="shared" si="5"/>
        <v>15</v>
      </c>
      <c r="B24" s="27" t="str">
        <f>+B15</f>
        <v>58E &amp; 59E</v>
      </c>
      <c r="C24" s="18">
        <v>250</v>
      </c>
      <c r="D24" s="18" t="s">
        <v>300</v>
      </c>
      <c r="E24" s="18" t="s">
        <v>275</v>
      </c>
      <c r="F24" s="18">
        <v>9</v>
      </c>
      <c r="G24" s="18"/>
      <c r="H24" s="184">
        <v>20.77</v>
      </c>
      <c r="I24" s="184">
        <f>ROUND(+(H24)*(1+$I$33),2)</f>
        <v>22.43</v>
      </c>
      <c r="J24" s="29">
        <f t="shared" si="7"/>
        <v>2243</v>
      </c>
      <c r="K24" s="29">
        <f t="shared" si="7"/>
        <v>2422</v>
      </c>
      <c r="L24" s="29">
        <f>+K24-J24</f>
        <v>179</v>
      </c>
      <c r="M24" s="185">
        <f>IF(L24=0,"na",+L24/J24)</f>
        <v>7.9803834150691033E-2</v>
      </c>
    </row>
    <row r="25" spans="1:13">
      <c r="A25" s="11">
        <f t="shared" si="5"/>
        <v>16</v>
      </c>
      <c r="B25" s="27" t="str">
        <f>+B15</f>
        <v>58E &amp; 59E</v>
      </c>
      <c r="C25" s="18">
        <v>400</v>
      </c>
      <c r="D25" s="18" t="s">
        <v>300</v>
      </c>
      <c r="E25" s="18" t="s">
        <v>275</v>
      </c>
      <c r="F25" s="18">
        <v>84</v>
      </c>
      <c r="G25" s="18"/>
      <c r="H25" s="184">
        <v>25.83</v>
      </c>
      <c r="I25" s="184">
        <f>ROUND(+(H25)*(1+$I$33),2)</f>
        <v>27.9</v>
      </c>
      <c r="J25" s="29">
        <f t="shared" si="7"/>
        <v>26037</v>
      </c>
      <c r="K25" s="29">
        <f t="shared" si="7"/>
        <v>28123</v>
      </c>
      <c r="L25" s="29">
        <f>+K25-J25</f>
        <v>2086</v>
      </c>
      <c r="M25" s="185">
        <f t="shared" si="4"/>
        <v>8.0116756922840579E-2</v>
      </c>
    </row>
    <row r="26" spans="1:13">
      <c r="A26" s="11">
        <f t="shared" si="5"/>
        <v>17</v>
      </c>
      <c r="B26" s="27" t="str">
        <f>+B29</f>
        <v>58E &amp; 59E</v>
      </c>
      <c r="C26" s="18">
        <v>1000</v>
      </c>
      <c r="D26" s="18" t="s">
        <v>300</v>
      </c>
      <c r="E26" s="18" t="s">
        <v>275</v>
      </c>
      <c r="F26" s="18">
        <v>98</v>
      </c>
      <c r="G26" s="18"/>
      <c r="H26" s="184">
        <v>47.81</v>
      </c>
      <c r="I26" s="184">
        <f>ROUND(+(H26)*(1+$I$33),2)</f>
        <v>51.64</v>
      </c>
      <c r="J26" s="29">
        <f t="shared" si="7"/>
        <v>56225</v>
      </c>
      <c r="K26" s="29">
        <f t="shared" si="7"/>
        <v>60729</v>
      </c>
      <c r="L26" s="29">
        <f>+K26-J26</f>
        <v>4504</v>
      </c>
      <c r="M26" s="185">
        <f t="shared" si="4"/>
        <v>8.0106714095153395E-2</v>
      </c>
    </row>
    <row r="27" spans="1:13">
      <c r="A27" s="11">
        <f t="shared" si="5"/>
        <v>18</v>
      </c>
      <c r="B27" s="27"/>
      <c r="C27" s="18"/>
      <c r="D27" s="18"/>
      <c r="E27" s="18"/>
      <c r="F27" s="18"/>
      <c r="G27" s="18"/>
      <c r="H27" s="184"/>
      <c r="I27" s="184"/>
      <c r="J27" s="29"/>
      <c r="K27" s="29"/>
      <c r="L27" s="29"/>
      <c r="M27" s="185"/>
    </row>
    <row r="28" spans="1:13">
      <c r="A28" s="11">
        <f t="shared" si="5"/>
        <v>19</v>
      </c>
      <c r="B28" s="27" t="str">
        <f>+B24</f>
        <v>58E &amp; 59E</v>
      </c>
      <c r="C28" s="18">
        <v>250</v>
      </c>
      <c r="D28" s="18" t="s">
        <v>301</v>
      </c>
      <c r="E28" s="18" t="s">
        <v>275</v>
      </c>
      <c r="F28" s="18">
        <v>8</v>
      </c>
      <c r="G28" s="18"/>
      <c r="H28" s="184">
        <v>24.7</v>
      </c>
      <c r="I28" s="184">
        <f>ROUND(+(H28)*(1+$I$33),2)</f>
        <v>26.68</v>
      </c>
      <c r="J28" s="29">
        <f>ROUND(+H28*$F28*12,0)</f>
        <v>2371</v>
      </c>
      <c r="K28" s="29">
        <f>ROUND(+I28*$F28*12,0)</f>
        <v>2561</v>
      </c>
      <c r="L28" s="29">
        <f>+K28-J28</f>
        <v>190</v>
      </c>
      <c r="M28" s="185">
        <f>IF(L28=0,"na",+L28/J28)</f>
        <v>8.013496415014762E-2</v>
      </c>
    </row>
    <row r="29" spans="1:13">
      <c r="A29" s="11">
        <f t="shared" si="5"/>
        <v>20</v>
      </c>
      <c r="B29" s="27" t="str">
        <f>+B25</f>
        <v>58E &amp; 59E</v>
      </c>
      <c r="C29" s="18">
        <v>400</v>
      </c>
      <c r="D29" s="18" t="s">
        <v>301</v>
      </c>
      <c r="E29" s="18" t="s">
        <v>275</v>
      </c>
      <c r="F29" s="18">
        <v>62</v>
      </c>
      <c r="G29" s="18"/>
      <c r="H29" s="184">
        <v>31.22</v>
      </c>
      <c r="I29" s="184">
        <f>ROUND(+(H29)*(1+$I$33),2)</f>
        <v>33.72</v>
      </c>
      <c r="J29" s="29">
        <f>ROUND(+H29*$F29*12,0)</f>
        <v>23228</v>
      </c>
      <c r="K29" s="29">
        <f>ROUND(+I29*$F29*12,0)</f>
        <v>25088</v>
      </c>
      <c r="L29" s="29">
        <f>+K29-J29</f>
        <v>1860</v>
      </c>
      <c r="M29" s="185">
        <f t="shared" si="4"/>
        <v>8.0075770621663503E-2</v>
      </c>
    </row>
    <row r="30" spans="1:13">
      <c r="A30" s="11">
        <f t="shared" si="5"/>
        <v>21</v>
      </c>
      <c r="B30" s="10"/>
      <c r="C30" s="18"/>
      <c r="D30" s="18"/>
      <c r="E30" s="18"/>
      <c r="F30" s="18"/>
      <c r="G30" s="18"/>
      <c r="H30" s="74"/>
      <c r="I30" s="74"/>
      <c r="J30" s="186"/>
      <c r="K30" s="186"/>
      <c r="L30" s="186"/>
      <c r="M30" s="187"/>
    </row>
    <row r="31" spans="1:13" ht="13.5" thickBot="1">
      <c r="A31" s="11">
        <f t="shared" si="5"/>
        <v>22</v>
      </c>
      <c r="B31" s="24" t="s">
        <v>302</v>
      </c>
      <c r="C31" s="18"/>
      <c r="D31" s="18"/>
      <c r="E31" s="18"/>
      <c r="F31" s="34">
        <f>SUM(F10:F29)</f>
        <v>1475</v>
      </c>
      <c r="G31" s="34">
        <f>SUM('JAP-23,  p19 Lighting Summary'!D21)</f>
        <v>2131023.9604000002</v>
      </c>
      <c r="H31" s="74"/>
      <c r="I31" s="74"/>
      <c r="J31" s="35">
        <f>SUM(J10:J29)</f>
        <v>413870</v>
      </c>
      <c r="K31" s="35">
        <f>SUM(K10:K29)</f>
        <v>446947</v>
      </c>
      <c r="L31" s="35">
        <f>SUM(L10:L29)</f>
        <v>33077</v>
      </c>
      <c r="M31" s="188">
        <f t="shared" si="4"/>
        <v>7.9921231304515908E-2</v>
      </c>
    </row>
    <row r="32" spans="1:13" ht="13.5" thickTop="1">
      <c r="A32" s="11">
        <f t="shared" si="5"/>
        <v>23</v>
      </c>
      <c r="B32" s="24"/>
      <c r="C32" s="18"/>
      <c r="D32" s="18"/>
      <c r="E32" s="18"/>
      <c r="F32" s="19"/>
      <c r="G32" s="19"/>
      <c r="H32" s="74"/>
      <c r="I32" s="74"/>
      <c r="J32" s="186"/>
      <c r="K32" s="186"/>
      <c r="L32" s="186"/>
      <c r="M32" s="56"/>
    </row>
    <row r="33" spans="1:10" ht="12" customHeight="1">
      <c r="A33" s="11">
        <f t="shared" si="5"/>
        <v>24</v>
      </c>
      <c r="B33" s="2" t="str">
        <f>+'JAP-23,  p20 Sch 003'!$B$14</f>
        <v>Proposed Increase</v>
      </c>
      <c r="I33" s="115">
        <f>+'JAP-23,  p19 Lighting Summary'!$G$29</f>
        <v>8.0032863059986387E-2</v>
      </c>
    </row>
    <row r="34" spans="1:10" ht="12" customHeight="1"/>
    <row r="35" spans="1:10" ht="12" customHeight="1"/>
    <row r="36" spans="1:10" ht="12" customHeight="1">
      <c r="B36" s="24"/>
      <c r="J36" s="29"/>
    </row>
    <row r="37" spans="1:10" ht="12" customHeight="1"/>
  </sheetData>
  <mergeCells count="5">
    <mergeCell ref="A5:M5"/>
    <mergeCell ref="A1:M1"/>
    <mergeCell ref="A2:M2"/>
    <mergeCell ref="A3:M3"/>
    <mergeCell ref="A4:M4"/>
  </mergeCells>
  <phoneticPr fontId="0" type="noConversion"/>
  <printOptions horizontalCentered="1"/>
  <pageMargins left="0.25" right="0.25" top="1" bottom="1.1499999999999999" header="0.5" footer="0.5"/>
  <pageSetup scale="85" orientation="landscape" r:id="rId1"/>
  <headerFooter alignWithMargins="0">
    <oddFooter>&amp;R&amp;"Times New Roman,Regular"Exhibit No.___(JAP-23)
Page 30 of 49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dimension ref="A1:N22"/>
  <sheetViews>
    <sheetView zoomScaleNormal="100" workbookViewId="0">
      <selection activeCell="B24" sqref="B24"/>
    </sheetView>
  </sheetViews>
  <sheetFormatPr defaultRowHeight="12.75"/>
  <cols>
    <col min="1" max="1" width="6.85546875" style="2" customWidth="1"/>
    <col min="2" max="2" width="24.42578125" style="2" customWidth="1"/>
    <col min="3" max="3" width="9.140625" style="2"/>
    <col min="4" max="4" width="8.42578125" style="2" bestFit="1" customWidth="1"/>
    <col min="5" max="16384" width="9.140625" style="2"/>
  </cols>
  <sheetData>
    <row r="1" spans="1:14">
      <c r="A1" s="327" t="s">
        <v>8</v>
      </c>
      <c r="B1" s="327"/>
      <c r="C1" s="327"/>
      <c r="D1" s="327"/>
      <c r="E1" s="327"/>
      <c r="F1" s="327"/>
      <c r="G1" s="327"/>
      <c r="H1" s="327"/>
      <c r="I1" s="327"/>
    </row>
    <row r="2" spans="1:14">
      <c r="A2" s="327" t="s">
        <v>303</v>
      </c>
      <c r="B2" s="327"/>
      <c r="C2" s="327"/>
      <c r="D2" s="327"/>
      <c r="E2" s="327"/>
      <c r="F2" s="327"/>
      <c r="G2" s="327"/>
      <c r="H2" s="327"/>
      <c r="I2" s="327"/>
    </row>
    <row r="3" spans="1:14">
      <c r="A3" s="327" t="str">
        <f>+'JAP-23,  p19 Lighting Summary'!A4</f>
        <v>Twelve Months ended December 2010</v>
      </c>
      <c r="B3" s="327"/>
      <c r="C3" s="327"/>
      <c r="D3" s="327"/>
      <c r="E3" s="327"/>
      <c r="F3" s="327"/>
      <c r="G3" s="327"/>
      <c r="H3" s="327"/>
      <c r="I3" s="327"/>
      <c r="L3" s="1"/>
      <c r="M3" s="1"/>
      <c r="N3" s="1"/>
    </row>
    <row r="4" spans="1:14">
      <c r="A4" s="327" t="s">
        <v>304</v>
      </c>
      <c r="B4" s="327"/>
      <c r="C4" s="327"/>
      <c r="D4" s="327"/>
      <c r="E4" s="327"/>
      <c r="F4" s="327"/>
      <c r="G4" s="327"/>
      <c r="H4" s="327"/>
      <c r="I4" s="327"/>
    </row>
    <row r="5" spans="1:14">
      <c r="A5" s="327" t="s">
        <v>305</v>
      </c>
      <c r="B5" s="327"/>
      <c r="C5" s="327"/>
      <c r="D5" s="327"/>
      <c r="E5" s="327"/>
      <c r="F5" s="327"/>
      <c r="G5" s="327"/>
      <c r="H5" s="327"/>
      <c r="I5" s="327"/>
    </row>
    <row r="7" spans="1:14" s="5" customFormat="1" ht="38.25">
      <c r="A7" s="3" t="s">
        <v>46</v>
      </c>
      <c r="B7" s="3" t="s">
        <v>11</v>
      </c>
      <c r="C7" s="3" t="str">
        <f>+'JAP-23,  p20 Sch 003'!E7</f>
        <v>Inventory
@
12-31-10</v>
      </c>
      <c r="D7" s="4" t="s">
        <v>306</v>
      </c>
      <c r="E7" s="4" t="s">
        <v>307</v>
      </c>
      <c r="F7" s="4" t="s">
        <v>265</v>
      </c>
      <c r="G7" s="4" t="s">
        <v>232</v>
      </c>
      <c r="H7" s="3" t="s">
        <v>233</v>
      </c>
      <c r="I7" s="3" t="s">
        <v>157</v>
      </c>
    </row>
    <row r="8" spans="1:14" s="5" customFormat="1">
      <c r="A8" s="167"/>
      <c r="B8" s="167" t="s">
        <v>477</v>
      </c>
      <c r="C8" s="133" t="s">
        <v>478</v>
      </c>
      <c r="D8" s="133" t="s">
        <v>479</v>
      </c>
      <c r="E8" s="133" t="s">
        <v>480</v>
      </c>
      <c r="F8" s="133" t="s">
        <v>481</v>
      </c>
      <c r="G8" s="133" t="s">
        <v>482</v>
      </c>
      <c r="H8" s="133" t="s">
        <v>483</v>
      </c>
      <c r="I8" s="133" t="s">
        <v>484</v>
      </c>
      <c r="J8" s="133"/>
      <c r="K8" s="133"/>
      <c r="L8" s="133"/>
      <c r="M8" s="133"/>
      <c r="N8" s="133"/>
    </row>
    <row r="9" spans="1:14" s="5" customFormat="1">
      <c r="A9" s="167"/>
      <c r="B9" s="167"/>
      <c r="C9" s="133"/>
      <c r="D9" s="133"/>
      <c r="E9" s="133"/>
      <c r="F9" s="133"/>
      <c r="G9" s="133"/>
      <c r="H9" s="133"/>
      <c r="I9" s="133"/>
      <c r="J9" s="133"/>
      <c r="K9" s="133"/>
      <c r="L9" s="133"/>
    </row>
    <row r="10" spans="1:14">
      <c r="A10" s="11">
        <v>1</v>
      </c>
      <c r="B10" s="103" t="s">
        <v>308</v>
      </c>
      <c r="C10" s="19">
        <v>1033</v>
      </c>
      <c r="D10" s="98">
        <v>2.0699999999999998</v>
      </c>
      <c r="E10" s="181">
        <f>ROUND((+D10*(1+$F$17)),2)</f>
        <v>2.2400000000000002</v>
      </c>
      <c r="F10" s="17">
        <f>ROUND(+D10*$C10*12,0)</f>
        <v>25660</v>
      </c>
      <c r="G10" s="17">
        <f>ROUND(+E10*$C10*12,0)</f>
        <v>27767</v>
      </c>
      <c r="H10" s="17">
        <f>+G10-F10</f>
        <v>2107</v>
      </c>
      <c r="I10" s="56">
        <f>+H10/F10</f>
        <v>8.2112236944660952E-2</v>
      </c>
    </row>
    <row r="11" spans="1:14">
      <c r="A11" s="11">
        <f>+A10+1</f>
        <v>2</v>
      </c>
      <c r="B11" s="32"/>
      <c r="C11" s="32"/>
      <c r="D11" s="32"/>
      <c r="E11" s="32"/>
      <c r="F11" s="32"/>
      <c r="G11" s="32"/>
      <c r="H11" s="32"/>
      <c r="I11" s="32"/>
    </row>
    <row r="12" spans="1:14">
      <c r="A12" s="11">
        <f t="shared" ref="A12:A17" si="0">+A11+1</f>
        <v>3</v>
      </c>
      <c r="B12" s="103" t="s">
        <v>309</v>
      </c>
      <c r="C12" s="19">
        <v>262</v>
      </c>
      <c r="D12" s="98">
        <v>8.16</v>
      </c>
      <c r="E12" s="181">
        <f>ROUND((+D12*(1+$F$17)),2)</f>
        <v>8.81</v>
      </c>
      <c r="F12" s="17">
        <f>ROUND(+D12*$C12*12,0)</f>
        <v>25655</v>
      </c>
      <c r="G12" s="17">
        <f>ROUND(+E12*$C12*12,0)</f>
        <v>27699</v>
      </c>
      <c r="H12" s="17">
        <f>+G12-F12</f>
        <v>2044</v>
      </c>
      <c r="I12" s="56">
        <f>+H12/F12</f>
        <v>7.9672578444747608E-2</v>
      </c>
    </row>
    <row r="13" spans="1:14">
      <c r="A13" s="11">
        <f t="shared" si="0"/>
        <v>4</v>
      </c>
      <c r="B13" s="103" t="s">
        <v>310</v>
      </c>
      <c r="C13" s="19">
        <v>157</v>
      </c>
      <c r="D13" s="98">
        <v>8.16</v>
      </c>
      <c r="E13" s="181">
        <f>ROUND((+D13*(1+$F$17)),2)</f>
        <v>8.81</v>
      </c>
      <c r="F13" s="17">
        <f>ROUND(+D13*$C13*12,0)</f>
        <v>15373</v>
      </c>
      <c r="G13" s="17">
        <f>ROUND(+E13*$C13*12,0)</f>
        <v>16598</v>
      </c>
      <c r="H13" s="17">
        <f>+G13-F13</f>
        <v>1225</v>
      </c>
      <c r="I13" s="182">
        <f>IF(H13=0,"na",+H13/F13)</f>
        <v>7.968516229753464E-2</v>
      </c>
    </row>
    <row r="14" spans="1:14">
      <c r="A14" s="11">
        <f t="shared" si="0"/>
        <v>5</v>
      </c>
      <c r="B14" s="32"/>
      <c r="C14" s="32"/>
      <c r="D14" s="32"/>
      <c r="E14" s="32"/>
      <c r="F14" s="32"/>
      <c r="G14" s="32"/>
      <c r="H14" s="32"/>
      <c r="I14" s="32"/>
    </row>
    <row r="15" spans="1:14">
      <c r="A15" s="11">
        <f t="shared" si="0"/>
        <v>6</v>
      </c>
      <c r="B15" s="32" t="s">
        <v>311</v>
      </c>
      <c r="C15" s="93">
        <f>SUM(C12:C14)</f>
        <v>419</v>
      </c>
      <c r="D15" s="32"/>
      <c r="E15" s="32"/>
      <c r="F15" s="55">
        <f>SUM(F12:F14)</f>
        <v>41028</v>
      </c>
      <c r="G15" s="55">
        <f>SUM(G12:G14)</f>
        <v>44297</v>
      </c>
      <c r="H15" s="55">
        <f>SUM(H12:H14)</f>
        <v>3269</v>
      </c>
      <c r="I15" s="182">
        <f>IF(H15=0,"na",+H15/F15)</f>
        <v>7.9677293555620546E-2</v>
      </c>
    </row>
    <row r="16" spans="1:14">
      <c r="A16" s="310">
        <f t="shared" si="0"/>
        <v>7</v>
      </c>
      <c r="B16" s="32"/>
      <c r="C16" s="32"/>
      <c r="D16" s="32"/>
      <c r="E16" s="32"/>
      <c r="F16" s="84"/>
      <c r="G16" s="32"/>
      <c r="H16" s="32"/>
      <c r="I16" s="32"/>
    </row>
    <row r="17" spans="1:9">
      <c r="A17" s="310">
        <f t="shared" si="0"/>
        <v>8</v>
      </c>
      <c r="B17" s="2" t="str">
        <f>+'JAP-23,  p20 Sch 003'!$B$14</f>
        <v>Proposed Increase</v>
      </c>
      <c r="C17" s="32"/>
      <c r="D17" s="32"/>
      <c r="E17" s="32"/>
      <c r="F17" s="115">
        <f>+'JAP-23,  p19 Lighting Summary'!$G$29</f>
        <v>8.0032863059986387E-2</v>
      </c>
      <c r="G17" s="32"/>
      <c r="H17" s="32"/>
      <c r="I17" s="32"/>
    </row>
    <row r="19" spans="1:9">
      <c r="D19" s="183"/>
    </row>
    <row r="22" spans="1:9">
      <c r="G22" s="115"/>
    </row>
  </sheetData>
  <mergeCells count="5">
    <mergeCell ref="A5:I5"/>
    <mergeCell ref="A1:I1"/>
    <mergeCell ref="A2:I2"/>
    <mergeCell ref="A3:I3"/>
    <mergeCell ref="A4:I4"/>
  </mergeCells>
  <phoneticPr fontId="0" type="noConversion"/>
  <printOptions horizontalCentered="1"/>
  <pageMargins left="0.25" right="0.25" top="1" bottom="1.2" header="0.5" footer="0.5"/>
  <pageSetup scale="85" orientation="landscape" r:id="rId1"/>
  <headerFooter alignWithMargins="0">
    <oddFooter>&amp;R&amp;"Times New Roman,Regular"Exhibit No.___(JAP-23)
Page 31 of 49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0"/>
  <sheetViews>
    <sheetView zoomScaleNormal="100" workbookViewId="0">
      <selection activeCell="J10" sqref="J10"/>
    </sheetView>
  </sheetViews>
  <sheetFormatPr defaultRowHeight="12.75"/>
  <cols>
    <col min="1" max="1" width="4.42578125" style="2" bestFit="1" customWidth="1"/>
    <col min="2" max="2" width="24.85546875" style="2" customWidth="1"/>
    <col min="3" max="3" width="15" style="2" bestFit="1" customWidth="1"/>
    <col min="4" max="4" width="10.7109375" style="2" bestFit="1" customWidth="1"/>
    <col min="5" max="5" width="11.5703125" style="2" bestFit="1" customWidth="1"/>
    <col min="6" max="6" width="13.42578125" style="2" bestFit="1" customWidth="1"/>
    <col min="7" max="7" width="15" style="2" bestFit="1" customWidth="1"/>
    <col min="8" max="8" width="35.85546875" style="2" bestFit="1" customWidth="1"/>
    <col min="9" max="16384" width="9.140625" style="2"/>
  </cols>
  <sheetData>
    <row r="1" spans="1:13">
      <c r="A1" s="327" t="s">
        <v>8</v>
      </c>
      <c r="B1" s="327"/>
      <c r="C1" s="327"/>
      <c r="D1" s="327"/>
      <c r="E1" s="327"/>
      <c r="F1" s="327"/>
      <c r="G1" s="327"/>
      <c r="H1" s="327"/>
    </row>
    <row r="2" spans="1:13">
      <c r="A2" s="327" t="s">
        <v>44</v>
      </c>
      <c r="B2" s="327"/>
      <c r="C2" s="327"/>
      <c r="D2" s="327"/>
      <c r="E2" s="327"/>
      <c r="F2" s="327"/>
      <c r="G2" s="327"/>
      <c r="H2" s="327"/>
    </row>
    <row r="3" spans="1:13">
      <c r="A3" s="327" t="s">
        <v>45</v>
      </c>
      <c r="B3" s="327"/>
      <c r="C3" s="327"/>
      <c r="D3" s="327"/>
      <c r="E3" s="327"/>
      <c r="F3" s="327"/>
      <c r="G3" s="327"/>
      <c r="H3" s="327"/>
    </row>
    <row r="4" spans="1:13">
      <c r="A4" s="1"/>
      <c r="B4" s="1"/>
      <c r="C4" s="1"/>
      <c r="D4" s="1"/>
      <c r="E4" s="1"/>
      <c r="F4" s="1"/>
      <c r="G4" s="1"/>
      <c r="H4" s="1"/>
    </row>
    <row r="5" spans="1:13" s="11" customFormat="1" ht="51">
      <c r="A5" s="65" t="s">
        <v>46</v>
      </c>
      <c r="B5" s="66" t="s">
        <v>47</v>
      </c>
      <c r="C5" s="67" t="s">
        <v>48</v>
      </c>
      <c r="D5" s="67" t="s">
        <v>523</v>
      </c>
      <c r="E5" s="67" t="s">
        <v>524</v>
      </c>
      <c r="F5" s="67" t="s">
        <v>525</v>
      </c>
      <c r="G5" s="67" t="s">
        <v>526</v>
      </c>
      <c r="H5" s="68" t="s">
        <v>49</v>
      </c>
    </row>
    <row r="6" spans="1:13" s="5" customFormat="1">
      <c r="A6" s="167"/>
      <c r="B6" s="167" t="s">
        <v>477</v>
      </c>
      <c r="C6" s="133" t="s">
        <v>478</v>
      </c>
      <c r="D6" s="133" t="s">
        <v>479</v>
      </c>
      <c r="E6" s="133" t="s">
        <v>481</v>
      </c>
      <c r="F6" s="133" t="s">
        <v>482</v>
      </c>
      <c r="G6" s="133" t="s">
        <v>483</v>
      </c>
      <c r="H6" s="133" t="s">
        <v>484</v>
      </c>
      <c r="I6" s="133"/>
      <c r="J6" s="133"/>
      <c r="K6" s="133"/>
      <c r="L6" s="133"/>
      <c r="M6" s="133"/>
    </row>
    <row r="7" spans="1:13" s="5" customFormat="1">
      <c r="A7" s="167"/>
      <c r="B7" s="167"/>
      <c r="C7" s="133"/>
      <c r="D7" s="133"/>
      <c r="E7" s="133"/>
      <c r="F7" s="133"/>
      <c r="G7" s="133"/>
      <c r="H7" s="133"/>
      <c r="I7" s="133"/>
      <c r="J7" s="133"/>
      <c r="K7" s="133"/>
    </row>
    <row r="8" spans="1:13">
      <c r="A8" s="11">
        <v>1</v>
      </c>
      <c r="J8" s="133"/>
    </row>
    <row r="9" spans="1:13">
      <c r="A9" s="11">
        <f>+A8+1</f>
        <v>2</v>
      </c>
      <c r="B9" s="2" t="s">
        <v>50</v>
      </c>
      <c r="J9" s="133"/>
    </row>
    <row r="10" spans="1:13">
      <c r="A10" s="11">
        <f t="shared" ref="A10:A30" si="0">+A9+1</f>
        <v>3</v>
      </c>
      <c r="B10" s="27" t="s">
        <v>51</v>
      </c>
      <c r="C10" s="18">
        <f>+'JAP-23,  p4 Residential Sch 7'!$E$12</f>
        <v>11715387</v>
      </c>
      <c r="D10" s="53">
        <f>+'JAP-23,  p4 Residential Sch 7'!$F$12</f>
        <v>7.25</v>
      </c>
      <c r="E10" s="94">
        <f>ROUND(D10*(1+G27),2)</f>
        <v>7.83</v>
      </c>
      <c r="F10" s="29">
        <f>+D10*C10</f>
        <v>84936555.75</v>
      </c>
      <c r="G10" s="29">
        <f>+E10*C10</f>
        <v>91731480.209999993</v>
      </c>
      <c r="H10" s="311" t="s">
        <v>534</v>
      </c>
      <c r="J10" s="133"/>
    </row>
    <row r="11" spans="1:13">
      <c r="A11" s="11">
        <f t="shared" si="0"/>
        <v>4</v>
      </c>
      <c r="B11" s="27" t="s">
        <v>52</v>
      </c>
      <c r="C11" s="18">
        <f>+'JAP-23,  p4 Residential Sch 7'!$E$13</f>
        <v>4097</v>
      </c>
      <c r="D11" s="53">
        <f>+'JAP-23,  p4 Residential Sch 7'!$F$13</f>
        <v>17.41</v>
      </c>
      <c r="E11" s="94">
        <f>ROUND(D11*(1+G27),2)</f>
        <v>18.8</v>
      </c>
      <c r="F11" s="29">
        <f>+D11*C11</f>
        <v>71328.77</v>
      </c>
      <c r="G11" s="29">
        <f>+E11*C11</f>
        <v>77023.600000000006</v>
      </c>
      <c r="H11" s="305" t="s">
        <v>534</v>
      </c>
      <c r="J11" s="133"/>
    </row>
    <row r="12" spans="1:13">
      <c r="A12" s="11">
        <f t="shared" si="0"/>
        <v>5</v>
      </c>
      <c r="B12" s="2" t="s">
        <v>53</v>
      </c>
      <c r="C12" s="72">
        <f>SUM(C10:C11)</f>
        <v>11719484</v>
      </c>
      <c r="F12" s="54">
        <f>SUM(F10:F11)</f>
        <v>85007884.519999996</v>
      </c>
      <c r="G12" s="54">
        <f>SUM(G10:G11)</f>
        <v>91808503.809999987</v>
      </c>
      <c r="H12" s="73"/>
      <c r="J12" s="133"/>
    </row>
    <row r="13" spans="1:13">
      <c r="A13" s="11">
        <f t="shared" si="0"/>
        <v>6</v>
      </c>
      <c r="G13" s="74"/>
      <c r="H13" s="75"/>
      <c r="J13" s="133"/>
    </row>
    <row r="14" spans="1:13">
      <c r="A14" s="11">
        <f t="shared" si="0"/>
        <v>7</v>
      </c>
      <c r="B14" s="2" t="s">
        <v>54</v>
      </c>
      <c r="E14" s="53"/>
      <c r="H14" s="76"/>
      <c r="J14" s="133"/>
    </row>
    <row r="15" spans="1:13" ht="25.5">
      <c r="A15" s="11">
        <f t="shared" si="0"/>
        <v>8</v>
      </c>
      <c r="B15" s="27" t="s">
        <v>55</v>
      </c>
      <c r="C15" s="18">
        <f>+'JAP-23,  p4 Residential Sch 7'!$E$16</f>
        <v>5951889767.6892004</v>
      </c>
      <c r="D15" s="58">
        <f>+'JAP-23,  p4 Residential Sch 7'!$F$16</f>
        <v>8.4990999999999997E-2</v>
      </c>
      <c r="E15" s="77">
        <f>ROUND(D15*(1+G27),6)+0.000001</f>
        <v>9.1794000000000001E-2</v>
      </c>
      <c r="F15" s="29">
        <f>+C15*SUM(D15:D15)</f>
        <v>505857063.24567282</v>
      </c>
      <c r="G15" s="29">
        <f>+C15*SUM(E15)</f>
        <v>546347769.33526242</v>
      </c>
      <c r="H15" s="305" t="s">
        <v>535</v>
      </c>
      <c r="J15" s="133"/>
    </row>
    <row r="16" spans="1:13">
      <c r="A16" s="11">
        <f t="shared" si="0"/>
        <v>9</v>
      </c>
      <c r="B16" s="27" t="s">
        <v>56</v>
      </c>
      <c r="C16" s="18">
        <f>+'JAP-23,  p4 Residential Sch 7'!$E$17</f>
        <v>4851454569.7986383</v>
      </c>
      <c r="D16" s="58">
        <f>+'JAP-23,  p4 Residential Sch 7'!$F$17</f>
        <v>0.102974</v>
      </c>
      <c r="E16" s="77">
        <f>ROUND(D16*(1+G27),6)</f>
        <v>0.11121499999999999</v>
      </c>
      <c r="F16" s="29">
        <f>+C16*SUM(D16:D16)</f>
        <v>499573682.87044495</v>
      </c>
      <c r="G16" s="29">
        <f>+C16*SUM(E16)</f>
        <v>539554519.98015559</v>
      </c>
      <c r="H16" s="305" t="s">
        <v>534</v>
      </c>
    </row>
    <row r="17" spans="1:8">
      <c r="A17" s="11">
        <f t="shared" si="0"/>
        <v>10</v>
      </c>
      <c r="B17" s="24" t="s">
        <v>57</v>
      </c>
      <c r="C17" s="72">
        <f>SUM(C16,C15)</f>
        <v>10803344337.487839</v>
      </c>
      <c r="E17" s="32"/>
      <c r="F17" s="13">
        <f>SUM(F16,F15)</f>
        <v>1005430746.1161177</v>
      </c>
      <c r="G17" s="13">
        <f>SUM(G16,G15)</f>
        <v>1085902289.315418</v>
      </c>
      <c r="H17" s="158"/>
    </row>
    <row r="18" spans="1:8">
      <c r="A18" s="11">
        <f t="shared" si="0"/>
        <v>11</v>
      </c>
      <c r="H18" s="76"/>
    </row>
    <row r="19" spans="1:8">
      <c r="A19" s="11">
        <f t="shared" si="0"/>
        <v>12</v>
      </c>
      <c r="B19" s="24" t="s">
        <v>58</v>
      </c>
      <c r="C19" s="18">
        <f>+'JAP-23,  p4 Residential Sch 7'!$E$22</f>
        <v>-70596587</v>
      </c>
      <c r="D19" s="58">
        <f>+'JAP-23,  p4 Residential Sch 7'!$F$22</f>
        <v>0.100898</v>
      </c>
      <c r="E19" s="77">
        <f>ROUND(SUM(D19)*(1+G27),6)</f>
        <v>0.108973</v>
      </c>
      <c r="F19" s="13">
        <f>+C19*SUM(D19:D19)</f>
        <v>-7123054.4351260001</v>
      </c>
      <c r="G19" s="13">
        <f>+C19*E19</f>
        <v>-7693121.875151</v>
      </c>
      <c r="H19" s="305" t="s">
        <v>534</v>
      </c>
    </row>
    <row r="20" spans="1:8">
      <c r="A20" s="11">
        <f t="shared" si="0"/>
        <v>13</v>
      </c>
      <c r="B20" s="24"/>
      <c r="C20" s="18"/>
      <c r="D20" s="58"/>
      <c r="H20" s="158"/>
    </row>
    <row r="21" spans="1:8" ht="13.5" thickBot="1">
      <c r="A21" s="11">
        <f t="shared" si="0"/>
        <v>14</v>
      </c>
      <c r="B21" s="2" t="s">
        <v>59</v>
      </c>
      <c r="C21" s="79">
        <f>SUM(C19,C17)</f>
        <v>10732747750.487839</v>
      </c>
      <c r="H21" s="76"/>
    </row>
    <row r="22" spans="1:8" ht="13.5" thickTop="1">
      <c r="A22" s="304">
        <f t="shared" si="0"/>
        <v>15</v>
      </c>
      <c r="H22" s="76"/>
    </row>
    <row r="23" spans="1:8" ht="13.5" thickBot="1">
      <c r="A23" s="304">
        <f t="shared" si="0"/>
        <v>16</v>
      </c>
      <c r="B23" s="2" t="s">
        <v>60</v>
      </c>
      <c r="F23" s="63">
        <f>SUM(F19,F17,F12)</f>
        <v>1083315576.2009919</v>
      </c>
      <c r="G23" s="63">
        <f>SUM(G19,G17,G12)</f>
        <v>1170017671.250267</v>
      </c>
      <c r="H23" s="73"/>
    </row>
    <row r="24" spans="1:8" ht="13.5" thickTop="1">
      <c r="A24" s="304">
        <f t="shared" si="0"/>
        <v>17</v>
      </c>
      <c r="H24" s="76"/>
    </row>
    <row r="25" spans="1:8">
      <c r="A25" s="304">
        <f t="shared" si="0"/>
        <v>18</v>
      </c>
      <c r="B25" s="80" t="s">
        <v>61</v>
      </c>
      <c r="C25" s="80"/>
      <c r="D25" s="80"/>
      <c r="E25" s="80"/>
      <c r="F25" s="80"/>
      <c r="G25" s="29">
        <f>+'JAP-23,  p1 Rate Spread'!J8</f>
        <v>86700848.716292992</v>
      </c>
      <c r="H25" s="78" t="s">
        <v>536</v>
      </c>
    </row>
    <row r="26" spans="1:8">
      <c r="A26" s="304">
        <f t="shared" si="0"/>
        <v>19</v>
      </c>
      <c r="B26" s="80" t="s">
        <v>62</v>
      </c>
      <c r="C26" s="80"/>
      <c r="D26" s="80"/>
      <c r="E26" s="80"/>
      <c r="F26" s="80"/>
      <c r="G26" s="37">
        <f>SUM(F23,G25)</f>
        <v>1170016424.917285</v>
      </c>
    </row>
    <row r="27" spans="1:8">
      <c r="A27" s="304">
        <f t="shared" si="0"/>
        <v>20</v>
      </c>
      <c r="B27" s="80" t="s">
        <v>63</v>
      </c>
      <c r="C27" s="80"/>
      <c r="D27" s="80"/>
      <c r="E27" s="80"/>
      <c r="F27" s="80"/>
      <c r="G27" s="16">
        <f>+G25/F23</f>
        <v>8.0032864495808778E-2</v>
      </c>
    </row>
    <row r="28" spans="1:8">
      <c r="A28" s="304">
        <f t="shared" si="0"/>
        <v>21</v>
      </c>
      <c r="B28" s="10"/>
      <c r="F28" s="37"/>
    </row>
    <row r="29" spans="1:8" ht="13.5" thickBot="1">
      <c r="A29" s="304">
        <f t="shared" si="0"/>
        <v>22</v>
      </c>
      <c r="C29" s="37"/>
    </row>
    <row r="30" spans="1:8" ht="13.5" thickBot="1">
      <c r="A30" s="304">
        <f t="shared" si="0"/>
        <v>23</v>
      </c>
      <c r="B30" s="24" t="s">
        <v>64</v>
      </c>
      <c r="C30" s="81"/>
      <c r="F30" s="37"/>
      <c r="G30" s="82">
        <f>+G23-G26</f>
        <v>1246.3329820632935</v>
      </c>
    </row>
  </sheetData>
  <mergeCells count="3">
    <mergeCell ref="A1:H1"/>
    <mergeCell ref="A2:H2"/>
    <mergeCell ref="A3:H3"/>
  </mergeCells>
  <phoneticPr fontId="11" type="noConversion"/>
  <printOptions horizontalCentered="1"/>
  <pageMargins left="0.25" right="0.25" top="1" bottom="1.26" header="0.5" footer="0.5"/>
  <pageSetup orientation="landscape" r:id="rId1"/>
  <headerFooter alignWithMargins="0">
    <oddFooter>&amp;R&amp;"Times New Roman,Regular"Exhibit No.___(JAP-23)
Page 32 of 49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8"/>
  <sheetViews>
    <sheetView zoomScaleNormal="100" workbookViewId="0">
      <selection activeCell="J13" sqref="J13"/>
    </sheetView>
  </sheetViews>
  <sheetFormatPr defaultRowHeight="12.75"/>
  <cols>
    <col min="1" max="1" width="4.42578125" style="2" bestFit="1" customWidth="1"/>
    <col min="2" max="2" width="28.140625" style="2" customWidth="1"/>
    <col min="3" max="3" width="14" style="2" bestFit="1" customWidth="1"/>
    <col min="4" max="4" width="10.7109375" style="2" bestFit="1" customWidth="1"/>
    <col min="5" max="5" width="12.7109375" style="2" bestFit="1" customWidth="1"/>
    <col min="6" max="6" width="13.42578125" style="2" bestFit="1" customWidth="1"/>
    <col min="7" max="7" width="14" style="2" bestFit="1" customWidth="1"/>
    <col min="8" max="8" width="30.140625" style="2" bestFit="1" customWidth="1"/>
    <col min="9" max="16384" width="9.140625" style="2"/>
  </cols>
  <sheetData>
    <row r="1" spans="1:13">
      <c r="A1" s="327" t="s">
        <v>8</v>
      </c>
      <c r="B1" s="327"/>
      <c r="C1" s="327"/>
      <c r="D1" s="327"/>
      <c r="E1" s="327"/>
      <c r="F1" s="327"/>
      <c r="G1" s="327"/>
      <c r="H1" s="327"/>
    </row>
    <row r="2" spans="1:13">
      <c r="A2" s="327" t="s">
        <v>44</v>
      </c>
      <c r="B2" s="327"/>
      <c r="C2" s="327"/>
      <c r="D2" s="327"/>
      <c r="E2" s="327"/>
      <c r="F2" s="327"/>
      <c r="G2" s="327"/>
      <c r="H2" s="327"/>
    </row>
    <row r="3" spans="1:13">
      <c r="A3" s="327" t="s">
        <v>65</v>
      </c>
      <c r="B3" s="327"/>
      <c r="C3" s="327"/>
      <c r="D3" s="327"/>
      <c r="E3" s="327"/>
      <c r="F3" s="327"/>
      <c r="G3" s="327"/>
      <c r="H3" s="327"/>
    </row>
    <row r="4" spans="1:13">
      <c r="A4" s="1"/>
      <c r="B4" s="1"/>
      <c r="C4" s="1"/>
      <c r="D4" s="1"/>
      <c r="E4" s="1"/>
      <c r="F4" s="1"/>
      <c r="G4" s="1"/>
      <c r="H4" s="1"/>
    </row>
    <row r="5" spans="1:13" s="11" customFormat="1" ht="51">
      <c r="A5" s="65" t="str">
        <f>+'JAP-23,  p32 Rate Des Sch 7'!A5</f>
        <v>Line No.</v>
      </c>
      <c r="B5" s="66" t="str">
        <f>+'JAP-23,  p32 Rate Des Sch 7'!B5</f>
        <v>Description</v>
      </c>
      <c r="C5" s="65" t="str">
        <f>+'JAP-23,  p32 Rate Des Sch 7'!C5</f>
        <v>Bill
Determinants</v>
      </c>
      <c r="D5" s="65" t="str">
        <f>+'JAP-23,  p32 Rate Des Sch 7'!D5</f>
        <v>Base Rates
Effective 
5-1-10</v>
      </c>
      <c r="E5" s="65" t="str">
        <f>+'JAP-23,  p32 Rate Des Sch 7'!E5</f>
        <v>Proposed
Rates
Effective 2012</v>
      </c>
      <c r="F5" s="65" t="str">
        <f>+'JAP-23,  p32 Rate Des Sch 7'!F5</f>
        <v>Proforma
Revenue
Effective
5-1-10</v>
      </c>
      <c r="G5" s="65" t="str">
        <f>+'JAP-23,  p32 Rate Des Sch 7'!G5</f>
        <v>Proposed
Revenue
Effective
2012</v>
      </c>
      <c r="H5" s="66" t="str">
        <f>+'JAP-23,  p32 Rate Des Sch 7'!H5</f>
        <v>Notes:</v>
      </c>
    </row>
    <row r="6" spans="1:13" s="5" customFormat="1">
      <c r="A6" s="167"/>
      <c r="B6" s="167" t="s">
        <v>477</v>
      </c>
      <c r="C6" s="133" t="s">
        <v>478</v>
      </c>
      <c r="D6" s="133" t="s">
        <v>479</v>
      </c>
      <c r="E6" s="133" t="s">
        <v>481</v>
      </c>
      <c r="F6" s="133" t="s">
        <v>482</v>
      </c>
      <c r="G6" s="133" t="s">
        <v>483</v>
      </c>
      <c r="H6" s="133" t="s">
        <v>484</v>
      </c>
      <c r="I6" s="133"/>
      <c r="J6" s="133"/>
      <c r="K6" s="133"/>
      <c r="L6" s="133"/>
      <c r="M6" s="133"/>
    </row>
    <row r="7" spans="1:13" s="5" customFormat="1">
      <c r="A7" s="167"/>
      <c r="B7" s="167"/>
      <c r="C7" s="133"/>
      <c r="D7" s="133"/>
      <c r="E7" s="133"/>
      <c r="F7" s="133"/>
      <c r="G7" s="133"/>
      <c r="H7" s="133"/>
      <c r="I7" s="133"/>
      <c r="J7" s="133"/>
      <c r="K7" s="133"/>
    </row>
    <row r="8" spans="1:13">
      <c r="A8" s="11">
        <v>1</v>
      </c>
    </row>
    <row r="9" spans="1:13">
      <c r="A9" s="11">
        <f t="shared" ref="A9:A28" si="0">+A8+1</f>
        <v>2</v>
      </c>
      <c r="B9" s="2" t="s">
        <v>50</v>
      </c>
    </row>
    <row r="10" spans="1:13">
      <c r="A10" s="11">
        <f t="shared" si="0"/>
        <v>3</v>
      </c>
      <c r="B10" s="27" t="s">
        <v>51</v>
      </c>
      <c r="C10" s="18">
        <f>+'JAP-23,  p5 Secondary Sch 24'!$E$12</f>
        <v>1042443</v>
      </c>
      <c r="D10" s="53">
        <f>+'JAP-23,  p5 Secondary Sch 24'!$F$12</f>
        <v>9.35</v>
      </c>
      <c r="E10" s="69">
        <f>ROUND(D10*(1+G26),2)</f>
        <v>10.1</v>
      </c>
      <c r="F10" s="29">
        <f>+D10*C10</f>
        <v>9746842.0499999989</v>
      </c>
      <c r="G10" s="29">
        <f>+E10*C10</f>
        <v>10528674.299999999</v>
      </c>
      <c r="H10" s="342" t="s">
        <v>534</v>
      </c>
    </row>
    <row r="11" spans="1:13">
      <c r="A11" s="11">
        <f t="shared" si="0"/>
        <v>4</v>
      </c>
      <c r="B11" s="27" t="s">
        <v>52</v>
      </c>
      <c r="C11" s="18">
        <f>+'JAP-23,  p5 Secondary Sch 24'!$E$13</f>
        <v>431676</v>
      </c>
      <c r="D11" s="53">
        <f>+'JAP-23,  p5 Secondary Sch 24'!$F$13</f>
        <v>23.76</v>
      </c>
      <c r="E11" s="69">
        <f>ROUND(D11*(1+G26),2)</f>
        <v>25.66</v>
      </c>
      <c r="F11" s="29">
        <f>+D11*C11</f>
        <v>10256621.76</v>
      </c>
      <c r="G11" s="29">
        <f>+E11*C11</f>
        <v>11076806.16</v>
      </c>
      <c r="H11" s="343"/>
    </row>
    <row r="12" spans="1:13">
      <c r="A12" s="11">
        <f t="shared" si="0"/>
        <v>5</v>
      </c>
      <c r="B12" s="2" t="s">
        <v>53</v>
      </c>
      <c r="C12" s="72">
        <f>SUM(C10:C11)</f>
        <v>1474119</v>
      </c>
      <c r="F12" s="54">
        <f>SUM(F10:F11)</f>
        <v>20003463.809999999</v>
      </c>
      <c r="G12" s="54">
        <f>SUM(G10:G11)</f>
        <v>21605480.460000001</v>
      </c>
      <c r="H12" s="83"/>
    </row>
    <row r="13" spans="1:13">
      <c r="A13" s="304">
        <f t="shared" si="0"/>
        <v>6</v>
      </c>
      <c r="D13" s="74"/>
      <c r="L13" s="53"/>
    </row>
    <row r="14" spans="1:13">
      <c r="A14" s="304">
        <f t="shared" si="0"/>
        <v>7</v>
      </c>
      <c r="B14" s="2" t="s">
        <v>54</v>
      </c>
    </row>
    <row r="15" spans="1:13">
      <c r="A15" s="304">
        <f t="shared" si="0"/>
        <v>8</v>
      </c>
      <c r="B15" s="27" t="s">
        <v>66</v>
      </c>
      <c r="C15" s="18">
        <f>+'JAP-23,  p5 Secondary Sch 24'!$E$16</f>
        <v>1379037818.7090864</v>
      </c>
      <c r="D15" s="58">
        <f>+'JAP-23,  p5 Secondary Sch 24'!$F$16</f>
        <v>8.8446999999999998E-2</v>
      </c>
      <c r="E15" s="77">
        <f>ROUND(SUM(D15:D15)*(1+G26),6)+0</f>
        <v>9.5526E-2</v>
      </c>
      <c r="F15" s="29">
        <f>+C15*SUM(D15:D15)</f>
        <v>121971757.95136257</v>
      </c>
      <c r="G15" s="29">
        <f>+C15*SUM(E15)</f>
        <v>131733966.67000419</v>
      </c>
      <c r="H15" s="311" t="s">
        <v>534</v>
      </c>
    </row>
    <row r="16" spans="1:13" ht="25.5">
      <c r="A16" s="304">
        <f t="shared" si="0"/>
        <v>9</v>
      </c>
      <c r="B16" s="27" t="s">
        <v>67</v>
      </c>
      <c r="C16" s="18">
        <f>+'JAP-23,  p5 Secondary Sch 24'!$E$17</f>
        <v>1230487361.9192345</v>
      </c>
      <c r="D16" s="58">
        <f>+'JAP-23,  p5 Secondary Sch 24'!$F$17</f>
        <v>8.5448999999999997E-2</v>
      </c>
      <c r="E16" s="77">
        <f>ROUND(SUM(D16:D16)*(1+G26),6)-0.000002</f>
        <v>9.2285999999999993E-2</v>
      </c>
      <c r="F16" s="29">
        <f>+C16*SUM(D16:D16)</f>
        <v>105143914.58863667</v>
      </c>
      <c r="G16" s="29">
        <f>+C16*SUM(E16)</f>
        <v>113556756.68207847</v>
      </c>
      <c r="H16" s="311" t="s">
        <v>535</v>
      </c>
    </row>
    <row r="17" spans="1:8">
      <c r="A17" s="304">
        <f t="shared" si="0"/>
        <v>10</v>
      </c>
      <c r="B17" s="24" t="s">
        <v>57</v>
      </c>
      <c r="C17" s="72">
        <f>SUM(C16,C15)</f>
        <v>2609525180.6283207</v>
      </c>
      <c r="E17" s="32"/>
      <c r="F17" s="13">
        <f>SUM(F16,F15)</f>
        <v>227115672.53999925</v>
      </c>
      <c r="G17" s="13">
        <f>SUM(G16,G15)</f>
        <v>245290723.35208267</v>
      </c>
      <c r="H17" s="307"/>
    </row>
    <row r="18" spans="1:8">
      <c r="A18" s="304">
        <f t="shared" si="0"/>
        <v>11</v>
      </c>
      <c r="H18" s="83"/>
    </row>
    <row r="19" spans="1:8">
      <c r="A19" s="304">
        <f t="shared" si="0"/>
        <v>12</v>
      </c>
      <c r="B19" s="27" t="s">
        <v>58</v>
      </c>
      <c r="C19" s="19">
        <f>+'JAP-23,  p5 Secondary Sch 24'!$E$22</f>
        <v>-14659755</v>
      </c>
      <c r="D19" s="58">
        <f>+'JAP-23,  p5 Secondary Sch 24'!$F$22</f>
        <v>9.5217999999999997E-2</v>
      </c>
      <c r="E19" s="77">
        <f>ROUND(SUM(D19)*(1+G26),6)</f>
        <v>0.102839</v>
      </c>
      <c r="F19" s="13">
        <f>+C19*SUM(D19:D19)</f>
        <v>-1395872.55159</v>
      </c>
      <c r="G19" s="13">
        <f>+C19*SUM(E19)</f>
        <v>-1507594.5444449999</v>
      </c>
      <c r="H19" s="308" t="s">
        <v>534</v>
      </c>
    </row>
    <row r="20" spans="1:8" ht="13.5" thickBot="1">
      <c r="A20" s="304">
        <f t="shared" si="0"/>
        <v>13</v>
      </c>
      <c r="B20" s="2" t="s">
        <v>59</v>
      </c>
      <c r="C20" s="79">
        <f>SUM(C19,C17)</f>
        <v>2594865425.6283207</v>
      </c>
      <c r="H20" s="158"/>
    </row>
    <row r="21" spans="1:8" ht="13.5" thickTop="1">
      <c r="A21" s="304">
        <f t="shared" si="0"/>
        <v>14</v>
      </c>
    </row>
    <row r="22" spans="1:8" ht="13.5" thickBot="1">
      <c r="A22" s="304">
        <f t="shared" si="0"/>
        <v>15</v>
      </c>
      <c r="B22" s="2" t="s">
        <v>60</v>
      </c>
      <c r="D22" s="37"/>
      <c r="E22" s="37"/>
      <c r="F22" s="63">
        <f>SUM(F19,F17,F12)</f>
        <v>245723263.79840925</v>
      </c>
      <c r="G22" s="63">
        <f>SUM(G19,G17,G12)</f>
        <v>265388609.26763767</v>
      </c>
      <c r="H22" s="83"/>
    </row>
    <row r="23" spans="1:8" ht="13.5" thickTop="1">
      <c r="A23" s="304">
        <f t="shared" si="0"/>
        <v>16</v>
      </c>
      <c r="D23" s="29"/>
      <c r="E23" s="29"/>
      <c r="H23" s="83"/>
    </row>
    <row r="24" spans="1:8">
      <c r="A24" s="304">
        <f t="shared" si="0"/>
        <v>17</v>
      </c>
      <c r="B24" s="80" t="s">
        <v>61</v>
      </c>
      <c r="C24" s="80"/>
      <c r="D24" s="80"/>
      <c r="E24" s="80"/>
      <c r="F24" s="80"/>
      <c r="G24" s="29">
        <f>+'JAP-23,  p1 Rate Spread'!J11</f>
        <v>19665936.2063106</v>
      </c>
      <c r="H24" s="78" t="str">
        <f>+'JAP-23,  p32 Rate Des Sch 7'!H25</f>
        <v>Rate Spread Workpapers, Column G</v>
      </c>
    </row>
    <row r="25" spans="1:8">
      <c r="A25" s="304">
        <f t="shared" si="0"/>
        <v>18</v>
      </c>
      <c r="B25" s="80" t="s">
        <v>62</v>
      </c>
      <c r="C25" s="80"/>
      <c r="D25" s="80"/>
      <c r="E25" s="80"/>
      <c r="F25" s="80"/>
      <c r="G25" s="37">
        <f>SUM(F22,G24)</f>
        <v>265389200.00471985</v>
      </c>
    </row>
    <row r="26" spans="1:8">
      <c r="A26" s="304">
        <f t="shared" si="0"/>
        <v>19</v>
      </c>
      <c r="B26" s="80" t="s">
        <v>63</v>
      </c>
      <c r="C26" s="80"/>
      <c r="D26" s="80"/>
      <c r="E26" s="80"/>
      <c r="F26" s="80"/>
      <c r="G26" s="16">
        <f>+G24/F22</f>
        <v>8.0032862588234568E-2</v>
      </c>
      <c r="H26" s="308" t="s">
        <v>534</v>
      </c>
    </row>
    <row r="27" spans="1:8" ht="13.5" thickBot="1">
      <c r="A27" s="304">
        <f t="shared" si="0"/>
        <v>20</v>
      </c>
      <c r="B27" s="10"/>
      <c r="C27" s="85"/>
      <c r="D27" s="58"/>
      <c r="F27" s="37"/>
    </row>
    <row r="28" spans="1:8" ht="13.5" thickBot="1">
      <c r="A28" s="304">
        <f t="shared" si="0"/>
        <v>21</v>
      </c>
      <c r="B28" s="24" t="str">
        <f>+'JAP-23,  p32 Rate Des Sch 7'!$B$30</f>
        <v>Over (Under) Recover Target Rate Spread</v>
      </c>
      <c r="C28" s="81"/>
      <c r="D28" s="58"/>
      <c r="F28" s="37"/>
      <c r="G28" s="82">
        <f>+G22-G25</f>
        <v>-590.73708218336105</v>
      </c>
    </row>
  </sheetData>
  <mergeCells count="4">
    <mergeCell ref="A1:H1"/>
    <mergeCell ref="A2:H2"/>
    <mergeCell ref="A3:H3"/>
    <mergeCell ref="H10:H11"/>
  </mergeCells>
  <phoneticPr fontId="11" type="noConversion"/>
  <printOptions horizontalCentered="1"/>
  <pageMargins left="0.25" right="0.25" top="1" bottom="1.19" header="0.5" footer="0.5"/>
  <pageSetup orientation="landscape" r:id="rId1"/>
  <headerFooter alignWithMargins="0">
    <oddFooter>&amp;R&amp;"Times New Roman,Regular"Exhibit No.___(JAP-23)
Page 33 of 49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70"/>
  <sheetViews>
    <sheetView zoomScale="75" zoomScaleNormal="75" workbookViewId="0">
      <selection activeCell="L39" sqref="L39"/>
    </sheetView>
  </sheetViews>
  <sheetFormatPr defaultRowHeight="12.75"/>
  <cols>
    <col min="1" max="1" width="4.5703125" style="2" bestFit="1" customWidth="1"/>
    <col min="2" max="2" width="40.7109375" style="2" bestFit="1" customWidth="1"/>
    <col min="3" max="3" width="16.28515625" style="2" bestFit="1" customWidth="1"/>
    <col min="4" max="4" width="15.85546875" style="2" bestFit="1" customWidth="1"/>
    <col min="5" max="5" width="14" style="2" bestFit="1" customWidth="1"/>
    <col min="6" max="6" width="16.42578125" style="2" bestFit="1" customWidth="1"/>
    <col min="7" max="7" width="14.7109375" style="2" bestFit="1" customWidth="1"/>
    <col min="8" max="8" width="37.140625" style="2" bestFit="1" customWidth="1"/>
    <col min="9" max="9" width="5" style="2" customWidth="1"/>
    <col min="10" max="10" width="16.28515625" style="2" bestFit="1" customWidth="1"/>
    <col min="11" max="11" width="13.28515625" style="2" bestFit="1" customWidth="1"/>
    <col min="12" max="16384" width="9.140625" style="2"/>
  </cols>
  <sheetData>
    <row r="1" spans="1:20">
      <c r="A1" s="327" t="s">
        <v>8</v>
      </c>
      <c r="B1" s="327"/>
      <c r="C1" s="327"/>
      <c r="D1" s="327"/>
      <c r="E1" s="327"/>
      <c r="F1" s="327"/>
      <c r="G1" s="327"/>
      <c r="H1" s="327"/>
    </row>
    <row r="2" spans="1:20">
      <c r="A2" s="327" t="s">
        <v>44</v>
      </c>
      <c r="B2" s="327"/>
      <c r="C2" s="327"/>
      <c r="D2" s="327"/>
      <c r="E2" s="327"/>
      <c r="F2" s="327"/>
      <c r="G2" s="327"/>
      <c r="H2" s="327"/>
    </row>
    <row r="3" spans="1:20">
      <c r="A3" s="327" t="s">
        <v>69</v>
      </c>
      <c r="B3" s="327"/>
      <c r="C3" s="327"/>
      <c r="D3" s="327"/>
      <c r="E3" s="327"/>
      <c r="F3" s="327"/>
      <c r="G3" s="327"/>
      <c r="H3" s="327"/>
    </row>
    <row r="4" spans="1:20">
      <c r="A4" s="1"/>
      <c r="B4" s="1"/>
      <c r="C4" s="1"/>
      <c r="D4" s="1"/>
      <c r="E4" s="1"/>
      <c r="F4" s="1"/>
      <c r="G4" s="1"/>
      <c r="H4" s="1"/>
    </row>
    <row r="5" spans="1:20" s="11" customFormat="1" ht="51">
      <c r="A5" s="65" t="str">
        <f>+'JAP-23,  p32 Rate Des Sch 7'!A5</f>
        <v>Line No.</v>
      </c>
      <c r="B5" s="66" t="str">
        <f>+'JAP-23,  p32 Rate Des Sch 7'!B5</f>
        <v>Description</v>
      </c>
      <c r="C5" s="65" t="str">
        <f>+'JAP-23,  p32 Rate Des Sch 7'!C5</f>
        <v>Bill
Determinants</v>
      </c>
      <c r="D5" s="65" t="str">
        <f>+'JAP-23,  p32 Rate Des Sch 7'!D5</f>
        <v>Base Rates
Effective 
5-1-10</v>
      </c>
      <c r="E5" s="65" t="str">
        <f>+'JAP-23,  p32 Rate Des Sch 7'!E5</f>
        <v>Proposed
Rates
Effective 2012</v>
      </c>
      <c r="F5" s="65" t="str">
        <f>+'JAP-23,  p32 Rate Des Sch 7'!F5</f>
        <v>Proforma
Revenue
Effective
5-1-10</v>
      </c>
      <c r="G5" s="65" t="str">
        <f>+'JAP-23,  p32 Rate Des Sch 7'!G5</f>
        <v>Proposed
Revenue
Effective
2012</v>
      </c>
      <c r="H5" s="151" t="str">
        <f>+'JAP-23,  p32 Rate Des Sch 7'!H5</f>
        <v>Notes:</v>
      </c>
    </row>
    <row r="6" spans="1:20" s="5" customFormat="1">
      <c r="A6" s="167"/>
      <c r="B6" s="167" t="s">
        <v>477</v>
      </c>
      <c r="C6" s="133" t="s">
        <v>478</v>
      </c>
      <c r="D6" s="133" t="s">
        <v>479</v>
      </c>
      <c r="E6" s="133" t="s">
        <v>481</v>
      </c>
      <c r="F6" s="133" t="s">
        <v>482</v>
      </c>
      <c r="G6" s="133" t="s">
        <v>483</v>
      </c>
      <c r="H6" s="133" t="s">
        <v>484</v>
      </c>
      <c r="I6" s="133"/>
      <c r="J6" s="133"/>
      <c r="K6" s="133"/>
      <c r="L6" s="133"/>
      <c r="M6" s="133"/>
    </row>
    <row r="7" spans="1:20" s="5" customFormat="1">
      <c r="A7" s="167"/>
      <c r="B7" s="167"/>
      <c r="C7" s="133"/>
      <c r="D7" s="133"/>
      <c r="E7" s="133"/>
      <c r="F7" s="133"/>
      <c r="G7" s="133"/>
      <c r="H7" s="133"/>
      <c r="I7" s="133"/>
      <c r="J7" s="133"/>
      <c r="K7" s="133"/>
    </row>
    <row r="8" spans="1:20" s="11" customFormat="1">
      <c r="A8" s="11">
        <v>1</v>
      </c>
      <c r="B8" s="86"/>
      <c r="C8" s="87"/>
      <c r="D8" s="88"/>
      <c r="E8" s="88"/>
      <c r="F8" s="88"/>
      <c r="G8" s="87"/>
      <c r="H8" s="152"/>
      <c r="J8" s="323"/>
      <c r="K8" s="323"/>
      <c r="L8" s="322"/>
      <c r="M8" s="322"/>
      <c r="N8" s="322"/>
      <c r="O8" s="322"/>
      <c r="P8" s="322"/>
      <c r="Q8" s="322"/>
      <c r="R8" s="322"/>
      <c r="S8" s="322"/>
      <c r="T8" s="322"/>
    </row>
    <row r="9" spans="1:20" ht="13.5" thickBot="1">
      <c r="A9" s="11">
        <f t="shared" ref="A9:A25" si="0">+A8+1</f>
        <v>2</v>
      </c>
      <c r="B9" s="2" t="s">
        <v>50</v>
      </c>
      <c r="C9" s="34">
        <f>+'JAP-23,  p6 Secondary Sch 25'!$E$12</f>
        <v>92162</v>
      </c>
      <c r="D9" s="53">
        <f>+'JAP-23,  p6 Secondary Sch 25'!$F$12</f>
        <v>50.41</v>
      </c>
      <c r="E9" s="91">
        <f>ROUND(D9*(1+$G$40),2)</f>
        <v>53.44</v>
      </c>
      <c r="F9" s="35">
        <f>+C9*D9</f>
        <v>4645886.42</v>
      </c>
      <c r="G9" s="35">
        <f>+C9*E9</f>
        <v>4925137.2799999993</v>
      </c>
      <c r="H9" s="78" t="s">
        <v>534</v>
      </c>
      <c r="I9" s="90"/>
      <c r="J9" s="324"/>
      <c r="K9" s="32"/>
      <c r="L9" s="322"/>
      <c r="M9" s="98"/>
      <c r="N9" s="118"/>
      <c r="O9" s="32"/>
      <c r="P9" s="32"/>
      <c r="Q9" s="32"/>
      <c r="R9" s="32"/>
      <c r="S9" s="32"/>
      <c r="T9" s="32"/>
    </row>
    <row r="10" spans="1:20" ht="13.5" thickTop="1">
      <c r="A10" s="11">
        <f t="shared" si="0"/>
        <v>3</v>
      </c>
      <c r="E10" s="32"/>
      <c r="F10" s="29"/>
      <c r="G10" s="29"/>
      <c r="H10" s="153"/>
      <c r="J10" s="32"/>
      <c r="K10" s="32"/>
      <c r="L10" s="322"/>
      <c r="M10" s="32"/>
      <c r="N10" s="32"/>
      <c r="O10" s="32"/>
      <c r="P10" s="32"/>
      <c r="Q10" s="32"/>
      <c r="R10" s="32"/>
      <c r="S10" s="32"/>
      <c r="T10" s="32"/>
    </row>
    <row r="11" spans="1:20">
      <c r="A11" s="11">
        <f t="shared" si="0"/>
        <v>4</v>
      </c>
      <c r="B11" s="2" t="s">
        <v>54</v>
      </c>
      <c r="E11" s="32"/>
      <c r="F11" s="29"/>
      <c r="G11" s="29"/>
      <c r="H11" s="153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</row>
    <row r="12" spans="1:20">
      <c r="A12" s="11">
        <f t="shared" si="0"/>
        <v>5</v>
      </c>
      <c r="B12" s="27" t="s">
        <v>70</v>
      </c>
      <c r="E12" s="32"/>
      <c r="F12" s="29"/>
      <c r="G12" s="29"/>
      <c r="H12" s="153"/>
      <c r="J12" s="242"/>
      <c r="K12" s="242"/>
      <c r="L12" s="242"/>
      <c r="M12" s="242"/>
      <c r="N12" s="242"/>
      <c r="O12" s="242"/>
      <c r="P12" s="242"/>
      <c r="Q12" s="242"/>
      <c r="R12" s="242"/>
      <c r="S12" s="242"/>
      <c r="T12" s="242"/>
    </row>
    <row r="13" spans="1:20" ht="12.75" customHeight="1">
      <c r="A13" s="11">
        <f t="shared" si="0"/>
        <v>6</v>
      </c>
      <c r="B13" s="59" t="s">
        <v>66</v>
      </c>
      <c r="C13" s="18">
        <f>+'JAP-23,  p6 Secondary Sch 25'!$E$14</f>
        <v>767964403.55190015</v>
      </c>
      <c r="D13" s="58">
        <f>+'JAP-23,  p6 Secondary Sch 25'!$F$14</f>
        <v>8.9007000000000003E-2</v>
      </c>
      <c r="E13" s="140">
        <f>ROUND(D13*(1+$G$40),6)-0.000008</f>
        <v>9.4342000000000009E-2</v>
      </c>
      <c r="F13" s="29">
        <f>+C13*SUM(D13:D13)</f>
        <v>68354207.666943982</v>
      </c>
      <c r="G13" s="29">
        <f>+C13*E13</f>
        <v>72451297.759893373</v>
      </c>
      <c r="H13" s="343" t="s">
        <v>537</v>
      </c>
      <c r="J13" s="17"/>
      <c r="K13" s="322"/>
      <c r="L13" s="134"/>
      <c r="M13" s="32"/>
      <c r="N13" s="32"/>
      <c r="O13" s="32"/>
      <c r="P13" s="32"/>
      <c r="Q13" s="32"/>
      <c r="R13" s="32"/>
      <c r="S13" s="32"/>
      <c r="T13" s="32"/>
    </row>
    <row r="14" spans="1:20">
      <c r="A14" s="11">
        <f t="shared" si="0"/>
        <v>7</v>
      </c>
      <c r="B14" s="59" t="s">
        <v>67</v>
      </c>
      <c r="C14" s="18">
        <f>+'JAP-23,  p6 Secondary Sch 25'!$E$15</f>
        <v>743096582.25419998</v>
      </c>
      <c r="D14" s="58">
        <f>+'JAP-23,  p6 Secondary Sch 25'!$F$15</f>
        <v>8.1068000000000001E-2</v>
      </c>
      <c r="E14" s="140">
        <f>ROUND(D14*(1+$G$40),6)</f>
        <v>8.5933999999999996E-2</v>
      </c>
      <c r="F14" s="29">
        <f>+C14*SUM(D14:D14)</f>
        <v>60241353.730183482</v>
      </c>
      <c r="G14" s="29">
        <f>+C14*E14</f>
        <v>63857261.699432418</v>
      </c>
      <c r="H14" s="343"/>
      <c r="J14" s="17"/>
      <c r="K14" s="322"/>
      <c r="L14" s="134"/>
      <c r="M14" s="32"/>
      <c r="N14" s="32"/>
      <c r="O14" s="32"/>
      <c r="P14" s="32"/>
      <c r="Q14" s="32"/>
      <c r="R14" s="32"/>
      <c r="S14" s="32"/>
      <c r="T14" s="32"/>
    </row>
    <row r="15" spans="1:20">
      <c r="A15" s="11">
        <f t="shared" si="0"/>
        <v>8</v>
      </c>
      <c r="B15" s="27" t="s">
        <v>71</v>
      </c>
      <c r="C15" s="18">
        <f>SUM(C13:C14)</f>
        <v>1511060985.8061001</v>
      </c>
      <c r="D15" s="58"/>
      <c r="E15" s="32"/>
      <c r="G15" s="29"/>
      <c r="H15" s="308"/>
      <c r="J15" s="17"/>
      <c r="K15" s="322"/>
      <c r="L15" s="134"/>
      <c r="M15" s="32"/>
      <c r="N15" s="32"/>
      <c r="O15" s="32"/>
      <c r="P15" s="32"/>
      <c r="Q15" s="32"/>
      <c r="R15" s="32"/>
      <c r="S15" s="32"/>
      <c r="T15" s="32"/>
    </row>
    <row r="16" spans="1:20">
      <c r="A16" s="11">
        <f t="shared" si="0"/>
        <v>9</v>
      </c>
      <c r="B16" s="27" t="s">
        <v>72</v>
      </c>
      <c r="C16" s="18"/>
      <c r="E16" s="32"/>
      <c r="G16" s="29"/>
      <c r="H16" s="153"/>
      <c r="J16" s="17"/>
      <c r="K16" s="320"/>
      <c r="L16" s="134"/>
      <c r="M16" s="32"/>
      <c r="N16" s="32"/>
      <c r="O16" s="32"/>
      <c r="P16" s="32"/>
      <c r="Q16" s="32"/>
      <c r="R16" s="32"/>
      <c r="S16" s="32"/>
      <c r="T16" s="32"/>
    </row>
    <row r="17" spans="1:20">
      <c r="A17" s="11">
        <f t="shared" si="0"/>
        <v>10</v>
      </c>
      <c r="B17" s="59" t="s">
        <v>73</v>
      </c>
      <c r="C17" s="18">
        <f>+'JAP-23,  p6 Secondary Sch 25'!$E$16</f>
        <v>1422044181.6564381</v>
      </c>
      <c r="D17" s="58">
        <f>+'JAP-23,  p6 Secondary Sch 25'!$F$16</f>
        <v>6.4116000000000006E-2</v>
      </c>
      <c r="E17" s="140">
        <f>ROUND(D17*(1+$G$40),6)</f>
        <v>6.7964999999999998E-2</v>
      </c>
      <c r="F17" s="29">
        <f>+C17*SUM(D17:D17)</f>
        <v>91175784.751084194</v>
      </c>
      <c r="G17" s="29">
        <f>+C17*E17</f>
        <v>96649232.806279808</v>
      </c>
      <c r="H17" s="78" t="s">
        <v>534</v>
      </c>
      <c r="J17" s="17"/>
      <c r="K17" s="320"/>
      <c r="L17" s="134"/>
      <c r="M17" s="32"/>
      <c r="N17" s="32"/>
      <c r="O17" s="32"/>
      <c r="P17" s="32"/>
      <c r="Q17" s="32"/>
      <c r="R17" s="32"/>
      <c r="S17" s="32"/>
      <c r="T17" s="32"/>
    </row>
    <row r="18" spans="1:20">
      <c r="A18" s="11">
        <f t="shared" si="0"/>
        <v>11</v>
      </c>
      <c r="B18" s="24" t="s">
        <v>75</v>
      </c>
      <c r="C18" s="72">
        <f>SUM(C17,C15)</f>
        <v>2933105167.4625382</v>
      </c>
      <c r="D18" s="58"/>
      <c r="E18" s="84"/>
      <c r="F18" s="13">
        <f>SUM(F17,F13:F14)</f>
        <v>219771346.14821166</v>
      </c>
      <c r="G18" s="13">
        <f>SUM(G17,G13:G14)</f>
        <v>232957792.26560563</v>
      </c>
      <c r="H18" s="308"/>
      <c r="J18" s="55"/>
      <c r="K18" s="322"/>
      <c r="L18" s="134"/>
      <c r="M18" s="32"/>
      <c r="N18" s="32"/>
      <c r="O18" s="32"/>
      <c r="P18" s="32"/>
      <c r="Q18" s="32"/>
      <c r="R18" s="32"/>
      <c r="S18" s="32"/>
      <c r="T18" s="32"/>
    </row>
    <row r="19" spans="1:20">
      <c r="A19" s="11">
        <f t="shared" si="0"/>
        <v>12</v>
      </c>
      <c r="E19" s="84"/>
      <c r="F19" s="29"/>
      <c r="G19" s="29"/>
      <c r="H19" s="308"/>
      <c r="J19" s="14"/>
      <c r="K19" s="325"/>
      <c r="L19" s="134"/>
      <c r="M19" s="32"/>
      <c r="N19" s="32"/>
      <c r="O19" s="32"/>
      <c r="P19" s="32"/>
      <c r="Q19" s="32"/>
      <c r="R19" s="32"/>
      <c r="S19" s="32"/>
      <c r="T19" s="32"/>
    </row>
    <row r="20" spans="1:20">
      <c r="A20" s="11">
        <f t="shared" si="0"/>
        <v>13</v>
      </c>
      <c r="B20" s="24" t="s">
        <v>58</v>
      </c>
      <c r="E20" s="14"/>
      <c r="F20" s="29"/>
      <c r="G20" s="29"/>
      <c r="H20" s="153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</row>
    <row r="21" spans="1:20">
      <c r="A21" s="11">
        <f t="shared" si="0"/>
        <v>14</v>
      </c>
      <c r="B21" s="22" t="s">
        <v>76</v>
      </c>
      <c r="C21" s="19">
        <f>-C23*(D23-(D17))/(D17-D13)</f>
        <v>-17703269.968422323</v>
      </c>
      <c r="E21" s="32"/>
      <c r="F21" s="29"/>
      <c r="G21" s="29"/>
      <c r="H21" s="153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</row>
    <row r="22" spans="1:20">
      <c r="A22" s="11">
        <f t="shared" si="0"/>
        <v>15</v>
      </c>
      <c r="B22" s="22" t="s">
        <v>77</v>
      </c>
      <c r="C22" s="19">
        <f>C23-C21</f>
        <v>2242877.9684223235</v>
      </c>
      <c r="E22" s="32"/>
      <c r="F22" s="29"/>
      <c r="G22" s="29"/>
      <c r="H22" s="153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</row>
    <row r="23" spans="1:20">
      <c r="A23" s="11">
        <f t="shared" si="0"/>
        <v>16</v>
      </c>
      <c r="B23" s="22" t="s">
        <v>78</v>
      </c>
      <c r="C23" s="19">
        <f>+'JAP-23,  p6 Secondary Sch 25'!$E$28</f>
        <v>-15460392</v>
      </c>
      <c r="D23" s="58">
        <f>+'JAP-23,  p6 Secondary Sch 25'!$F$28</f>
        <v>9.2618000000000006E-2</v>
      </c>
      <c r="E23" s="140">
        <f>ROUND(D23*(1+$G$40),6)</f>
        <v>9.8177E-2</v>
      </c>
      <c r="F23" s="29">
        <f>+C23*SUM(D23:D23)</f>
        <v>-1431910.586256</v>
      </c>
      <c r="G23" s="29">
        <f>+C23*SUM(E23)</f>
        <v>-1517854.9053839999</v>
      </c>
      <c r="H23" s="307" t="s">
        <v>534</v>
      </c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</row>
    <row r="24" spans="1:20" ht="13.5" thickBot="1">
      <c r="A24" s="11">
        <f t="shared" si="0"/>
        <v>17</v>
      </c>
      <c r="B24" s="24" t="s">
        <v>59</v>
      </c>
      <c r="C24" s="79">
        <f>SUM(C23,C18)</f>
        <v>2917644775.4625382</v>
      </c>
      <c r="E24" s="32"/>
      <c r="F24" s="35">
        <f>SUM(F23,F18)</f>
        <v>218339435.56195566</v>
      </c>
      <c r="G24" s="35">
        <f>SUM(G23,G18)</f>
        <v>231439937.36022162</v>
      </c>
      <c r="H24" s="308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</row>
    <row r="25" spans="1:20" ht="13.5" thickTop="1">
      <c r="A25" s="11">
        <f t="shared" si="0"/>
        <v>18</v>
      </c>
      <c r="C25" s="93"/>
      <c r="E25" s="32"/>
      <c r="F25" s="29"/>
      <c r="G25" s="29"/>
      <c r="H25" s="308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</row>
    <row r="26" spans="1:20">
      <c r="A26" s="11">
        <f t="shared" ref="A26:A49" si="1">+A25+1</f>
        <v>19</v>
      </c>
      <c r="B26" s="24" t="s">
        <v>79</v>
      </c>
      <c r="E26" s="32"/>
      <c r="F26" s="29"/>
      <c r="G26" s="29"/>
      <c r="H26" s="153"/>
      <c r="J26" s="242"/>
      <c r="K26" s="242"/>
      <c r="L26" s="242"/>
      <c r="M26" s="32"/>
      <c r="N26" s="32"/>
      <c r="O26" s="32"/>
      <c r="P26" s="32"/>
      <c r="Q26" s="32"/>
      <c r="R26" s="32"/>
      <c r="S26" s="32"/>
      <c r="T26" s="32"/>
    </row>
    <row r="27" spans="1:20" ht="13.5" customHeight="1">
      <c r="A27" s="11">
        <f t="shared" si="1"/>
        <v>20</v>
      </c>
      <c r="B27" s="27" t="s">
        <v>80</v>
      </c>
      <c r="C27" s="18">
        <f>+'JAP-23,  p6 Secondary Sch 25'!$C$19</f>
        <v>4306678.4790000003</v>
      </c>
      <c r="D27" s="53">
        <v>0</v>
      </c>
      <c r="E27" s="94">
        <v>0</v>
      </c>
      <c r="F27" s="29">
        <f>+C27*D27</f>
        <v>0</v>
      </c>
      <c r="G27" s="29">
        <f>+C27*E27</f>
        <v>0</v>
      </c>
      <c r="H27" s="342" t="s">
        <v>534</v>
      </c>
      <c r="J27" s="17"/>
      <c r="K27" s="32"/>
      <c r="L27" s="32"/>
      <c r="M27" s="32"/>
      <c r="N27" s="32"/>
      <c r="O27" s="32"/>
      <c r="P27" s="32"/>
      <c r="Q27" s="32"/>
      <c r="R27" s="32"/>
      <c r="S27" s="32"/>
      <c r="T27" s="32"/>
    </row>
    <row r="28" spans="1:20">
      <c r="A28" s="11">
        <f t="shared" si="1"/>
        <v>21</v>
      </c>
      <c r="B28" s="27" t="s">
        <v>81</v>
      </c>
      <c r="C28" s="18">
        <f>+'JAP-23,  p6 Secondary Sch 25'!$E$20</f>
        <v>2256960.6359999999</v>
      </c>
      <c r="D28" s="53">
        <f>+'JAP-23,  p6 Secondary Sch 25'!$F$20</f>
        <v>8.7899999999999991</v>
      </c>
      <c r="E28" s="94">
        <f>ROUND(D28*(1+$G$40),2)</f>
        <v>9.32</v>
      </c>
      <c r="F28" s="29">
        <f>+C28*D28</f>
        <v>19838683.990439996</v>
      </c>
      <c r="G28" s="29">
        <f>+C28*E28</f>
        <v>21034873.127519999</v>
      </c>
      <c r="H28" s="342"/>
      <c r="J28" s="32"/>
      <c r="K28" s="97"/>
      <c r="L28" s="56"/>
      <c r="M28" s="32"/>
      <c r="N28" s="32"/>
      <c r="O28" s="32"/>
      <c r="P28" s="32"/>
      <c r="Q28" s="32"/>
      <c r="R28" s="32"/>
      <c r="S28" s="32"/>
      <c r="T28" s="32"/>
    </row>
    <row r="29" spans="1:20">
      <c r="A29" s="11">
        <f t="shared" si="1"/>
        <v>22</v>
      </c>
      <c r="B29" s="27" t="s">
        <v>82</v>
      </c>
      <c r="C29" s="18">
        <f>+'JAP-23,  p6 Secondary Sch 25'!$E$21</f>
        <v>2144315</v>
      </c>
      <c r="D29" s="53">
        <f>+'JAP-23,  p6 Secondary Sch 25'!$F$21</f>
        <v>5.86</v>
      </c>
      <c r="E29" s="94">
        <f>ROUND(D29*(1+$G$40),2)</f>
        <v>6.21</v>
      </c>
      <c r="F29" s="29">
        <f>+C29*D29</f>
        <v>12565685.9</v>
      </c>
      <c r="G29" s="29">
        <f>+C29*E29</f>
        <v>13316196.15</v>
      </c>
      <c r="H29" s="342"/>
      <c r="J29" s="32"/>
      <c r="K29" s="97"/>
      <c r="L29" s="56"/>
      <c r="M29" s="32"/>
      <c r="N29" s="32"/>
      <c r="O29" s="32"/>
      <c r="P29" s="32"/>
      <c r="Q29" s="32"/>
      <c r="R29" s="32"/>
      <c r="S29" s="32"/>
      <c r="T29" s="32"/>
    </row>
    <row r="30" spans="1:20" ht="13.5" thickBot="1">
      <c r="A30" s="11">
        <f t="shared" si="1"/>
        <v>23</v>
      </c>
      <c r="B30" s="10" t="s">
        <v>83</v>
      </c>
      <c r="C30" s="79">
        <f>SUM(C29,C28)</f>
        <v>4401275.6359999999</v>
      </c>
      <c r="E30" s="98"/>
      <c r="F30" s="35">
        <f>SUM(F27:F29)</f>
        <v>32404369.890439995</v>
      </c>
      <c r="G30" s="35">
        <f>SUM(G27:G29)</f>
        <v>34351069.277520001</v>
      </c>
      <c r="H30" s="306"/>
      <c r="J30" s="55"/>
      <c r="K30" s="55"/>
      <c r="L30" s="56"/>
      <c r="M30" s="321"/>
      <c r="N30" s="32"/>
      <c r="O30" s="32"/>
      <c r="P30" s="32"/>
      <c r="Q30" s="32"/>
      <c r="R30" s="32"/>
      <c r="S30" s="32"/>
      <c r="T30" s="32"/>
    </row>
    <row r="31" spans="1:20" ht="13.5" thickTop="1">
      <c r="A31" s="11">
        <f t="shared" si="1"/>
        <v>24</v>
      </c>
      <c r="H31" s="153"/>
      <c r="J31" s="55"/>
      <c r="K31" s="55"/>
      <c r="L31" s="56"/>
      <c r="M31" s="321"/>
      <c r="N31" s="32"/>
      <c r="O31" s="32"/>
      <c r="P31" s="32"/>
      <c r="Q31" s="32"/>
      <c r="R31" s="32"/>
      <c r="S31" s="32"/>
      <c r="T31" s="32"/>
    </row>
    <row r="32" spans="1:20" ht="13.5" thickBot="1">
      <c r="A32" s="11">
        <f t="shared" si="1"/>
        <v>25</v>
      </c>
      <c r="B32" s="24" t="s">
        <v>84</v>
      </c>
      <c r="C32" s="34">
        <f>+'JAP-23,  p6 Secondary Sch 25'!$E$24</f>
        <v>722346665</v>
      </c>
      <c r="D32" s="85">
        <f>+'JAP-23,  p6 Secondary Sch 25'!$F$24</f>
        <v>2.7599999999999999E-3</v>
      </c>
      <c r="E32" s="99">
        <f>ROUND(D32*(1+$G$40),5)</f>
        <v>2.9299999999999999E-3</v>
      </c>
      <c r="F32" s="35">
        <f>+C32*D32</f>
        <v>1993676.7953999999</v>
      </c>
      <c r="G32" s="35">
        <f>+C32*E32</f>
        <v>2116475.7284499998</v>
      </c>
      <c r="H32" s="307" t="s">
        <v>534</v>
      </c>
      <c r="J32" s="17"/>
      <c r="K32" s="17"/>
      <c r="L32" s="56"/>
      <c r="M32" s="321"/>
      <c r="N32" s="32"/>
      <c r="O32" s="32"/>
      <c r="P32" s="32"/>
      <c r="Q32" s="32"/>
      <c r="R32" s="32"/>
      <c r="S32" s="32"/>
      <c r="T32" s="32"/>
    </row>
    <row r="33" spans="1:20" ht="13.5" thickTop="1">
      <c r="A33" s="11">
        <f t="shared" si="1"/>
        <v>26</v>
      </c>
      <c r="C33" s="93"/>
      <c r="E33" s="32"/>
      <c r="F33" s="29"/>
      <c r="G33" s="29"/>
      <c r="H33" s="154"/>
      <c r="J33" s="32"/>
      <c r="K33" s="32"/>
      <c r="L33" s="56"/>
      <c r="M33" s="32"/>
      <c r="N33" s="32"/>
      <c r="O33" s="32"/>
      <c r="P33" s="32"/>
      <c r="Q33" s="32"/>
      <c r="R33" s="32"/>
      <c r="S33" s="32"/>
      <c r="T33" s="32"/>
    </row>
    <row r="34" spans="1:20" ht="13.5" thickBot="1">
      <c r="A34" s="11">
        <f t="shared" si="1"/>
        <v>27</v>
      </c>
      <c r="B34" s="2" t="s">
        <v>60</v>
      </c>
      <c r="D34" s="37"/>
      <c r="E34" s="37"/>
      <c r="F34" s="35">
        <f>SUM(F9,F24,F30,F32)</f>
        <v>257383368.66779563</v>
      </c>
      <c r="G34" s="35">
        <f>SUM(G9,G24,G30,G32)</f>
        <v>272832619.64619166</v>
      </c>
      <c r="H34" s="154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</row>
    <row r="35" spans="1:20" ht="13.5" thickTop="1">
      <c r="A35" s="11">
        <f t="shared" si="1"/>
        <v>28</v>
      </c>
      <c r="D35" s="29"/>
      <c r="E35" s="29"/>
      <c r="F35" s="29"/>
      <c r="G35" s="29"/>
      <c r="H35" s="154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</row>
    <row r="36" spans="1:20">
      <c r="A36" s="11">
        <f t="shared" si="1"/>
        <v>29</v>
      </c>
      <c r="B36" s="101" t="s">
        <v>87</v>
      </c>
      <c r="C36" s="37"/>
      <c r="D36" s="29"/>
      <c r="E36" s="29"/>
      <c r="G36" s="102">
        <f>+'JAP-23,  p1 Rate Spread'!J12</f>
        <v>15520307.390885614</v>
      </c>
      <c r="H36" s="78" t="str">
        <f>+'JAP-23,  p33 Rate Des Sch 24'!H24</f>
        <v>Rate Spread Workpapers, Column G</v>
      </c>
      <c r="J36" s="32"/>
      <c r="K36" s="19"/>
      <c r="L36" s="32"/>
      <c r="M36" s="32"/>
      <c r="N36" s="32"/>
      <c r="O36" s="32"/>
      <c r="P36" s="32"/>
      <c r="Q36" s="32"/>
      <c r="R36" s="32"/>
      <c r="S36" s="32"/>
      <c r="T36" s="32"/>
    </row>
    <row r="37" spans="1:20">
      <c r="A37" s="11">
        <f t="shared" si="1"/>
        <v>30</v>
      </c>
      <c r="B37" s="101" t="s">
        <v>88</v>
      </c>
      <c r="C37" s="37"/>
      <c r="D37" s="58"/>
      <c r="E37" s="29"/>
      <c r="G37" s="29">
        <f>+F34+'JAP-23,  p36 Rate Des Sch 29'!F36</f>
        <v>258565570.56512386</v>
      </c>
      <c r="H37" s="154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</row>
    <row r="38" spans="1:20">
      <c r="A38" s="11">
        <f t="shared" si="1"/>
        <v>31</v>
      </c>
      <c r="B38" s="103" t="s">
        <v>89</v>
      </c>
      <c r="C38" s="37"/>
      <c r="D38" s="58"/>
      <c r="E38" s="29"/>
      <c r="G38" s="29">
        <f>SUM(G36:G37)</f>
        <v>274085877.95600945</v>
      </c>
      <c r="H38" s="154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</row>
    <row r="39" spans="1:20">
      <c r="A39" s="11">
        <f t="shared" si="1"/>
        <v>32</v>
      </c>
      <c r="B39" s="24"/>
      <c r="C39" s="37"/>
      <c r="D39" s="58"/>
      <c r="E39" s="29"/>
      <c r="G39" s="29"/>
      <c r="H39" s="154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</row>
    <row r="40" spans="1:20">
      <c r="A40" s="11">
        <f t="shared" si="1"/>
        <v>33</v>
      </c>
      <c r="B40" s="24" t="s">
        <v>90</v>
      </c>
      <c r="C40" s="37"/>
      <c r="D40" s="58"/>
      <c r="E40" s="29"/>
      <c r="G40" s="16">
        <f>+G36/G37</f>
        <v>6.0024648126833953E-2</v>
      </c>
      <c r="H40" s="78" t="s">
        <v>534</v>
      </c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</row>
    <row r="41" spans="1:20">
      <c r="A41" s="11">
        <f t="shared" si="1"/>
        <v>34</v>
      </c>
      <c r="B41" s="10"/>
      <c r="C41" s="71"/>
      <c r="D41" s="58"/>
      <c r="E41" s="29"/>
      <c r="G41" s="16"/>
      <c r="H41" s="153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</row>
    <row r="42" spans="1:20">
      <c r="A42" s="11">
        <f t="shared" si="1"/>
        <v>35</v>
      </c>
      <c r="B42" s="24"/>
      <c r="C42" s="71"/>
      <c r="D42" s="58"/>
      <c r="E42" s="29"/>
      <c r="G42" s="16"/>
      <c r="H42" s="155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</row>
    <row r="43" spans="1:20">
      <c r="A43" s="11">
        <f t="shared" si="1"/>
        <v>36</v>
      </c>
      <c r="B43" s="10" t="s">
        <v>92</v>
      </c>
      <c r="C43" s="81"/>
      <c r="D43" s="58"/>
      <c r="F43" s="29"/>
      <c r="H43" s="155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</row>
    <row r="44" spans="1:20">
      <c r="A44" s="11">
        <f t="shared" si="1"/>
        <v>37</v>
      </c>
      <c r="B44" s="24" t="s">
        <v>93</v>
      </c>
      <c r="C44" s="85"/>
      <c r="D44" s="58"/>
      <c r="F44" s="29"/>
      <c r="G44" s="29">
        <f>+G34</f>
        <v>272832619.64619166</v>
      </c>
      <c r="H44" s="155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</row>
    <row r="45" spans="1:20">
      <c r="A45" s="11">
        <f t="shared" si="1"/>
        <v>38</v>
      </c>
      <c r="B45" s="10" t="s">
        <v>94</v>
      </c>
      <c r="F45" s="29"/>
      <c r="G45" s="29">
        <f>+'JAP-23,  p36 Rate Des Sch 29'!G36</f>
        <v>1253128.7601932157</v>
      </c>
      <c r="H45" s="155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</row>
    <row r="46" spans="1:20">
      <c r="A46" s="11">
        <f t="shared" si="1"/>
        <v>39</v>
      </c>
      <c r="B46" s="10" t="s">
        <v>95</v>
      </c>
      <c r="F46" s="29"/>
      <c r="G46" s="13">
        <f>SUM(G44:G45)</f>
        <v>274085748.40638489</v>
      </c>
      <c r="H46" s="155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</row>
    <row r="47" spans="1:20">
      <c r="A47" s="11">
        <f t="shared" si="1"/>
        <v>40</v>
      </c>
      <c r="B47" s="24" t="s">
        <v>96</v>
      </c>
      <c r="F47" s="29"/>
      <c r="G47" s="13">
        <f>SUM(G36:G37)</f>
        <v>274085877.95600945</v>
      </c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</row>
    <row r="48" spans="1:20" ht="13.5" thickBot="1">
      <c r="A48" s="11">
        <f t="shared" si="1"/>
        <v>41</v>
      </c>
      <c r="B48" s="24"/>
      <c r="F48" s="29"/>
      <c r="G48" s="17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</row>
    <row r="49" spans="1:20" ht="13.5" thickBot="1">
      <c r="A49" s="11">
        <f t="shared" si="1"/>
        <v>42</v>
      </c>
      <c r="B49" s="24" t="str">
        <f>+'JAP-23,  p32 Rate Des Sch 7'!$B$30</f>
        <v>Over (Under) Recover Target Rate Spread</v>
      </c>
      <c r="F49" s="29"/>
      <c r="G49" s="104">
        <f>+G46-G47</f>
        <v>-129.54962456226349</v>
      </c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</row>
    <row r="50" spans="1:20">
      <c r="A50" s="11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</row>
    <row r="51" spans="1:20">
      <c r="A51" s="11"/>
      <c r="F51" s="29"/>
      <c r="G51" s="29"/>
    </row>
    <row r="52" spans="1:20">
      <c r="A52" s="11"/>
      <c r="B52" s="74"/>
      <c r="F52" s="29"/>
      <c r="G52" s="29"/>
    </row>
    <row r="53" spans="1:20">
      <c r="D53" s="76"/>
      <c r="F53" s="29"/>
      <c r="G53" s="29"/>
    </row>
    <row r="54" spans="1:20">
      <c r="F54" s="29"/>
      <c r="G54" s="29"/>
    </row>
    <row r="55" spans="1:20">
      <c r="F55" s="29"/>
      <c r="G55" s="29"/>
    </row>
    <row r="56" spans="1:20">
      <c r="F56" s="29"/>
      <c r="G56" s="29"/>
    </row>
    <row r="57" spans="1:20">
      <c r="F57" s="29"/>
      <c r="G57" s="29"/>
    </row>
    <row r="58" spans="1:20">
      <c r="F58" s="29"/>
      <c r="G58" s="29"/>
    </row>
    <row r="59" spans="1:20">
      <c r="F59" s="29"/>
      <c r="G59" s="29"/>
    </row>
    <row r="60" spans="1:20">
      <c r="F60" s="29"/>
      <c r="G60" s="29"/>
    </row>
    <row r="61" spans="1:20">
      <c r="F61" s="29"/>
      <c r="G61" s="29"/>
    </row>
    <row r="62" spans="1:20">
      <c r="F62" s="29"/>
      <c r="G62" s="29"/>
    </row>
    <row r="63" spans="1:20">
      <c r="F63" s="29"/>
      <c r="G63" s="29"/>
    </row>
    <row r="64" spans="1:20">
      <c r="F64" s="29"/>
      <c r="G64" s="29"/>
    </row>
    <row r="65" spans="6:7">
      <c r="F65" s="29"/>
      <c r="G65" s="29"/>
    </row>
    <row r="66" spans="6:7">
      <c r="F66" s="29"/>
      <c r="G66" s="29"/>
    </row>
    <row r="67" spans="6:7">
      <c r="F67" s="29"/>
      <c r="G67" s="29"/>
    </row>
    <row r="68" spans="6:7">
      <c r="F68" s="29"/>
      <c r="G68" s="29"/>
    </row>
    <row r="69" spans="6:7">
      <c r="F69" s="29"/>
      <c r="G69" s="29"/>
    </row>
    <row r="70" spans="6:7">
      <c r="F70" s="29"/>
      <c r="G70" s="29"/>
    </row>
  </sheetData>
  <mergeCells count="5">
    <mergeCell ref="H27:H29"/>
    <mergeCell ref="A1:H1"/>
    <mergeCell ref="A2:H2"/>
    <mergeCell ref="A3:H3"/>
    <mergeCell ref="H13:H14"/>
  </mergeCells>
  <phoneticPr fontId="11" type="noConversion"/>
  <printOptions horizontalCentered="1"/>
  <pageMargins left="0.25" right="0.25" top="1" bottom="1" header="0.5" footer="0.5"/>
  <pageSetup scale="71" orientation="landscape" r:id="rId1"/>
  <headerFooter alignWithMargins="0">
    <oddFooter>&amp;R&amp;"Times New Roman,Regular"Exhibit No.___(JAP-23)
Page 34 of 49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8"/>
  <sheetViews>
    <sheetView zoomScale="110" zoomScaleNormal="110" workbookViewId="0">
      <selection activeCell="K23" sqref="K23"/>
    </sheetView>
  </sheetViews>
  <sheetFormatPr defaultRowHeight="12.75"/>
  <cols>
    <col min="1" max="1" width="4.42578125" style="2" bestFit="1" customWidth="1"/>
    <col min="2" max="2" width="36" style="2" bestFit="1" customWidth="1"/>
    <col min="3" max="3" width="14.85546875" style="2" bestFit="1" customWidth="1"/>
    <col min="4" max="4" width="11.7109375" style="2" customWidth="1"/>
    <col min="5" max="5" width="12.5703125" style="2" bestFit="1" customWidth="1"/>
    <col min="6" max="7" width="13.42578125" style="2" bestFit="1" customWidth="1"/>
    <col min="8" max="8" width="44.5703125" style="2" bestFit="1" customWidth="1"/>
    <col min="9" max="9" width="12.28515625" style="2" bestFit="1" customWidth="1"/>
    <col min="10" max="10" width="20.140625" style="2" customWidth="1"/>
    <col min="11" max="12" width="12.28515625" style="2" bestFit="1" customWidth="1"/>
    <col min="13" max="16384" width="9.140625" style="2"/>
  </cols>
  <sheetData>
    <row r="1" spans="1:13">
      <c r="A1" s="327" t="s">
        <v>8</v>
      </c>
      <c r="B1" s="327"/>
      <c r="C1" s="327"/>
      <c r="D1" s="327"/>
      <c r="E1" s="327"/>
      <c r="F1" s="327"/>
      <c r="G1" s="327"/>
      <c r="H1" s="327"/>
    </row>
    <row r="2" spans="1:13">
      <c r="A2" s="327" t="s">
        <v>44</v>
      </c>
      <c r="B2" s="327"/>
      <c r="C2" s="327"/>
      <c r="D2" s="327"/>
      <c r="E2" s="327"/>
      <c r="F2" s="327"/>
      <c r="G2" s="327"/>
      <c r="H2" s="327"/>
    </row>
    <row r="3" spans="1:13">
      <c r="A3" s="327" t="s">
        <v>99</v>
      </c>
      <c r="B3" s="327"/>
      <c r="C3" s="327"/>
      <c r="D3" s="327"/>
      <c r="E3" s="327"/>
      <c r="F3" s="327"/>
      <c r="G3" s="327"/>
      <c r="H3" s="327"/>
    </row>
    <row r="4" spans="1:13">
      <c r="A4" s="1"/>
      <c r="B4" s="1"/>
      <c r="C4" s="1"/>
      <c r="D4" s="1"/>
      <c r="E4" s="1"/>
      <c r="F4" s="1"/>
      <c r="G4" s="1"/>
      <c r="H4" s="1"/>
    </row>
    <row r="5" spans="1:13" s="11" customFormat="1" ht="51">
      <c r="A5" s="65" t="str">
        <f>+'JAP-23,  p32 Rate Des Sch 7'!A5</f>
        <v>Line No.</v>
      </c>
      <c r="B5" s="66" t="str">
        <f>+'JAP-23,  p32 Rate Des Sch 7'!B5</f>
        <v>Description</v>
      </c>
      <c r="C5" s="65" t="str">
        <f>+'JAP-23,  p32 Rate Des Sch 7'!C5</f>
        <v>Bill
Determinants</v>
      </c>
      <c r="D5" s="65" t="str">
        <f>+'JAP-23,  p32 Rate Des Sch 7'!D5</f>
        <v>Base Rates
Effective 
5-1-10</v>
      </c>
      <c r="E5" s="65" t="str">
        <f>+'JAP-23,  p32 Rate Des Sch 7'!E5</f>
        <v>Proposed
Rates
Effective 2012</v>
      </c>
      <c r="F5" s="65" t="str">
        <f>+'JAP-23,  p32 Rate Des Sch 7'!F5</f>
        <v>Proforma
Revenue
Effective
5-1-10</v>
      </c>
      <c r="G5" s="65" t="str">
        <f>+'JAP-23,  p32 Rate Des Sch 7'!G5</f>
        <v>Proposed
Revenue
Effective
2012</v>
      </c>
      <c r="H5" s="66" t="str">
        <f>+'JAP-23,  p32 Rate Des Sch 7'!H5</f>
        <v>Notes:</v>
      </c>
    </row>
    <row r="6" spans="1:13" s="5" customFormat="1">
      <c r="A6" s="167"/>
      <c r="B6" s="167" t="s">
        <v>477</v>
      </c>
      <c r="C6" s="133" t="s">
        <v>478</v>
      </c>
      <c r="D6" s="133" t="s">
        <v>479</v>
      </c>
      <c r="E6" s="133" t="s">
        <v>481</v>
      </c>
      <c r="F6" s="133" t="s">
        <v>482</v>
      </c>
      <c r="G6" s="133" t="s">
        <v>483</v>
      </c>
      <c r="H6" s="133" t="s">
        <v>484</v>
      </c>
      <c r="I6" s="133"/>
      <c r="J6" s="133"/>
      <c r="K6" s="133"/>
      <c r="L6" s="133"/>
      <c r="M6" s="133"/>
    </row>
    <row r="7" spans="1:13" s="5" customFormat="1">
      <c r="A7" s="167"/>
      <c r="B7" s="167"/>
      <c r="C7" s="133"/>
      <c r="D7" s="133"/>
      <c r="E7" s="133"/>
      <c r="F7" s="133"/>
      <c r="G7" s="133"/>
      <c r="H7" s="133"/>
      <c r="I7" s="133"/>
      <c r="J7" s="133"/>
      <c r="K7" s="133"/>
    </row>
    <row r="8" spans="1:13" s="11" customFormat="1">
      <c r="A8" s="11">
        <v>1</v>
      </c>
      <c r="B8" s="86"/>
      <c r="C8" s="87"/>
      <c r="D8" s="88"/>
      <c r="E8" s="88"/>
      <c r="F8" s="88"/>
      <c r="G8" s="87"/>
      <c r="H8" s="89"/>
      <c r="I8" s="133"/>
      <c r="J8" s="133"/>
      <c r="K8" s="133"/>
      <c r="L8" s="5"/>
    </row>
    <row r="9" spans="1:13" ht="13.5" thickBot="1">
      <c r="A9" s="11">
        <f t="shared" ref="A9:A40" si="0">+A8+1</f>
        <v>2</v>
      </c>
      <c r="B9" s="2" t="s">
        <v>50</v>
      </c>
      <c r="C9" s="34">
        <f>+'JAP-23,  p7 Secondary Sch 26'!$E$12+'JAP-23,  p8 Secondary Sch 26P'!E12</f>
        <v>10001</v>
      </c>
      <c r="D9" s="53">
        <f>+'JAP-23,  p7 Secondary Sch 26'!$F$12</f>
        <v>101.1</v>
      </c>
      <c r="E9" s="142">
        <f>ROUND(D9*(1+$G$31),2)</f>
        <v>109.19</v>
      </c>
      <c r="F9" s="35">
        <f>+C9*D9</f>
        <v>1011101.1</v>
      </c>
      <c r="G9" s="35">
        <f>+C9*E9</f>
        <v>1092009.19</v>
      </c>
      <c r="H9" s="78" t="s">
        <v>534</v>
      </c>
      <c r="I9" s="133"/>
      <c r="J9" s="133"/>
      <c r="K9" s="133"/>
      <c r="L9" s="5"/>
    </row>
    <row r="10" spans="1:13" ht="13.5" thickTop="1">
      <c r="A10" s="11">
        <f t="shared" si="0"/>
        <v>3</v>
      </c>
      <c r="E10" s="32"/>
      <c r="F10" s="29"/>
      <c r="G10" s="29"/>
      <c r="H10" s="76"/>
      <c r="I10" s="133"/>
      <c r="J10" s="133"/>
      <c r="K10" s="133"/>
      <c r="L10" s="5"/>
    </row>
    <row r="11" spans="1:13">
      <c r="A11" s="11">
        <f t="shared" si="0"/>
        <v>4</v>
      </c>
      <c r="B11" s="2" t="s">
        <v>54</v>
      </c>
      <c r="E11" s="32"/>
      <c r="F11" s="29"/>
      <c r="G11" s="29"/>
      <c r="H11" s="76"/>
      <c r="I11" s="133"/>
      <c r="J11" s="133"/>
      <c r="K11" s="133"/>
      <c r="L11" s="5"/>
    </row>
    <row r="12" spans="1:13">
      <c r="A12" s="11">
        <f t="shared" si="0"/>
        <v>5</v>
      </c>
      <c r="B12" s="22" t="s">
        <v>100</v>
      </c>
      <c r="C12" s="18">
        <f>+'JAP-23,  p7 Secondary Sch 26'!$E$14+'JAP-23,  p8 Secondary Sch 26P'!E14</f>
        <v>2001556988.334866</v>
      </c>
      <c r="E12" s="32"/>
      <c r="F12" s="29"/>
      <c r="G12" s="29"/>
      <c r="H12" s="76"/>
      <c r="I12" s="133"/>
      <c r="J12" s="133"/>
      <c r="K12" s="133"/>
      <c r="L12" s="5"/>
    </row>
    <row r="13" spans="1:13">
      <c r="A13" s="11">
        <f t="shared" si="0"/>
        <v>6</v>
      </c>
      <c r="B13" s="22"/>
      <c r="C13" s="18"/>
      <c r="E13" s="32"/>
      <c r="F13" s="29"/>
      <c r="G13" s="29"/>
      <c r="H13" s="76"/>
      <c r="I13" s="133"/>
      <c r="J13" s="133"/>
      <c r="K13" s="133"/>
      <c r="L13" s="5"/>
    </row>
    <row r="14" spans="1:13">
      <c r="A14" s="11">
        <f t="shared" si="0"/>
        <v>7</v>
      </c>
      <c r="B14" s="24" t="s">
        <v>75</v>
      </c>
      <c r="C14" s="72">
        <f>SUM(C12:C13)</f>
        <v>2001556988.334866</v>
      </c>
      <c r="D14" s="58">
        <f>+'JAP-23,  p7 Secondary Sch 26'!$F$14</f>
        <v>6.1608999999999997E-2</v>
      </c>
      <c r="E14" s="77">
        <f>ROUND((1+C38)*'JAP-23,  p37 Rate Des Sch 31'!E12,6)+0</f>
        <v>6.6528000000000004E-2</v>
      </c>
      <c r="F14" s="29">
        <f>+C14*SUM(D14:D14)</f>
        <v>123313924.49432276</v>
      </c>
      <c r="G14" s="29">
        <f>+C14*E14</f>
        <v>133159583.31994198</v>
      </c>
      <c r="H14" s="78" t="s">
        <v>548</v>
      </c>
      <c r="I14" s="133"/>
      <c r="J14" s="133"/>
      <c r="K14" s="133"/>
      <c r="L14" s="5"/>
    </row>
    <row r="15" spans="1:13">
      <c r="A15" s="11">
        <f t="shared" si="0"/>
        <v>8</v>
      </c>
      <c r="E15" s="32"/>
      <c r="F15" s="29"/>
      <c r="G15" s="29"/>
      <c r="H15" s="76"/>
      <c r="I15" s="133"/>
      <c r="J15" s="133"/>
      <c r="K15" s="133"/>
      <c r="L15" s="5"/>
    </row>
    <row r="16" spans="1:13">
      <c r="A16" s="11">
        <f t="shared" si="0"/>
        <v>9</v>
      </c>
      <c r="B16" s="24" t="s">
        <v>58</v>
      </c>
      <c r="C16" s="19">
        <f>+'JAP-23,  p7 Secondary Sch 26'!$E$24+'JAP-23,  p8 Secondary Sch 26P'!E24</f>
        <v>-10382259</v>
      </c>
      <c r="D16" s="58">
        <f>+'JAP-23,  p7 Secondary Sch 26'!$F$24</f>
        <v>8.3209000000000005E-2</v>
      </c>
      <c r="E16" s="92">
        <f>ROUND(D16*(1+$G$31),6)</f>
        <v>8.9867000000000002E-2</v>
      </c>
      <c r="F16" s="29">
        <f>+C16*SUM(D16:D16)</f>
        <v>-863897.38913100003</v>
      </c>
      <c r="G16" s="29">
        <f>+C16*SUM(E16)</f>
        <v>-933022.46955300006</v>
      </c>
      <c r="H16" s="78" t="s">
        <v>534</v>
      </c>
      <c r="I16" s="133"/>
      <c r="J16" s="133"/>
      <c r="K16" s="133"/>
      <c r="L16" s="5"/>
    </row>
    <row r="17" spans="1:12">
      <c r="A17" s="11">
        <f t="shared" si="0"/>
        <v>10</v>
      </c>
      <c r="B17" s="10"/>
      <c r="C17" s="19"/>
      <c r="D17" s="58"/>
      <c r="E17" s="92"/>
      <c r="F17" s="29"/>
      <c r="G17" s="29"/>
      <c r="H17" s="76"/>
      <c r="I17" s="133"/>
      <c r="J17" s="133"/>
      <c r="K17" s="133"/>
      <c r="L17" s="5"/>
    </row>
    <row r="18" spans="1:12" ht="13.5" thickBot="1">
      <c r="A18" s="11">
        <f t="shared" si="0"/>
        <v>11</v>
      </c>
      <c r="B18" s="24" t="s">
        <v>59</v>
      </c>
      <c r="C18" s="79">
        <f>SUM(C16,C14)</f>
        <v>1991174729.334866</v>
      </c>
      <c r="E18" s="32"/>
      <c r="F18" s="35">
        <f>SUM(F16,F14)</f>
        <v>122450027.10519177</v>
      </c>
      <c r="G18" s="35">
        <f>SUM(G16,G14)</f>
        <v>132226560.85038899</v>
      </c>
      <c r="H18" s="76"/>
      <c r="I18" s="133"/>
      <c r="J18" s="133"/>
      <c r="K18" s="133"/>
      <c r="L18" s="5"/>
    </row>
    <row r="19" spans="1:12" ht="13.5" thickTop="1">
      <c r="A19" s="11">
        <f t="shared" si="0"/>
        <v>12</v>
      </c>
      <c r="C19" s="93"/>
      <c r="E19" s="32"/>
      <c r="F19" s="29"/>
      <c r="G19" s="29"/>
      <c r="H19" s="76"/>
      <c r="I19" s="133"/>
      <c r="J19" s="133"/>
      <c r="K19" s="133"/>
      <c r="L19" s="5"/>
    </row>
    <row r="20" spans="1:12">
      <c r="A20" s="11">
        <f t="shared" si="0"/>
        <v>13</v>
      </c>
      <c r="B20" s="24" t="s">
        <v>79</v>
      </c>
      <c r="E20" s="32"/>
      <c r="F20" s="29"/>
      <c r="G20" s="29"/>
      <c r="H20" s="76"/>
      <c r="I20" s="133"/>
      <c r="J20" s="133"/>
      <c r="K20" s="133"/>
      <c r="L20" s="5"/>
    </row>
    <row r="21" spans="1:12">
      <c r="A21" s="11">
        <f t="shared" si="0"/>
        <v>14</v>
      </c>
      <c r="B21" s="22" t="s">
        <v>102</v>
      </c>
      <c r="C21" s="19">
        <f>+'JAP-23,  p7 Secondary Sch 26'!$E$16+'JAP-23,  p8 Secondary Sch 26P'!E16</f>
        <v>2424602.44</v>
      </c>
      <c r="D21" s="53">
        <f>+'JAP-23,  p7 Secondary Sch 26'!$F$16</f>
        <v>8.65</v>
      </c>
      <c r="E21" s="95">
        <f>ROUND((1+C37)*'JAP-23,  p37 Rate Des Sch 31'!E19,2)</f>
        <v>9.34</v>
      </c>
      <c r="F21" s="29">
        <f>+C21*D21</f>
        <v>20972811.105999999</v>
      </c>
      <c r="G21" s="29">
        <f>+C21*E21</f>
        <v>22645786.7896</v>
      </c>
      <c r="H21" s="344" t="s">
        <v>498</v>
      </c>
      <c r="I21" s="133"/>
      <c r="J21" s="133"/>
      <c r="K21" s="133"/>
      <c r="L21" s="5"/>
    </row>
    <row r="22" spans="1:12">
      <c r="A22" s="11">
        <f t="shared" si="0"/>
        <v>15</v>
      </c>
      <c r="B22" s="22" t="s">
        <v>103</v>
      </c>
      <c r="C22" s="19">
        <f>+'JAP-23,  p7 Secondary Sch 26'!$E$17+'JAP-23,  p8 Secondary Sch 26P'!E17</f>
        <v>2442411.48</v>
      </c>
      <c r="D22" s="53">
        <f>+'JAP-23,  p7 Secondary Sch 26'!$F$17</f>
        <v>5.76</v>
      </c>
      <c r="E22" s="95">
        <f>ROUND((1+C37)*'JAP-23,  p37 Rate Des Sch 31'!E20,2)</f>
        <v>6.23</v>
      </c>
      <c r="F22" s="29">
        <f>+C22*D22</f>
        <v>14068290.124799998</v>
      </c>
      <c r="G22" s="29">
        <f>+C22*E22</f>
        <v>15216223.520400001</v>
      </c>
      <c r="H22" s="344"/>
      <c r="I22" s="133"/>
      <c r="J22" s="133"/>
      <c r="K22" s="133"/>
      <c r="L22" s="5"/>
    </row>
    <row r="23" spans="1:12" ht="13.5" thickBot="1">
      <c r="A23" s="11">
        <f t="shared" si="0"/>
        <v>16</v>
      </c>
      <c r="B23" s="10" t="s">
        <v>83</v>
      </c>
      <c r="C23" s="79">
        <f>SUM(C21:C22)</f>
        <v>4867013.92</v>
      </c>
      <c r="E23" s="32"/>
      <c r="F23" s="35">
        <f>SUM(F21:F22)</f>
        <v>35041101.230799995</v>
      </c>
      <c r="G23" s="35">
        <f>SUM(G21:G22)</f>
        <v>37862010.310000002</v>
      </c>
      <c r="H23" s="76"/>
      <c r="I23" s="133"/>
      <c r="J23" s="133"/>
      <c r="K23" s="133"/>
      <c r="L23" s="5"/>
    </row>
    <row r="24" spans="1:12" ht="13.5" thickTop="1">
      <c r="A24" s="11">
        <f t="shared" si="0"/>
        <v>17</v>
      </c>
      <c r="C24" s="93"/>
      <c r="E24" s="32"/>
      <c r="F24" s="29"/>
      <c r="G24" s="29"/>
      <c r="H24" s="76"/>
      <c r="I24" s="133"/>
      <c r="J24" s="133"/>
      <c r="K24" s="133"/>
      <c r="L24" s="5"/>
    </row>
    <row r="25" spans="1:12" ht="13.5" thickBot="1">
      <c r="A25" s="11">
        <f t="shared" si="0"/>
        <v>18</v>
      </c>
      <c r="B25" s="24" t="s">
        <v>84</v>
      </c>
      <c r="C25" s="34">
        <f>+'JAP-23,  p7 Secondary Sch 26'!$E$20+'JAP-23,  p8 Secondary Sch 26P'!E20</f>
        <v>926612290</v>
      </c>
      <c r="D25" s="85">
        <f>+'JAP-23,  p7 Secondary Sch 26'!$F$20</f>
        <v>1.1999999999999999E-3</v>
      </c>
      <c r="E25" s="99">
        <f>ROUND(((1+G31)*(C25*D25))/C25,5)</f>
        <v>1.2999999999999999E-3</v>
      </c>
      <c r="F25" s="35">
        <f>+C25*D25</f>
        <v>1111934.7479999999</v>
      </c>
      <c r="G25" s="35">
        <f>+C25*E25</f>
        <v>1204595.977</v>
      </c>
      <c r="H25" s="76" t="s">
        <v>438</v>
      </c>
      <c r="I25" s="133"/>
      <c r="J25" s="133"/>
      <c r="K25" s="133"/>
      <c r="L25" s="5"/>
    </row>
    <row r="26" spans="1:12" ht="13.5" thickTop="1">
      <c r="A26" s="11">
        <f t="shared" si="0"/>
        <v>19</v>
      </c>
      <c r="C26" s="93"/>
      <c r="E26" s="32"/>
      <c r="F26" s="29"/>
      <c r="G26" s="29"/>
      <c r="H26" s="76"/>
      <c r="I26" s="133"/>
      <c r="J26" s="133"/>
      <c r="K26" s="133"/>
      <c r="L26" s="5"/>
    </row>
    <row r="27" spans="1:12" ht="13.5" thickBot="1">
      <c r="A27" s="11">
        <f t="shared" si="0"/>
        <v>20</v>
      </c>
      <c r="B27" s="2" t="s">
        <v>60</v>
      </c>
      <c r="D27" s="37"/>
      <c r="E27" s="37"/>
      <c r="F27" s="35">
        <f>SUM(F9,F18,F23,F25)</f>
        <v>159614164.18399176</v>
      </c>
      <c r="G27" s="35">
        <f>SUM(G9,G18,G23,G25)</f>
        <v>172385176.327389</v>
      </c>
      <c r="H27" s="76"/>
      <c r="I27" s="133"/>
      <c r="J27" s="133"/>
      <c r="K27" s="133"/>
      <c r="L27" s="5"/>
    </row>
    <row r="28" spans="1:12" ht="13.5" thickTop="1">
      <c r="A28" s="11">
        <f t="shared" si="0"/>
        <v>21</v>
      </c>
      <c r="D28" s="29"/>
      <c r="E28" s="29"/>
      <c r="F28" s="29"/>
      <c r="G28" s="29"/>
      <c r="H28" s="76"/>
      <c r="I28" s="133"/>
      <c r="J28" s="133"/>
      <c r="K28" s="133"/>
      <c r="L28" s="5"/>
    </row>
    <row r="29" spans="1:12">
      <c r="A29" s="11">
        <f t="shared" si="0"/>
        <v>22</v>
      </c>
      <c r="B29" s="103" t="s">
        <v>104</v>
      </c>
      <c r="C29" s="37"/>
      <c r="D29" s="29"/>
      <c r="E29" s="29"/>
      <c r="G29" s="102">
        <f>+'JAP-23,  p1 Rate Spread'!J13</f>
        <v>12772402.072443936</v>
      </c>
      <c r="H29" s="78" t="str">
        <f>+'JAP-23,  p34 Rate Des Sch 25'!H36</f>
        <v>Rate Spread Workpapers, Column G</v>
      </c>
      <c r="I29" s="133"/>
      <c r="J29" s="133"/>
      <c r="K29" s="133"/>
      <c r="L29" s="5"/>
    </row>
    <row r="30" spans="1:12">
      <c r="A30" s="11">
        <f t="shared" si="0"/>
        <v>23</v>
      </c>
      <c r="B30" s="24" t="s">
        <v>105</v>
      </c>
      <c r="C30" s="37"/>
      <c r="D30" s="58"/>
      <c r="E30" s="29"/>
      <c r="G30" s="29">
        <f>+F27+G29</f>
        <v>172386566.25643569</v>
      </c>
      <c r="I30" s="133"/>
      <c r="J30" s="133"/>
      <c r="K30" s="133"/>
      <c r="L30" s="5"/>
    </row>
    <row r="31" spans="1:12">
      <c r="A31" s="11">
        <f t="shared" si="0"/>
        <v>24</v>
      </c>
      <c r="B31" s="24" t="s">
        <v>90</v>
      </c>
      <c r="C31" s="37"/>
      <c r="D31" s="58"/>
      <c r="E31" s="29"/>
      <c r="G31" s="16">
        <f>+G29/F27</f>
        <v>8.0020480248362086E-2</v>
      </c>
      <c r="H31" s="78" t="s">
        <v>534</v>
      </c>
      <c r="I31" s="133"/>
      <c r="J31" s="133"/>
      <c r="K31" s="133"/>
      <c r="L31" s="5"/>
    </row>
    <row r="32" spans="1:12" ht="13.5" thickBot="1">
      <c r="A32" s="11">
        <f t="shared" si="0"/>
        <v>25</v>
      </c>
      <c r="B32" s="24"/>
      <c r="F32" s="29"/>
      <c r="G32" s="17"/>
      <c r="I32" s="133"/>
      <c r="J32" s="133"/>
      <c r="K32" s="133"/>
      <c r="L32" s="5"/>
    </row>
    <row r="33" spans="1:12" ht="13.5" thickBot="1">
      <c r="A33" s="11">
        <f t="shared" si="0"/>
        <v>26</v>
      </c>
      <c r="B33" s="10" t="str">
        <f>+'JAP-23,  p34 Rate Des Sch 25'!B49</f>
        <v>Over (Under) Recover Target Rate Spread</v>
      </c>
      <c r="F33" s="29"/>
      <c r="G33" s="82">
        <f>+G27-G30</f>
        <v>-1389.929046690464</v>
      </c>
      <c r="I33" s="133"/>
      <c r="J33" s="133"/>
      <c r="K33" s="133"/>
      <c r="L33" s="5"/>
    </row>
    <row r="34" spans="1:12" ht="13.5" thickBot="1">
      <c r="A34" s="11">
        <f t="shared" si="0"/>
        <v>27</v>
      </c>
      <c r="F34" s="29"/>
      <c r="G34" s="29"/>
      <c r="I34" s="133"/>
      <c r="J34" s="133"/>
      <c r="K34" s="133"/>
      <c r="L34" s="5"/>
    </row>
    <row r="35" spans="1:12">
      <c r="A35" s="11">
        <f t="shared" si="0"/>
        <v>28</v>
      </c>
      <c r="B35" s="299" t="s">
        <v>106</v>
      </c>
      <c r="C35" s="300"/>
      <c r="D35" s="300"/>
      <c r="E35" s="301"/>
      <c r="I35" s="133"/>
      <c r="J35" s="133"/>
      <c r="K35" s="133"/>
      <c r="L35" s="5"/>
    </row>
    <row r="36" spans="1:12">
      <c r="A36" s="11">
        <f t="shared" si="0"/>
        <v>29</v>
      </c>
      <c r="B36" s="43" t="s">
        <v>107</v>
      </c>
      <c r="C36" s="118">
        <f>'JAP-23,  p37 Rate Des Sch 31'!E9-E9</f>
        <v>245.7</v>
      </c>
      <c r="D36" s="32"/>
      <c r="E36" s="47"/>
      <c r="I36" s="133"/>
      <c r="J36" s="133"/>
      <c r="K36" s="133"/>
      <c r="L36" s="5"/>
    </row>
    <row r="37" spans="1:12">
      <c r="A37" s="11">
        <f t="shared" si="0"/>
        <v>30</v>
      </c>
      <c r="B37" s="43" t="s">
        <v>108</v>
      </c>
      <c r="C37" s="302">
        <v>3.449E-2</v>
      </c>
      <c r="D37" s="143"/>
      <c r="E37" s="120">
        <f>ROUND(+C37*(G23/C23),2)</f>
        <v>0.27</v>
      </c>
      <c r="I37" s="133"/>
      <c r="J37" s="133"/>
      <c r="K37" s="133"/>
      <c r="L37" s="5"/>
    </row>
    <row r="38" spans="1:12" ht="13.5" thickBot="1">
      <c r="A38" s="11">
        <f t="shared" si="0"/>
        <v>31</v>
      </c>
      <c r="B38" s="144" t="s">
        <v>109</v>
      </c>
      <c r="C38" s="303">
        <f>+C37</f>
        <v>3.449E-2</v>
      </c>
      <c r="D38" s="145"/>
      <c r="E38" s="122">
        <f>ROUND(+C38*E14,6)</f>
        <v>2.2950000000000002E-3</v>
      </c>
      <c r="I38" s="133"/>
      <c r="J38" s="133"/>
      <c r="K38" s="133"/>
      <c r="L38" s="5"/>
    </row>
    <row r="39" spans="1:12">
      <c r="A39" s="11">
        <f t="shared" si="0"/>
        <v>32</v>
      </c>
      <c r="F39" s="29"/>
      <c r="G39" s="29"/>
      <c r="I39" s="133"/>
      <c r="J39" s="133"/>
      <c r="K39" s="133"/>
      <c r="L39" s="5"/>
    </row>
    <row r="40" spans="1:12">
      <c r="A40" s="11">
        <f t="shared" si="0"/>
        <v>33</v>
      </c>
      <c r="F40" s="29"/>
      <c r="G40" s="29"/>
    </row>
    <row r="41" spans="1:12">
      <c r="F41" s="29"/>
      <c r="G41" s="29"/>
    </row>
    <row r="42" spans="1:12">
      <c r="F42" s="29"/>
      <c r="G42" s="29"/>
    </row>
    <row r="43" spans="1:12">
      <c r="F43" s="29"/>
      <c r="G43" s="29"/>
    </row>
    <row r="44" spans="1:12">
      <c r="F44" s="29"/>
      <c r="G44" s="29"/>
    </row>
    <row r="45" spans="1:12">
      <c r="F45" s="29"/>
      <c r="G45" s="29"/>
    </row>
    <row r="46" spans="1:12">
      <c r="F46" s="29"/>
      <c r="G46" s="29"/>
    </row>
    <row r="47" spans="1:12">
      <c r="F47" s="29"/>
      <c r="G47" s="29"/>
    </row>
    <row r="48" spans="1:12">
      <c r="F48" s="29"/>
      <c r="G48" s="29"/>
    </row>
    <row r="49" spans="6:7">
      <c r="F49" s="29"/>
      <c r="G49" s="29"/>
    </row>
    <row r="50" spans="6:7">
      <c r="F50" s="29"/>
      <c r="G50" s="29"/>
    </row>
    <row r="51" spans="6:7">
      <c r="F51" s="29"/>
      <c r="G51" s="29"/>
    </row>
    <row r="52" spans="6:7">
      <c r="F52" s="29"/>
      <c r="G52" s="29"/>
    </row>
    <row r="53" spans="6:7">
      <c r="F53" s="29"/>
      <c r="G53" s="29"/>
    </row>
    <row r="54" spans="6:7">
      <c r="F54" s="29"/>
      <c r="G54" s="29"/>
    </row>
    <row r="55" spans="6:7">
      <c r="F55" s="29"/>
      <c r="G55" s="29"/>
    </row>
    <row r="56" spans="6:7">
      <c r="F56" s="29"/>
      <c r="G56" s="29"/>
    </row>
    <row r="57" spans="6:7">
      <c r="F57" s="29"/>
      <c r="G57" s="29"/>
    </row>
    <row r="58" spans="6:7">
      <c r="F58" s="29"/>
      <c r="G58" s="29"/>
    </row>
  </sheetData>
  <mergeCells count="4">
    <mergeCell ref="H21:H22"/>
    <mergeCell ref="A1:H1"/>
    <mergeCell ref="A2:H2"/>
    <mergeCell ref="A3:H3"/>
  </mergeCells>
  <phoneticPr fontId="11" type="noConversion"/>
  <printOptions horizontalCentered="1"/>
  <pageMargins left="0.25" right="0.25" top="1" bottom="1.1499999999999999" header="0.5" footer="0.5"/>
  <pageSetup scale="87" orientation="landscape" r:id="rId1"/>
  <headerFooter alignWithMargins="0">
    <oddFooter>&amp;R&amp;"Times New Roman,Regular"Exhibit No.___(JAP-23)
Page 35 of 49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zoomScaleNormal="100" workbookViewId="0">
      <selection sqref="A1:H38"/>
    </sheetView>
  </sheetViews>
  <sheetFormatPr defaultRowHeight="12.75"/>
  <cols>
    <col min="1" max="1" width="4.42578125" style="2" bestFit="1" customWidth="1"/>
    <col min="2" max="2" width="37.28515625" style="2" bestFit="1" customWidth="1"/>
    <col min="3" max="3" width="12" style="2" bestFit="1" customWidth="1"/>
    <col min="4" max="4" width="10.7109375" style="2" bestFit="1" customWidth="1"/>
    <col min="5" max="5" width="12.42578125" style="2" bestFit="1" customWidth="1"/>
    <col min="6" max="6" width="16.140625" style="2" bestFit="1" customWidth="1"/>
    <col min="7" max="7" width="12.5703125" style="2" customWidth="1"/>
    <col min="8" max="8" width="36.42578125" style="2" customWidth="1"/>
    <col min="9" max="9" width="12.28515625" style="2" bestFit="1" customWidth="1"/>
    <col min="10" max="10" width="15" style="2" bestFit="1" customWidth="1"/>
    <col min="11" max="16384" width="9.140625" style="2"/>
  </cols>
  <sheetData>
    <row r="1" spans="1:13">
      <c r="A1" s="327" t="s">
        <v>8</v>
      </c>
      <c r="B1" s="327"/>
      <c r="C1" s="327"/>
      <c r="D1" s="327"/>
      <c r="E1" s="327"/>
      <c r="F1" s="327"/>
      <c r="G1" s="327"/>
      <c r="H1" s="327"/>
    </row>
    <row r="2" spans="1:13">
      <c r="A2" s="327" t="s">
        <v>44</v>
      </c>
      <c r="B2" s="327"/>
      <c r="C2" s="327"/>
      <c r="D2" s="327"/>
      <c r="E2" s="327"/>
      <c r="F2" s="327"/>
      <c r="G2" s="327"/>
      <c r="H2" s="327"/>
    </row>
    <row r="3" spans="1:13">
      <c r="A3" s="327" t="s">
        <v>97</v>
      </c>
      <c r="B3" s="327"/>
      <c r="C3" s="327"/>
      <c r="D3" s="327"/>
      <c r="E3" s="327"/>
      <c r="F3" s="327"/>
      <c r="G3" s="327"/>
      <c r="H3" s="327"/>
    </row>
    <row r="4" spans="1:13">
      <c r="A4" s="1"/>
      <c r="B4" s="1"/>
      <c r="C4" s="1"/>
      <c r="D4" s="1"/>
      <c r="E4" s="1"/>
      <c r="F4" s="1"/>
      <c r="G4" s="1"/>
      <c r="H4" s="1"/>
    </row>
    <row r="5" spans="1:13" s="11" customFormat="1" ht="51">
      <c r="A5" s="65" t="str">
        <f>+'JAP-23,  p32 Rate Des Sch 7'!A5</f>
        <v>Line No.</v>
      </c>
      <c r="B5" s="66" t="str">
        <f>+'JAP-23,  p32 Rate Des Sch 7'!B5</f>
        <v>Description</v>
      </c>
      <c r="C5" s="65" t="str">
        <f>+'JAP-23,  p32 Rate Des Sch 7'!C5</f>
        <v>Bill
Determinants</v>
      </c>
      <c r="D5" s="65" t="str">
        <f>+'JAP-23,  p32 Rate Des Sch 7'!D5</f>
        <v>Base Rates
Effective 
5-1-10</v>
      </c>
      <c r="E5" s="65" t="str">
        <f>+'JAP-23,  p32 Rate Des Sch 7'!E5</f>
        <v>Proposed
Rates
Effective 2012</v>
      </c>
      <c r="F5" s="65" t="str">
        <f>+'JAP-23,  p32 Rate Des Sch 7'!F5</f>
        <v>Proforma
Revenue
Effective
5-1-10</v>
      </c>
      <c r="G5" s="65" t="str">
        <f>+'JAP-23,  p32 Rate Des Sch 7'!G5</f>
        <v>Proposed
Revenue
Effective
2012</v>
      </c>
      <c r="H5" s="66" t="str">
        <f>+'JAP-23,  p32 Rate Des Sch 7'!H5</f>
        <v>Notes:</v>
      </c>
    </row>
    <row r="6" spans="1:13" s="5" customFormat="1">
      <c r="A6" s="167"/>
      <c r="B6" s="167" t="s">
        <v>477</v>
      </c>
      <c r="C6" s="133" t="s">
        <v>478</v>
      </c>
      <c r="D6" s="133" t="s">
        <v>479</v>
      </c>
      <c r="E6" s="133" t="s">
        <v>481</v>
      </c>
      <c r="F6" s="133" t="s">
        <v>482</v>
      </c>
      <c r="G6" s="133" t="s">
        <v>483</v>
      </c>
      <c r="H6" s="133" t="s">
        <v>484</v>
      </c>
      <c r="I6" s="133"/>
      <c r="J6" s="133"/>
      <c r="K6" s="133"/>
      <c r="L6" s="133"/>
      <c r="M6" s="133"/>
    </row>
    <row r="7" spans="1:13" s="5" customFormat="1">
      <c r="A7" s="167"/>
      <c r="B7" s="167"/>
      <c r="C7" s="133"/>
      <c r="D7" s="133"/>
      <c r="E7" s="133"/>
      <c r="F7" s="133"/>
      <c r="G7" s="133"/>
      <c r="H7" s="133"/>
      <c r="I7" s="133"/>
      <c r="J7" s="133"/>
      <c r="K7" s="133"/>
    </row>
    <row r="8" spans="1:13">
      <c r="A8" s="11">
        <v>1</v>
      </c>
    </row>
    <row r="9" spans="1:13">
      <c r="A9" s="11">
        <f>+A8+1</f>
        <v>2</v>
      </c>
      <c r="B9" s="2" t="s">
        <v>50</v>
      </c>
    </row>
    <row r="10" spans="1:13" ht="12.75" customHeight="1">
      <c r="A10" s="11">
        <f t="shared" ref="A10:A38" si="0">+A9+1</f>
        <v>3</v>
      </c>
      <c r="B10" s="27" t="s">
        <v>51</v>
      </c>
      <c r="C10" s="18">
        <f>+'JAP-23,  p9 Secondary Sch 29'!$E$12</f>
        <v>2919</v>
      </c>
      <c r="D10" s="53">
        <f>+'JAP-23,  p9 Secondary Sch 29'!$F$12</f>
        <v>9.33</v>
      </c>
      <c r="E10" s="141">
        <f>ROUND(SUM(D10:D10)*(1+$G$38),2)</f>
        <v>9.89</v>
      </c>
      <c r="F10" s="29">
        <f>+C10*D10</f>
        <v>27234.27</v>
      </c>
      <c r="G10" s="29">
        <f>+C10*E10</f>
        <v>28868.91</v>
      </c>
      <c r="H10" s="342" t="s">
        <v>534</v>
      </c>
    </row>
    <row r="11" spans="1:13">
      <c r="A11" s="11">
        <f t="shared" si="0"/>
        <v>4</v>
      </c>
      <c r="B11" s="27" t="s">
        <v>52</v>
      </c>
      <c r="C11" s="18">
        <f>+'JAP-23,  p9 Secondary Sch 29'!$E$13</f>
        <v>5944</v>
      </c>
      <c r="D11" s="53">
        <f>+'JAP-23,  p9 Secondary Sch 29'!$F$13</f>
        <v>23.69</v>
      </c>
      <c r="E11" s="141">
        <f>ROUND(SUM(D11:D11)*(1+$G$38),2)</f>
        <v>25.11</v>
      </c>
      <c r="F11" s="29">
        <f>+C11*D11</f>
        <v>140813.36000000002</v>
      </c>
      <c r="G11" s="29">
        <f>+C11*E11</f>
        <v>149253.84</v>
      </c>
      <c r="H11" s="345"/>
    </row>
    <row r="12" spans="1:13" ht="13.5" thickBot="1">
      <c r="A12" s="11">
        <f t="shared" si="0"/>
        <v>5</v>
      </c>
      <c r="B12" s="2" t="s">
        <v>53</v>
      </c>
      <c r="C12" s="79">
        <f>SUM(C10:C11)</f>
        <v>8863</v>
      </c>
      <c r="E12" s="32"/>
      <c r="F12" s="35">
        <f>SUM(F10:F11)</f>
        <v>168047.63</v>
      </c>
      <c r="G12" s="35">
        <f>SUM(G10:G11)</f>
        <v>178122.75</v>
      </c>
      <c r="H12" s="159"/>
    </row>
    <row r="13" spans="1:13" ht="13.5" thickTop="1">
      <c r="A13" s="11">
        <f t="shared" si="0"/>
        <v>6</v>
      </c>
      <c r="E13" s="32"/>
      <c r="F13" s="29"/>
      <c r="G13" s="29"/>
      <c r="H13" s="76"/>
    </row>
    <row r="14" spans="1:13">
      <c r="A14" s="11">
        <f t="shared" si="0"/>
        <v>7</v>
      </c>
      <c r="B14" s="2" t="s">
        <v>54</v>
      </c>
      <c r="E14" s="32"/>
      <c r="F14" s="29"/>
      <c r="G14" s="29"/>
      <c r="H14" s="76"/>
    </row>
    <row r="15" spans="1:13" ht="12.75" customHeight="1">
      <c r="A15" s="11">
        <f t="shared" si="0"/>
        <v>8</v>
      </c>
      <c r="B15" s="27" t="s">
        <v>70</v>
      </c>
      <c r="E15" s="32"/>
      <c r="F15" s="29"/>
      <c r="G15" s="29"/>
      <c r="H15" s="76"/>
    </row>
    <row r="16" spans="1:13" ht="12.75" customHeight="1">
      <c r="A16" s="11">
        <f t="shared" si="0"/>
        <v>9</v>
      </c>
      <c r="B16" s="59" t="s">
        <v>66</v>
      </c>
      <c r="C16" s="18">
        <f>+'JAP-23,  p9 Secondary Sch 29'!$E$16</f>
        <v>2055680.7146000001</v>
      </c>
      <c r="D16" s="58">
        <f>+'JAP-23,  p9 Secondary Sch 29'!$F$16</f>
        <v>8.9007000000000003E-2</v>
      </c>
      <c r="E16" s="77">
        <f>ROUND(SUM(D16:D16)*(1+$G$38),6)</f>
        <v>9.4350000000000003E-2</v>
      </c>
      <c r="F16" s="29">
        <f>+C16*SUM(D16:D16)</f>
        <v>182969.97336440222</v>
      </c>
      <c r="G16" s="29">
        <f>+C16*E16</f>
        <v>193953.47542251</v>
      </c>
      <c r="H16" s="342" t="s">
        <v>534</v>
      </c>
    </row>
    <row r="17" spans="1:8">
      <c r="A17" s="11">
        <f t="shared" si="0"/>
        <v>10</v>
      </c>
      <c r="B17" s="59" t="s">
        <v>67</v>
      </c>
      <c r="C17" s="18">
        <f>+'JAP-23,  p9 Secondary Sch 29'!$E$18</f>
        <v>11531944.156799998</v>
      </c>
      <c r="D17" s="58">
        <f>+'JAP-23,  p9 Secondary Sch 29'!$F$18</f>
        <v>6.2169000000000002E-2</v>
      </c>
      <c r="E17" s="77">
        <f>ROUND(SUM(D17:D17)*(1+$G$38),6)</f>
        <v>6.5901000000000001E-2</v>
      </c>
      <c r="F17" s="29">
        <f>+C17*SUM(D17:D17)</f>
        <v>716929.43628409912</v>
      </c>
      <c r="G17" s="29">
        <f>+C17*E17</f>
        <v>759966.65187727672</v>
      </c>
      <c r="H17" s="345"/>
    </row>
    <row r="18" spans="1:8">
      <c r="A18" s="11">
        <f t="shared" si="0"/>
        <v>11</v>
      </c>
      <c r="B18" s="27" t="s">
        <v>71</v>
      </c>
      <c r="C18" s="12">
        <f>SUM(C16:C17)</f>
        <v>13587624.871399999</v>
      </c>
      <c r="D18" s="58"/>
      <c r="E18" s="32"/>
      <c r="F18" s="29"/>
      <c r="G18" s="29"/>
      <c r="H18" s="76"/>
    </row>
    <row r="19" spans="1:8">
      <c r="A19" s="11">
        <f t="shared" si="0"/>
        <v>12</v>
      </c>
      <c r="B19" s="27" t="s">
        <v>72</v>
      </c>
      <c r="C19" s="18"/>
      <c r="E19" s="32"/>
      <c r="F19" s="29"/>
      <c r="G19" s="29"/>
      <c r="H19" s="76"/>
    </row>
    <row r="20" spans="1:8" ht="12.75" customHeight="1">
      <c r="A20" s="11">
        <f t="shared" si="0"/>
        <v>13</v>
      </c>
      <c r="B20" s="59" t="s">
        <v>66</v>
      </c>
      <c r="C20" s="18">
        <f>+'JAP-23,  p9 Secondary Sch 29'!$E$17</f>
        <v>186458.5266633273</v>
      </c>
      <c r="D20" s="58">
        <f>+'JAP-23,  p9 Secondary Sch 29'!$F$17</f>
        <v>6.7984000000000003E-2</v>
      </c>
      <c r="E20" s="77">
        <f>ROUND(SUM(D20:D20)*(1+$G$38),6)</f>
        <v>7.2065000000000004E-2</v>
      </c>
      <c r="F20" s="29">
        <f>+C20*SUM(D20:D20)</f>
        <v>12676.196476679643</v>
      </c>
      <c r="G20" s="29">
        <f>+C20*E20</f>
        <v>13437.133723992683</v>
      </c>
      <c r="H20" s="342" t="s">
        <v>534</v>
      </c>
    </row>
    <row r="21" spans="1:8">
      <c r="A21" s="11">
        <f t="shared" si="0"/>
        <v>14</v>
      </c>
      <c r="B21" s="59" t="s">
        <v>67</v>
      </c>
      <c r="C21" s="18">
        <f>+'JAP-23,  p9 Secondary Sch 29'!$E$19</f>
        <v>711638.94250359607</v>
      </c>
      <c r="D21" s="58">
        <f>+'JAP-23,  p9 Secondary Sch 29'!$F$19</f>
        <v>5.3497999999999997E-2</v>
      </c>
      <c r="E21" s="77">
        <f>ROUND(SUM(D21:D21)*(1+$G$38),6)</f>
        <v>5.6709000000000002E-2</v>
      </c>
      <c r="F21" s="29">
        <f>+C21*SUM(D21:D21)</f>
        <v>38071.260146057379</v>
      </c>
      <c r="G21" s="29">
        <f>+C21*E21</f>
        <v>40356.332790436434</v>
      </c>
      <c r="H21" s="345"/>
    </row>
    <row r="22" spans="1:8">
      <c r="A22" s="11">
        <f t="shared" si="0"/>
        <v>15</v>
      </c>
      <c r="B22" s="27" t="s">
        <v>74</v>
      </c>
      <c r="C22" s="12">
        <f>SUM(C20:C21)</f>
        <v>898097.46916692331</v>
      </c>
      <c r="D22" s="58"/>
      <c r="E22" s="58"/>
      <c r="F22" s="58"/>
      <c r="G22" s="58"/>
      <c r="H22" s="76"/>
    </row>
    <row r="23" spans="1:8">
      <c r="A23" s="11">
        <f t="shared" si="0"/>
        <v>16</v>
      </c>
      <c r="B23" s="24" t="s">
        <v>75</v>
      </c>
      <c r="C23" s="72">
        <f>SUM(C22,C18)</f>
        <v>14485722.340566922</v>
      </c>
      <c r="D23" s="58"/>
      <c r="E23" s="32"/>
      <c r="F23" s="13">
        <f>SUM(F20:F21,F16:F17)</f>
        <v>950646.86627123831</v>
      </c>
      <c r="G23" s="13">
        <f>SUM(G20:G21,G16:G17)</f>
        <v>1007713.5938142159</v>
      </c>
      <c r="H23" s="73"/>
    </row>
    <row r="24" spans="1:8">
      <c r="A24" s="11">
        <f t="shared" si="0"/>
        <v>17</v>
      </c>
      <c r="E24" s="32"/>
      <c r="F24" s="29"/>
      <c r="G24" s="29"/>
      <c r="H24" s="76"/>
    </row>
    <row r="25" spans="1:8">
      <c r="A25" s="11">
        <f t="shared" si="0"/>
        <v>18</v>
      </c>
      <c r="B25" s="24" t="s">
        <v>58</v>
      </c>
      <c r="C25" s="12">
        <f>+'JAP-23,  p9 Secondary Sch 29'!$E$30</f>
        <v>-20017</v>
      </c>
      <c r="D25" s="58">
        <f>+'JAP-23,  p9 Secondary Sch 29'!$F$30</f>
        <v>0.142179</v>
      </c>
      <c r="E25" s="77">
        <f>ROUND(SUM(D25:D25)*(1+$G$38),6)</f>
        <v>0.15071300000000001</v>
      </c>
      <c r="F25" s="29">
        <f>+C25*SUM(D25:D25)</f>
        <v>-2845.9970429999998</v>
      </c>
      <c r="G25" s="29">
        <f>+C25*SUM(E25)</f>
        <v>-3016.8221210000002</v>
      </c>
      <c r="H25" s="308" t="s">
        <v>534</v>
      </c>
    </row>
    <row r="26" spans="1:8" ht="13.5" thickBot="1">
      <c r="A26" s="11">
        <f t="shared" si="0"/>
        <v>19</v>
      </c>
      <c r="B26" s="24" t="s">
        <v>59</v>
      </c>
      <c r="C26" s="79">
        <f>SUM(C25,C23)</f>
        <v>14465705.340566922</v>
      </c>
      <c r="E26" s="32"/>
      <c r="F26" s="35">
        <f>SUM(F25,F23)</f>
        <v>947800.86922823836</v>
      </c>
      <c r="G26" s="35">
        <f>SUM(G25,G23)</f>
        <v>1004696.7716932158</v>
      </c>
      <c r="H26" s="308"/>
    </row>
    <row r="27" spans="1:8" ht="13.5" thickTop="1">
      <c r="A27" s="11">
        <f t="shared" si="0"/>
        <v>20</v>
      </c>
      <c r="C27" s="93"/>
      <c r="E27" s="32"/>
      <c r="F27" s="29"/>
      <c r="G27" s="29"/>
      <c r="H27" s="76"/>
    </row>
    <row r="28" spans="1:8">
      <c r="A28" s="11">
        <f t="shared" si="0"/>
        <v>21</v>
      </c>
      <c r="B28" s="24" t="s">
        <v>79</v>
      </c>
      <c r="E28" s="32"/>
      <c r="F28" s="29"/>
      <c r="G28" s="29"/>
      <c r="H28" s="78"/>
    </row>
    <row r="29" spans="1:8" ht="12.75" customHeight="1">
      <c r="A29" s="11">
        <f t="shared" si="0"/>
        <v>22</v>
      </c>
      <c r="B29" s="27" t="s">
        <v>80</v>
      </c>
      <c r="C29" s="18">
        <v>21989.26</v>
      </c>
      <c r="D29" s="53">
        <v>0</v>
      </c>
      <c r="E29" s="94">
        <v>0</v>
      </c>
      <c r="F29" s="29">
        <f>+C29*D29</f>
        <v>0</v>
      </c>
      <c r="G29" s="29">
        <f>+C29*E29</f>
        <v>0</v>
      </c>
      <c r="H29" s="342" t="s">
        <v>534</v>
      </c>
    </row>
    <row r="30" spans="1:8">
      <c r="A30" s="11">
        <f t="shared" si="0"/>
        <v>23</v>
      </c>
      <c r="B30" s="27" t="s">
        <v>81</v>
      </c>
      <c r="C30" s="18">
        <f>+'JAP-23,  p9 Secondary Sch 29'!$E$22</f>
        <v>3752</v>
      </c>
      <c r="D30" s="53">
        <f>+'JAP-23,  p9 Secondary Sch 29'!$F$22</f>
        <v>8.6199999999999992</v>
      </c>
      <c r="E30" s="141">
        <f>ROUND(SUM(D30:D30)*(1+$G$38),2)</f>
        <v>9.14</v>
      </c>
      <c r="F30" s="29">
        <f>+C30*D30</f>
        <v>32342.239999999998</v>
      </c>
      <c r="G30" s="29">
        <f>+C30*E30</f>
        <v>34293.279999999999</v>
      </c>
      <c r="H30" s="342"/>
    </row>
    <row r="31" spans="1:8">
      <c r="A31" s="11">
        <f t="shared" si="0"/>
        <v>24</v>
      </c>
      <c r="B31" s="27" t="s">
        <v>82</v>
      </c>
      <c r="C31" s="18">
        <f>+'JAP-23,  p9 Secondary Sch 29'!$E$23</f>
        <v>7783</v>
      </c>
      <c r="D31" s="53">
        <f>+'JAP-23,  p9 Secondary Sch 29'!$F$23</f>
        <v>4.24</v>
      </c>
      <c r="E31" s="141">
        <f>ROUND(SUM(D31:D31)*(1+$G$38),2)</f>
        <v>4.49</v>
      </c>
      <c r="F31" s="29">
        <f>+C31*D31</f>
        <v>32999.919999999998</v>
      </c>
      <c r="G31" s="29">
        <f>+C31*E31</f>
        <v>34945.67</v>
      </c>
      <c r="H31" s="342"/>
    </row>
    <row r="32" spans="1:8" ht="13.5" thickBot="1">
      <c r="A32" s="11">
        <f t="shared" si="0"/>
        <v>25</v>
      </c>
      <c r="B32" s="10" t="s">
        <v>83</v>
      </c>
      <c r="C32" s="79">
        <f>SUM(C29:C31)</f>
        <v>33524.259999999995</v>
      </c>
      <c r="E32" s="32"/>
      <c r="F32" s="35">
        <f>SUM(F29:F31)</f>
        <v>65342.159999999996</v>
      </c>
      <c r="G32" s="35">
        <f>SUM(G29:G31)</f>
        <v>69238.95</v>
      </c>
      <c r="H32" s="76"/>
    </row>
    <row r="33" spans="1:8" ht="13.5" customHeight="1" thickTop="1">
      <c r="A33" s="11">
        <f t="shared" si="0"/>
        <v>26</v>
      </c>
      <c r="C33" s="93"/>
      <c r="E33" s="32"/>
      <c r="F33" s="29"/>
      <c r="G33" s="29"/>
      <c r="H33" s="76"/>
    </row>
    <row r="34" spans="1:8" ht="13.5" thickBot="1">
      <c r="A34" s="11">
        <f t="shared" si="0"/>
        <v>27</v>
      </c>
      <c r="B34" s="24" t="s">
        <v>84</v>
      </c>
      <c r="C34" s="34">
        <f>+'JAP-23,  p9 Secondary Sch 29'!$E$26</f>
        <v>369065</v>
      </c>
      <c r="D34" s="85">
        <f>+'JAP-23,  p9 Secondary Sch 29'!$F$26</f>
        <v>2.7399999999999998E-3</v>
      </c>
      <c r="E34" s="99">
        <f>ROUND(SUM(D34:D34)*(1+$G$38),5)</f>
        <v>2.8999999999999998E-3</v>
      </c>
      <c r="F34" s="35">
        <f>+C34*D34</f>
        <v>1011.2380999999999</v>
      </c>
      <c r="G34" s="35">
        <f>+C34*E34</f>
        <v>1070.2884999999999</v>
      </c>
      <c r="H34" s="308" t="s">
        <v>534</v>
      </c>
    </row>
    <row r="35" spans="1:8" ht="13.5" thickTop="1">
      <c r="A35" s="11">
        <f t="shared" si="0"/>
        <v>28</v>
      </c>
      <c r="C35" s="93"/>
      <c r="E35" s="32"/>
      <c r="F35" s="29"/>
      <c r="G35" s="29"/>
      <c r="H35" s="308"/>
    </row>
    <row r="36" spans="1:8" ht="13.5" thickBot="1">
      <c r="A36" s="11">
        <f t="shared" si="0"/>
        <v>29</v>
      </c>
      <c r="B36" s="2" t="s">
        <v>60</v>
      </c>
      <c r="D36" s="37"/>
      <c r="E36" s="37"/>
      <c r="F36" s="35">
        <f>SUM(F12,F26,F32,F34)</f>
        <v>1182201.8973282382</v>
      </c>
      <c r="G36" s="35">
        <f>SUM(G12,G26,G32,G34)</f>
        <v>1253128.7601932157</v>
      </c>
      <c r="H36" s="308"/>
    </row>
    <row r="37" spans="1:8" ht="13.5" thickTop="1">
      <c r="A37" s="11">
        <f t="shared" si="0"/>
        <v>30</v>
      </c>
      <c r="D37" s="29"/>
      <c r="E37" s="29"/>
      <c r="F37" s="29"/>
      <c r="H37" s="76"/>
    </row>
    <row r="38" spans="1:8">
      <c r="A38" s="11">
        <f t="shared" si="0"/>
        <v>31</v>
      </c>
      <c r="B38" s="24" t="s">
        <v>98</v>
      </c>
      <c r="D38" s="29"/>
      <c r="E38" s="29"/>
      <c r="F38" s="29"/>
      <c r="G38" s="105">
        <f>+'JAP-23,  p34 Rate Des Sch 25'!G40</f>
        <v>6.0024648126833953E-2</v>
      </c>
      <c r="H38" s="308" t="s">
        <v>534</v>
      </c>
    </row>
    <row r="39" spans="1:8">
      <c r="F39" s="29"/>
      <c r="G39" s="29"/>
    </row>
    <row r="40" spans="1:8">
      <c r="F40" s="29"/>
      <c r="G40" s="29"/>
    </row>
    <row r="41" spans="1:8">
      <c r="F41" s="29"/>
      <c r="G41" s="29"/>
    </row>
    <row r="42" spans="1:8">
      <c r="F42" s="29"/>
      <c r="G42" s="29"/>
    </row>
    <row r="43" spans="1:8">
      <c r="F43" s="29"/>
      <c r="G43" s="29"/>
    </row>
    <row r="44" spans="1:8">
      <c r="F44" s="29"/>
      <c r="G44" s="29"/>
    </row>
    <row r="45" spans="1:8">
      <c r="F45" s="29"/>
      <c r="G45" s="29"/>
    </row>
    <row r="46" spans="1:8">
      <c r="F46" s="29"/>
      <c r="G46" s="29"/>
    </row>
    <row r="47" spans="1:8">
      <c r="F47" s="29"/>
      <c r="G47" s="29"/>
    </row>
    <row r="48" spans="1:8">
      <c r="F48" s="29"/>
      <c r="G48" s="29"/>
    </row>
    <row r="49" spans="6:7">
      <c r="F49" s="29"/>
      <c r="G49" s="29"/>
    </row>
    <row r="50" spans="6:7">
      <c r="F50" s="29"/>
      <c r="G50" s="29"/>
    </row>
    <row r="51" spans="6:7">
      <c r="F51" s="29"/>
      <c r="G51" s="29"/>
    </row>
    <row r="52" spans="6:7">
      <c r="F52" s="29"/>
      <c r="G52" s="29"/>
    </row>
    <row r="53" spans="6:7">
      <c r="F53" s="29"/>
      <c r="G53" s="29"/>
    </row>
    <row r="54" spans="6:7">
      <c r="F54" s="29"/>
      <c r="G54" s="29"/>
    </row>
    <row r="55" spans="6:7">
      <c r="F55" s="29"/>
      <c r="G55" s="29"/>
    </row>
    <row r="56" spans="6:7">
      <c r="F56" s="29"/>
      <c r="G56" s="29"/>
    </row>
  </sheetData>
  <mergeCells count="7">
    <mergeCell ref="A1:H1"/>
    <mergeCell ref="A2:H2"/>
    <mergeCell ref="A3:H3"/>
    <mergeCell ref="H29:H31"/>
    <mergeCell ref="H20:H21"/>
    <mergeCell ref="H16:H17"/>
    <mergeCell ref="H10:H11"/>
  </mergeCells>
  <phoneticPr fontId="11" type="noConversion"/>
  <printOptions horizontalCentered="1"/>
  <pageMargins left="0.25" right="0.25" top="1" bottom="1.1299999999999999" header="0.5" footer="0.5"/>
  <pageSetup scale="88" orientation="landscape" r:id="rId1"/>
  <headerFooter alignWithMargins="0">
    <oddFooter>&amp;R&amp;"Times New Roman,Regular"Exhibit No.___(JAP-23)
Page 36 of 49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8"/>
  <sheetViews>
    <sheetView zoomScaleNormal="100" workbookViewId="0">
      <selection activeCell="K22" sqref="K22"/>
    </sheetView>
  </sheetViews>
  <sheetFormatPr defaultColWidth="27.7109375" defaultRowHeight="12.75"/>
  <cols>
    <col min="1" max="1" width="5.7109375" style="2" customWidth="1"/>
    <col min="2" max="2" width="40.7109375" style="2" bestFit="1" customWidth="1"/>
    <col min="3" max="3" width="14" style="2" bestFit="1" customWidth="1"/>
    <col min="4" max="4" width="10.7109375" style="2" bestFit="1" customWidth="1"/>
    <col min="5" max="5" width="12.42578125" style="2" bestFit="1" customWidth="1"/>
    <col min="6" max="6" width="12.28515625" style="2" bestFit="1" customWidth="1"/>
    <col min="7" max="7" width="13.42578125" style="2" bestFit="1" customWidth="1"/>
    <col min="8" max="8" width="30.140625" style="2" bestFit="1" customWidth="1"/>
    <col min="9" max="9" width="10" style="2" customWidth="1"/>
    <col min="10" max="12" width="12.28515625" style="2" bestFit="1" customWidth="1"/>
    <col min="13" max="16384" width="27.7109375" style="2"/>
  </cols>
  <sheetData>
    <row r="1" spans="1:13">
      <c r="A1" s="327" t="s">
        <v>8</v>
      </c>
      <c r="B1" s="327"/>
      <c r="C1" s="327"/>
      <c r="D1" s="327"/>
      <c r="E1" s="327"/>
      <c r="F1" s="327"/>
      <c r="G1" s="327"/>
      <c r="H1" s="327"/>
      <c r="I1" s="155"/>
    </row>
    <row r="2" spans="1:13">
      <c r="A2" s="327" t="s">
        <v>44</v>
      </c>
      <c r="B2" s="327"/>
      <c r="C2" s="327"/>
      <c r="D2" s="327"/>
      <c r="E2" s="327"/>
      <c r="F2" s="327"/>
      <c r="G2" s="327"/>
      <c r="H2" s="327"/>
      <c r="I2" s="155"/>
    </row>
    <row r="3" spans="1:13">
      <c r="A3" s="327" t="s">
        <v>110</v>
      </c>
      <c r="B3" s="327"/>
      <c r="C3" s="327"/>
      <c r="D3" s="327"/>
      <c r="E3" s="327"/>
      <c r="F3" s="327"/>
      <c r="G3" s="327"/>
      <c r="H3" s="327"/>
      <c r="I3" s="155"/>
    </row>
    <row r="4" spans="1:13">
      <c r="A4" s="1"/>
      <c r="B4" s="1"/>
      <c r="C4" s="1"/>
      <c r="D4" s="1"/>
      <c r="E4" s="1"/>
      <c r="F4" s="1"/>
      <c r="G4" s="1"/>
      <c r="H4" s="1"/>
      <c r="I4" s="1"/>
    </row>
    <row r="5" spans="1:13" s="11" customFormat="1" ht="51">
      <c r="A5" s="65" t="str">
        <f>+'JAP-23,  p32 Rate Des Sch 7'!A5</f>
        <v>Line No.</v>
      </c>
      <c r="B5" s="66" t="str">
        <f>+'JAP-23,  p32 Rate Des Sch 7'!B5</f>
        <v>Description</v>
      </c>
      <c r="C5" s="65" t="str">
        <f>+'JAP-23,  p32 Rate Des Sch 7'!C5</f>
        <v>Bill
Determinants</v>
      </c>
      <c r="D5" s="65" t="str">
        <f>+'JAP-23,  p32 Rate Des Sch 7'!D5</f>
        <v>Base Rates
Effective 
5-1-10</v>
      </c>
      <c r="E5" s="65" t="str">
        <f>+'JAP-23,  p32 Rate Des Sch 7'!E5</f>
        <v>Proposed
Rates
Effective 2012</v>
      </c>
      <c r="F5" s="65" t="str">
        <f>+'JAP-23,  p32 Rate Des Sch 7'!F5</f>
        <v>Proforma
Revenue
Effective
5-1-10</v>
      </c>
      <c r="G5" s="65" t="str">
        <f>+'JAP-23,  p32 Rate Des Sch 7'!G5</f>
        <v>Proposed
Revenue
Effective
2012</v>
      </c>
      <c r="H5" s="66" t="str">
        <f>+'JAP-23,  p32 Rate Des Sch 7'!H5</f>
        <v>Notes:</v>
      </c>
      <c r="I5" s="106"/>
    </row>
    <row r="6" spans="1:13" s="5" customFormat="1">
      <c r="A6" s="167"/>
      <c r="B6" s="167" t="s">
        <v>477</v>
      </c>
      <c r="C6" s="133" t="s">
        <v>478</v>
      </c>
      <c r="D6" s="133" t="s">
        <v>479</v>
      </c>
      <c r="E6" s="133" t="s">
        <v>481</v>
      </c>
      <c r="F6" s="133" t="s">
        <v>482</v>
      </c>
      <c r="G6" s="133" t="s">
        <v>483</v>
      </c>
      <c r="H6" s="133" t="s">
        <v>484</v>
      </c>
      <c r="I6" s="133"/>
      <c r="J6" s="133"/>
      <c r="K6" s="133"/>
      <c r="L6" s="133"/>
      <c r="M6" s="133"/>
    </row>
    <row r="7" spans="1:13" s="5" customFormat="1">
      <c r="A7" s="167"/>
      <c r="B7" s="167"/>
      <c r="C7" s="133"/>
      <c r="D7" s="133"/>
      <c r="E7" s="133"/>
      <c r="F7" s="133"/>
      <c r="G7" s="133"/>
      <c r="H7" s="133"/>
      <c r="I7" s="133"/>
      <c r="J7" s="133"/>
      <c r="K7" s="133"/>
      <c r="L7" s="133"/>
    </row>
    <row r="8" spans="1:13" s="11" customFormat="1">
      <c r="A8" s="11">
        <v>1</v>
      </c>
      <c r="B8" s="86"/>
      <c r="C8" s="87"/>
      <c r="D8" s="88"/>
      <c r="E8" s="88"/>
      <c r="F8" s="88"/>
      <c r="G8" s="87"/>
      <c r="H8" s="89"/>
      <c r="I8" s="106"/>
      <c r="J8" s="133"/>
      <c r="K8" s="133"/>
      <c r="L8" s="133"/>
    </row>
    <row r="9" spans="1:13" ht="13.5" thickBot="1">
      <c r="A9" s="11">
        <f t="shared" ref="A9:A39" si="0">+A8+1</f>
        <v>2</v>
      </c>
      <c r="B9" s="2" t="s">
        <v>50</v>
      </c>
      <c r="C9" s="34">
        <f>+'JAP-23,  p10 Primary Sch 31'!$E$12</f>
        <v>5808</v>
      </c>
      <c r="D9" s="53">
        <f>+'JAP-23,  p10 Primary Sch 31'!$F$12</f>
        <v>328.59</v>
      </c>
      <c r="E9" s="91">
        <f>ROUND(D9*(1+G31),2)</f>
        <v>354.89</v>
      </c>
      <c r="F9" s="35">
        <f>+C9*D9</f>
        <v>1908450.7199999997</v>
      </c>
      <c r="G9" s="35">
        <f>+C9*E9</f>
        <v>2061201.1199999999</v>
      </c>
      <c r="H9" s="308" t="s">
        <v>534</v>
      </c>
      <c r="I9" s="146"/>
      <c r="J9" s="133"/>
      <c r="K9" s="133"/>
      <c r="L9" s="133"/>
    </row>
    <row r="10" spans="1:13" ht="13.5" thickTop="1">
      <c r="A10" s="11">
        <f t="shared" si="0"/>
        <v>3</v>
      </c>
      <c r="E10" s="32"/>
      <c r="F10" s="29"/>
      <c r="G10" s="29"/>
      <c r="H10" s="76"/>
      <c r="I10" s="146"/>
      <c r="J10" s="133"/>
      <c r="K10" s="133"/>
      <c r="L10" s="133"/>
    </row>
    <row r="11" spans="1:13">
      <c r="A11" s="11">
        <f t="shared" si="0"/>
        <v>4</v>
      </c>
      <c r="B11" s="2" t="s">
        <v>54</v>
      </c>
      <c r="E11" s="32"/>
      <c r="F11" s="29"/>
      <c r="G11" s="29"/>
      <c r="H11" s="76"/>
      <c r="I11" s="146"/>
      <c r="J11" s="133"/>
      <c r="K11" s="133"/>
      <c r="L11" s="133"/>
    </row>
    <row r="12" spans="1:13" ht="25.5">
      <c r="A12" s="11">
        <f t="shared" si="0"/>
        <v>5</v>
      </c>
      <c r="B12" s="24" t="s">
        <v>75</v>
      </c>
      <c r="C12" s="72">
        <f>+'JAP-23,  p10 Primary Sch 31'!E14</f>
        <v>1325036082.9575965</v>
      </c>
      <c r="D12" s="58">
        <f>+'JAP-23,  p10 Primary Sch 31'!$F$14</f>
        <v>5.9549999999999999E-2</v>
      </c>
      <c r="E12" s="92">
        <f>ROUND(D12*(1+$G$31),6)-0.000006</f>
        <v>6.4309999999999992E-2</v>
      </c>
      <c r="F12" s="29">
        <f>+C12*SUM(D12:D12)</f>
        <v>78905898.740124866</v>
      </c>
      <c r="G12" s="29">
        <f>+C12*E12</f>
        <v>85213070.49500303</v>
      </c>
      <c r="H12" s="160" t="s">
        <v>538</v>
      </c>
      <c r="I12" s="146"/>
      <c r="J12" s="133"/>
      <c r="K12" s="133"/>
      <c r="L12" s="133"/>
    </row>
    <row r="13" spans="1:13">
      <c r="A13" s="11">
        <f t="shared" si="0"/>
        <v>6</v>
      </c>
      <c r="E13" s="32"/>
      <c r="F13" s="29"/>
      <c r="G13" s="29"/>
      <c r="H13" s="76"/>
      <c r="I13" s="146"/>
    </row>
    <row r="14" spans="1:13">
      <c r="A14" s="11">
        <f t="shared" si="0"/>
        <v>7</v>
      </c>
      <c r="B14" s="24" t="s">
        <v>58</v>
      </c>
      <c r="C14" s="19">
        <f>+'JAP-23,  p10 Primary Sch 31'!$E$24</f>
        <v>-6688200</v>
      </c>
      <c r="D14" s="58">
        <f>+'JAP-23,  p10 Primary Sch 31'!$F$24</f>
        <v>8.2932000000000006E-2</v>
      </c>
      <c r="E14" s="92">
        <f>ROUND(D14*(1+$G$31),6)</f>
        <v>8.9568999999999996E-2</v>
      </c>
      <c r="F14" s="29">
        <f>+C14*SUM(D14:D14)</f>
        <v>-554665.80240000004</v>
      </c>
      <c r="G14" s="29">
        <f>+C14*SUM(E14)</f>
        <v>-599055.38579999993</v>
      </c>
      <c r="H14" s="76" t="s">
        <v>438</v>
      </c>
      <c r="I14" s="146"/>
    </row>
    <row r="15" spans="1:13">
      <c r="A15" s="11">
        <f t="shared" si="0"/>
        <v>8</v>
      </c>
      <c r="B15" s="10"/>
      <c r="C15" s="19"/>
      <c r="D15" s="58"/>
      <c r="E15" s="32"/>
      <c r="F15" s="29"/>
      <c r="G15" s="29"/>
      <c r="H15" s="76"/>
      <c r="I15" s="146"/>
    </row>
    <row r="16" spans="1:13" ht="13.5" thickBot="1">
      <c r="A16" s="11">
        <f t="shared" si="0"/>
        <v>9</v>
      </c>
      <c r="B16" s="24" t="s">
        <v>59</v>
      </c>
      <c r="C16" s="79">
        <f>SUM(C14,C12)</f>
        <v>1318347882.9575965</v>
      </c>
      <c r="E16" s="32"/>
      <c r="F16" s="35">
        <f>SUM(F14,F12)</f>
        <v>78351232.937724873</v>
      </c>
      <c r="G16" s="35">
        <f>SUM(G14,G12)</f>
        <v>84614015.109203026</v>
      </c>
      <c r="H16" s="76"/>
      <c r="I16" s="146"/>
    </row>
    <row r="17" spans="1:9" ht="13.5" thickTop="1">
      <c r="A17" s="11">
        <f t="shared" si="0"/>
        <v>10</v>
      </c>
      <c r="C17" s="93"/>
      <c r="E17" s="32"/>
      <c r="F17" s="29"/>
      <c r="G17" s="29"/>
      <c r="H17" s="76"/>
      <c r="I17" s="146"/>
    </row>
    <row r="18" spans="1:9">
      <c r="A18" s="11">
        <f t="shared" si="0"/>
        <v>11</v>
      </c>
      <c r="B18" s="24" t="s">
        <v>79</v>
      </c>
      <c r="E18" s="32"/>
      <c r="F18" s="29"/>
      <c r="G18" s="29"/>
      <c r="H18" s="76"/>
      <c r="I18" s="146"/>
    </row>
    <row r="19" spans="1:9" ht="13.5" thickBot="1">
      <c r="A19" s="11">
        <f t="shared" si="0"/>
        <v>12</v>
      </c>
      <c r="B19" s="22" t="s">
        <v>102</v>
      </c>
      <c r="C19" s="34">
        <f>+'JAP-23,  p10 Primary Sch 31'!$E$16</f>
        <v>1694619.8</v>
      </c>
      <c r="D19" s="53">
        <f>+'JAP-23,  p10 Primary Sch 31'!$F$16</f>
        <v>8.36</v>
      </c>
      <c r="E19" s="95">
        <f>ROUND(((1+G31)*(C19*D19))/C19,2)</f>
        <v>9.0299999999999994</v>
      </c>
      <c r="F19" s="29">
        <f>+C19*D19</f>
        <v>14167021.527999999</v>
      </c>
      <c r="G19" s="29">
        <f>+C19*E19</f>
        <v>15302416.794</v>
      </c>
      <c r="H19" s="344" t="s">
        <v>534</v>
      </c>
      <c r="I19" s="146"/>
    </row>
    <row r="20" spans="1:9" ht="14.25" thickTop="1" thickBot="1">
      <c r="A20" s="11">
        <f t="shared" si="0"/>
        <v>13</v>
      </c>
      <c r="B20" s="22" t="s">
        <v>103</v>
      </c>
      <c r="C20" s="34">
        <f>+'JAP-23,  p10 Primary Sch 31'!$E$17</f>
        <v>1704534.6</v>
      </c>
      <c r="D20" s="53">
        <f>+'JAP-23,  p10 Primary Sch 31'!$F$17</f>
        <v>5.57</v>
      </c>
      <c r="E20" s="95">
        <f>ROUND(((1+G31)*(C20*D20))/C20,2)</f>
        <v>6.02</v>
      </c>
      <c r="F20" s="29">
        <f>+C20*D20</f>
        <v>9494257.722000001</v>
      </c>
      <c r="G20" s="29">
        <f>+C20*E20</f>
        <v>10261298.291999999</v>
      </c>
      <c r="H20" s="344"/>
      <c r="I20" s="146"/>
    </row>
    <row r="21" spans="1:9" ht="14.25" thickTop="1" thickBot="1">
      <c r="A21" s="11">
        <f t="shared" si="0"/>
        <v>14</v>
      </c>
      <c r="B21" s="10" t="s">
        <v>83</v>
      </c>
      <c r="C21" s="79">
        <f>SUM(C19:C20)</f>
        <v>3399154.4000000004</v>
      </c>
      <c r="E21" s="32"/>
      <c r="F21" s="35">
        <f>SUM(F19:F20)</f>
        <v>23661279.25</v>
      </c>
      <c r="G21" s="35">
        <f>SUM(G19:G20)</f>
        <v>25563715.085999999</v>
      </c>
      <c r="H21" s="76"/>
      <c r="I21" s="146"/>
    </row>
    <row r="22" spans="1:9" ht="13.5" thickTop="1">
      <c r="A22" s="11">
        <f t="shared" si="0"/>
        <v>15</v>
      </c>
      <c r="C22" s="93"/>
      <c r="E22" s="32"/>
      <c r="F22" s="29"/>
      <c r="G22" s="29"/>
      <c r="H22" s="76"/>
      <c r="I22" s="146"/>
    </row>
    <row r="23" spans="1:9" ht="13.5" thickBot="1">
      <c r="A23" s="11">
        <f t="shared" si="0"/>
        <v>16</v>
      </c>
      <c r="B23" s="24" t="s">
        <v>84</v>
      </c>
      <c r="C23" s="34">
        <f>+'JAP-23,  p10 Primary Sch 31'!$E$20</f>
        <v>726535526</v>
      </c>
      <c r="D23" s="85">
        <f>+'JAP-23,  p10 Primary Sch 31'!$F$20</f>
        <v>1.0300000000000001E-3</v>
      </c>
      <c r="E23" s="99">
        <f>ROUND(((1+G31)*(F23))/C23,5)</f>
        <v>1.1100000000000001E-3</v>
      </c>
      <c r="F23" s="35">
        <f>+C23*D23</f>
        <v>748331.59178000002</v>
      </c>
      <c r="G23" s="35">
        <f>+C23*E23</f>
        <v>806454.43386000011</v>
      </c>
      <c r="H23" s="306" t="s">
        <v>534</v>
      </c>
      <c r="I23" s="146"/>
    </row>
    <row r="24" spans="1:9" ht="13.5" thickTop="1">
      <c r="A24" s="11">
        <f t="shared" si="0"/>
        <v>17</v>
      </c>
      <c r="C24" s="93"/>
      <c r="E24" s="32"/>
      <c r="F24" s="29"/>
      <c r="G24" s="29"/>
      <c r="H24" s="306"/>
      <c r="I24" s="146"/>
    </row>
    <row r="25" spans="1:9" ht="13.5" thickBot="1">
      <c r="A25" s="11">
        <f t="shared" si="0"/>
        <v>18</v>
      </c>
      <c r="B25" s="2" t="s">
        <v>60</v>
      </c>
      <c r="D25" s="37"/>
      <c r="E25" s="37"/>
      <c r="F25" s="35">
        <f>SUM(F9,F16,F21,F23)</f>
        <v>104669294.49950488</v>
      </c>
      <c r="G25" s="35">
        <f>SUM(G9,G16,G21,G23)</f>
        <v>113045385.74906303</v>
      </c>
      <c r="H25" s="76"/>
      <c r="I25" s="146"/>
    </row>
    <row r="26" spans="1:9" ht="13.5" thickTop="1">
      <c r="A26" s="11">
        <f t="shared" si="0"/>
        <v>19</v>
      </c>
      <c r="D26" s="29"/>
      <c r="E26" s="29"/>
      <c r="F26" s="29"/>
      <c r="G26" s="29"/>
      <c r="H26" s="76"/>
      <c r="I26" s="146"/>
    </row>
    <row r="27" spans="1:9">
      <c r="A27" s="11">
        <f t="shared" si="0"/>
        <v>20</v>
      </c>
      <c r="B27" s="103" t="s">
        <v>111</v>
      </c>
      <c r="C27" s="37"/>
      <c r="D27" s="29"/>
      <c r="E27" s="29"/>
      <c r="G27" s="109">
        <f>+'JAP-23,  p1 Rate Spread'!J17</f>
        <v>8397500.0180728082</v>
      </c>
      <c r="H27" s="78" t="str">
        <f>+'JAP-23,  p35 Rate Des Sch 26'!H29</f>
        <v>Rate Spread Workpapers, Column G</v>
      </c>
      <c r="I27" s="146"/>
    </row>
    <row r="28" spans="1:9">
      <c r="A28" s="11">
        <f t="shared" si="0"/>
        <v>21</v>
      </c>
      <c r="B28" s="103" t="s">
        <v>112</v>
      </c>
      <c r="C28" s="37"/>
      <c r="D28" s="58"/>
      <c r="E28" s="29"/>
      <c r="G28" s="29">
        <f>+F25+'JAP-23,  p38 Rate Des Sch 35'!F25</f>
        <v>104925651.20026688</v>
      </c>
      <c r="I28" s="146"/>
    </row>
    <row r="29" spans="1:9">
      <c r="A29" s="11">
        <f t="shared" si="0"/>
        <v>22</v>
      </c>
      <c r="B29" s="24" t="s">
        <v>113</v>
      </c>
      <c r="F29" s="29"/>
      <c r="G29" s="13">
        <f>SUM(G27:G28)</f>
        <v>113323151.2183397</v>
      </c>
      <c r="I29" s="146"/>
    </row>
    <row r="30" spans="1:9">
      <c r="A30" s="11">
        <f t="shared" si="0"/>
        <v>23</v>
      </c>
      <c r="B30" s="103"/>
      <c r="C30" s="37"/>
      <c r="D30" s="58"/>
      <c r="E30" s="29"/>
      <c r="G30" s="29"/>
      <c r="I30" s="146"/>
    </row>
    <row r="31" spans="1:9">
      <c r="A31" s="11">
        <f t="shared" si="0"/>
        <v>24</v>
      </c>
      <c r="B31" s="24" t="s">
        <v>90</v>
      </c>
      <c r="C31" s="37"/>
      <c r="D31" s="58"/>
      <c r="E31" s="16"/>
      <c r="G31" s="105">
        <f>G27/G28</f>
        <v>8.0032860620944599E-2</v>
      </c>
      <c r="H31" s="110" t="s">
        <v>91</v>
      </c>
      <c r="I31" s="146"/>
    </row>
    <row r="32" spans="1:9">
      <c r="A32" s="11">
        <f t="shared" si="0"/>
        <v>25</v>
      </c>
      <c r="B32" s="24"/>
      <c r="C32" s="71"/>
      <c r="D32" s="58"/>
      <c r="E32" s="29"/>
      <c r="G32" s="111"/>
      <c r="H32" s="78"/>
      <c r="I32" s="76"/>
    </row>
    <row r="33" spans="1:9">
      <c r="A33" s="11">
        <f t="shared" si="0"/>
        <v>26</v>
      </c>
      <c r="I33" s="76"/>
    </row>
    <row r="34" spans="1:9">
      <c r="A34" s="11">
        <f t="shared" si="0"/>
        <v>27</v>
      </c>
      <c r="B34" s="10" t="s">
        <v>92</v>
      </c>
      <c r="C34" s="81"/>
      <c r="D34" s="58"/>
      <c r="F34" s="29"/>
      <c r="H34" s="71"/>
    </row>
    <row r="35" spans="1:9">
      <c r="A35" s="11">
        <f t="shared" si="0"/>
        <v>28</v>
      </c>
      <c r="B35" s="24" t="s">
        <v>114</v>
      </c>
      <c r="C35" s="85"/>
      <c r="D35" s="58"/>
      <c r="F35" s="29"/>
      <c r="G35" s="29">
        <f>+G25</f>
        <v>113045385.74906303</v>
      </c>
      <c r="H35" s="29"/>
      <c r="I35" s="29"/>
    </row>
    <row r="36" spans="1:9">
      <c r="A36" s="11">
        <f t="shared" si="0"/>
        <v>29</v>
      </c>
      <c r="B36" s="24" t="s">
        <v>115</v>
      </c>
      <c r="F36" s="29"/>
      <c r="G36" s="29">
        <f>+'JAP-23,  p38 Rate Des Sch 35'!G25</f>
        <v>276873.07857999997</v>
      </c>
      <c r="H36" s="29"/>
      <c r="I36" s="29"/>
    </row>
    <row r="37" spans="1:9">
      <c r="A37" s="11">
        <f t="shared" si="0"/>
        <v>30</v>
      </c>
      <c r="B37" s="24" t="s">
        <v>116</v>
      </c>
      <c r="F37" s="29"/>
      <c r="G37" s="13">
        <f>SUM(G35:G36)</f>
        <v>113322258.82764304</v>
      </c>
    </row>
    <row r="38" spans="1:9" ht="13.5" thickBot="1">
      <c r="A38" s="11">
        <f t="shared" si="0"/>
        <v>31</v>
      </c>
      <c r="F38" s="29"/>
    </row>
    <row r="39" spans="1:9" ht="13.5" thickBot="1">
      <c r="A39" s="11">
        <f t="shared" si="0"/>
        <v>32</v>
      </c>
      <c r="B39" s="24" t="str">
        <f>+'JAP-23,  p32 Rate Des Sch 7'!$B$30</f>
        <v>Over (Under) Recover Target Rate Spread</v>
      </c>
      <c r="F39" s="29"/>
      <c r="G39" s="82">
        <f>+G25-G29+'JAP-23,  p38 Rate Des Sch 35'!G25</f>
        <v>-892.3906966666691</v>
      </c>
    </row>
    <row r="40" spans="1:9">
      <c r="A40" s="11"/>
      <c r="F40" s="29"/>
      <c r="G40" s="29"/>
    </row>
    <row r="41" spans="1:9">
      <c r="F41" s="29"/>
      <c r="G41" s="29"/>
    </row>
    <row r="42" spans="1:9">
      <c r="F42" s="29"/>
      <c r="G42" s="29"/>
    </row>
    <row r="43" spans="1:9">
      <c r="F43" s="29"/>
      <c r="G43" s="29"/>
    </row>
    <row r="44" spans="1:9">
      <c r="F44" s="29"/>
      <c r="G44" s="29"/>
    </row>
    <row r="45" spans="1:9">
      <c r="F45" s="29"/>
      <c r="G45" s="29"/>
    </row>
    <row r="46" spans="1:9">
      <c r="F46" s="29"/>
      <c r="G46" s="29"/>
    </row>
    <row r="47" spans="1:9">
      <c r="F47" s="29"/>
      <c r="G47" s="29"/>
    </row>
    <row r="48" spans="1:9">
      <c r="F48" s="29"/>
      <c r="G48" s="29"/>
    </row>
    <row r="49" spans="6:7">
      <c r="F49" s="29"/>
      <c r="G49" s="29"/>
    </row>
    <row r="50" spans="6:7">
      <c r="F50" s="29"/>
      <c r="G50" s="29"/>
    </row>
    <row r="51" spans="6:7">
      <c r="F51" s="29"/>
      <c r="G51" s="29"/>
    </row>
    <row r="52" spans="6:7">
      <c r="F52" s="29"/>
      <c r="G52" s="29"/>
    </row>
    <row r="53" spans="6:7">
      <c r="F53" s="29"/>
      <c r="G53" s="29"/>
    </row>
    <row r="54" spans="6:7">
      <c r="F54" s="29"/>
      <c r="G54" s="29"/>
    </row>
    <row r="55" spans="6:7">
      <c r="F55" s="29"/>
      <c r="G55" s="29"/>
    </row>
    <row r="56" spans="6:7">
      <c r="F56" s="29"/>
      <c r="G56" s="29"/>
    </row>
    <row r="57" spans="6:7">
      <c r="F57" s="29"/>
      <c r="G57" s="29"/>
    </row>
    <row r="58" spans="6:7">
      <c r="F58" s="29"/>
      <c r="G58" s="29"/>
    </row>
  </sheetData>
  <mergeCells count="4">
    <mergeCell ref="H19:H20"/>
    <mergeCell ref="A1:H1"/>
    <mergeCell ref="A2:H2"/>
    <mergeCell ref="A3:H3"/>
  </mergeCells>
  <phoneticPr fontId="11" type="noConversion"/>
  <printOptions horizontalCentered="1"/>
  <pageMargins left="0.25" right="0.25" top="1" bottom="1.17" header="0.5" footer="0.5"/>
  <pageSetup scale="83" orientation="landscape" r:id="rId1"/>
  <headerFooter alignWithMargins="0">
    <oddFooter>&amp;R&amp;"Times New Roman,Regular"Exhibit No.___(JAP-23)
Page 37 of 49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0"/>
  <sheetViews>
    <sheetView zoomScaleNormal="100" workbookViewId="0">
      <selection activeCell="A21" sqref="A21:A33"/>
    </sheetView>
  </sheetViews>
  <sheetFormatPr defaultColWidth="26.140625" defaultRowHeight="12.75"/>
  <cols>
    <col min="1" max="1" width="5" style="2" customWidth="1"/>
    <col min="2" max="2" width="40.7109375" style="2" bestFit="1" customWidth="1"/>
    <col min="3" max="3" width="12" style="2" bestFit="1" customWidth="1"/>
    <col min="4" max="4" width="10.7109375" style="2" bestFit="1" customWidth="1"/>
    <col min="5" max="5" width="12.42578125" style="2" bestFit="1" customWidth="1"/>
    <col min="6" max="6" width="16.140625" style="2" bestFit="1" customWidth="1"/>
    <col min="7" max="7" width="12.42578125" style="2" bestFit="1" customWidth="1"/>
    <col min="8" max="8" width="46.85546875" style="2" bestFit="1" customWidth="1"/>
    <col min="9" max="16384" width="26.140625" style="2"/>
  </cols>
  <sheetData>
    <row r="1" spans="1:13">
      <c r="A1" s="327" t="s">
        <v>8</v>
      </c>
      <c r="B1" s="327"/>
      <c r="C1" s="327"/>
      <c r="D1" s="327"/>
      <c r="E1" s="327"/>
      <c r="F1" s="327"/>
      <c r="G1" s="327"/>
      <c r="H1" s="327"/>
    </row>
    <row r="2" spans="1:13">
      <c r="A2" s="327" t="s">
        <v>44</v>
      </c>
      <c r="B2" s="327"/>
      <c r="C2" s="327"/>
      <c r="D2" s="327"/>
      <c r="E2" s="327"/>
      <c r="F2" s="327"/>
      <c r="G2" s="327"/>
      <c r="H2" s="327"/>
    </row>
    <row r="3" spans="1:13">
      <c r="A3" s="327" t="s">
        <v>117</v>
      </c>
      <c r="B3" s="327"/>
      <c r="C3" s="327"/>
      <c r="D3" s="327"/>
      <c r="E3" s="327"/>
      <c r="F3" s="327"/>
      <c r="G3" s="327"/>
      <c r="H3" s="327"/>
    </row>
    <row r="4" spans="1:13">
      <c r="A4" s="1"/>
      <c r="B4" s="1"/>
      <c r="C4" s="1"/>
      <c r="D4" s="1"/>
      <c r="E4" s="1"/>
      <c r="F4" s="1"/>
      <c r="G4" s="1"/>
      <c r="H4" s="1"/>
    </row>
    <row r="5" spans="1:13" s="11" customFormat="1" ht="51">
      <c r="A5" s="65" t="str">
        <f>+'JAP-23,  p32 Rate Des Sch 7'!A5</f>
        <v>Line No.</v>
      </c>
      <c r="B5" s="66" t="str">
        <f>+'JAP-23,  p32 Rate Des Sch 7'!B5</f>
        <v>Description</v>
      </c>
      <c r="C5" s="65" t="str">
        <f>+'JAP-23,  p32 Rate Des Sch 7'!C5</f>
        <v>Bill
Determinants</v>
      </c>
      <c r="D5" s="65" t="str">
        <f>+'JAP-23,  p32 Rate Des Sch 7'!D5</f>
        <v>Base Rates
Effective 
5-1-10</v>
      </c>
      <c r="E5" s="65" t="str">
        <f>+'JAP-23,  p32 Rate Des Sch 7'!E5</f>
        <v>Proposed
Rates
Effective 2012</v>
      </c>
      <c r="F5" s="65" t="str">
        <f>+'JAP-23,  p32 Rate Des Sch 7'!F5</f>
        <v>Proforma
Revenue
Effective
5-1-10</v>
      </c>
      <c r="G5" s="65" t="str">
        <f>+'JAP-23,  p32 Rate Des Sch 7'!G5</f>
        <v>Proposed
Revenue
Effective
2012</v>
      </c>
      <c r="H5" s="66" t="str">
        <f>+'JAP-23,  p32 Rate Des Sch 7'!H5</f>
        <v>Notes:</v>
      </c>
    </row>
    <row r="6" spans="1:13" s="5" customFormat="1">
      <c r="A6" s="167"/>
      <c r="B6" s="167" t="s">
        <v>477</v>
      </c>
      <c r="C6" s="133" t="s">
        <v>478</v>
      </c>
      <c r="D6" s="133" t="s">
        <v>479</v>
      </c>
      <c r="E6" s="133" t="s">
        <v>481</v>
      </c>
      <c r="F6" s="133" t="s">
        <v>482</v>
      </c>
      <c r="G6" s="133" t="s">
        <v>483</v>
      </c>
      <c r="H6" s="133" t="s">
        <v>484</v>
      </c>
      <c r="I6" s="133"/>
      <c r="J6" s="133"/>
      <c r="K6" s="133"/>
      <c r="L6" s="133"/>
      <c r="M6" s="133"/>
    </row>
    <row r="7" spans="1:13" s="5" customFormat="1">
      <c r="A7" s="167"/>
      <c r="B7" s="167"/>
      <c r="C7" s="133"/>
      <c r="D7" s="133"/>
      <c r="E7" s="133"/>
      <c r="F7" s="133"/>
      <c r="G7" s="133"/>
      <c r="H7" s="133"/>
      <c r="I7" s="133"/>
      <c r="J7" s="133"/>
      <c r="K7" s="133"/>
    </row>
    <row r="8" spans="1:13" s="11" customFormat="1">
      <c r="A8" s="11">
        <v>1</v>
      </c>
      <c r="B8" s="86"/>
      <c r="C8" s="87"/>
      <c r="D8" s="88"/>
      <c r="E8" s="88"/>
      <c r="F8" s="88"/>
      <c r="G8" s="87"/>
      <c r="H8" s="89"/>
    </row>
    <row r="9" spans="1:13" ht="13.5" thickBot="1">
      <c r="A9" s="11">
        <f t="shared" ref="A9:A33" si="0">+A8+1</f>
        <v>2</v>
      </c>
      <c r="B9" s="2" t="s">
        <v>50</v>
      </c>
      <c r="C9" s="34">
        <f>+'JAP-23,  p11 Primary Sch 35'!$C$12</f>
        <v>12</v>
      </c>
      <c r="D9" s="53">
        <f>+'JAP-23,  p11 Primary Sch 35'!$D$12</f>
        <v>328.59</v>
      </c>
      <c r="E9" s="91">
        <f>ROUND(+'JAP-23,  p37 Rate Des Sch 31'!E9,2)</f>
        <v>354.89</v>
      </c>
      <c r="F9" s="35">
        <f>+C9*D9</f>
        <v>3943.08</v>
      </c>
      <c r="G9" s="35">
        <f>+C9*E9</f>
        <v>4258.68</v>
      </c>
      <c r="H9" s="76" t="s">
        <v>118</v>
      </c>
    </row>
    <row r="10" spans="1:13" ht="13.5" thickTop="1">
      <c r="A10" s="11">
        <f t="shared" si="0"/>
        <v>3</v>
      </c>
      <c r="E10" s="32"/>
      <c r="F10" s="29"/>
      <c r="G10" s="29"/>
      <c r="H10" s="76"/>
    </row>
    <row r="11" spans="1:13">
      <c r="A11" s="11">
        <f t="shared" si="0"/>
        <v>4</v>
      </c>
      <c r="B11" s="2" t="s">
        <v>54</v>
      </c>
      <c r="E11" s="32"/>
      <c r="F11" s="29"/>
      <c r="G11" s="29"/>
      <c r="H11" s="76"/>
    </row>
    <row r="12" spans="1:13">
      <c r="A12" s="11">
        <f t="shared" si="0"/>
        <v>5</v>
      </c>
      <c r="B12" s="24" t="s">
        <v>75</v>
      </c>
      <c r="C12" s="19">
        <f>+'JAP-23,  p11 Primary Sch 35'!$C$14</f>
        <v>4638600</v>
      </c>
      <c r="D12" s="58">
        <f>+'JAP-23,  p11 Primary Sch 35'!$D$14</f>
        <v>4.8471E-2</v>
      </c>
      <c r="E12" s="92">
        <f>ROUND((G31-SUM(G23,G21,G9,G14))/SUM(C12),6)-0</f>
        <v>5.2353999999999998E-2</v>
      </c>
      <c r="F12" s="29">
        <f>+C12*SUM(D12:D12)</f>
        <v>224837.58059999999</v>
      </c>
      <c r="G12" s="29">
        <f>+C12*E12</f>
        <v>242849.26439999999</v>
      </c>
      <c r="H12" s="78" t="s">
        <v>101</v>
      </c>
    </row>
    <row r="13" spans="1:13">
      <c r="A13" s="11">
        <f t="shared" si="0"/>
        <v>6</v>
      </c>
      <c r="E13" s="32"/>
      <c r="F13" s="29"/>
      <c r="G13" s="29"/>
      <c r="H13" s="76"/>
    </row>
    <row r="14" spans="1:13">
      <c r="A14" s="11">
        <f t="shared" si="0"/>
        <v>7</v>
      </c>
      <c r="B14" s="24" t="s">
        <v>58</v>
      </c>
      <c r="C14" s="19">
        <f>+'JAP-23,  p11 Primary Sch 35'!$C$24</f>
        <v>-178</v>
      </c>
      <c r="D14" s="58">
        <f>+'JAP-23,  p11 Primary Sch 35'!$D$24</f>
        <v>0.16292100000000001</v>
      </c>
      <c r="E14" s="92">
        <f>ROUND(D14*(1+G27),6)</f>
        <v>0.17596000000000001</v>
      </c>
      <c r="F14" s="29">
        <f>+C14*SUM(D14:D14)</f>
        <v>-28.999938</v>
      </c>
      <c r="G14" s="29">
        <f>+C14*SUM(E14)</f>
        <v>-31.320880000000002</v>
      </c>
      <c r="H14" s="78" t="s">
        <v>534</v>
      </c>
    </row>
    <row r="15" spans="1:13">
      <c r="A15" s="11">
        <f t="shared" si="0"/>
        <v>8</v>
      </c>
      <c r="B15" s="10"/>
      <c r="C15" s="19"/>
      <c r="D15" s="58"/>
      <c r="E15" s="32"/>
      <c r="F15" s="29"/>
      <c r="G15" s="29"/>
      <c r="H15" s="76"/>
    </row>
    <row r="16" spans="1:13" ht="13.5" thickBot="1">
      <c r="A16" s="11">
        <f t="shared" si="0"/>
        <v>9</v>
      </c>
      <c r="B16" s="24" t="s">
        <v>59</v>
      </c>
      <c r="C16" s="79">
        <f>SUM(C14,C12)</f>
        <v>4638422</v>
      </c>
      <c r="E16" s="32"/>
      <c r="F16" s="35">
        <f>SUM(F14,F12)</f>
        <v>224808.58066199999</v>
      </c>
      <c r="G16" s="35">
        <f>SUM(G14,G12)</f>
        <v>242817.94351999997</v>
      </c>
      <c r="H16" s="76"/>
    </row>
    <row r="17" spans="1:8" ht="13.5" thickTop="1">
      <c r="A17" s="11">
        <f t="shared" si="0"/>
        <v>10</v>
      </c>
      <c r="C17" s="93"/>
      <c r="E17" s="32"/>
      <c r="F17" s="29"/>
      <c r="G17" s="29"/>
      <c r="H17" s="76"/>
    </row>
    <row r="18" spans="1:8">
      <c r="A18" s="11">
        <f t="shared" si="0"/>
        <v>11</v>
      </c>
      <c r="B18" s="24" t="s">
        <v>79</v>
      </c>
      <c r="E18" s="32"/>
      <c r="F18" s="29"/>
      <c r="G18" s="29"/>
      <c r="H18" s="76"/>
    </row>
    <row r="19" spans="1:8" ht="12.75" customHeight="1">
      <c r="A19" s="11">
        <f t="shared" si="0"/>
        <v>12</v>
      </c>
      <c r="B19" s="22" t="s">
        <v>102</v>
      </c>
      <c r="C19" s="19">
        <f>+'JAP-23,  p11 Primary Sch 35'!$C$16</f>
        <v>781</v>
      </c>
      <c r="D19" s="53">
        <f>+'JAP-23,  p11 Primary Sch 35'!$D$16</f>
        <v>4.3499999999999996</v>
      </c>
      <c r="E19" s="95">
        <f>ROUND(((C19*D19)*(1+G27))/C19,2)</f>
        <v>4.7</v>
      </c>
      <c r="F19" s="29">
        <f>+C19*D19</f>
        <v>3397.35</v>
      </c>
      <c r="G19" s="29">
        <f>+C19*E19</f>
        <v>3670.7000000000003</v>
      </c>
      <c r="H19" s="342" t="s">
        <v>534</v>
      </c>
    </row>
    <row r="20" spans="1:8">
      <c r="A20" s="11">
        <f t="shared" si="0"/>
        <v>13</v>
      </c>
      <c r="B20" s="22" t="s">
        <v>103</v>
      </c>
      <c r="C20" s="19">
        <f>+'JAP-23,  p11 Primary Sch 35'!$C$17</f>
        <v>7510</v>
      </c>
      <c r="D20" s="53">
        <f>+'JAP-23,  p11 Primary Sch 35'!$D$17</f>
        <v>2.89</v>
      </c>
      <c r="E20" s="95">
        <f>ROUND(((C20*D20)*(1+G27))/C20,2)</f>
        <v>3.12</v>
      </c>
      <c r="F20" s="29">
        <f>+C20*D20</f>
        <v>21703.9</v>
      </c>
      <c r="G20" s="29">
        <f>+C20*E20</f>
        <v>23431.200000000001</v>
      </c>
      <c r="H20" s="342"/>
    </row>
    <row r="21" spans="1:8" ht="13.5" thickBot="1">
      <c r="A21" s="11">
        <f t="shared" si="0"/>
        <v>14</v>
      </c>
      <c r="B21" s="10" t="s">
        <v>83</v>
      </c>
      <c r="C21" s="79">
        <f>SUM(C19:C20)</f>
        <v>8291</v>
      </c>
      <c r="E21" s="32"/>
      <c r="F21" s="35">
        <f>SUM(F19:F20)</f>
        <v>25101.25</v>
      </c>
      <c r="G21" s="35">
        <f>SUM(G19:G20)</f>
        <v>27101.9</v>
      </c>
      <c r="H21" s="76"/>
    </row>
    <row r="22" spans="1:8" ht="13.5" thickTop="1">
      <c r="A22" s="317">
        <f t="shared" si="0"/>
        <v>15</v>
      </c>
      <c r="C22" s="93"/>
      <c r="E22" s="32"/>
      <c r="F22" s="29"/>
      <c r="G22" s="29"/>
      <c r="H22" s="76"/>
    </row>
    <row r="23" spans="1:8" ht="13.5" thickBot="1">
      <c r="A23" s="317">
        <f t="shared" si="0"/>
        <v>16</v>
      </c>
      <c r="B23" s="24" t="s">
        <v>84</v>
      </c>
      <c r="C23" s="34">
        <f>+'JAP-23,  p11 Primary Sch 35'!$C$20</f>
        <v>2384562</v>
      </c>
      <c r="D23" s="85">
        <f>+'JAP-23,  p11 Primary Sch 35'!$D$20</f>
        <v>1.0499999999999999E-3</v>
      </c>
      <c r="E23" s="99">
        <f>ROUND(((C23*D23)*(1+G27))/C23,5)</f>
        <v>1.1299999999999999E-3</v>
      </c>
      <c r="F23" s="35">
        <f>+C23*D23</f>
        <v>2503.7900999999997</v>
      </c>
      <c r="G23" s="35">
        <f>+C23*E23</f>
        <v>2694.5550599999997</v>
      </c>
      <c r="H23" s="308" t="s">
        <v>534</v>
      </c>
    </row>
    <row r="24" spans="1:8" ht="13.5" thickTop="1">
      <c r="A24" s="317">
        <f t="shared" si="0"/>
        <v>17</v>
      </c>
      <c r="C24" s="93"/>
      <c r="E24" s="32"/>
      <c r="F24" s="29"/>
      <c r="G24" s="29"/>
      <c r="H24" s="308"/>
    </row>
    <row r="25" spans="1:8" ht="13.5" thickBot="1">
      <c r="A25" s="317">
        <f t="shared" si="0"/>
        <v>18</v>
      </c>
      <c r="B25" s="2" t="s">
        <v>60</v>
      </c>
      <c r="D25" s="37"/>
      <c r="E25" s="37"/>
      <c r="F25" s="35">
        <f>SUM(F9,F16,F21,F23)</f>
        <v>256356.70076199999</v>
      </c>
      <c r="G25" s="35">
        <f>SUM(G9,G16,G21,G23)</f>
        <v>276873.07857999997</v>
      </c>
      <c r="H25" s="76"/>
    </row>
    <row r="26" spans="1:8" ht="13.5" thickTop="1">
      <c r="A26" s="317">
        <f t="shared" si="0"/>
        <v>19</v>
      </c>
      <c r="D26" s="29"/>
      <c r="E26" s="29"/>
      <c r="F26" s="29"/>
      <c r="G26" s="29"/>
      <c r="H26" s="76"/>
    </row>
    <row r="27" spans="1:8">
      <c r="A27" s="317">
        <f t="shared" si="0"/>
        <v>20</v>
      </c>
      <c r="B27" s="103" t="s">
        <v>111</v>
      </c>
      <c r="C27" s="37"/>
      <c r="D27" s="29"/>
      <c r="E27" s="29"/>
      <c r="G27" s="112">
        <f>+'JAP-23,  p37 Rate Des Sch 31'!G31</f>
        <v>8.0032860620944599E-2</v>
      </c>
      <c r="H27" s="308" t="s">
        <v>534</v>
      </c>
    </row>
    <row r="28" spans="1:8">
      <c r="A28" s="317">
        <f t="shared" si="0"/>
        <v>21</v>
      </c>
      <c r="B28" s="24"/>
      <c r="C28" s="37"/>
      <c r="D28" s="58"/>
      <c r="E28" s="29"/>
      <c r="G28" s="16"/>
      <c r="H28" s="110"/>
    </row>
    <row r="29" spans="1:8">
      <c r="A29" s="317">
        <f t="shared" si="0"/>
        <v>22</v>
      </c>
      <c r="B29" s="24"/>
      <c r="C29" s="37"/>
      <c r="D29" s="58"/>
      <c r="E29" s="29"/>
    </row>
    <row r="30" spans="1:8">
      <c r="A30" s="317">
        <f t="shared" si="0"/>
        <v>23</v>
      </c>
      <c r="B30" s="24" t="s">
        <v>119</v>
      </c>
      <c r="C30" s="37"/>
      <c r="D30" s="58"/>
      <c r="E30" s="29"/>
      <c r="G30" s="29">
        <f>+F25*(G27)</f>
        <v>20516.960101330347</v>
      </c>
    </row>
    <row r="31" spans="1:8">
      <c r="A31" s="317">
        <f t="shared" si="0"/>
        <v>24</v>
      </c>
      <c r="B31" s="24" t="s">
        <v>120</v>
      </c>
      <c r="C31" s="37"/>
      <c r="D31" s="58"/>
      <c r="E31" s="29"/>
      <c r="G31" s="29">
        <f>+G30+F25</f>
        <v>276873.66086333035</v>
      </c>
    </row>
    <row r="32" spans="1:8" ht="13.5" thickBot="1">
      <c r="A32" s="317">
        <f t="shared" si="0"/>
        <v>25</v>
      </c>
      <c r="F32" s="29"/>
    </row>
    <row r="33" spans="1:7" ht="13.5" thickBot="1">
      <c r="A33" s="317">
        <f t="shared" si="0"/>
        <v>26</v>
      </c>
      <c r="B33" s="24" t="str">
        <f>+'JAP-23,  p32 Rate Des Sch 7'!$B$30</f>
        <v>Over (Under) Recover Target Rate Spread</v>
      </c>
      <c r="F33" s="29"/>
      <c r="G33" s="82">
        <f>+G25-G31</f>
        <v>-0.58228333038277924</v>
      </c>
    </row>
    <row r="34" spans="1:7">
      <c r="F34" s="29"/>
      <c r="G34" s="29"/>
    </row>
    <row r="35" spans="1:7">
      <c r="F35" s="29"/>
      <c r="G35" s="29"/>
    </row>
    <row r="36" spans="1:7">
      <c r="F36" s="29"/>
      <c r="G36" s="29"/>
    </row>
    <row r="37" spans="1:7">
      <c r="F37" s="29"/>
      <c r="G37" s="29"/>
    </row>
    <row r="38" spans="1:7">
      <c r="F38" s="29"/>
      <c r="G38" s="29"/>
    </row>
    <row r="39" spans="1:7">
      <c r="F39" s="29"/>
      <c r="G39" s="29"/>
    </row>
    <row r="40" spans="1:7">
      <c r="F40" s="29"/>
      <c r="G40" s="29"/>
    </row>
    <row r="41" spans="1:7">
      <c r="F41" s="29"/>
      <c r="G41" s="29"/>
    </row>
    <row r="42" spans="1:7">
      <c r="F42" s="29"/>
      <c r="G42" s="29"/>
    </row>
    <row r="43" spans="1:7">
      <c r="F43" s="29"/>
      <c r="G43" s="29"/>
    </row>
    <row r="44" spans="1:7">
      <c r="F44" s="29"/>
      <c r="G44" s="29"/>
    </row>
    <row r="45" spans="1:7">
      <c r="F45" s="29"/>
      <c r="G45" s="29"/>
    </row>
    <row r="46" spans="1:7">
      <c r="F46" s="29"/>
      <c r="G46" s="29"/>
    </row>
    <row r="47" spans="1:7">
      <c r="F47" s="29"/>
      <c r="G47" s="29"/>
    </row>
    <row r="48" spans="1:7">
      <c r="F48" s="29"/>
      <c r="G48" s="29"/>
    </row>
    <row r="49" spans="6:7">
      <c r="F49" s="29"/>
      <c r="G49" s="29"/>
    </row>
    <row r="50" spans="6:7">
      <c r="F50" s="29"/>
      <c r="G50" s="29"/>
    </row>
  </sheetData>
  <mergeCells count="4">
    <mergeCell ref="H19:H20"/>
    <mergeCell ref="A1:H1"/>
    <mergeCell ref="A2:H2"/>
    <mergeCell ref="A3:H3"/>
  </mergeCells>
  <phoneticPr fontId="11" type="noConversion"/>
  <printOptions horizontalCentered="1"/>
  <pageMargins left="0.25" right="0.25" top="1" bottom="1.1599999999999999" header="0.5" footer="0.5"/>
  <pageSetup scale="87" orientation="landscape" r:id="rId1"/>
  <headerFooter alignWithMargins="0">
    <oddFooter>&amp;R&amp;"Times New Roman,Regular"Exhibit No.___(JAP-23)
Page 38 of 49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4"/>
  <sheetViews>
    <sheetView zoomScaleNormal="100" workbookViewId="0">
      <selection activeCell="J17" sqref="J17"/>
    </sheetView>
  </sheetViews>
  <sheetFormatPr defaultRowHeight="12.75"/>
  <cols>
    <col min="1" max="1" width="4.42578125" style="2" bestFit="1" customWidth="1"/>
    <col min="2" max="2" width="47.42578125" style="2" bestFit="1" customWidth="1"/>
    <col min="3" max="3" width="12.28515625" style="2" bestFit="1" customWidth="1"/>
    <col min="4" max="4" width="10.7109375" style="2" bestFit="1" customWidth="1"/>
    <col min="5" max="5" width="12.42578125" style="2" bestFit="1" customWidth="1"/>
    <col min="6" max="6" width="16.140625" style="2" bestFit="1" customWidth="1"/>
    <col min="7" max="7" width="12.42578125" style="2" bestFit="1" customWidth="1"/>
    <col min="8" max="8" width="31.7109375" style="2" customWidth="1"/>
    <col min="9" max="9" width="12.28515625" style="2" bestFit="1" customWidth="1"/>
    <col min="10" max="10" width="15" style="2" bestFit="1" customWidth="1"/>
    <col min="11" max="16384" width="9.140625" style="2"/>
  </cols>
  <sheetData>
    <row r="1" spans="1:13">
      <c r="A1" s="327" t="s">
        <v>8</v>
      </c>
      <c r="B1" s="327"/>
      <c r="C1" s="327"/>
      <c r="D1" s="327"/>
      <c r="E1" s="327"/>
      <c r="F1" s="327"/>
      <c r="G1" s="327"/>
      <c r="H1" s="327"/>
    </row>
    <row r="2" spans="1:13">
      <c r="A2" s="327" t="s">
        <v>44</v>
      </c>
      <c r="B2" s="327"/>
      <c r="C2" s="327"/>
      <c r="D2" s="327"/>
      <c r="E2" s="327"/>
      <c r="F2" s="327"/>
      <c r="G2" s="327"/>
      <c r="H2" s="327"/>
    </row>
    <row r="3" spans="1:13">
      <c r="A3" s="327" t="s">
        <v>121</v>
      </c>
      <c r="B3" s="327"/>
      <c r="C3" s="327"/>
      <c r="D3" s="327"/>
      <c r="E3" s="327"/>
      <c r="F3" s="327"/>
      <c r="G3" s="327"/>
      <c r="H3" s="327"/>
    </row>
    <row r="4" spans="1:13">
      <c r="A4" s="1"/>
      <c r="B4" s="1"/>
      <c r="C4" s="1"/>
      <c r="D4" s="1"/>
      <c r="E4" s="1"/>
      <c r="F4" s="1"/>
      <c r="G4" s="1"/>
      <c r="H4" s="1"/>
    </row>
    <row r="5" spans="1:13" s="11" customFormat="1" ht="51">
      <c r="A5" s="65" t="str">
        <f>+'JAP-23,  p32 Rate Des Sch 7'!A5</f>
        <v>Line No.</v>
      </c>
      <c r="B5" s="66" t="str">
        <f>+'JAP-23,  p32 Rate Des Sch 7'!B5</f>
        <v>Description</v>
      </c>
      <c r="C5" s="65" t="str">
        <f>+'JAP-23,  p32 Rate Des Sch 7'!C5</f>
        <v>Bill
Determinants</v>
      </c>
      <c r="D5" s="65" t="str">
        <f>+'JAP-23,  p32 Rate Des Sch 7'!D5</f>
        <v>Base Rates
Effective 
5-1-10</v>
      </c>
      <c r="E5" s="65" t="str">
        <f>+'JAP-23,  p32 Rate Des Sch 7'!E5</f>
        <v>Proposed
Rates
Effective 2012</v>
      </c>
      <c r="F5" s="65" t="str">
        <f>+'JAP-23,  p32 Rate Des Sch 7'!F5</f>
        <v>Proforma
Revenue
Effective
5-1-10</v>
      </c>
      <c r="G5" s="65" t="str">
        <f>+'JAP-23,  p32 Rate Des Sch 7'!G5</f>
        <v>Proposed
Revenue
Effective
2012</v>
      </c>
      <c r="H5" s="66" t="str">
        <f>+'JAP-23,  p32 Rate Des Sch 7'!H5</f>
        <v>Notes:</v>
      </c>
    </row>
    <row r="6" spans="1:13" s="5" customFormat="1">
      <c r="A6" s="167"/>
      <c r="B6" s="167" t="s">
        <v>477</v>
      </c>
      <c r="C6" s="133" t="s">
        <v>478</v>
      </c>
      <c r="D6" s="133" t="s">
        <v>479</v>
      </c>
      <c r="E6" s="133" t="s">
        <v>481</v>
      </c>
      <c r="F6" s="133" t="s">
        <v>482</v>
      </c>
      <c r="G6" s="133" t="s">
        <v>483</v>
      </c>
      <c r="H6" s="133" t="s">
        <v>484</v>
      </c>
      <c r="I6" s="133"/>
      <c r="J6" s="133"/>
      <c r="K6" s="133"/>
      <c r="L6" s="133"/>
      <c r="M6" s="133"/>
    </row>
    <row r="7" spans="1:13" s="5" customFormat="1">
      <c r="A7" s="167"/>
      <c r="B7" s="167"/>
      <c r="C7" s="133"/>
      <c r="D7" s="133"/>
      <c r="E7" s="133"/>
      <c r="F7" s="133"/>
      <c r="G7" s="133"/>
      <c r="H7" s="133"/>
      <c r="I7" s="133"/>
      <c r="J7" s="133"/>
      <c r="K7" s="133"/>
    </row>
    <row r="8" spans="1:13" s="11" customFormat="1">
      <c r="A8" s="11">
        <v>1</v>
      </c>
      <c r="B8" s="86"/>
      <c r="C8" s="87"/>
      <c r="D8" s="88"/>
      <c r="E8" s="88"/>
      <c r="F8" s="88"/>
      <c r="G8" s="87"/>
      <c r="H8" s="89"/>
    </row>
    <row r="9" spans="1:13" ht="13.5" thickBot="1">
      <c r="A9" s="11">
        <f t="shared" ref="A9:A29" si="0">+A8+1</f>
        <v>2</v>
      </c>
      <c r="B9" s="2" t="s">
        <v>50</v>
      </c>
      <c r="C9" s="34">
        <f>+'JAP-23,  p12 Primary Sch 43'!$E$12</f>
        <v>2128</v>
      </c>
      <c r="D9" s="53">
        <f>+'JAP-23,  p12 Primary Sch 43'!$F$12</f>
        <v>328.59</v>
      </c>
      <c r="E9" s="91">
        <f>ROUND(+'JAP-23,  p37 Rate Des Sch 31'!E9,2)</f>
        <v>354.89</v>
      </c>
      <c r="F9" s="35">
        <f>+C9*D9</f>
        <v>699239.5199999999</v>
      </c>
      <c r="G9" s="35">
        <f>+C9*E9</f>
        <v>755205.91999999993</v>
      </c>
      <c r="H9" s="76" t="s">
        <v>118</v>
      </c>
    </row>
    <row r="10" spans="1:13" ht="13.5" thickTop="1">
      <c r="A10" s="11">
        <f t="shared" si="0"/>
        <v>3</v>
      </c>
      <c r="E10" s="32"/>
      <c r="F10" s="29"/>
      <c r="G10" s="29"/>
      <c r="H10" s="76"/>
    </row>
    <row r="11" spans="1:13">
      <c r="A11" s="11">
        <f t="shared" si="0"/>
        <v>4</v>
      </c>
      <c r="B11" s="2" t="s">
        <v>54</v>
      </c>
      <c r="E11" s="32"/>
      <c r="F11" s="29"/>
      <c r="G11" s="29"/>
      <c r="H11" s="76"/>
    </row>
    <row r="12" spans="1:13">
      <c r="A12" s="11">
        <f t="shared" si="0"/>
        <v>5</v>
      </c>
      <c r="B12" s="24" t="s">
        <v>75</v>
      </c>
      <c r="C12" s="72">
        <f>+'JAP-23,  p12 Primary Sch 43'!E14</f>
        <v>150005925.30767041</v>
      </c>
      <c r="D12" s="58">
        <f>+'JAP-23,  p12 Primary Sch 43'!$F$14</f>
        <v>5.6011999999999999E-2</v>
      </c>
      <c r="E12" s="92">
        <f>ROUND((G24-SUM(G17,G19,G9,G14))/SUM(C12),6)+0</f>
        <v>6.0485999999999998E-2</v>
      </c>
      <c r="F12" s="29">
        <f>+C12*SUM(D12:D12)</f>
        <v>8402131.8883332349</v>
      </c>
      <c r="G12" s="29">
        <f>+C12*E12</f>
        <v>9073258.3981597517</v>
      </c>
      <c r="H12" s="78" t="s">
        <v>430</v>
      </c>
    </row>
    <row r="13" spans="1:13">
      <c r="A13" s="11">
        <f t="shared" si="0"/>
        <v>6</v>
      </c>
      <c r="B13" s="24"/>
      <c r="C13" s="93"/>
      <c r="D13" s="58"/>
      <c r="E13" s="58"/>
      <c r="F13" s="29"/>
      <c r="G13" s="29"/>
    </row>
    <row r="14" spans="1:13">
      <c r="A14" s="11">
        <f t="shared" si="0"/>
        <v>7</v>
      </c>
      <c r="B14" s="24" t="s">
        <v>58</v>
      </c>
      <c r="C14" s="19">
        <f>+'JAP-23,  p12 Primary Sch 43'!$E$22</f>
        <v>-1047912</v>
      </c>
      <c r="D14" s="58">
        <f>+'JAP-23,  p12 Primary Sch 43'!$F$22</f>
        <v>8.1946000000000005E-2</v>
      </c>
      <c r="E14" s="92">
        <f>ROUND(+D14*(1+G25),6)</f>
        <v>8.8503999999999999E-2</v>
      </c>
      <c r="F14" s="29">
        <f>+C14*SUM(D14:D14)</f>
        <v>-85872.196752000003</v>
      </c>
      <c r="G14" s="29">
        <f>+C14*SUM(E14)</f>
        <v>-92744.403647999992</v>
      </c>
      <c r="H14" s="76" t="s">
        <v>438</v>
      </c>
    </row>
    <row r="15" spans="1:13" ht="13.5" thickBot="1">
      <c r="A15" s="11">
        <f t="shared" si="0"/>
        <v>8</v>
      </c>
      <c r="B15" s="24" t="s">
        <v>59</v>
      </c>
      <c r="C15" s="79">
        <f>SUM(C14,C12)</f>
        <v>148958013.30767041</v>
      </c>
      <c r="E15" s="32"/>
      <c r="F15" s="35">
        <f>SUM(F12:F14)</f>
        <v>8316259.6915812353</v>
      </c>
      <c r="G15" s="35">
        <f>SUM(G12:G14)</f>
        <v>8980513.9945117515</v>
      </c>
      <c r="H15" s="76"/>
    </row>
    <row r="16" spans="1:13" ht="13.5" thickTop="1">
      <c r="A16" s="11">
        <f t="shared" si="0"/>
        <v>9</v>
      </c>
      <c r="C16" s="93"/>
      <c r="E16" s="32"/>
      <c r="F16" s="29"/>
      <c r="G16" s="29"/>
      <c r="H16" s="76"/>
    </row>
    <row r="17" spans="1:8" ht="12.75" customHeight="1" thickBot="1">
      <c r="A17" s="11">
        <f t="shared" si="0"/>
        <v>10</v>
      </c>
      <c r="B17" s="24" t="s">
        <v>122</v>
      </c>
      <c r="C17" s="34">
        <f>+'JAP-23,  p12 Primary Sch 43'!$E$16</f>
        <v>758854</v>
      </c>
      <c r="D17" s="53">
        <f>+'JAP-23,  p12 Primary Sch 43'!$F$16</f>
        <v>4.5999999999999996</v>
      </c>
      <c r="E17" s="95">
        <f>ROUND(((C17*D17)*(1+G25))/C17,2)</f>
        <v>4.97</v>
      </c>
      <c r="F17" s="35">
        <f>+C17*D17</f>
        <v>3490728.4</v>
      </c>
      <c r="G17" s="35">
        <f>+C17*E17</f>
        <v>3771504.38</v>
      </c>
      <c r="H17" s="76" t="s">
        <v>438</v>
      </c>
    </row>
    <row r="18" spans="1:8" ht="13.5" thickTop="1">
      <c r="A18" s="317">
        <f t="shared" si="0"/>
        <v>11</v>
      </c>
      <c r="C18" s="93"/>
      <c r="E18" s="32"/>
      <c r="F18" s="29"/>
      <c r="G18" s="29"/>
    </row>
    <row r="19" spans="1:8" ht="13.5" customHeight="1" thickBot="1">
      <c r="A19" s="317">
        <f t="shared" si="0"/>
        <v>12</v>
      </c>
      <c r="B19" s="24" t="s">
        <v>84</v>
      </c>
      <c r="C19" s="34">
        <f>+'JAP-23,  p12 Primary Sch 43'!$E$18</f>
        <v>62061655</v>
      </c>
      <c r="D19" s="85">
        <f>+'JAP-23,  p12 Primary Sch 43'!$F$18</f>
        <v>2.8999999999999998E-3</v>
      </c>
      <c r="E19" s="99">
        <f>ROUND(((C19*D19)*(1+G25))/C19,5)</f>
        <v>3.13E-3</v>
      </c>
      <c r="F19" s="35">
        <f>+C19*D19</f>
        <v>179978.79949999999</v>
      </c>
      <c r="G19" s="35">
        <f>+C19*E19</f>
        <v>194252.98014999999</v>
      </c>
      <c r="H19" s="76" t="s">
        <v>438</v>
      </c>
    </row>
    <row r="20" spans="1:8" ht="13.5" thickTop="1">
      <c r="A20" s="317">
        <f t="shared" si="0"/>
        <v>13</v>
      </c>
      <c r="C20" s="93"/>
      <c r="E20" s="32"/>
      <c r="F20" s="29"/>
      <c r="G20" s="29"/>
      <c r="H20" s="78"/>
    </row>
    <row r="21" spans="1:8" ht="13.5" thickBot="1">
      <c r="A21" s="317">
        <f t="shared" si="0"/>
        <v>14</v>
      </c>
      <c r="B21" s="2" t="s">
        <v>60</v>
      </c>
      <c r="D21" s="37"/>
      <c r="E21" s="37"/>
      <c r="F21" s="35">
        <f>SUM(F9,F15,F17,F19)</f>
        <v>12686206.411081236</v>
      </c>
      <c r="G21" s="35">
        <f>SUM(G9,G15,G17,G19)</f>
        <v>13701477.27466175</v>
      </c>
      <c r="H21" s="76"/>
    </row>
    <row r="22" spans="1:8" ht="13.5" thickTop="1">
      <c r="A22" s="317">
        <f t="shared" si="0"/>
        <v>15</v>
      </c>
      <c r="D22" s="29"/>
      <c r="E22" s="29"/>
      <c r="F22" s="29"/>
      <c r="G22" s="29"/>
      <c r="H22" s="76"/>
    </row>
    <row r="23" spans="1:8">
      <c r="A23" s="317">
        <f t="shared" si="0"/>
        <v>16</v>
      </c>
      <c r="B23" s="103" t="s">
        <v>123</v>
      </c>
      <c r="C23" s="37"/>
      <c r="D23" s="29"/>
      <c r="E23" s="29"/>
      <c r="G23" s="29">
        <f>+'JAP-23,  p1 Rate Spread'!J18</f>
        <v>1015313.4361954117</v>
      </c>
      <c r="H23" s="78" t="str">
        <f>+'JAP-23,  p37 Rate Des Sch 31'!H27</f>
        <v>Rate Spread Workpapers, Column G</v>
      </c>
    </row>
    <row r="24" spans="1:8">
      <c r="A24" s="317">
        <f t="shared" si="0"/>
        <v>17</v>
      </c>
      <c r="B24" s="24" t="s">
        <v>124</v>
      </c>
      <c r="C24" s="37"/>
      <c r="D24" s="58"/>
      <c r="E24" s="29"/>
      <c r="G24" s="29">
        <f>+G23+F21</f>
        <v>13701519.847276647</v>
      </c>
    </row>
    <row r="25" spans="1:8">
      <c r="A25" s="317">
        <f t="shared" si="0"/>
        <v>18</v>
      </c>
      <c r="B25" s="103" t="s">
        <v>125</v>
      </c>
      <c r="C25" s="37"/>
      <c r="D25" s="58"/>
      <c r="E25" s="29"/>
      <c r="G25" s="16">
        <f>+G23/F21</f>
        <v>8.0032864301226303E-2</v>
      </c>
      <c r="H25" s="78" t="s">
        <v>126</v>
      </c>
    </row>
    <row r="26" spans="1:8">
      <c r="A26" s="317">
        <f t="shared" si="0"/>
        <v>19</v>
      </c>
      <c r="B26" s="24" t="s">
        <v>127</v>
      </c>
      <c r="F26" s="29"/>
      <c r="G26" s="16">
        <f>+'JAP-23,  p37 Rate Des Sch 31'!G31</f>
        <v>8.0032860620944599E-2</v>
      </c>
      <c r="H26" s="76" t="s">
        <v>128</v>
      </c>
    </row>
    <row r="27" spans="1:8">
      <c r="A27" s="317">
        <f t="shared" si="0"/>
        <v>20</v>
      </c>
      <c r="B27" s="24"/>
      <c r="F27" s="29"/>
      <c r="G27" s="16"/>
      <c r="H27" s="78"/>
    </row>
    <row r="28" spans="1:8" ht="13.5" thickBot="1">
      <c r="A28" s="317">
        <f t="shared" si="0"/>
        <v>21</v>
      </c>
      <c r="F28" s="29"/>
    </row>
    <row r="29" spans="1:8" ht="13.5" thickBot="1">
      <c r="A29" s="317">
        <f t="shared" si="0"/>
        <v>22</v>
      </c>
      <c r="B29" s="24" t="str">
        <f>+'JAP-23,  p32 Rate Des Sch 7'!$B$30</f>
        <v>Over (Under) Recover Target Rate Spread</v>
      </c>
      <c r="F29" s="29"/>
      <c r="G29" s="82">
        <f>+G21-G24</f>
        <v>-42.572614897042513</v>
      </c>
    </row>
    <row r="30" spans="1:8">
      <c r="F30" s="29"/>
      <c r="G30" s="29"/>
    </row>
    <row r="31" spans="1:8">
      <c r="F31" s="29"/>
      <c r="G31" s="29"/>
    </row>
    <row r="32" spans="1:8">
      <c r="F32" s="29"/>
      <c r="G32" s="29"/>
    </row>
    <row r="33" spans="6:7">
      <c r="F33" s="29"/>
      <c r="G33" s="29"/>
    </row>
    <row r="34" spans="6:7">
      <c r="F34" s="29"/>
      <c r="G34" s="29"/>
    </row>
    <row r="35" spans="6:7">
      <c r="F35" s="29"/>
      <c r="G35" s="29"/>
    </row>
    <row r="36" spans="6:7">
      <c r="F36" s="29"/>
      <c r="G36" s="29"/>
    </row>
    <row r="37" spans="6:7">
      <c r="F37" s="29"/>
      <c r="G37" s="29"/>
    </row>
    <row r="38" spans="6:7">
      <c r="F38" s="29"/>
      <c r="G38" s="29"/>
    </row>
    <row r="39" spans="6:7">
      <c r="F39" s="29"/>
      <c r="G39" s="29"/>
    </row>
    <row r="40" spans="6:7">
      <c r="F40" s="29"/>
      <c r="G40" s="29"/>
    </row>
    <row r="41" spans="6:7">
      <c r="F41" s="29"/>
      <c r="G41" s="29"/>
    </row>
    <row r="42" spans="6:7">
      <c r="F42" s="29"/>
      <c r="G42" s="29"/>
    </row>
    <row r="43" spans="6:7">
      <c r="F43" s="29"/>
      <c r="G43" s="29"/>
    </row>
    <row r="44" spans="6:7">
      <c r="F44" s="29"/>
      <c r="G44" s="29"/>
    </row>
  </sheetData>
  <mergeCells count="3">
    <mergeCell ref="A1:H1"/>
    <mergeCell ref="A2:H2"/>
    <mergeCell ref="A3:H3"/>
  </mergeCells>
  <phoneticPr fontId="11" type="noConversion"/>
  <printOptions horizontalCentered="1"/>
  <pageMargins left="0.25" right="0.25" top="1" bottom="1.1399999999999999" header="0.5" footer="0.5"/>
  <pageSetup scale="92" orientation="landscape" r:id="rId1"/>
  <headerFooter alignWithMargins="0">
    <oddFooter>&amp;R&amp;"Times New Roman,Regular"Exhibit No.___(JAP-23)
Page 39 of 49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K27"/>
  <sheetViews>
    <sheetView zoomScaleNormal="100" workbookViewId="0">
      <selection activeCell="A25" sqref="A25:A27"/>
    </sheetView>
  </sheetViews>
  <sheetFormatPr defaultColWidth="20.85546875" defaultRowHeight="12.75"/>
  <cols>
    <col min="1" max="1" width="4.28515625" style="2" bestFit="1" customWidth="1"/>
    <col min="2" max="2" width="18.5703125" style="2" customWidth="1"/>
    <col min="3" max="3" width="13.5703125" style="2" customWidth="1"/>
    <col min="4" max="4" width="12.140625" style="2" customWidth="1"/>
    <col min="5" max="5" width="13.5703125" style="2" customWidth="1"/>
    <col min="6" max="6" width="9.7109375" style="2" customWidth="1"/>
    <col min="7" max="7" width="13.7109375" style="2" customWidth="1"/>
    <col min="8" max="8" width="10.42578125" style="2" customWidth="1"/>
    <col min="9" max="9" width="13.85546875" style="2" customWidth="1"/>
    <col min="10" max="10" width="12" style="2" customWidth="1"/>
    <col min="11" max="11" width="7" style="2" bestFit="1" customWidth="1"/>
    <col min="12" max="16384" width="20.85546875" style="2"/>
  </cols>
  <sheetData>
    <row r="1" spans="1:11">
      <c r="A1" s="327" t="s">
        <v>8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</row>
    <row r="2" spans="1:11">
      <c r="A2" s="327" t="s">
        <v>153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</row>
    <row r="3" spans="1:11">
      <c r="A3" s="327" t="str">
        <f>+'JAP-23,  p3 Proforma Proposed'!B3</f>
        <v>Test Year Twelve Months ended December 2010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</row>
    <row r="4" spans="1:11">
      <c r="A4" s="327" t="s">
        <v>24</v>
      </c>
      <c r="B4" s="327"/>
      <c r="C4" s="327"/>
      <c r="D4" s="327"/>
      <c r="E4" s="327"/>
      <c r="F4" s="327"/>
      <c r="G4" s="327"/>
      <c r="H4" s="327"/>
      <c r="I4" s="327"/>
      <c r="J4" s="327"/>
      <c r="K4" s="327"/>
    </row>
    <row r="5" spans="1:11">
      <c r="A5" s="327" t="s">
        <v>164</v>
      </c>
      <c r="B5" s="327"/>
      <c r="C5" s="327"/>
      <c r="D5" s="327"/>
      <c r="E5" s="327"/>
      <c r="F5" s="327"/>
      <c r="G5" s="327"/>
      <c r="H5" s="327"/>
      <c r="I5" s="327"/>
      <c r="J5" s="327"/>
      <c r="K5" s="327"/>
    </row>
    <row r="7" spans="1:11">
      <c r="F7" s="336" t="s">
        <v>85</v>
      </c>
      <c r="G7" s="337"/>
      <c r="H7" s="338" t="s">
        <v>86</v>
      </c>
      <c r="I7" s="339"/>
    </row>
    <row r="8" spans="1:11">
      <c r="A8" s="11" t="s">
        <v>450</v>
      </c>
      <c r="C8" s="333" t="s">
        <v>165</v>
      </c>
      <c r="D8" s="335"/>
      <c r="E8" s="334"/>
      <c r="F8" s="331" t="s">
        <v>508</v>
      </c>
      <c r="G8" s="332"/>
      <c r="H8" s="331" t="s">
        <v>558</v>
      </c>
      <c r="I8" s="332"/>
      <c r="J8" s="333" t="s">
        <v>166</v>
      </c>
      <c r="K8" s="334"/>
    </row>
    <row r="9" spans="1:11">
      <c r="A9" s="176" t="s">
        <v>451</v>
      </c>
      <c r="B9" s="176"/>
      <c r="C9" s="235" t="s">
        <v>85</v>
      </c>
      <c r="D9" s="237" t="s">
        <v>433</v>
      </c>
      <c r="E9" s="236" t="s">
        <v>167</v>
      </c>
      <c r="F9" s="203" t="s">
        <v>168</v>
      </c>
      <c r="G9" s="204" t="s">
        <v>169</v>
      </c>
      <c r="H9" s="176" t="s">
        <v>168</v>
      </c>
      <c r="I9" s="204" t="s">
        <v>169</v>
      </c>
      <c r="J9" s="203" t="s">
        <v>170</v>
      </c>
      <c r="K9" s="204" t="s">
        <v>171</v>
      </c>
    </row>
    <row r="10" spans="1:11" s="5" customFormat="1">
      <c r="A10" s="167"/>
      <c r="B10" s="167" t="s">
        <v>477</v>
      </c>
      <c r="C10" s="133" t="s">
        <v>478</v>
      </c>
      <c r="D10" s="133" t="s">
        <v>479</v>
      </c>
      <c r="E10" s="133" t="s">
        <v>480</v>
      </c>
      <c r="F10" s="133" t="s">
        <v>481</v>
      </c>
      <c r="G10" s="133" t="s">
        <v>482</v>
      </c>
      <c r="H10" s="133" t="s">
        <v>483</v>
      </c>
      <c r="I10" s="133" t="s">
        <v>484</v>
      </c>
      <c r="J10" s="133" t="s">
        <v>485</v>
      </c>
      <c r="K10" s="133" t="s">
        <v>486</v>
      </c>
    </row>
    <row r="11" spans="1:11" s="5" customFormat="1">
      <c r="A11" s="167"/>
      <c r="B11" s="167"/>
      <c r="C11" s="133"/>
      <c r="D11" s="133"/>
      <c r="E11" s="133"/>
      <c r="F11" s="133"/>
      <c r="G11" s="133"/>
      <c r="H11" s="133"/>
      <c r="I11" s="133"/>
      <c r="J11" s="133"/>
      <c r="K11" s="133"/>
    </row>
    <row r="12" spans="1:11">
      <c r="A12" s="5">
        <v>1</v>
      </c>
      <c r="B12" s="24" t="s">
        <v>172</v>
      </c>
      <c r="C12" s="211">
        <v>11715387</v>
      </c>
      <c r="D12" s="211"/>
      <c r="E12" s="211">
        <f>+C12</f>
        <v>11715387</v>
      </c>
      <c r="F12" s="74">
        <v>7.25</v>
      </c>
      <c r="G12" s="29">
        <f>+F12*E12</f>
        <v>84936555.75</v>
      </c>
      <c r="H12" s="184">
        <f>+'JAP-23,  p32 Rate Des Sch 7'!$E$10</f>
        <v>7.83</v>
      </c>
      <c r="I12" s="29">
        <f>+H12*C12</f>
        <v>91731480.209999993</v>
      </c>
      <c r="J12" s="37">
        <f>+I12-G12</f>
        <v>6794924.4599999934</v>
      </c>
      <c r="K12" s="21">
        <f>+J12/G12</f>
        <v>7.9999999999999918E-2</v>
      </c>
    </row>
    <row r="13" spans="1:11">
      <c r="A13" s="5">
        <f>+A12+1</f>
        <v>2</v>
      </c>
      <c r="B13" s="2" t="s">
        <v>173</v>
      </c>
      <c r="C13" s="211">
        <v>4097</v>
      </c>
      <c r="D13" s="211"/>
      <c r="E13" s="211">
        <f>+C13</f>
        <v>4097</v>
      </c>
      <c r="F13" s="74">
        <v>17.41</v>
      </c>
      <c r="G13" s="29">
        <f>+F13*E13</f>
        <v>71328.77</v>
      </c>
      <c r="H13" s="184">
        <f>+'JAP-23,  p32 Rate Des Sch 7'!$E$11</f>
        <v>18.8</v>
      </c>
      <c r="I13" s="29">
        <f>+H13*C13</f>
        <v>77023.600000000006</v>
      </c>
      <c r="J13" s="37">
        <f>+I13-G13</f>
        <v>5694.8300000000017</v>
      </c>
      <c r="K13" s="21">
        <f>+J13/G13</f>
        <v>7.9839172889144189E-2</v>
      </c>
    </row>
    <row r="14" spans="1:11">
      <c r="A14" s="5">
        <f t="shared" ref="A14:A24" si="0">+A13+1</f>
        <v>3</v>
      </c>
      <c r="B14" s="2" t="s">
        <v>53</v>
      </c>
      <c r="C14" s="12">
        <f>SUM(C12:C13)</f>
        <v>11719484</v>
      </c>
      <c r="D14" s="12"/>
      <c r="E14" s="12">
        <f>SUM(E12:E13)</f>
        <v>11719484</v>
      </c>
      <c r="G14" s="13">
        <f>SUM(G12:G13)</f>
        <v>85007884.519999996</v>
      </c>
      <c r="I14" s="13">
        <f>SUM(I12:I13)</f>
        <v>91808503.809999987</v>
      </c>
      <c r="J14" s="13">
        <f>SUM(J12:J13)</f>
        <v>6800619.2899999935</v>
      </c>
      <c r="K14" s="52">
        <f>+J14/G14</f>
        <v>7.9999865052517535E-2</v>
      </c>
    </row>
    <row r="15" spans="1:11">
      <c r="A15" s="5">
        <f t="shared" si="0"/>
        <v>4</v>
      </c>
      <c r="G15" s="29"/>
      <c r="I15" s="29"/>
    </row>
    <row r="16" spans="1:11">
      <c r="A16" s="5">
        <f t="shared" si="0"/>
        <v>5</v>
      </c>
      <c r="B16" s="2" t="s">
        <v>174</v>
      </c>
      <c r="C16" s="211">
        <v>5951889767.6892004</v>
      </c>
      <c r="D16" s="18">
        <v>0</v>
      </c>
      <c r="E16" s="18">
        <f>SUM(C16:D16)</f>
        <v>5951889767.6892004</v>
      </c>
      <c r="F16" s="58">
        <v>8.4990999999999997E-2</v>
      </c>
      <c r="G16" s="29">
        <f>+F16*E16</f>
        <v>505857063.24567282</v>
      </c>
      <c r="H16" s="58">
        <f>+'JAP-23,  p32 Rate Des Sch 7'!$E$15</f>
        <v>9.1794000000000001E-2</v>
      </c>
      <c r="I16" s="29">
        <f>+H16*E16</f>
        <v>546347769.33526242</v>
      </c>
      <c r="J16" s="37">
        <f>+I16-G16</f>
        <v>40490706.089589596</v>
      </c>
      <c r="K16" s="21">
        <f>+J16/G16</f>
        <v>8.0043769340283025E-2</v>
      </c>
    </row>
    <row r="17" spans="1:11">
      <c r="A17" s="5">
        <f t="shared" si="0"/>
        <v>6</v>
      </c>
      <c r="B17" s="24" t="s">
        <v>56</v>
      </c>
      <c r="C17" s="211">
        <v>4717829926.8335009</v>
      </c>
      <c r="D17" s="211">
        <v>133624642.96513736</v>
      </c>
      <c r="E17" s="18">
        <f>SUM(C17:D17)</f>
        <v>4851454569.7986383</v>
      </c>
      <c r="F17" s="58">
        <v>0.102974</v>
      </c>
      <c r="G17" s="29">
        <f>+F17*E17</f>
        <v>499573682.87044495</v>
      </c>
      <c r="H17" s="58">
        <f>+'JAP-23,  p32 Rate Des Sch 7'!$E$16</f>
        <v>0.11121499999999999</v>
      </c>
      <c r="I17" s="29">
        <f>+H17*E17</f>
        <v>539554519.98015559</v>
      </c>
      <c r="J17" s="37">
        <f>+I17-G17</f>
        <v>39980837.109710634</v>
      </c>
      <c r="K17" s="21">
        <f>+J17/G17</f>
        <v>8.0029910462835391E-2</v>
      </c>
    </row>
    <row r="18" spans="1:11">
      <c r="A18" s="5">
        <f t="shared" si="0"/>
        <v>7</v>
      </c>
      <c r="B18" s="2" t="s">
        <v>59</v>
      </c>
      <c r="C18" s="12">
        <f>SUM(C16:C17)</f>
        <v>10669719694.522701</v>
      </c>
      <c r="D18" s="12">
        <f>SUM(D16:D17)</f>
        <v>133624642.96513736</v>
      </c>
      <c r="E18" s="12">
        <f>SUM(E16:E17)</f>
        <v>10803344337.487839</v>
      </c>
      <c r="G18" s="13">
        <f>SUM(G16:G17)</f>
        <v>1005430746.1161177</v>
      </c>
      <c r="I18" s="13">
        <f>SUM(I16:I17)</f>
        <v>1085902289.315418</v>
      </c>
      <c r="J18" s="13">
        <f>SUM(J16:J17)</f>
        <v>80471543.19930023</v>
      </c>
      <c r="K18" s="52">
        <f>+J18/G18</f>
        <v>8.0036883206679385E-2</v>
      </c>
    </row>
    <row r="19" spans="1:11">
      <c r="A19" s="5">
        <f t="shared" si="0"/>
        <v>8</v>
      </c>
      <c r="C19" s="19"/>
      <c r="D19" s="19"/>
      <c r="E19" s="19"/>
      <c r="G19" s="17"/>
      <c r="I19" s="17"/>
      <c r="J19" s="17"/>
      <c r="K19" s="56"/>
    </row>
    <row r="20" spans="1:11">
      <c r="A20" s="5">
        <f t="shared" si="0"/>
        <v>9</v>
      </c>
      <c r="B20" s="2" t="s">
        <v>175</v>
      </c>
      <c r="C20" s="19"/>
      <c r="D20" s="19"/>
      <c r="E20" s="12">
        <f>+E18</f>
        <v>10803344337.487839</v>
      </c>
      <c r="F20" s="58">
        <v>0</v>
      </c>
      <c r="G20" s="13">
        <f>+F20*E20</f>
        <v>0</v>
      </c>
      <c r="H20" s="58">
        <v>0</v>
      </c>
      <c r="I20" s="13">
        <f>+H20*E20</f>
        <v>0</v>
      </c>
      <c r="J20" s="13">
        <f>+I20-G20</f>
        <v>0</v>
      </c>
      <c r="K20" s="56"/>
    </row>
    <row r="21" spans="1:11">
      <c r="A21" s="5">
        <f t="shared" si="0"/>
        <v>10</v>
      </c>
    </row>
    <row r="22" spans="1:11">
      <c r="A22" s="5">
        <f>+A21+1</f>
        <v>11</v>
      </c>
      <c r="B22" s="2" t="s">
        <v>176</v>
      </c>
      <c r="C22" s="19"/>
      <c r="D22" s="19"/>
      <c r="E22" s="12">
        <v>-70596587</v>
      </c>
      <c r="F22" s="58">
        <f>ROUND(+G22/E22,6)</f>
        <v>0.100898</v>
      </c>
      <c r="G22" s="13">
        <v>-7123035</v>
      </c>
      <c r="H22" s="58">
        <f>+'JAP-23,  p32 Rate Des Sch 7'!$E$19</f>
        <v>0.108973</v>
      </c>
      <c r="I22" s="13">
        <f>+H22*E22</f>
        <v>-7693121.875151</v>
      </c>
      <c r="J22" s="13">
        <f>+I22-G22</f>
        <v>-570086.87515099999</v>
      </c>
      <c r="K22" s="52">
        <f>+J22/G22</f>
        <v>8.0034265611638858E-2</v>
      </c>
    </row>
    <row r="23" spans="1:11">
      <c r="A23" s="5">
        <f t="shared" si="0"/>
        <v>12</v>
      </c>
    </row>
    <row r="24" spans="1:11" ht="13.5" thickBot="1">
      <c r="A24" s="5">
        <f t="shared" si="0"/>
        <v>13</v>
      </c>
      <c r="B24" s="2" t="s">
        <v>60</v>
      </c>
      <c r="C24" s="71"/>
      <c r="D24" s="71"/>
      <c r="E24" s="81">
        <f>+E22+E18</f>
        <v>10732747750.487839</v>
      </c>
      <c r="G24" s="63">
        <f>SUM(G14,G18,G20,G22)</f>
        <v>1083315595.6361177</v>
      </c>
      <c r="I24" s="63">
        <f>SUM(I14,I18,I20,I22)</f>
        <v>1170017671.250267</v>
      </c>
      <c r="J24" s="63">
        <f>SUM(J14,J18,J20,J22)</f>
        <v>86702075.614149228</v>
      </c>
      <c r="K24" s="64">
        <f>+J24/G24</f>
        <v>8.0033995599627816E-2</v>
      </c>
    </row>
    <row r="25" spans="1:11" ht="14.25" customHeight="1" thickTop="1">
      <c r="A25" s="5"/>
    </row>
    <row r="26" spans="1:11">
      <c r="A26" s="5"/>
      <c r="B26" s="10"/>
      <c r="G26" s="29"/>
    </row>
    <row r="27" spans="1:11">
      <c r="A27" s="5"/>
      <c r="B27" s="10"/>
      <c r="F27" s="58"/>
      <c r="G27" s="37"/>
    </row>
  </sheetData>
  <mergeCells count="11">
    <mergeCell ref="F8:G8"/>
    <mergeCell ref="H8:I8"/>
    <mergeCell ref="A1:K1"/>
    <mergeCell ref="A2:K2"/>
    <mergeCell ref="A3:K3"/>
    <mergeCell ref="A4:K4"/>
    <mergeCell ref="J8:K8"/>
    <mergeCell ref="A5:K5"/>
    <mergeCell ref="C8:E8"/>
    <mergeCell ref="F7:G7"/>
    <mergeCell ref="H7:I7"/>
  </mergeCells>
  <phoneticPr fontId="0" type="noConversion"/>
  <printOptions horizontalCentered="1"/>
  <pageMargins left="0.25" right="0.25" top="1" bottom="1.22" header="0.5" footer="0.5"/>
  <pageSetup scale="85" orientation="landscape" r:id="rId1"/>
  <headerFooter alignWithMargins="0">
    <oddFooter>&amp;R&amp;"Times New Roman,Regular"Exhibit No.___(JAP-23)
Page 4 of 49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6"/>
  <sheetViews>
    <sheetView zoomScaleNormal="100" workbookViewId="0">
      <selection activeCell="K16" sqref="K16"/>
    </sheetView>
  </sheetViews>
  <sheetFormatPr defaultRowHeight="12.75"/>
  <cols>
    <col min="1" max="1" width="4.42578125" style="2" bestFit="1" customWidth="1"/>
    <col min="2" max="2" width="36.140625" style="2" bestFit="1" customWidth="1"/>
    <col min="3" max="3" width="14" style="2" bestFit="1" customWidth="1"/>
    <col min="4" max="4" width="11.7109375" style="2" customWidth="1"/>
    <col min="5" max="5" width="14.85546875" style="2" bestFit="1" customWidth="1"/>
    <col min="6" max="6" width="16.140625" style="2" bestFit="1" customWidth="1"/>
    <col min="7" max="7" width="13.42578125" style="2" bestFit="1" customWidth="1"/>
    <col min="8" max="8" width="38.5703125" style="2" bestFit="1" customWidth="1"/>
    <col min="9" max="9" width="12.28515625" style="2" bestFit="1" customWidth="1"/>
    <col min="10" max="10" width="14" style="2" bestFit="1" customWidth="1"/>
    <col min="11" max="11" width="11.28515625" style="2" bestFit="1" customWidth="1"/>
    <col min="12" max="16384" width="9.140625" style="2"/>
  </cols>
  <sheetData>
    <row r="1" spans="1:13">
      <c r="A1" s="327" t="s">
        <v>8</v>
      </c>
      <c r="B1" s="327"/>
      <c r="C1" s="327"/>
      <c r="D1" s="327"/>
      <c r="E1" s="327"/>
      <c r="F1" s="327"/>
      <c r="G1" s="327"/>
      <c r="H1" s="327"/>
    </row>
    <row r="2" spans="1:13">
      <c r="A2" s="327" t="s">
        <v>44</v>
      </c>
      <c r="B2" s="327"/>
      <c r="C2" s="327"/>
      <c r="D2" s="327"/>
      <c r="E2" s="327"/>
      <c r="F2" s="327"/>
      <c r="G2" s="327"/>
      <c r="H2" s="327"/>
    </row>
    <row r="3" spans="1:13">
      <c r="A3" s="327" t="s">
        <v>129</v>
      </c>
      <c r="B3" s="327"/>
      <c r="C3" s="327"/>
      <c r="D3" s="327"/>
      <c r="E3" s="327"/>
      <c r="F3" s="327"/>
      <c r="G3" s="327"/>
      <c r="H3" s="327"/>
    </row>
    <row r="4" spans="1:13">
      <c r="A4" s="1"/>
      <c r="B4" s="1"/>
      <c r="C4" s="1"/>
      <c r="D4" s="1"/>
      <c r="E4" s="1"/>
      <c r="F4" s="1"/>
      <c r="G4" s="1"/>
      <c r="H4" s="1"/>
    </row>
    <row r="5" spans="1:13" s="11" customFormat="1" ht="51">
      <c r="A5" s="65" t="str">
        <f>+'JAP-23,  p32 Rate Des Sch 7'!A5</f>
        <v>Line No.</v>
      </c>
      <c r="B5" s="66" t="str">
        <f>+'JAP-23,  p32 Rate Des Sch 7'!B5</f>
        <v>Description</v>
      </c>
      <c r="C5" s="65" t="str">
        <f>+'JAP-23,  p32 Rate Des Sch 7'!C5</f>
        <v>Bill
Determinants</v>
      </c>
      <c r="D5" s="65" t="str">
        <f>+'JAP-23,  p32 Rate Des Sch 7'!D5</f>
        <v>Base Rates
Effective 
5-1-10</v>
      </c>
      <c r="E5" s="65" t="str">
        <f>+'JAP-23,  p32 Rate Des Sch 7'!E5</f>
        <v>Proposed
Rates
Effective 2012</v>
      </c>
      <c r="F5" s="65" t="str">
        <f>+'JAP-23,  p32 Rate Des Sch 7'!F5</f>
        <v>Proforma
Revenue
Effective
5-1-10</v>
      </c>
      <c r="G5" s="65" t="str">
        <f>+'JAP-23,  p32 Rate Des Sch 7'!G5</f>
        <v>Proposed
Revenue
Effective
2012</v>
      </c>
      <c r="H5" s="66" t="str">
        <f>+'JAP-23,  p32 Rate Des Sch 7'!H5</f>
        <v>Notes:</v>
      </c>
    </row>
    <row r="6" spans="1:13" s="5" customFormat="1">
      <c r="A6" s="167"/>
      <c r="B6" s="167" t="s">
        <v>477</v>
      </c>
      <c r="C6" s="133" t="s">
        <v>478</v>
      </c>
      <c r="D6" s="133" t="s">
        <v>479</v>
      </c>
      <c r="E6" s="133" t="s">
        <v>481</v>
      </c>
      <c r="F6" s="133" t="s">
        <v>482</v>
      </c>
      <c r="G6" s="133" t="s">
        <v>483</v>
      </c>
      <c r="H6" s="133" t="s">
        <v>484</v>
      </c>
      <c r="I6" s="133"/>
      <c r="J6" s="133"/>
      <c r="K6" s="133"/>
      <c r="L6" s="133"/>
      <c r="M6" s="133"/>
    </row>
    <row r="7" spans="1:13" s="5" customFormat="1">
      <c r="A7" s="167"/>
      <c r="B7" s="167"/>
      <c r="C7" s="133"/>
      <c r="D7" s="133"/>
      <c r="E7" s="133"/>
      <c r="F7" s="133"/>
      <c r="G7" s="133"/>
      <c r="H7" s="133"/>
      <c r="I7" s="133"/>
      <c r="J7" s="133"/>
      <c r="K7" s="133"/>
    </row>
    <row r="8" spans="1:13" s="11" customFormat="1">
      <c r="A8" s="11">
        <v>1</v>
      </c>
      <c r="B8" s="86"/>
      <c r="C8" s="87"/>
      <c r="D8" s="88"/>
      <c r="E8" s="88"/>
      <c r="F8" s="88"/>
      <c r="G8" s="87"/>
      <c r="H8" s="89"/>
    </row>
    <row r="9" spans="1:13">
      <c r="A9" s="11">
        <f>+A8+1</f>
        <v>2</v>
      </c>
      <c r="B9" s="2" t="s">
        <v>54</v>
      </c>
      <c r="E9" s="32"/>
      <c r="F9" s="29"/>
      <c r="G9" s="29"/>
      <c r="H9" s="76"/>
    </row>
    <row r="10" spans="1:13">
      <c r="A10" s="11">
        <f t="shared" ref="A10:A19" si="0">+A9+1</f>
        <v>3</v>
      </c>
      <c r="B10" s="24" t="s">
        <v>75</v>
      </c>
      <c r="C10" s="19">
        <f>+'JAP-23,  p14 HV Sch 46'!$D$12</f>
        <v>52477260</v>
      </c>
      <c r="D10" s="58">
        <f>+'JAP-23,  p14 HV Sch 46'!$E$12</f>
        <v>5.3779E-2</v>
      </c>
      <c r="E10" s="92">
        <f>ROUND(+'JAP-23,  p41 Rate Des Sch 49'!E10,6)</f>
        <v>5.8076000000000003E-2</v>
      </c>
      <c r="F10" s="29">
        <f>+C10*SUM(D10:D10)</f>
        <v>2822174.5655399999</v>
      </c>
      <c r="G10" s="29">
        <f>+C10*E10</f>
        <v>3047669.35176</v>
      </c>
      <c r="H10" s="76" t="s">
        <v>130</v>
      </c>
    </row>
    <row r="11" spans="1:13">
      <c r="A11" s="11">
        <f t="shared" si="0"/>
        <v>4</v>
      </c>
      <c r="B11" s="24"/>
      <c r="C11" s="93"/>
      <c r="D11" s="58"/>
      <c r="E11" s="58"/>
      <c r="F11" s="29"/>
      <c r="G11" s="29"/>
    </row>
    <row r="12" spans="1:13">
      <c r="A12" s="11">
        <f t="shared" si="0"/>
        <v>5</v>
      </c>
      <c r="B12" s="24" t="s">
        <v>58</v>
      </c>
      <c r="C12" s="19">
        <f>+'JAP-23,  p14 HV Sch 46'!$D$18</f>
        <v>-274176</v>
      </c>
      <c r="D12" s="58">
        <f>+'JAP-23,  p14 HV Sch 46'!$E$18</f>
        <v>6.3549999999999995E-2</v>
      </c>
      <c r="E12" s="92">
        <f>ROUND(D12*(1+G19),6)</f>
        <v>6.8636000000000003E-2</v>
      </c>
      <c r="F12" s="29">
        <f>+C12*SUM(D12:D12)</f>
        <v>-17423.8848</v>
      </c>
      <c r="G12" s="29">
        <f>+C12*SUM(E12)</f>
        <v>-18818.343936000001</v>
      </c>
      <c r="H12" s="78" t="s">
        <v>534</v>
      </c>
    </row>
    <row r="13" spans="1:13" ht="13.5" thickBot="1">
      <c r="A13" s="11">
        <f t="shared" si="0"/>
        <v>6</v>
      </c>
      <c r="B13" s="24" t="s">
        <v>131</v>
      </c>
      <c r="C13" s="79">
        <f>SUM(C12,C10)</f>
        <v>52203084</v>
      </c>
      <c r="E13" s="32"/>
      <c r="F13" s="35">
        <f>SUM(F10:F12)</f>
        <v>2804750.6807399997</v>
      </c>
      <c r="G13" s="35">
        <f>SUM(G10:G12)</f>
        <v>3028851.007824</v>
      </c>
      <c r="H13" s="76"/>
    </row>
    <row r="14" spans="1:13" ht="13.5" thickTop="1">
      <c r="A14" s="11">
        <f t="shared" si="0"/>
        <v>7</v>
      </c>
      <c r="C14" s="93"/>
      <c r="E14" s="32"/>
      <c r="F14" s="29"/>
      <c r="G14" s="29"/>
      <c r="H14" s="76"/>
    </row>
    <row r="15" spans="1:13" ht="12.75" customHeight="1" thickBot="1">
      <c r="A15" s="11">
        <f t="shared" si="0"/>
        <v>8</v>
      </c>
      <c r="B15" s="24" t="s">
        <v>132</v>
      </c>
      <c r="C15" s="34">
        <f>+'JAP-23,  p14 HV Sch 46'!$D$14</f>
        <v>293562</v>
      </c>
      <c r="D15" s="53">
        <f>+'JAP-23,  p14 HV Sch 46'!$E$14</f>
        <v>2.02</v>
      </c>
      <c r="E15" s="95">
        <f>ROUND(((C15*D15)*(1+G19))/C15,2)</f>
        <v>2.1800000000000002</v>
      </c>
      <c r="F15" s="35">
        <f>+C15*D15</f>
        <v>592995.24</v>
      </c>
      <c r="G15" s="35">
        <f>+C15*E15</f>
        <v>639965.16</v>
      </c>
      <c r="H15" s="78" t="s">
        <v>534</v>
      </c>
    </row>
    <row r="16" spans="1:13" ht="13.5" thickTop="1">
      <c r="A16" s="11">
        <f t="shared" si="0"/>
        <v>9</v>
      </c>
      <c r="C16" s="93"/>
      <c r="E16" s="32"/>
      <c r="F16" s="29"/>
      <c r="G16" s="29"/>
      <c r="H16" s="76"/>
    </row>
    <row r="17" spans="1:8" ht="13.5" thickBot="1">
      <c r="A17" s="11">
        <f t="shared" si="0"/>
        <v>10</v>
      </c>
      <c r="B17" s="2" t="s">
        <v>60</v>
      </c>
      <c r="D17" s="37"/>
      <c r="E17" s="37"/>
      <c r="F17" s="35">
        <f>SUM(F13,F15)</f>
        <v>3397745.92074</v>
      </c>
      <c r="G17" s="35">
        <f>SUM(G13,G15)</f>
        <v>3668816.1678240001</v>
      </c>
      <c r="H17" s="76"/>
    </row>
    <row r="18" spans="1:8" ht="13.5" thickTop="1">
      <c r="A18" s="11">
        <f t="shared" si="0"/>
        <v>11</v>
      </c>
      <c r="D18" s="29"/>
      <c r="E18" s="29"/>
      <c r="F18" s="29"/>
      <c r="G18" s="29"/>
      <c r="H18" s="76"/>
    </row>
    <row r="19" spans="1:8">
      <c r="A19" s="11">
        <f t="shared" si="0"/>
        <v>12</v>
      </c>
      <c r="B19" s="24" t="s">
        <v>133</v>
      </c>
      <c r="C19" s="37"/>
      <c r="D19" s="58"/>
      <c r="E19" s="29"/>
      <c r="G19" s="105">
        <f>+'JAP-23,  p41 Rate Des Sch 49'!G22</f>
        <v>8.0032860361701999E-2</v>
      </c>
      <c r="H19" s="78" t="s">
        <v>534</v>
      </c>
    </row>
    <row r="20" spans="1:8">
      <c r="A20" s="11"/>
    </row>
    <row r="21" spans="1:8">
      <c r="A21" s="11"/>
      <c r="B21" s="10"/>
    </row>
    <row r="22" spans="1:8">
      <c r="F22" s="29"/>
      <c r="G22" s="29"/>
    </row>
    <row r="23" spans="1:8">
      <c r="F23" s="29"/>
      <c r="G23" s="29"/>
    </row>
    <row r="24" spans="1:8">
      <c r="F24" s="29"/>
      <c r="G24" s="29"/>
    </row>
    <row r="25" spans="1:8">
      <c r="F25" s="29"/>
      <c r="G25" s="29"/>
    </row>
    <row r="26" spans="1:8">
      <c r="F26" s="29"/>
      <c r="G26" s="29"/>
    </row>
    <row r="27" spans="1:8">
      <c r="F27" s="29"/>
      <c r="G27" s="29"/>
    </row>
    <row r="28" spans="1:8">
      <c r="F28" s="29"/>
      <c r="G28" s="29"/>
    </row>
    <row r="29" spans="1:8">
      <c r="F29" s="29"/>
      <c r="G29" s="29"/>
    </row>
    <row r="30" spans="1:8">
      <c r="F30" s="29"/>
      <c r="G30" s="29"/>
    </row>
    <row r="31" spans="1:8">
      <c r="F31" s="29"/>
      <c r="G31" s="29"/>
    </row>
    <row r="32" spans="1:8">
      <c r="F32" s="29"/>
      <c r="G32" s="29"/>
    </row>
    <row r="33" spans="6:7">
      <c r="F33" s="29"/>
      <c r="G33" s="29"/>
    </row>
    <row r="34" spans="6:7">
      <c r="F34" s="29"/>
      <c r="G34" s="29"/>
    </row>
    <row r="35" spans="6:7">
      <c r="F35" s="29"/>
      <c r="G35" s="29"/>
    </row>
    <row r="36" spans="6:7">
      <c r="F36" s="29"/>
      <c r="G36" s="29"/>
    </row>
  </sheetData>
  <mergeCells count="3">
    <mergeCell ref="A1:H1"/>
    <mergeCell ref="A2:H2"/>
    <mergeCell ref="A3:H3"/>
  </mergeCells>
  <phoneticPr fontId="11" type="noConversion"/>
  <printOptions horizontalCentered="1"/>
  <pageMargins left="0.25" right="0.25" top="1" bottom="1.18" header="0.5" footer="0.5"/>
  <pageSetup scale="91" orientation="landscape" r:id="rId1"/>
  <headerFooter alignWithMargins="0">
    <oddFooter>&amp;R&amp;"Times New Roman,Regular"Exhibit No.___(JAP-23)
Page 40 of 49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zoomScaleNormal="100" workbookViewId="0">
      <selection activeCell="E10" sqref="E10"/>
    </sheetView>
  </sheetViews>
  <sheetFormatPr defaultRowHeight="12.75"/>
  <cols>
    <col min="1" max="1" width="4.42578125" style="2" bestFit="1" customWidth="1"/>
    <col min="2" max="2" width="36.140625" style="2" bestFit="1" customWidth="1"/>
    <col min="3" max="3" width="12.28515625" style="2" bestFit="1" customWidth="1"/>
    <col min="4" max="4" width="10.7109375" style="2" bestFit="1" customWidth="1"/>
    <col min="5" max="5" width="12.42578125" style="2" bestFit="1" customWidth="1"/>
    <col min="6" max="6" width="16.140625" style="2" bestFit="1" customWidth="1"/>
    <col min="7" max="7" width="12.42578125" style="2" bestFit="1" customWidth="1"/>
    <col min="8" max="8" width="47.42578125" style="2" bestFit="1" customWidth="1"/>
    <col min="9" max="9" width="12.28515625" style="2" bestFit="1" customWidth="1"/>
    <col min="10" max="10" width="15" style="2" bestFit="1" customWidth="1"/>
    <col min="11" max="16384" width="9.140625" style="2"/>
  </cols>
  <sheetData>
    <row r="1" spans="1:13">
      <c r="A1" s="327" t="s">
        <v>8</v>
      </c>
      <c r="B1" s="327"/>
      <c r="C1" s="327"/>
      <c r="D1" s="327"/>
      <c r="E1" s="327"/>
      <c r="F1" s="327"/>
      <c r="G1" s="327"/>
      <c r="H1" s="327"/>
    </row>
    <row r="2" spans="1:13">
      <c r="A2" s="327" t="s">
        <v>44</v>
      </c>
      <c r="B2" s="327"/>
      <c r="C2" s="327"/>
      <c r="D2" s="327"/>
      <c r="E2" s="327"/>
      <c r="F2" s="327"/>
      <c r="G2" s="327"/>
      <c r="H2" s="327"/>
    </row>
    <row r="3" spans="1:13">
      <c r="A3" s="327" t="s">
        <v>369</v>
      </c>
      <c r="B3" s="327"/>
      <c r="C3" s="327"/>
      <c r="D3" s="327"/>
      <c r="E3" s="327"/>
      <c r="F3" s="327"/>
      <c r="G3" s="327"/>
      <c r="H3" s="327"/>
    </row>
    <row r="4" spans="1:13">
      <c r="A4" s="327"/>
      <c r="B4" s="327"/>
      <c r="C4" s="327"/>
      <c r="D4" s="327"/>
      <c r="E4" s="327"/>
      <c r="F4" s="327"/>
      <c r="G4" s="327"/>
      <c r="H4" s="327"/>
    </row>
    <row r="5" spans="1:13" s="11" customFormat="1" ht="51">
      <c r="A5" s="65" t="str">
        <f>+'JAP-23,  p32 Rate Des Sch 7'!A5</f>
        <v>Line No.</v>
      </c>
      <c r="B5" s="66" t="str">
        <f>+'JAP-23,  p32 Rate Des Sch 7'!B5</f>
        <v>Description</v>
      </c>
      <c r="C5" s="65" t="str">
        <f>+'JAP-23,  p32 Rate Des Sch 7'!C5</f>
        <v>Bill
Determinants</v>
      </c>
      <c r="D5" s="65" t="str">
        <f>+'JAP-23,  p32 Rate Des Sch 7'!D5</f>
        <v>Base Rates
Effective 
5-1-10</v>
      </c>
      <c r="E5" s="65" t="str">
        <f>+'JAP-23,  p32 Rate Des Sch 7'!E5</f>
        <v>Proposed
Rates
Effective 2012</v>
      </c>
      <c r="F5" s="65" t="str">
        <f>+'JAP-23,  p32 Rate Des Sch 7'!F5</f>
        <v>Proforma
Revenue
Effective
5-1-10</v>
      </c>
      <c r="G5" s="65" t="str">
        <f>+'JAP-23,  p32 Rate Des Sch 7'!G5</f>
        <v>Proposed
Revenue
Effective
2012</v>
      </c>
      <c r="H5" s="66" t="str">
        <f>+'JAP-23,  p32 Rate Des Sch 7'!H5</f>
        <v>Notes:</v>
      </c>
    </row>
    <row r="6" spans="1:13" s="5" customFormat="1">
      <c r="A6" s="167"/>
      <c r="B6" s="167" t="s">
        <v>477</v>
      </c>
      <c r="C6" s="133" t="s">
        <v>478</v>
      </c>
      <c r="D6" s="133" t="s">
        <v>479</v>
      </c>
      <c r="E6" s="133" t="s">
        <v>481</v>
      </c>
      <c r="F6" s="133" t="s">
        <v>482</v>
      </c>
      <c r="G6" s="133" t="s">
        <v>483</v>
      </c>
      <c r="H6" s="133" t="s">
        <v>484</v>
      </c>
      <c r="I6" s="133"/>
      <c r="J6" s="133"/>
      <c r="K6" s="133"/>
      <c r="L6" s="133"/>
      <c r="M6" s="133"/>
    </row>
    <row r="7" spans="1:13" s="5" customFormat="1">
      <c r="A7" s="167"/>
      <c r="B7" s="167"/>
      <c r="C7" s="133"/>
      <c r="D7" s="133"/>
      <c r="E7" s="133"/>
      <c r="F7" s="133"/>
      <c r="G7" s="133"/>
      <c r="H7" s="133"/>
      <c r="I7" s="133"/>
      <c r="J7" s="133"/>
      <c r="K7" s="133"/>
    </row>
    <row r="8" spans="1:13" s="11" customFormat="1">
      <c r="A8" s="11">
        <v>1</v>
      </c>
      <c r="B8" s="86"/>
      <c r="C8" s="87"/>
      <c r="D8" s="88"/>
      <c r="E8" s="88"/>
      <c r="F8" s="88"/>
      <c r="G8" s="87"/>
      <c r="H8" s="89"/>
    </row>
    <row r="9" spans="1:13">
      <c r="A9" s="11">
        <f t="shared" ref="A9:A28" si="0">+A8+1</f>
        <v>2</v>
      </c>
      <c r="B9" s="2" t="s">
        <v>54</v>
      </c>
      <c r="E9" s="32"/>
      <c r="F9" s="29"/>
      <c r="G9" s="29"/>
      <c r="H9" s="76"/>
    </row>
    <row r="10" spans="1:13">
      <c r="A10" s="11">
        <f t="shared" si="0"/>
        <v>3</v>
      </c>
      <c r="B10" s="24" t="s">
        <v>75</v>
      </c>
      <c r="C10" s="19">
        <f>+'JAP-23,  p15 HV Sch 49'!$E$12</f>
        <v>527248219.58399999</v>
      </c>
      <c r="D10" s="58">
        <f>+'JAP-23,  p15 HV Sch 49'!$F$12</f>
        <v>5.3779E-2</v>
      </c>
      <c r="E10" s="92">
        <f>(ROUND((G20-SUM(G15,G12,'JAP-23,  p40 Rate Des Sch 46'!G12,'JAP-23,  p40 Rate Des Sch 46'!G15))/SUM(C10,'JAP-23,  p40 Rate Des Sch 46'!C10),6)-0)*0+ROUND(D10*(1+G22),6)-0.000007</f>
        <v>5.8076000000000003E-2</v>
      </c>
      <c r="F10" s="29">
        <f>+C10*SUM(D10:D10)</f>
        <v>28354882.001007937</v>
      </c>
      <c r="G10" s="29">
        <f>+C10*E10</f>
        <v>30620467.600560386</v>
      </c>
      <c r="H10" s="78" t="s">
        <v>539</v>
      </c>
    </row>
    <row r="11" spans="1:13">
      <c r="A11" s="11">
        <f t="shared" si="0"/>
        <v>4</v>
      </c>
      <c r="B11" s="24"/>
      <c r="C11" s="93"/>
      <c r="D11" s="58"/>
      <c r="E11" s="58"/>
      <c r="F11" s="29"/>
      <c r="G11" s="29"/>
    </row>
    <row r="12" spans="1:13">
      <c r="A12" s="11">
        <f t="shared" si="0"/>
        <v>5</v>
      </c>
      <c r="B12" s="24" t="s">
        <v>58</v>
      </c>
      <c r="C12" s="19">
        <f>+'JAP-23,  p15 HV Sch 49'!$E$18</f>
        <v>-2927025</v>
      </c>
      <c r="D12" s="58">
        <f>+'JAP-23,  p15 HV Sch 49'!$F$18</f>
        <v>6.1227999999999998E-2</v>
      </c>
      <c r="E12" s="92">
        <f>ROUND(D12*(1+G22),6)</f>
        <v>6.6128000000000006E-2</v>
      </c>
      <c r="F12" s="29">
        <f>+C12*SUM(D12:D12)</f>
        <v>-179215.8867</v>
      </c>
      <c r="G12" s="29">
        <f>+C12*SUM(E12)</f>
        <v>-193558.30920000002</v>
      </c>
      <c r="H12" s="76" t="s">
        <v>438</v>
      </c>
    </row>
    <row r="13" spans="1:13" ht="13.5" thickBot="1">
      <c r="A13" s="11">
        <f t="shared" si="0"/>
        <v>6</v>
      </c>
      <c r="B13" s="24" t="s">
        <v>131</v>
      </c>
      <c r="C13" s="79">
        <f>SUM(C12,C10)</f>
        <v>524321194.58399999</v>
      </c>
      <c r="E13" s="32"/>
      <c r="F13" s="35">
        <f>SUM(F10:F12)</f>
        <v>28175666.114307936</v>
      </c>
      <c r="G13" s="35">
        <f>SUM(G10:G12)</f>
        <v>30426909.291360386</v>
      </c>
      <c r="H13" s="76"/>
    </row>
    <row r="14" spans="1:13" ht="13.5" thickTop="1">
      <c r="A14" s="11">
        <f t="shared" si="0"/>
        <v>7</v>
      </c>
      <c r="C14" s="93"/>
      <c r="E14" s="32"/>
      <c r="F14" s="29"/>
      <c r="G14" s="29"/>
      <c r="H14" s="76"/>
    </row>
    <row r="15" spans="1:13" ht="12.75" customHeight="1" thickBot="1">
      <c r="A15" s="11">
        <f t="shared" si="0"/>
        <v>8</v>
      </c>
      <c r="B15" s="24" t="s">
        <v>132</v>
      </c>
      <c r="C15" s="34">
        <f>+'JAP-23,  p15 HV Sch 49'!$E$14</f>
        <v>1358853</v>
      </c>
      <c r="D15" s="53">
        <f>+'JAP-23,  p15 HV Sch 49'!$F$14</f>
        <v>3.58</v>
      </c>
      <c r="E15" s="95">
        <f>ROUND(((C15*D15)*(1+G22))/C15,2)</f>
        <v>3.87</v>
      </c>
      <c r="F15" s="35">
        <f>+C15*D15</f>
        <v>4864693.74</v>
      </c>
      <c r="G15" s="35">
        <f>+C15*E15</f>
        <v>5258761.1100000003</v>
      </c>
      <c r="H15" s="76" t="s">
        <v>438</v>
      </c>
    </row>
    <row r="16" spans="1:13" ht="13.5" thickTop="1">
      <c r="A16" s="11">
        <f t="shared" si="0"/>
        <v>9</v>
      </c>
      <c r="C16" s="93"/>
      <c r="E16" s="32"/>
      <c r="F16" s="29"/>
      <c r="G16" s="29"/>
      <c r="H16" s="76"/>
    </row>
    <row r="17" spans="1:8" ht="13.5" thickBot="1">
      <c r="A17" s="11">
        <f t="shared" si="0"/>
        <v>10</v>
      </c>
      <c r="B17" s="2" t="s">
        <v>60</v>
      </c>
      <c r="D17" s="37"/>
      <c r="E17" s="37"/>
      <c r="F17" s="35">
        <f>SUM(F13,F15)</f>
        <v>33040359.854307935</v>
      </c>
      <c r="G17" s="35">
        <f>SUM(G13,G15)</f>
        <v>35685670.401360385</v>
      </c>
      <c r="H17" s="76"/>
    </row>
    <row r="18" spans="1:8" ht="13.5" thickTop="1">
      <c r="A18" s="11">
        <f t="shared" si="0"/>
        <v>11</v>
      </c>
      <c r="D18" s="29"/>
      <c r="E18" s="29"/>
      <c r="F18" s="29"/>
      <c r="G18" s="29"/>
      <c r="H18" s="76"/>
    </row>
    <row r="19" spans="1:8">
      <c r="A19" s="11">
        <f t="shared" si="0"/>
        <v>12</v>
      </c>
      <c r="B19" s="24" t="s">
        <v>134</v>
      </c>
      <c r="C19" s="37"/>
      <c r="D19" s="29"/>
      <c r="E19" s="29"/>
      <c r="G19" s="29">
        <f>+'JAP-23,  p1 Rate Spread'!J23</f>
        <v>2916245.8313393388</v>
      </c>
      <c r="H19" s="70" t="str">
        <f>+'JAP-23,  p39 Rate Des Sch 43'!H23</f>
        <v>Rate Spread Workpapers, Column G</v>
      </c>
    </row>
    <row r="20" spans="1:8">
      <c r="A20" s="11">
        <f t="shared" si="0"/>
        <v>13</v>
      </c>
      <c r="B20" s="24" t="s">
        <v>135</v>
      </c>
      <c r="C20" s="37"/>
      <c r="D20" s="58"/>
      <c r="E20" s="29"/>
      <c r="G20" s="29">
        <f>+G19+F17+'JAP-23,  p40 Rate Des Sch 46'!F17</f>
        <v>39354351.606387272</v>
      </c>
    </row>
    <row r="21" spans="1:8">
      <c r="A21" s="11">
        <f t="shared" si="0"/>
        <v>14</v>
      </c>
      <c r="B21" s="24"/>
      <c r="C21" s="37"/>
      <c r="D21" s="58"/>
      <c r="E21" s="29"/>
    </row>
    <row r="22" spans="1:8">
      <c r="A22" s="11">
        <f t="shared" si="0"/>
        <v>15</v>
      </c>
      <c r="B22" s="24" t="s">
        <v>133</v>
      </c>
      <c r="C22" s="37"/>
      <c r="D22" s="58"/>
      <c r="E22" s="29"/>
      <c r="G22" s="16">
        <f>+G19/(F17+'JAP-23,  p40 Rate Des Sch 46'!F17)</f>
        <v>8.0032860361701999E-2</v>
      </c>
      <c r="H22" s="76" t="s">
        <v>438</v>
      </c>
    </row>
    <row r="23" spans="1:8">
      <c r="A23" s="11">
        <f t="shared" si="0"/>
        <v>16</v>
      </c>
      <c r="B23" s="24"/>
      <c r="F23" s="29"/>
      <c r="G23" s="16"/>
      <c r="H23" s="70"/>
    </row>
    <row r="24" spans="1:8">
      <c r="A24" s="11">
        <f t="shared" si="0"/>
        <v>17</v>
      </c>
      <c r="F24" s="29"/>
      <c r="G24" s="29"/>
    </row>
    <row r="25" spans="1:8">
      <c r="A25" s="11">
        <f t="shared" si="0"/>
        <v>18</v>
      </c>
      <c r="B25" s="10" t="s">
        <v>136</v>
      </c>
      <c r="F25" s="29"/>
      <c r="G25" s="29">
        <f>+'JAP-23,  p40 Rate Des Sch 46'!G17</f>
        <v>3668816.1678240001</v>
      </c>
    </row>
    <row r="26" spans="1:8">
      <c r="A26" s="11">
        <f t="shared" si="0"/>
        <v>19</v>
      </c>
      <c r="B26" s="10" t="s">
        <v>137</v>
      </c>
      <c r="F26" s="29"/>
      <c r="G26" s="29">
        <f>+G17</f>
        <v>35685670.401360385</v>
      </c>
    </row>
    <row r="27" spans="1:8" ht="13.5" thickBot="1">
      <c r="A27" s="11">
        <f t="shared" si="0"/>
        <v>20</v>
      </c>
      <c r="B27" s="24" t="s">
        <v>138</v>
      </c>
      <c r="F27" s="29"/>
      <c r="G27" s="29">
        <f>SUM(G25:G26)</f>
        <v>39354486.569184385</v>
      </c>
    </row>
    <row r="28" spans="1:8" ht="13.5" thickBot="1">
      <c r="A28" s="11">
        <f t="shared" si="0"/>
        <v>21</v>
      </c>
      <c r="B28" s="24" t="str">
        <f>+'JAP-23,  p32 Rate Des Sch 7'!$B$30</f>
        <v>Over (Under) Recover Target Rate Spread</v>
      </c>
      <c r="F28" s="29"/>
      <c r="G28" s="104">
        <f>+G27-G20</f>
        <v>134.96279711276293</v>
      </c>
    </row>
    <row r="29" spans="1:8">
      <c r="F29" s="29"/>
      <c r="G29" s="29"/>
    </row>
    <row r="30" spans="1:8">
      <c r="F30" s="29"/>
      <c r="G30" s="29"/>
    </row>
    <row r="31" spans="1:8">
      <c r="F31" s="29"/>
      <c r="G31" s="29"/>
    </row>
    <row r="32" spans="1:8">
      <c r="F32" s="29"/>
      <c r="G32" s="29"/>
    </row>
    <row r="33" spans="6:7">
      <c r="F33" s="29"/>
      <c r="G33" s="29"/>
    </row>
    <row r="34" spans="6:7">
      <c r="F34" s="29"/>
      <c r="G34" s="29"/>
    </row>
    <row r="35" spans="6:7">
      <c r="F35" s="29"/>
      <c r="G35" s="29"/>
    </row>
    <row r="36" spans="6:7">
      <c r="F36" s="29"/>
      <c r="G36" s="29"/>
    </row>
    <row r="37" spans="6:7">
      <c r="F37" s="29"/>
      <c r="G37" s="29"/>
    </row>
    <row r="38" spans="6:7">
      <c r="F38" s="29"/>
      <c r="G38" s="29"/>
    </row>
  </sheetData>
  <mergeCells count="4">
    <mergeCell ref="A1:H1"/>
    <mergeCell ref="A2:H2"/>
    <mergeCell ref="A3:H3"/>
    <mergeCell ref="A4:H4"/>
  </mergeCells>
  <phoneticPr fontId="11" type="noConversion"/>
  <printOptions horizontalCentered="1"/>
  <pageMargins left="0.25" right="0.25" top="1" bottom="1.1599999999999999" header="0.5" footer="0.5"/>
  <pageSetup scale="89" orientation="landscape" r:id="rId1"/>
  <headerFooter alignWithMargins="0">
    <oddFooter>&amp;R&amp;"Times New Roman,Regular"Exhibit No.___(JAP-23)
Page 41 of 49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8"/>
  <sheetViews>
    <sheetView topLeftCell="A13" zoomScaleNormal="100" workbookViewId="0">
      <selection activeCell="J7" sqref="J7:J13"/>
    </sheetView>
  </sheetViews>
  <sheetFormatPr defaultRowHeight="12.75"/>
  <cols>
    <col min="1" max="1" width="8.42578125" style="2" bestFit="1" customWidth="1"/>
    <col min="2" max="2" width="37.42578125" style="2" bestFit="1" customWidth="1"/>
    <col min="3" max="3" width="12" style="2" bestFit="1" customWidth="1"/>
    <col min="4" max="4" width="11.28515625" style="2" bestFit="1" customWidth="1"/>
    <col min="5" max="5" width="12.42578125" style="2" bestFit="1" customWidth="1"/>
    <col min="6" max="6" width="16.140625" style="2" bestFit="1" customWidth="1"/>
    <col min="7" max="7" width="17.85546875" style="2" bestFit="1" customWidth="1"/>
    <col min="8" max="8" width="33.42578125" style="2" customWidth="1"/>
    <col min="9" max="9" width="12.28515625" style="2" bestFit="1" customWidth="1"/>
    <col min="10" max="10" width="15" style="2" bestFit="1" customWidth="1"/>
    <col min="11" max="11" width="12.5703125" style="2" customWidth="1"/>
    <col min="12" max="16384" width="9.140625" style="2"/>
  </cols>
  <sheetData>
    <row r="1" spans="1:14">
      <c r="A1" s="327" t="s">
        <v>8</v>
      </c>
      <c r="B1" s="327"/>
      <c r="C1" s="327"/>
      <c r="D1" s="327"/>
      <c r="E1" s="327"/>
      <c r="F1" s="327"/>
      <c r="G1" s="327"/>
      <c r="H1" s="327"/>
    </row>
    <row r="2" spans="1:14">
      <c r="A2" s="327" t="s">
        <v>44</v>
      </c>
      <c r="B2" s="327"/>
      <c r="C2" s="327"/>
      <c r="D2" s="327"/>
      <c r="E2" s="327"/>
      <c r="F2" s="327"/>
      <c r="G2" s="327"/>
      <c r="H2" s="327"/>
    </row>
    <row r="3" spans="1:14">
      <c r="A3" s="327" t="s">
        <v>442</v>
      </c>
      <c r="B3" s="327"/>
      <c r="C3" s="327"/>
      <c r="D3" s="327"/>
      <c r="E3" s="327"/>
      <c r="F3" s="327"/>
      <c r="G3" s="327"/>
      <c r="H3" s="327"/>
    </row>
    <row r="4" spans="1:14">
      <c r="A4" s="1"/>
      <c r="B4" s="1"/>
      <c r="C4" s="1"/>
      <c r="D4" s="1"/>
      <c r="E4" s="1"/>
      <c r="F4" s="1"/>
      <c r="G4" s="1"/>
      <c r="H4" s="1"/>
    </row>
    <row r="5" spans="1:14" s="11" customFormat="1" ht="51">
      <c r="A5" s="65" t="str">
        <f>+'JAP-23,  p32 Rate Des Sch 7'!A5</f>
        <v>Line No.</v>
      </c>
      <c r="B5" s="66" t="str">
        <f>+'JAP-23,  p32 Rate Des Sch 7'!B5</f>
        <v>Description</v>
      </c>
      <c r="C5" s="65" t="str">
        <f>+'JAP-23,  p32 Rate Des Sch 7'!C5</f>
        <v>Bill
Determinants</v>
      </c>
      <c r="D5" s="65" t="str">
        <f>+'JAP-23,  p32 Rate Des Sch 7'!D5</f>
        <v>Base Rates
Effective 
5-1-10</v>
      </c>
      <c r="E5" s="65" t="s">
        <v>139</v>
      </c>
      <c r="F5" s="65" t="str">
        <f>+'JAP-23,  p32 Rate Des Sch 7'!F5</f>
        <v>Proforma
Revenue
Effective
5-1-10</v>
      </c>
      <c r="G5" s="65" t="str">
        <f>+'JAP-23,  p32 Rate Des Sch 7'!G5</f>
        <v>Proposed
Revenue
Effective
2012</v>
      </c>
      <c r="H5" s="66" t="str">
        <f>+'JAP-23,  p32 Rate Des Sch 7'!H5</f>
        <v>Notes:</v>
      </c>
    </row>
    <row r="6" spans="1:14" s="5" customFormat="1">
      <c r="A6" s="167"/>
      <c r="B6" s="167" t="s">
        <v>477</v>
      </c>
      <c r="C6" s="133" t="s">
        <v>478</v>
      </c>
      <c r="D6" s="133" t="s">
        <v>479</v>
      </c>
      <c r="E6" s="133" t="s">
        <v>480</v>
      </c>
      <c r="F6" s="133" t="s">
        <v>481</v>
      </c>
      <c r="G6" s="133" t="s">
        <v>482</v>
      </c>
      <c r="H6" s="133" t="s">
        <v>483</v>
      </c>
      <c r="I6" s="133"/>
      <c r="J6" s="133"/>
      <c r="K6" s="133"/>
      <c r="L6" s="133"/>
      <c r="M6" s="133"/>
      <c r="N6" s="133"/>
    </row>
    <row r="7" spans="1:14" s="5" customFormat="1">
      <c r="A7" s="167"/>
      <c r="B7" s="167"/>
      <c r="C7" s="133"/>
      <c r="D7" s="133"/>
      <c r="E7" s="133"/>
      <c r="F7" s="133"/>
      <c r="G7" s="133"/>
      <c r="H7" s="133"/>
      <c r="I7" s="133"/>
      <c r="J7" s="133"/>
      <c r="K7" s="133"/>
      <c r="L7" s="133"/>
    </row>
    <row r="8" spans="1:14" s="11" customFormat="1">
      <c r="A8" s="11">
        <v>1</v>
      </c>
      <c r="B8" s="86"/>
      <c r="C8" s="87"/>
      <c r="D8" s="88"/>
      <c r="E8" s="88"/>
      <c r="F8" s="88"/>
      <c r="G8" s="87"/>
      <c r="H8" s="89"/>
      <c r="J8" s="133"/>
    </row>
    <row r="9" spans="1:14">
      <c r="A9" s="11">
        <f t="shared" ref="A9:A46" si="0">+A8+1</f>
        <v>2</v>
      </c>
      <c r="B9" s="2" t="s">
        <v>50</v>
      </c>
      <c r="E9" s="32"/>
      <c r="F9" s="29"/>
      <c r="G9" s="29"/>
      <c r="H9" s="76"/>
      <c r="J9" s="133"/>
    </row>
    <row r="10" spans="1:14">
      <c r="A10" s="11">
        <f t="shared" si="0"/>
        <v>3</v>
      </c>
      <c r="B10" s="22" t="s">
        <v>140</v>
      </c>
      <c r="C10" s="19">
        <f>+'JAP-23,  p17 Sch 449'!$C$14</f>
        <v>24</v>
      </c>
      <c r="D10" s="74">
        <f>+'JAP-23,  p17 Sch 449'!$D$14</f>
        <v>800</v>
      </c>
      <c r="E10" s="94">
        <v>995</v>
      </c>
      <c r="F10" s="29">
        <f>+C10*SUM(D10)</f>
        <v>19200</v>
      </c>
      <c r="G10" s="29">
        <f>+C10*E10</f>
        <v>23880</v>
      </c>
      <c r="H10" s="343" t="s">
        <v>445</v>
      </c>
      <c r="J10" s="133"/>
      <c r="K10" s="173"/>
    </row>
    <row r="11" spans="1:14">
      <c r="A11" s="11">
        <f t="shared" si="0"/>
        <v>4</v>
      </c>
      <c r="B11" s="22" t="s">
        <v>141</v>
      </c>
      <c r="C11" s="19">
        <f>+'JAP-23,  p17 Sch 449'!$C$20</f>
        <v>168</v>
      </c>
      <c r="D11" s="74">
        <f>+'JAP-23,  p17 Sch 449'!$D$20</f>
        <v>800</v>
      </c>
      <c r="E11" s="94">
        <f>E10</f>
        <v>995</v>
      </c>
      <c r="F11" s="29">
        <f>+C11*SUM(D11)</f>
        <v>134400</v>
      </c>
      <c r="G11" s="29">
        <f>+C11*E11</f>
        <v>167160</v>
      </c>
      <c r="H11" s="345"/>
      <c r="J11" s="133"/>
    </row>
    <row r="12" spans="1:14">
      <c r="A12" s="11">
        <f t="shared" si="0"/>
        <v>5</v>
      </c>
      <c r="B12" s="22" t="s">
        <v>142</v>
      </c>
      <c r="C12" s="19">
        <f>+'JAP-23,  p18 Sch 459'!$C$14</f>
        <v>48</v>
      </c>
      <c r="D12" s="74">
        <f>+'JAP-23,  p18 Sch 459'!$D$14</f>
        <v>800</v>
      </c>
      <c r="E12" s="94">
        <f>E11</f>
        <v>995</v>
      </c>
      <c r="F12" s="29">
        <f>+C12*SUM(D12)</f>
        <v>38400</v>
      </c>
      <c r="G12" s="29">
        <f>+C12*E12</f>
        <v>47760</v>
      </c>
      <c r="H12" s="345"/>
      <c r="J12" s="133"/>
    </row>
    <row r="13" spans="1:14" ht="13.5" thickBot="1">
      <c r="A13" s="11">
        <f t="shared" si="0"/>
        <v>6</v>
      </c>
      <c r="B13" s="10" t="s">
        <v>53</v>
      </c>
      <c r="C13" s="79">
        <f>SUM(C10:C12)</f>
        <v>240</v>
      </c>
      <c r="E13" s="32"/>
      <c r="F13" s="35">
        <f>SUM(F10:F12)</f>
        <v>192000</v>
      </c>
      <c r="G13" s="35">
        <f>SUM(G10:G12)</f>
        <v>238800</v>
      </c>
      <c r="I13" s="37"/>
      <c r="J13" s="133"/>
    </row>
    <row r="14" spans="1:14" ht="13.5" thickTop="1">
      <c r="A14" s="11">
        <f t="shared" si="0"/>
        <v>7</v>
      </c>
      <c r="C14" s="93"/>
      <c r="E14" s="32"/>
      <c r="F14" s="29"/>
      <c r="I14" s="148"/>
      <c r="J14" s="149"/>
    </row>
    <row r="15" spans="1:14">
      <c r="A15" s="11">
        <f t="shared" si="0"/>
        <v>8</v>
      </c>
      <c r="B15" s="24" t="s">
        <v>132</v>
      </c>
      <c r="D15" s="37"/>
      <c r="E15" s="37"/>
      <c r="I15" s="148"/>
      <c r="J15" s="149"/>
    </row>
    <row r="16" spans="1:14" ht="38.25">
      <c r="A16" s="11">
        <f t="shared" si="0"/>
        <v>9</v>
      </c>
      <c r="B16" s="22" t="s">
        <v>140</v>
      </c>
      <c r="C16" s="19">
        <f>+'JAP-23,  p17 Sch 449'!$C$15</f>
        <v>197728</v>
      </c>
      <c r="D16" s="113">
        <f>+'JAP-23,  p17 Sch 449'!$D$15</f>
        <v>4.0200000000000005</v>
      </c>
      <c r="E16" s="161">
        <f>ROUND(D16+$G$40,3)+0.008</f>
        <v>4.2169999999999996</v>
      </c>
      <c r="F16" s="29">
        <f>+C16*SUM(D16)</f>
        <v>794866.56</v>
      </c>
      <c r="G16" s="29">
        <f>+C16*E16</f>
        <v>833818.97599999991</v>
      </c>
      <c r="H16" s="70" t="s">
        <v>473</v>
      </c>
      <c r="I16" s="148"/>
      <c r="J16" s="149"/>
    </row>
    <row r="17" spans="1:11">
      <c r="A17" s="11">
        <f t="shared" si="0"/>
        <v>10</v>
      </c>
      <c r="B17" s="22" t="s">
        <v>141</v>
      </c>
      <c r="C17" s="19">
        <f>+'JAP-23,  p17 Sch 449'!$C$21</f>
        <v>2948760</v>
      </c>
      <c r="D17" s="113">
        <f>+'JAP-23,  p17 Sch 449'!$D$21</f>
        <v>1.544</v>
      </c>
      <c r="E17" s="161">
        <f>ROUND(D17+$G$40,3)</f>
        <v>1.7330000000000001</v>
      </c>
      <c r="F17" s="29">
        <f>+C17*SUM(D17)</f>
        <v>4552885.4400000004</v>
      </c>
      <c r="G17" s="29">
        <f>+C17*E17</f>
        <v>5110201.08</v>
      </c>
      <c r="H17" s="342" t="s">
        <v>549</v>
      </c>
      <c r="I17" s="148"/>
      <c r="J17" s="149"/>
    </row>
    <row r="18" spans="1:11">
      <c r="A18" s="11">
        <f t="shared" si="0"/>
        <v>11</v>
      </c>
      <c r="B18" s="22" t="s">
        <v>142</v>
      </c>
      <c r="C18" s="19">
        <f>+'JAP-23,  p18 Sch 459'!$C$15</f>
        <v>347350</v>
      </c>
      <c r="D18" s="113">
        <f>+'JAP-23,  p18 Sch 459'!$D$15</f>
        <v>1.544</v>
      </c>
      <c r="E18" s="161">
        <f>ROUND(D18+$G$40,3)</f>
        <v>1.7330000000000001</v>
      </c>
      <c r="F18" s="29">
        <f>+C18*SUM(D18)</f>
        <v>536308.4</v>
      </c>
      <c r="G18" s="29">
        <f>+C18*E18</f>
        <v>601957.55000000005</v>
      </c>
      <c r="H18" s="342"/>
      <c r="I18" s="148"/>
      <c r="J18" s="149"/>
    </row>
    <row r="19" spans="1:11" ht="12.75" customHeight="1" thickBot="1">
      <c r="A19" s="11">
        <f t="shared" si="0"/>
        <v>12</v>
      </c>
      <c r="B19" s="10" t="s">
        <v>143</v>
      </c>
      <c r="C19" s="34">
        <f>SUM(C16:C18)</f>
        <v>3493838</v>
      </c>
      <c r="D19" s="53"/>
      <c r="E19" s="32"/>
      <c r="F19" s="35">
        <f>SUM(F16:F18)</f>
        <v>5884060.4000000004</v>
      </c>
      <c r="G19" s="35">
        <f>SUM(G16:G18)</f>
        <v>6545977.6059999997</v>
      </c>
      <c r="I19" s="37"/>
      <c r="J19" s="148"/>
      <c r="K19" s="174"/>
    </row>
    <row r="20" spans="1:11" ht="13.5" thickTop="1">
      <c r="A20" s="11">
        <f t="shared" si="0"/>
        <v>13</v>
      </c>
      <c r="C20" s="93"/>
      <c r="E20" s="32"/>
      <c r="I20" s="148"/>
      <c r="J20" s="149"/>
    </row>
    <row r="21" spans="1:11" ht="13.5" thickBot="1">
      <c r="A21" s="11">
        <f t="shared" si="0"/>
        <v>14</v>
      </c>
      <c r="B21" s="27" t="s">
        <v>144</v>
      </c>
      <c r="C21" s="93"/>
      <c r="E21" s="32"/>
      <c r="F21" s="35">
        <f>+'JAP-23,  p17 Sch 449'!$E$24+'JAP-23,  p18 Sch 459'!$E$18</f>
        <v>1009426.7399157907</v>
      </c>
      <c r="G21" s="63">
        <f>+F21</f>
        <v>1009426.7399157907</v>
      </c>
      <c r="I21" s="148"/>
      <c r="J21" s="149"/>
    </row>
    <row r="22" spans="1:11" ht="13.5" thickTop="1">
      <c r="A22" s="11">
        <f t="shared" si="0"/>
        <v>15</v>
      </c>
      <c r="C22" s="93"/>
      <c r="E22" s="32"/>
      <c r="I22" s="148"/>
      <c r="J22" s="149"/>
    </row>
    <row r="23" spans="1:11" ht="12.75" customHeight="1">
      <c r="A23" s="11">
        <f t="shared" si="0"/>
        <v>16</v>
      </c>
      <c r="B23" s="24" t="s">
        <v>58</v>
      </c>
      <c r="D23" s="37"/>
      <c r="E23" s="37"/>
      <c r="I23" s="148"/>
      <c r="J23" s="149"/>
    </row>
    <row r="24" spans="1:11" ht="12.75" customHeight="1">
      <c r="A24" s="11">
        <f t="shared" si="0"/>
        <v>17</v>
      </c>
      <c r="B24" s="22" t="s">
        <v>145</v>
      </c>
      <c r="C24" s="19">
        <v>-514240</v>
      </c>
      <c r="D24" s="58">
        <f>+'JAP-23,  p17 Sch 449'!$D$26</f>
        <v>5.0000000000000001E-3</v>
      </c>
      <c r="E24" s="77">
        <f>D24*(1+$G$34)</f>
        <v>5.500205417238062E-3</v>
      </c>
      <c r="F24" s="29">
        <f>+C24*SUM(D24)</f>
        <v>-2571.2000000000003</v>
      </c>
      <c r="G24" s="29">
        <f>+E24*C24</f>
        <v>-2828.4256337605011</v>
      </c>
      <c r="H24" s="343" t="s">
        <v>439</v>
      </c>
      <c r="I24" s="148"/>
      <c r="J24" s="149"/>
    </row>
    <row r="25" spans="1:11" ht="12.75" customHeight="1">
      <c r="A25" s="11">
        <f t="shared" si="0"/>
        <v>18</v>
      </c>
      <c r="B25" s="22" t="s">
        <v>146</v>
      </c>
      <c r="C25" s="19">
        <v>-8666003</v>
      </c>
      <c r="D25" s="58">
        <f>+D24</f>
        <v>5.0000000000000001E-3</v>
      </c>
      <c r="E25" s="77">
        <f>D25*(1+$G$34)</f>
        <v>5.500205417238062E-3</v>
      </c>
      <c r="F25" s="29">
        <f>+C25*SUM(D25)</f>
        <v>-43330.014999999999</v>
      </c>
      <c r="G25" s="29">
        <f>+E25*C25</f>
        <v>-47664.796646401301</v>
      </c>
      <c r="H25" s="345"/>
      <c r="I25" s="148"/>
      <c r="J25" s="149"/>
    </row>
    <row r="26" spans="1:11" ht="12.75" customHeight="1">
      <c r="A26" s="11">
        <f t="shared" si="0"/>
        <v>19</v>
      </c>
      <c r="B26" s="22" t="s">
        <v>147</v>
      </c>
      <c r="C26" s="19">
        <v>-1213422</v>
      </c>
      <c r="D26" s="58">
        <f>+'JAP-23,  p18 Sch 459'!$D$20</f>
        <v>5.0000000000000001E-3</v>
      </c>
      <c r="E26" s="77">
        <f>D26*(1+$G$34)</f>
        <v>5.500205417238062E-3</v>
      </c>
      <c r="F26" s="29">
        <f>+C26*SUM(D26)</f>
        <v>-6067.11</v>
      </c>
      <c r="G26" s="29">
        <f>+E26*C26</f>
        <v>-6674.0702577958436</v>
      </c>
      <c r="H26" s="345"/>
      <c r="I26" s="148"/>
      <c r="J26" s="149"/>
    </row>
    <row r="27" spans="1:11" ht="12.75" customHeight="1">
      <c r="A27" s="11">
        <f t="shared" si="0"/>
        <v>20</v>
      </c>
      <c r="B27" s="22"/>
      <c r="C27" s="19"/>
      <c r="D27" s="53"/>
      <c r="E27" s="37"/>
      <c r="F27" s="29"/>
      <c r="G27" s="29"/>
      <c r="I27" s="148"/>
      <c r="J27" s="149"/>
    </row>
    <row r="28" spans="1:11" ht="12.75" customHeight="1" thickBot="1">
      <c r="A28" s="11">
        <f t="shared" si="0"/>
        <v>21</v>
      </c>
      <c r="B28" s="22"/>
      <c r="C28" s="19"/>
      <c r="D28" s="53"/>
      <c r="E28" s="37"/>
      <c r="F28" s="35">
        <f>SUM(F24:F27)</f>
        <v>-51968.324999999997</v>
      </c>
      <c r="G28" s="35">
        <f>SUM(G24:G27)</f>
        <v>-57167.292537957648</v>
      </c>
      <c r="I28" s="37"/>
      <c r="J28" s="148"/>
    </row>
    <row r="29" spans="1:11" ht="13.5" thickTop="1">
      <c r="A29" s="11">
        <f t="shared" si="0"/>
        <v>22</v>
      </c>
      <c r="C29" s="93"/>
      <c r="E29" s="37"/>
      <c r="F29" s="32"/>
      <c r="G29" s="32"/>
      <c r="H29" s="76"/>
      <c r="I29" s="148"/>
      <c r="J29" s="149"/>
    </row>
    <row r="30" spans="1:11" ht="13.5" thickBot="1">
      <c r="A30" s="11">
        <f t="shared" si="0"/>
        <v>23</v>
      </c>
      <c r="B30" s="2" t="s">
        <v>60</v>
      </c>
      <c r="D30" s="37"/>
      <c r="E30" s="37"/>
      <c r="F30" s="35">
        <f>SUM(F13,F19,F28,F21)</f>
        <v>7033518.8149157912</v>
      </c>
      <c r="G30" s="35">
        <f>SUM(G13,G19,G28,G21)</f>
        <v>7737037.0533778332</v>
      </c>
      <c r="I30" s="73"/>
      <c r="J30" s="148"/>
    </row>
    <row r="31" spans="1:11" ht="13.5" thickTop="1">
      <c r="A31" s="11">
        <f t="shared" si="0"/>
        <v>24</v>
      </c>
      <c r="D31" s="29"/>
      <c r="E31" s="29"/>
      <c r="F31" s="29"/>
      <c r="G31" s="29"/>
      <c r="H31" s="76"/>
      <c r="I31" s="21"/>
    </row>
    <row r="32" spans="1:11">
      <c r="A32" s="11">
        <f t="shared" si="0"/>
        <v>25</v>
      </c>
      <c r="B32" s="24" t="s">
        <v>148</v>
      </c>
      <c r="C32" s="37"/>
      <c r="D32" s="29"/>
      <c r="E32" s="29"/>
      <c r="G32" s="29">
        <f>+'JAP-23,  p1 Rate Spread'!J25</f>
        <v>703640.84269334201</v>
      </c>
      <c r="H32" s="136" t="str">
        <f>+'JAP-23,  p41 Rate Des Sch 49'!H19</f>
        <v>Rate Spread Workpapers, Column G</v>
      </c>
    </row>
    <row r="33" spans="1:9">
      <c r="A33" s="11">
        <f t="shared" si="0"/>
        <v>26</v>
      </c>
      <c r="B33" s="24" t="s">
        <v>149</v>
      </c>
      <c r="C33" s="37"/>
      <c r="D33" s="58"/>
      <c r="E33" s="29"/>
      <c r="G33" s="29">
        <f>+G32+F30</f>
        <v>7737159.657609133</v>
      </c>
    </row>
    <row r="34" spans="1:9">
      <c r="A34" s="11">
        <f t="shared" si="0"/>
        <v>27</v>
      </c>
      <c r="B34" s="24" t="s">
        <v>150</v>
      </c>
      <c r="C34" s="37"/>
      <c r="D34" s="58"/>
      <c r="E34" s="29"/>
      <c r="G34" s="147">
        <f>+G32/(F30)</f>
        <v>0.10004108344761233</v>
      </c>
      <c r="H34" s="110" t="s">
        <v>91</v>
      </c>
    </row>
    <row r="35" spans="1:9">
      <c r="A35" s="11">
        <f t="shared" si="0"/>
        <v>28</v>
      </c>
      <c r="B35" s="24"/>
      <c r="D35" s="37"/>
      <c r="E35" s="37"/>
      <c r="F35" s="29"/>
      <c r="G35" s="16"/>
    </row>
    <row r="36" spans="1:9">
      <c r="A36" s="11">
        <f t="shared" si="0"/>
        <v>29</v>
      </c>
      <c r="B36" s="24"/>
      <c r="D36" s="37"/>
      <c r="E36" s="37"/>
      <c r="F36" s="29"/>
      <c r="G36" s="16"/>
    </row>
    <row r="37" spans="1:9">
      <c r="A37" s="11">
        <f t="shared" si="0"/>
        <v>30</v>
      </c>
      <c r="B37" s="24" t="s">
        <v>446</v>
      </c>
      <c r="D37" s="37"/>
      <c r="E37" s="37"/>
      <c r="F37" s="29"/>
      <c r="G37" s="114">
        <f>G33-G13-G28-G21</f>
        <v>6546100.2102312995</v>
      </c>
    </row>
    <row r="38" spans="1:9">
      <c r="A38" s="11">
        <f t="shared" si="0"/>
        <v>31</v>
      </c>
      <c r="B38" s="24" t="s">
        <v>68</v>
      </c>
      <c r="D38" s="37"/>
      <c r="E38" s="37"/>
      <c r="F38" s="29"/>
      <c r="G38" s="114">
        <f>G37-F19</f>
        <v>662039.81023129914</v>
      </c>
    </row>
    <row r="39" spans="1:9">
      <c r="A39" s="11">
        <f t="shared" si="0"/>
        <v>32</v>
      </c>
      <c r="B39" s="24" t="s">
        <v>447</v>
      </c>
      <c r="D39" s="37"/>
      <c r="E39" s="37"/>
      <c r="F39" s="29"/>
      <c r="G39" s="21">
        <f>G38/F19</f>
        <v>0.11251410849407649</v>
      </c>
    </row>
    <row r="40" spans="1:9" ht="13.5" thickBot="1">
      <c r="A40" s="11">
        <f t="shared" si="0"/>
        <v>33</v>
      </c>
      <c r="B40" s="24" t="s">
        <v>448</v>
      </c>
      <c r="D40" s="115"/>
      <c r="E40" s="113"/>
      <c r="F40" s="29"/>
      <c r="G40" s="157">
        <f>ROUND(G38/C19,6)</f>
        <v>0.18948799999999999</v>
      </c>
      <c r="I40" s="81"/>
    </row>
    <row r="41" spans="1:9" ht="13.5" thickBot="1">
      <c r="A41" s="11">
        <f t="shared" si="0"/>
        <v>34</v>
      </c>
      <c r="B41" s="24" t="s">
        <v>92</v>
      </c>
      <c r="E41" s="81"/>
      <c r="F41" s="29"/>
      <c r="G41" s="82">
        <f>+G30-G33</f>
        <v>-122.60423129983246</v>
      </c>
    </row>
    <row r="42" spans="1:9">
      <c r="A42" s="11">
        <f t="shared" si="0"/>
        <v>35</v>
      </c>
      <c r="B42" s="24"/>
      <c r="E42" s="81"/>
      <c r="F42" s="29"/>
      <c r="G42" s="29"/>
    </row>
    <row r="43" spans="1:9">
      <c r="A43" s="11">
        <f t="shared" si="0"/>
        <v>36</v>
      </c>
      <c r="B43" s="24" t="s">
        <v>151</v>
      </c>
      <c r="E43" s="71"/>
      <c r="F43" s="29">
        <f>SUM(F10,F16,F24)</f>
        <v>811495.3600000001</v>
      </c>
      <c r="G43" s="29">
        <f>SUM(G10,G16,G24)</f>
        <v>854870.55036623939</v>
      </c>
      <c r="I43" s="37"/>
    </row>
    <row r="44" spans="1:9">
      <c r="A44" s="11">
        <f t="shared" si="0"/>
        <v>37</v>
      </c>
      <c r="B44" s="24" t="s">
        <v>152</v>
      </c>
      <c r="E44" s="71"/>
      <c r="F44" s="29">
        <f>SUM(F11:F12,F17:F18,F25:F26)</f>
        <v>5212596.7150000008</v>
      </c>
      <c r="G44" s="29">
        <f>SUM(G11:G12,G17:G18,G25:G26)</f>
        <v>5872739.7630958026</v>
      </c>
      <c r="I44" s="37"/>
    </row>
    <row r="45" spans="1:9">
      <c r="A45" s="11">
        <f t="shared" si="0"/>
        <v>38</v>
      </c>
      <c r="B45" s="24" t="s">
        <v>144</v>
      </c>
      <c r="E45" s="71"/>
      <c r="F45" s="29">
        <f>+F21</f>
        <v>1009426.7399157907</v>
      </c>
      <c r="G45" s="29">
        <f>+G21</f>
        <v>1009426.7399157907</v>
      </c>
    </row>
    <row r="46" spans="1:9" ht="13.5" thickBot="1">
      <c r="A46" s="11">
        <f t="shared" si="0"/>
        <v>39</v>
      </c>
      <c r="B46" s="24" t="s">
        <v>167</v>
      </c>
      <c r="E46" s="116"/>
      <c r="F46" s="35">
        <f>SUM(F43:F45)</f>
        <v>7033518.8149157921</v>
      </c>
      <c r="G46" s="35">
        <f>SUM(G43:G45)</f>
        <v>7737037.0533778332</v>
      </c>
    </row>
    <row r="47" spans="1:9" ht="29.25" customHeight="1" thickTop="1">
      <c r="A47" s="346" t="s">
        <v>441</v>
      </c>
      <c r="B47" s="346"/>
      <c r="C47" s="346"/>
      <c r="D47" s="346"/>
      <c r="E47" s="346"/>
      <c r="F47" s="346"/>
      <c r="G47" s="346"/>
      <c r="H47" s="346"/>
    </row>
    <row r="48" spans="1:9">
      <c r="F48" s="29"/>
      <c r="G48" s="29"/>
    </row>
    <row r="49" spans="2:7">
      <c r="B49" s="24" t="s">
        <v>496</v>
      </c>
      <c r="F49" s="29"/>
      <c r="G49" s="29">
        <f>SUM(G24,G16,G10)-SUM(F16,F24,F10)</f>
        <v>43375.190366239287</v>
      </c>
    </row>
    <row r="50" spans="2:7">
      <c r="B50" s="2" t="s">
        <v>495</v>
      </c>
      <c r="F50" s="29"/>
      <c r="G50" s="29">
        <f>SUM(G17:G18,G25:G26,G11:G12)-SUM(F17:F18,F25:F26,F11:F12)+G41</f>
        <v>660020.44386450201</v>
      </c>
    </row>
    <row r="51" spans="2:7">
      <c r="F51" s="29"/>
      <c r="G51" s="29">
        <f>SUM(G49:G50)-G41</f>
        <v>703518.23846204113</v>
      </c>
    </row>
    <row r="52" spans="2:7">
      <c r="F52" s="29"/>
      <c r="G52" s="29"/>
    </row>
    <row r="53" spans="2:7">
      <c r="F53" s="29"/>
      <c r="G53" s="29"/>
    </row>
    <row r="54" spans="2:7">
      <c r="F54" s="29"/>
      <c r="G54" s="29"/>
    </row>
    <row r="55" spans="2:7">
      <c r="F55" s="29"/>
      <c r="G55" s="29"/>
    </row>
    <row r="56" spans="2:7">
      <c r="F56" s="29"/>
      <c r="G56" s="29"/>
    </row>
    <row r="57" spans="2:7">
      <c r="F57" s="29"/>
      <c r="G57" s="29"/>
    </row>
    <row r="58" spans="2:7">
      <c r="F58" s="29"/>
      <c r="G58" s="29"/>
    </row>
  </sheetData>
  <mergeCells count="7">
    <mergeCell ref="A1:H1"/>
    <mergeCell ref="A2:H2"/>
    <mergeCell ref="A3:H3"/>
    <mergeCell ref="A47:H47"/>
    <mergeCell ref="H10:H12"/>
    <mergeCell ref="H24:H26"/>
    <mergeCell ref="H17:H18"/>
  </mergeCells>
  <phoneticPr fontId="11" type="noConversion"/>
  <printOptions horizontalCentered="1"/>
  <pageMargins left="0.25" right="0.25" top="1" bottom="1" header="0.5" footer="0.5"/>
  <pageSetup scale="70" orientation="landscape" r:id="rId1"/>
  <headerFooter alignWithMargins="0">
    <oddFooter>&amp;R&amp;"Times New Roman,Regular"Exhibit No.___(JAP-23)
Page 42 of 49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74"/>
  <sheetViews>
    <sheetView zoomScale="85" zoomScaleNormal="85" workbookViewId="0">
      <selection activeCell="F41" sqref="F41"/>
    </sheetView>
  </sheetViews>
  <sheetFormatPr defaultRowHeight="12.75"/>
  <cols>
    <col min="1" max="1" width="9.140625" style="32"/>
    <col min="2" max="2" width="41" style="32" bestFit="1" customWidth="1"/>
    <col min="3" max="3" width="15" style="32" bestFit="1" customWidth="1"/>
    <col min="4" max="4" width="22.5703125" style="32" bestFit="1" customWidth="1"/>
    <col min="5" max="5" width="13.42578125" style="32" bestFit="1" customWidth="1"/>
    <col min="6" max="6" width="16.42578125" style="32" bestFit="1" customWidth="1"/>
    <col min="7" max="7" width="17.85546875" style="32" bestFit="1" customWidth="1"/>
    <col min="8" max="8" width="9.140625" style="32"/>
    <col min="9" max="9" width="11.42578125" style="32" bestFit="1" customWidth="1"/>
    <col min="10" max="10" width="12.42578125" style="32" bestFit="1" customWidth="1"/>
    <col min="11" max="16384" width="9.140625" style="32"/>
  </cols>
  <sheetData>
    <row r="1" spans="1:14">
      <c r="A1" s="353" t="s">
        <v>8</v>
      </c>
      <c r="B1" s="353"/>
      <c r="C1" s="353"/>
      <c r="D1" s="353"/>
      <c r="E1" s="353"/>
      <c r="F1" s="353"/>
      <c r="G1" s="240"/>
    </row>
    <row r="2" spans="1:14">
      <c r="A2" s="353" t="s">
        <v>313</v>
      </c>
      <c r="B2" s="353"/>
      <c r="C2" s="353"/>
      <c r="D2" s="353"/>
      <c r="E2" s="353"/>
      <c r="F2" s="353"/>
      <c r="G2" s="240"/>
    </row>
    <row r="3" spans="1:14">
      <c r="A3" s="347" t="s">
        <v>527</v>
      </c>
      <c r="B3" s="353"/>
      <c r="C3" s="353"/>
      <c r="D3" s="353"/>
      <c r="E3" s="353"/>
      <c r="F3" s="353"/>
      <c r="G3" s="240"/>
    </row>
    <row r="4" spans="1:14">
      <c r="B4" s="240"/>
      <c r="C4" s="240"/>
      <c r="D4" s="240"/>
      <c r="E4" s="240"/>
      <c r="F4" s="240"/>
      <c r="G4" s="240"/>
    </row>
    <row r="6" spans="1:14">
      <c r="A6" s="179" t="s">
        <v>46</v>
      </c>
      <c r="B6" s="179" t="s">
        <v>47</v>
      </c>
      <c r="C6" s="179" t="s">
        <v>315</v>
      </c>
      <c r="D6" s="179" t="s">
        <v>316</v>
      </c>
      <c r="E6" s="179"/>
      <c r="F6" s="179"/>
    </row>
    <row r="7" spans="1:14" s="167" customFormat="1">
      <c r="B7" s="167" t="s">
        <v>477</v>
      </c>
      <c r="C7" s="133" t="s">
        <v>478</v>
      </c>
      <c r="D7" s="133" t="s">
        <v>479</v>
      </c>
      <c r="E7" s="133" t="s">
        <v>480</v>
      </c>
      <c r="F7" s="133" t="s">
        <v>481</v>
      </c>
      <c r="G7" s="133"/>
      <c r="H7" s="133"/>
      <c r="I7" s="133"/>
      <c r="J7" s="133"/>
      <c r="K7" s="133"/>
      <c r="L7" s="133"/>
      <c r="M7" s="133"/>
      <c r="N7" s="133"/>
    </row>
    <row r="8" spans="1:14" s="167" customFormat="1">
      <c r="B8" s="238" t="s">
        <v>314</v>
      </c>
      <c r="C8" s="243"/>
      <c r="D8" s="243"/>
      <c r="E8" s="243"/>
      <c r="F8" s="244"/>
      <c r="G8" s="133"/>
      <c r="H8" s="133"/>
      <c r="I8" s="133"/>
      <c r="J8" s="133"/>
      <c r="K8" s="133"/>
      <c r="L8" s="133"/>
    </row>
    <row r="9" spans="1:14">
      <c r="A9" s="44">
        <v>1</v>
      </c>
      <c r="B9" s="245" t="s">
        <v>317</v>
      </c>
      <c r="C9" s="118">
        <f>+'JAP-23,  p37 Rate Des Sch 31'!$E$9</f>
        <v>354.89</v>
      </c>
      <c r="D9" s="32" t="s">
        <v>318</v>
      </c>
      <c r="F9" s="246"/>
    </row>
    <row r="10" spans="1:14">
      <c r="A10" s="44">
        <f>+A9+1</f>
        <v>2</v>
      </c>
      <c r="B10" s="245" t="s">
        <v>319</v>
      </c>
      <c r="C10" s="118">
        <f>+'JAP-23,  p35 Rate Des Sch 26'!$E$9</f>
        <v>109.19</v>
      </c>
      <c r="D10" s="103" t="s">
        <v>320</v>
      </c>
      <c r="E10" s="103"/>
      <c r="F10" s="246"/>
    </row>
    <row r="11" spans="1:14">
      <c r="A11" s="44">
        <f t="shared" ref="A11:A43" si="0">+A10+1</f>
        <v>3</v>
      </c>
      <c r="B11" s="247" t="s">
        <v>321</v>
      </c>
      <c r="C11" s="248">
        <f>+'JAP-23,  p34 Rate Des Sch 25'!$E$9</f>
        <v>53.44</v>
      </c>
      <c r="D11" s="249" t="s">
        <v>322</v>
      </c>
      <c r="E11" s="249"/>
      <c r="F11" s="180"/>
    </row>
    <row r="12" spans="1:14">
      <c r="A12" s="44">
        <f t="shared" si="0"/>
        <v>4</v>
      </c>
      <c r="B12" s="241"/>
    </row>
    <row r="13" spans="1:14">
      <c r="A13" s="44">
        <f t="shared" si="0"/>
        <v>5</v>
      </c>
    </row>
    <row r="14" spans="1:14">
      <c r="A14" s="44">
        <f t="shared" si="0"/>
        <v>6</v>
      </c>
      <c r="B14" s="250" t="s">
        <v>323</v>
      </c>
      <c r="C14" s="251"/>
      <c r="D14" s="348"/>
      <c r="E14" s="348"/>
      <c r="F14" s="349"/>
    </row>
    <row r="15" spans="1:14">
      <c r="A15" s="44">
        <f t="shared" si="0"/>
        <v>7</v>
      </c>
      <c r="B15" s="245" t="s">
        <v>324</v>
      </c>
      <c r="C15" s="242"/>
      <c r="D15" s="350" t="s">
        <v>373</v>
      </c>
      <c r="E15" s="351"/>
      <c r="F15" s="352"/>
    </row>
    <row r="16" spans="1:14">
      <c r="A16" s="44">
        <f t="shared" si="0"/>
        <v>8</v>
      </c>
      <c r="B16" s="252" t="s">
        <v>325</v>
      </c>
      <c r="C16" s="98">
        <f>+'JAP-23, p44 Sch 40 Prod &amp; Trans'!H11</f>
        <v>4.21</v>
      </c>
      <c r="F16" s="246"/>
    </row>
    <row r="17" spans="1:6">
      <c r="A17" s="44">
        <f t="shared" si="0"/>
        <v>9</v>
      </c>
      <c r="B17" s="252" t="s">
        <v>326</v>
      </c>
      <c r="C17" s="98">
        <f>+'JAP-23, p44 Sch 40 Prod &amp; Trans'!H12</f>
        <v>4.3</v>
      </c>
      <c r="F17" s="246"/>
    </row>
    <row r="18" spans="1:6">
      <c r="A18" s="44">
        <f t="shared" si="0"/>
        <v>10</v>
      </c>
      <c r="B18" s="252" t="s">
        <v>327</v>
      </c>
      <c r="C18" s="98">
        <f>+'JAP-23, p44 Sch 40 Prod &amp; Trans'!H13</f>
        <v>4.4000000000000004</v>
      </c>
      <c r="F18" s="246"/>
    </row>
    <row r="19" spans="1:6">
      <c r="A19" s="44">
        <f t="shared" si="0"/>
        <v>11</v>
      </c>
      <c r="B19" s="245"/>
      <c r="F19" s="246"/>
    </row>
    <row r="20" spans="1:6">
      <c r="A20" s="44">
        <f t="shared" si="0"/>
        <v>12</v>
      </c>
      <c r="B20" s="245" t="s">
        <v>328</v>
      </c>
      <c r="D20" s="350" t="s">
        <v>372</v>
      </c>
      <c r="E20" s="351"/>
      <c r="F20" s="352"/>
    </row>
    <row r="21" spans="1:6">
      <c r="A21" s="44">
        <f t="shared" si="0"/>
        <v>13</v>
      </c>
      <c r="B21" s="252" t="s">
        <v>325</v>
      </c>
      <c r="C21" s="171">
        <f>+'JAP-23, p44 Sch 40 Prod &amp; Trans'!G16</f>
        <v>5.8076000000000003E-2</v>
      </c>
      <c r="F21" s="246"/>
    </row>
    <row r="22" spans="1:6">
      <c r="A22" s="44">
        <f t="shared" si="0"/>
        <v>14</v>
      </c>
      <c r="B22" s="252" t="s">
        <v>326</v>
      </c>
      <c r="C22" s="171">
        <f>+'JAP-23, p44 Sch 40 Prod &amp; Trans'!G17</f>
        <v>5.9068000000000002E-2</v>
      </c>
      <c r="F22" s="246"/>
    </row>
    <row r="23" spans="1:6">
      <c r="A23" s="44">
        <f t="shared" si="0"/>
        <v>15</v>
      </c>
      <c r="B23" s="253" t="s">
        <v>327</v>
      </c>
      <c r="C23" s="254">
        <f>+'JAP-23, p44 Sch 40 Prod &amp; Trans'!G18</f>
        <v>6.0581000000000003E-2</v>
      </c>
      <c r="D23" s="179"/>
      <c r="E23" s="179"/>
      <c r="F23" s="180"/>
    </row>
    <row r="24" spans="1:6">
      <c r="A24" s="44">
        <f t="shared" si="0"/>
        <v>16</v>
      </c>
      <c r="B24" s="241"/>
    </row>
    <row r="25" spans="1:6">
      <c r="A25" s="44">
        <f t="shared" si="0"/>
        <v>17</v>
      </c>
      <c r="B25" s="255" t="s">
        <v>329</v>
      </c>
      <c r="C25" s="251"/>
      <c r="D25" s="251"/>
      <c r="E25" s="251"/>
      <c r="F25" s="256"/>
    </row>
    <row r="26" spans="1:6">
      <c r="A26" s="44">
        <f t="shared" si="0"/>
        <v>18</v>
      </c>
      <c r="B26" s="252" t="s">
        <v>326</v>
      </c>
      <c r="C26" s="124">
        <f>+'JAP-23,  p37 Rate Des Sch 31'!$E$23*100</f>
        <v>0.11100000000000002</v>
      </c>
      <c r="D26" s="32" t="s">
        <v>318</v>
      </c>
      <c r="F26" s="246"/>
    </row>
    <row r="27" spans="1:6">
      <c r="A27" s="44">
        <f t="shared" si="0"/>
        <v>19</v>
      </c>
      <c r="B27" s="253" t="s">
        <v>327</v>
      </c>
      <c r="C27" s="257">
        <f>+'JAP-23,  p35 Rate Des Sch 26'!$E$25*100</f>
        <v>0.13</v>
      </c>
      <c r="D27" s="249" t="s">
        <v>320</v>
      </c>
      <c r="E27" s="179"/>
      <c r="F27" s="180"/>
    </row>
    <row r="28" spans="1:6">
      <c r="A28" s="44">
        <f t="shared" si="0"/>
        <v>20</v>
      </c>
      <c r="B28" s="241"/>
    </row>
    <row r="29" spans="1:6">
      <c r="A29" s="44">
        <f t="shared" si="0"/>
        <v>21</v>
      </c>
    </row>
    <row r="30" spans="1:6">
      <c r="A30" s="44">
        <f t="shared" si="0"/>
        <v>22</v>
      </c>
      <c r="B30" s="238" t="s">
        <v>330</v>
      </c>
      <c r="C30" s="251" t="s">
        <v>331</v>
      </c>
      <c r="D30" s="251" t="s">
        <v>332</v>
      </c>
      <c r="E30" s="251" t="s">
        <v>333</v>
      </c>
      <c r="F30" s="256" t="s">
        <v>334</v>
      </c>
    </row>
    <row r="31" spans="1:6">
      <c r="A31" s="44">
        <f t="shared" si="0"/>
        <v>23</v>
      </c>
      <c r="B31" s="255" t="s">
        <v>360</v>
      </c>
      <c r="C31" s="276">
        <f>SUM(D31:F31)</f>
        <v>1.73</v>
      </c>
      <c r="D31" s="276">
        <v>0.2</v>
      </c>
      <c r="E31" s="276">
        <v>1.0900000000000001</v>
      </c>
      <c r="F31" s="277">
        <v>0.44</v>
      </c>
    </row>
    <row r="32" spans="1:6">
      <c r="A32" s="44">
        <f t="shared" si="0"/>
        <v>24</v>
      </c>
      <c r="B32" s="258" t="s">
        <v>361</v>
      </c>
      <c r="C32" s="98">
        <f t="shared" ref="C32:C38" si="1">SUM(D32:F32)</f>
        <v>5.96</v>
      </c>
      <c r="D32" s="98">
        <v>0.54</v>
      </c>
      <c r="E32" s="98">
        <v>3.76</v>
      </c>
      <c r="F32" s="259">
        <v>1.66</v>
      </c>
    </row>
    <row r="33" spans="1:6">
      <c r="A33" s="44">
        <f t="shared" si="0"/>
        <v>25</v>
      </c>
      <c r="B33" s="258" t="s">
        <v>362</v>
      </c>
      <c r="C33" s="98">
        <f t="shared" si="1"/>
        <v>1.8599999999999999</v>
      </c>
      <c r="D33" s="98">
        <v>0</v>
      </c>
      <c r="E33" s="98">
        <v>1.18</v>
      </c>
      <c r="F33" s="259">
        <v>0.68</v>
      </c>
    </row>
    <row r="34" spans="1:6">
      <c r="A34" s="44">
        <f t="shared" si="0"/>
        <v>26</v>
      </c>
      <c r="B34" s="258" t="s">
        <v>363</v>
      </c>
      <c r="C34" s="98">
        <f t="shared" si="1"/>
        <v>0.84000000000000008</v>
      </c>
      <c r="D34" s="98">
        <v>0.17</v>
      </c>
      <c r="E34" s="98">
        <v>0.25</v>
      </c>
      <c r="F34" s="259">
        <v>0.42</v>
      </c>
    </row>
    <row r="35" spans="1:6">
      <c r="A35" s="44">
        <f t="shared" si="0"/>
        <v>27</v>
      </c>
      <c r="B35" s="258" t="s">
        <v>364</v>
      </c>
      <c r="C35" s="98">
        <f t="shared" si="1"/>
        <v>4.58</v>
      </c>
      <c r="D35" s="98">
        <v>0.14000000000000001</v>
      </c>
      <c r="E35" s="98">
        <v>3.54</v>
      </c>
      <c r="F35" s="259">
        <v>0.9</v>
      </c>
    </row>
    <row r="36" spans="1:6">
      <c r="A36" s="44">
        <f t="shared" si="0"/>
        <v>28</v>
      </c>
      <c r="B36" s="258" t="s">
        <v>365</v>
      </c>
      <c r="C36" s="98">
        <f>SUM(D36:F36)</f>
        <v>0.8899999999999999</v>
      </c>
      <c r="D36" s="98">
        <v>0</v>
      </c>
      <c r="E36" s="98">
        <v>0.69</v>
      </c>
      <c r="F36" s="259">
        <v>0.2</v>
      </c>
    </row>
    <row r="37" spans="1:6">
      <c r="A37" s="44">
        <f t="shared" si="0"/>
        <v>29</v>
      </c>
      <c r="B37" s="258" t="s">
        <v>366</v>
      </c>
      <c r="C37" s="98">
        <f t="shared" si="1"/>
        <v>1.9100000000000001</v>
      </c>
      <c r="D37" s="98">
        <v>0</v>
      </c>
      <c r="E37" s="98">
        <v>0.63</v>
      </c>
      <c r="F37" s="259">
        <v>1.28</v>
      </c>
    </row>
    <row r="38" spans="1:6">
      <c r="A38" s="44">
        <f t="shared" si="0"/>
        <v>30</v>
      </c>
      <c r="B38" s="258" t="s">
        <v>367</v>
      </c>
      <c r="C38" s="98">
        <f t="shared" si="1"/>
        <v>1.8699999999999999</v>
      </c>
      <c r="D38" s="98">
        <v>0.08</v>
      </c>
      <c r="E38" s="98">
        <v>0.16</v>
      </c>
      <c r="F38" s="259">
        <v>1.63</v>
      </c>
    </row>
    <row r="39" spans="1:6">
      <c r="A39" s="319">
        <f t="shared" si="0"/>
        <v>31</v>
      </c>
      <c r="B39" s="258" t="s">
        <v>432</v>
      </c>
      <c r="C39" s="98">
        <f t="shared" ref="C39:C41" si="2">SUM(D39:F39)</f>
        <v>5.98</v>
      </c>
      <c r="D39" s="98">
        <v>0.56000000000000005</v>
      </c>
      <c r="E39" s="98">
        <v>1.93</v>
      </c>
      <c r="F39" s="259">
        <v>3.49</v>
      </c>
    </row>
    <row r="40" spans="1:6">
      <c r="A40" s="326">
        <f t="shared" si="0"/>
        <v>32</v>
      </c>
      <c r="B40" s="258" t="s">
        <v>555</v>
      </c>
      <c r="C40" s="98">
        <f t="shared" ref="C40" si="3">SUM(D40:F40)</f>
        <v>1.44</v>
      </c>
      <c r="D40" s="98">
        <v>0.41</v>
      </c>
      <c r="E40" s="98">
        <v>0.79</v>
      </c>
      <c r="F40" s="259">
        <v>0.24</v>
      </c>
    </row>
    <row r="41" spans="1:6">
      <c r="A41" s="326">
        <f t="shared" si="0"/>
        <v>33</v>
      </c>
      <c r="B41" s="260" t="s">
        <v>562</v>
      </c>
      <c r="C41" s="261">
        <f t="shared" si="2"/>
        <v>2.31</v>
      </c>
      <c r="D41" s="261">
        <v>0.31</v>
      </c>
      <c r="E41" s="261">
        <v>1.27</v>
      </c>
      <c r="F41" s="262">
        <v>0.73</v>
      </c>
    </row>
    <row r="42" spans="1:6">
      <c r="A42" s="44">
        <f t="shared" si="0"/>
        <v>34</v>
      </c>
      <c r="C42" s="98"/>
      <c r="D42" s="98"/>
      <c r="E42" s="98"/>
      <c r="F42" s="98"/>
    </row>
    <row r="43" spans="1:6">
      <c r="A43" s="44">
        <f t="shared" si="0"/>
        <v>35</v>
      </c>
      <c r="B43" s="347" t="s">
        <v>550</v>
      </c>
      <c r="C43" s="347"/>
      <c r="D43" s="347"/>
      <c r="E43" s="347"/>
      <c r="F43" s="347"/>
    </row>
    <row r="44" spans="1:6">
      <c r="C44" s="98"/>
      <c r="D44" s="98"/>
      <c r="E44" s="98"/>
      <c r="F44" s="98"/>
    </row>
    <row r="45" spans="1:6">
      <c r="C45" s="98"/>
      <c r="D45" s="98"/>
      <c r="E45" s="98"/>
      <c r="F45" s="98"/>
    </row>
    <row r="46" spans="1:6">
      <c r="C46" s="98"/>
      <c r="D46" s="98"/>
      <c r="E46" s="98"/>
      <c r="F46" s="98"/>
    </row>
    <row r="47" spans="1:6">
      <c r="C47" s="98"/>
      <c r="D47" s="98"/>
      <c r="E47" s="98"/>
      <c r="F47" s="98"/>
    </row>
    <row r="48" spans="1:6">
      <c r="C48" s="98"/>
      <c r="D48" s="98"/>
      <c r="E48" s="98"/>
      <c r="F48" s="98"/>
    </row>
    <row r="49" spans="3:6">
      <c r="C49" s="98"/>
      <c r="D49" s="98"/>
      <c r="E49" s="98"/>
      <c r="F49" s="98"/>
    </row>
    <row r="50" spans="3:6">
      <c r="C50" s="98"/>
      <c r="D50" s="98"/>
      <c r="E50" s="98"/>
      <c r="F50" s="98"/>
    </row>
    <row r="51" spans="3:6">
      <c r="C51" s="98"/>
      <c r="D51" s="98"/>
      <c r="E51" s="98"/>
      <c r="F51" s="98"/>
    </row>
    <row r="52" spans="3:6">
      <c r="C52" s="98"/>
      <c r="D52" s="98"/>
      <c r="E52" s="98"/>
      <c r="F52" s="98"/>
    </row>
    <row r="53" spans="3:6">
      <c r="C53" s="98"/>
      <c r="D53" s="98"/>
      <c r="E53" s="98"/>
      <c r="F53" s="98"/>
    </row>
    <row r="54" spans="3:6">
      <c r="C54" s="98"/>
      <c r="D54" s="98"/>
      <c r="E54" s="98"/>
      <c r="F54" s="98"/>
    </row>
    <row r="55" spans="3:6">
      <c r="C55" s="98"/>
      <c r="D55" s="98"/>
      <c r="E55" s="98"/>
      <c r="F55" s="98"/>
    </row>
    <row r="56" spans="3:6">
      <c r="C56" s="98"/>
      <c r="D56" s="98"/>
      <c r="E56" s="98"/>
      <c r="F56" s="98"/>
    </row>
    <row r="57" spans="3:6">
      <c r="C57" s="98"/>
      <c r="D57" s="98"/>
      <c r="E57" s="98"/>
      <c r="F57" s="98"/>
    </row>
    <row r="58" spans="3:6">
      <c r="C58" s="98"/>
      <c r="D58" s="98"/>
      <c r="E58" s="98"/>
      <c r="F58" s="98"/>
    </row>
    <row r="59" spans="3:6">
      <c r="C59" s="98"/>
      <c r="D59" s="98"/>
      <c r="E59" s="98"/>
      <c r="F59" s="98"/>
    </row>
    <row r="60" spans="3:6">
      <c r="C60" s="98"/>
      <c r="D60" s="98"/>
      <c r="E60" s="98"/>
      <c r="F60" s="98"/>
    </row>
    <row r="61" spans="3:6">
      <c r="C61" s="98"/>
      <c r="D61" s="98"/>
      <c r="E61" s="98"/>
      <c r="F61" s="98"/>
    </row>
    <row r="62" spans="3:6">
      <c r="C62" s="98"/>
      <c r="D62" s="98"/>
      <c r="E62" s="98"/>
      <c r="F62" s="98"/>
    </row>
    <row r="63" spans="3:6">
      <c r="C63" s="98"/>
      <c r="D63" s="98"/>
      <c r="E63" s="98"/>
      <c r="F63" s="98"/>
    </row>
    <row r="64" spans="3:6">
      <c r="C64" s="98"/>
      <c r="D64" s="98"/>
      <c r="E64" s="98"/>
      <c r="F64" s="98"/>
    </row>
    <row r="65" spans="3:6">
      <c r="C65" s="98"/>
      <c r="D65" s="98"/>
      <c r="E65" s="98"/>
      <c r="F65" s="98"/>
    </row>
    <row r="66" spans="3:6">
      <c r="C66" s="98"/>
      <c r="D66" s="98"/>
      <c r="E66" s="98"/>
      <c r="F66" s="98"/>
    </row>
    <row r="67" spans="3:6">
      <c r="C67" s="98"/>
      <c r="D67" s="98"/>
      <c r="E67" s="98"/>
      <c r="F67" s="98"/>
    </row>
    <row r="68" spans="3:6">
      <c r="C68" s="98"/>
      <c r="D68" s="98"/>
      <c r="E68" s="98"/>
      <c r="F68" s="98"/>
    </row>
    <row r="69" spans="3:6">
      <c r="C69" s="98"/>
      <c r="D69" s="98"/>
      <c r="E69" s="98"/>
      <c r="F69" s="98"/>
    </row>
    <row r="70" spans="3:6">
      <c r="C70" s="98"/>
      <c r="D70" s="98"/>
      <c r="E70" s="98"/>
      <c r="F70" s="98"/>
    </row>
    <row r="71" spans="3:6">
      <c r="C71" s="98"/>
      <c r="D71" s="98"/>
      <c r="E71" s="98"/>
      <c r="F71" s="98"/>
    </row>
    <row r="72" spans="3:6">
      <c r="C72" s="98"/>
      <c r="D72" s="98"/>
      <c r="E72" s="98"/>
      <c r="F72" s="98"/>
    </row>
    <row r="73" spans="3:6">
      <c r="C73" s="98"/>
      <c r="D73" s="98"/>
      <c r="E73" s="98"/>
      <c r="F73" s="98"/>
    </row>
    <row r="74" spans="3:6">
      <c r="C74" s="98"/>
      <c r="D74" s="98"/>
      <c r="E74" s="98"/>
      <c r="F74" s="98"/>
    </row>
  </sheetData>
  <mergeCells count="7">
    <mergeCell ref="B43:F43"/>
    <mergeCell ref="D14:F14"/>
    <mergeCell ref="D15:F15"/>
    <mergeCell ref="A1:F1"/>
    <mergeCell ref="A2:F2"/>
    <mergeCell ref="A3:F3"/>
    <mergeCell ref="D20:F20"/>
  </mergeCells>
  <phoneticPr fontId="0" type="noConversion"/>
  <printOptions horizontalCentered="1"/>
  <pageMargins left="0.25" right="0.25" top="1" bottom="1.17" header="0.5" footer="0.5"/>
  <pageSetup scale="85" orientation="landscape" r:id="rId1"/>
  <headerFooter alignWithMargins="0">
    <oddFooter>&amp;R&amp;"Times New Roman,Regular"Exhibit No.___(JAP-23)
Page 43 of 49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3"/>
  <sheetViews>
    <sheetView zoomScaleNormal="100" workbookViewId="0">
      <selection activeCell="C27" sqref="C27"/>
    </sheetView>
  </sheetViews>
  <sheetFormatPr defaultColWidth="9" defaultRowHeight="12.75"/>
  <cols>
    <col min="1" max="1" width="7.85546875" style="2" bestFit="1" customWidth="1"/>
    <col min="2" max="2" width="40.5703125" style="2" bestFit="1" customWidth="1"/>
    <col min="3" max="3" width="14.28515625" style="2" bestFit="1" customWidth="1"/>
    <col min="4" max="4" width="6.28515625" style="2" bestFit="1" customWidth="1"/>
    <col min="5" max="5" width="12.28515625" style="2" bestFit="1" customWidth="1"/>
    <col min="6" max="6" width="10.42578125" style="2" bestFit="1" customWidth="1"/>
    <col min="7" max="7" width="12.28515625" style="2" bestFit="1" customWidth="1"/>
    <col min="8" max="8" width="11.28515625" style="2" bestFit="1" customWidth="1"/>
    <col min="9" max="9" width="12.28515625" style="2" bestFit="1" customWidth="1"/>
    <col min="10" max="10" width="15.42578125" style="2" customWidth="1"/>
    <col min="11" max="11" width="12.28515625" style="2" bestFit="1" customWidth="1"/>
    <col min="12" max="12" width="11.28515625" style="2" bestFit="1" customWidth="1"/>
    <col min="13" max="13" width="12.28515625" style="2" bestFit="1" customWidth="1"/>
    <col min="14" max="14" width="10.42578125" style="2" bestFit="1" customWidth="1"/>
    <col min="15" max="16384" width="9" style="2"/>
  </cols>
  <sheetData>
    <row r="1" spans="1:13" s="32" customFormat="1">
      <c r="A1" s="353" t="s">
        <v>8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</row>
    <row r="2" spans="1:13" s="32" customFormat="1">
      <c r="A2" s="353" t="s">
        <v>211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</row>
    <row r="3" spans="1:13" s="32" customFormat="1">
      <c r="A3" s="353" t="s">
        <v>453</v>
      </c>
      <c r="B3" s="353"/>
      <c r="C3" s="353"/>
      <c r="D3" s="353"/>
      <c r="E3" s="353"/>
      <c r="F3" s="353"/>
      <c r="G3" s="353"/>
      <c r="H3" s="353"/>
      <c r="I3" s="353"/>
      <c r="J3" s="353"/>
      <c r="K3" s="353"/>
      <c r="L3" s="353"/>
    </row>
    <row r="4" spans="1:13" s="32" customFormat="1">
      <c r="A4" s="353" t="s">
        <v>454</v>
      </c>
      <c r="B4" s="353"/>
      <c r="C4" s="353"/>
      <c r="D4" s="353"/>
      <c r="E4" s="353"/>
      <c r="F4" s="353"/>
      <c r="G4" s="353"/>
      <c r="H4" s="353"/>
      <c r="I4" s="353"/>
      <c r="J4" s="353"/>
      <c r="K4" s="353"/>
      <c r="L4" s="353"/>
    </row>
    <row r="5" spans="1:13" s="32" customFormat="1"/>
    <row r="6" spans="1:13" s="32" customFormat="1"/>
    <row r="7" spans="1:13" s="32" customFormat="1">
      <c r="B7" s="336" t="s">
        <v>455</v>
      </c>
      <c r="C7" s="354"/>
      <c r="D7" s="354"/>
      <c r="E7" s="354"/>
      <c r="F7" s="354"/>
      <c r="G7" s="354"/>
      <c r="H7" s="354"/>
      <c r="I7" s="354"/>
      <c r="J7" s="354"/>
      <c r="K7" s="354"/>
      <c r="L7" s="339"/>
    </row>
    <row r="8" spans="1:13" s="32" customFormat="1" ht="51">
      <c r="A8" s="263" t="s">
        <v>46</v>
      </c>
      <c r="B8" s="264" t="s">
        <v>47</v>
      </c>
      <c r="C8" s="265" t="s">
        <v>528</v>
      </c>
      <c r="D8" s="266" t="s">
        <v>335</v>
      </c>
      <c r="E8" s="265" t="s">
        <v>456</v>
      </c>
      <c r="F8" s="265" t="s">
        <v>457</v>
      </c>
      <c r="G8" s="265" t="s">
        <v>336</v>
      </c>
      <c r="H8" s="265" t="s">
        <v>458</v>
      </c>
      <c r="I8" s="266" t="s">
        <v>165</v>
      </c>
      <c r="J8" s="265" t="s">
        <v>529</v>
      </c>
      <c r="K8" s="265" t="s">
        <v>530</v>
      </c>
      <c r="L8" s="267" t="s">
        <v>459</v>
      </c>
      <c r="M8" s="133"/>
    </row>
    <row r="9" spans="1:13" s="44" customFormat="1">
      <c r="C9" s="167" t="s">
        <v>370</v>
      </c>
      <c r="D9" s="44" t="s">
        <v>371</v>
      </c>
      <c r="E9" s="133" t="s">
        <v>460</v>
      </c>
      <c r="F9" s="167" t="s">
        <v>461</v>
      </c>
      <c r="G9" s="133" t="s">
        <v>462</v>
      </c>
      <c r="H9" s="167" t="s">
        <v>463</v>
      </c>
      <c r="I9" s="167" t="s">
        <v>464</v>
      </c>
      <c r="J9" s="133" t="s">
        <v>465</v>
      </c>
      <c r="K9" s="133" t="s">
        <v>466</v>
      </c>
      <c r="L9" s="133" t="s">
        <v>467</v>
      </c>
      <c r="M9" s="133"/>
    </row>
    <row r="10" spans="1:13" s="44" customFormat="1">
      <c r="A10" s="44">
        <v>1</v>
      </c>
      <c r="B10" s="333" t="s">
        <v>468</v>
      </c>
      <c r="C10" s="335"/>
      <c r="D10" s="335"/>
      <c r="E10" s="335"/>
      <c r="F10" s="335"/>
      <c r="G10" s="335"/>
      <c r="H10" s="335"/>
      <c r="I10" s="335"/>
      <c r="J10" s="335"/>
      <c r="K10" s="335"/>
      <c r="L10" s="334"/>
      <c r="M10" s="133"/>
    </row>
    <row r="11" spans="1:13">
      <c r="A11" s="44">
        <f>+A10+1</f>
        <v>2</v>
      </c>
      <c r="B11" s="168" t="s">
        <v>325</v>
      </c>
      <c r="C11" s="169">
        <v>3.98</v>
      </c>
      <c r="D11" s="107">
        <f>ROUND('JAP-23,  p45 Sch 40 FCR Rates'!H14,2)</f>
        <v>0.92</v>
      </c>
      <c r="E11" s="98">
        <f>+C11*D11</f>
        <v>3.6616</v>
      </c>
      <c r="F11" s="98"/>
      <c r="G11" s="118">
        <f>+'JAP-23,  p41 Rate Des Sch 49'!$E$15</f>
        <v>3.87</v>
      </c>
      <c r="H11" s="118">
        <f>ROUND(+G11/D11,2)</f>
        <v>4.21</v>
      </c>
      <c r="I11" s="19">
        <v>0</v>
      </c>
      <c r="J11" s="17">
        <f>+I11*C11</f>
        <v>0</v>
      </c>
      <c r="K11" s="17">
        <f>+I11*H11</f>
        <v>0</v>
      </c>
      <c r="L11" s="17">
        <f>+K11-J11</f>
        <v>0</v>
      </c>
    </row>
    <row r="12" spans="1:13">
      <c r="A12" s="44">
        <f t="shared" ref="A12:A33" si="0">+A11+1</f>
        <v>3</v>
      </c>
      <c r="B12" s="168" t="s">
        <v>326</v>
      </c>
      <c r="C12" s="169">
        <v>4.07</v>
      </c>
      <c r="D12" s="143">
        <f>+D11</f>
        <v>0.92</v>
      </c>
      <c r="E12" s="98">
        <f>+C12*D12</f>
        <v>3.7444000000000006</v>
      </c>
      <c r="F12" s="14">
        <f>(+E12-$E$11)/E12</f>
        <v>2.2113022113022282E-2</v>
      </c>
      <c r="G12" s="118">
        <f>+G11*(1+F12)</f>
        <v>3.9555773955773965</v>
      </c>
      <c r="H12" s="118">
        <f>ROUND(+G12/D12,2)</f>
        <v>4.3</v>
      </c>
      <c r="I12" s="19">
        <f>SUM('JAP-23,  p13 Campus Sch 40'!E29)</f>
        <v>700478</v>
      </c>
      <c r="J12" s="17">
        <f>+I12*C12</f>
        <v>2850945.4600000004</v>
      </c>
      <c r="K12" s="17">
        <f>+I12*H12</f>
        <v>3012055.4</v>
      </c>
      <c r="L12" s="17">
        <f>+K12-J12</f>
        <v>161109.93999999948</v>
      </c>
      <c r="M12" s="16"/>
    </row>
    <row r="13" spans="1:13">
      <c r="A13" s="44">
        <f t="shared" si="0"/>
        <v>4</v>
      </c>
      <c r="B13" s="168" t="s">
        <v>327</v>
      </c>
      <c r="C13" s="169">
        <v>4.17</v>
      </c>
      <c r="D13" s="143">
        <f>+D12</f>
        <v>0.92</v>
      </c>
      <c r="E13" s="98">
        <f>+C13*D13</f>
        <v>3.8364000000000003</v>
      </c>
      <c r="F13" s="14">
        <f>(+E13-$E$11)/E13</f>
        <v>4.5563549160671533E-2</v>
      </c>
      <c r="G13" s="118">
        <f>+G11*(1+F13)</f>
        <v>4.0463309352517989</v>
      </c>
      <c r="H13" s="118">
        <f>ROUND(+G13/D13,2)</f>
        <v>4.4000000000000004</v>
      </c>
      <c r="I13" s="19">
        <f>+'JAP-23,  p13 Campus Sch 40'!E28</f>
        <v>665595</v>
      </c>
      <c r="J13" s="17">
        <f>+I13*C13</f>
        <v>2775531.15</v>
      </c>
      <c r="K13" s="17">
        <f>+I13*H13</f>
        <v>2928618.0000000005</v>
      </c>
      <c r="L13" s="17">
        <f>+K13-J13</f>
        <v>153086.85000000056</v>
      </c>
      <c r="M13" s="16"/>
    </row>
    <row r="14" spans="1:13">
      <c r="A14" s="44">
        <f t="shared" si="0"/>
        <v>5</v>
      </c>
      <c r="B14" s="168"/>
      <c r="C14" s="169"/>
      <c r="D14" s="143"/>
      <c r="E14" s="98"/>
      <c r="F14" s="14"/>
      <c r="G14" s="118"/>
      <c r="H14" s="118"/>
      <c r="I14" s="19"/>
      <c r="J14" s="17"/>
      <c r="K14" s="17"/>
      <c r="L14" s="17"/>
      <c r="M14" s="16"/>
    </row>
    <row r="15" spans="1:13">
      <c r="A15" s="44">
        <f t="shared" si="0"/>
        <v>6</v>
      </c>
      <c r="B15" s="333" t="s">
        <v>469</v>
      </c>
      <c r="C15" s="335"/>
      <c r="D15" s="335"/>
      <c r="E15" s="335"/>
      <c r="F15" s="335"/>
      <c r="G15" s="335"/>
      <c r="H15" s="335"/>
      <c r="I15" s="335"/>
      <c r="J15" s="335"/>
      <c r="K15" s="335"/>
      <c r="L15" s="334"/>
    </row>
    <row r="16" spans="1:13">
      <c r="A16" s="44">
        <f t="shared" si="0"/>
        <v>7</v>
      </c>
      <c r="B16" s="168" t="s">
        <v>325</v>
      </c>
      <c r="C16" s="170">
        <v>5.3779E-2</v>
      </c>
      <c r="D16" s="168"/>
      <c r="E16" s="170"/>
      <c r="F16" s="32"/>
      <c r="G16" s="171">
        <f>+'JAP-23,  p41 Rate Des Sch 49'!$E$10</f>
        <v>5.8076000000000003E-2</v>
      </c>
      <c r="H16" s="172"/>
      <c r="I16" s="19">
        <v>0</v>
      </c>
      <c r="J16" s="17">
        <f>+I16*C16</f>
        <v>0</v>
      </c>
      <c r="K16" s="17">
        <f>+I16*G16</f>
        <v>0</v>
      </c>
      <c r="L16" s="17">
        <f>+K16-J16</f>
        <v>0</v>
      </c>
    </row>
    <row r="17" spans="1:12">
      <c r="A17" s="44">
        <f t="shared" si="0"/>
        <v>8</v>
      </c>
      <c r="B17" s="168" t="s">
        <v>326</v>
      </c>
      <c r="C17" s="170">
        <v>5.4713999999999999E-2</v>
      </c>
      <c r="D17" s="168"/>
      <c r="E17" s="170"/>
      <c r="F17" s="14">
        <f>(+C17-$C$16)/C17</f>
        <v>1.708886208283069E-2</v>
      </c>
      <c r="G17" s="171">
        <f>ROUND(+G16*(1+F17),6)</f>
        <v>5.9068000000000002E-2</v>
      </c>
      <c r="H17" s="171"/>
      <c r="I17" s="19">
        <f>+'JAP-23,  p13 Campus Sch 40'!E25</f>
        <v>410442625.85612887</v>
      </c>
      <c r="J17" s="17">
        <f>+I17*C17</f>
        <v>22456957.831092235</v>
      </c>
      <c r="K17" s="17">
        <f>+I17*G17</f>
        <v>24244025.02406982</v>
      </c>
      <c r="L17" s="17">
        <f>+K17-J17</f>
        <v>1787067.1929775849</v>
      </c>
    </row>
    <row r="18" spans="1:12">
      <c r="A18" s="44">
        <f t="shared" si="0"/>
        <v>9</v>
      </c>
      <c r="B18" s="168" t="s">
        <v>327</v>
      </c>
      <c r="C18" s="170">
        <v>5.6203000000000003E-2</v>
      </c>
      <c r="D18" s="168"/>
      <c r="E18" s="170"/>
      <c r="F18" s="14">
        <f>(+C18-$C$16)/C18</f>
        <v>4.3129370318310455E-2</v>
      </c>
      <c r="G18" s="171">
        <f>ROUND(+G16*(1+F18),6)</f>
        <v>6.0581000000000003E-2</v>
      </c>
      <c r="H18" s="171"/>
      <c r="I18" s="19">
        <f>+'JAP-23,  p13 Campus Sch 40'!E19</f>
        <v>347894599.41000998</v>
      </c>
      <c r="J18" s="17">
        <f>+I18*C18</f>
        <v>19552720.170640793</v>
      </c>
      <c r="K18" s="17">
        <f>+I18*G18</f>
        <v>21075802.726857815</v>
      </c>
      <c r="L18" s="17">
        <f>+K18-J18</f>
        <v>1523082.5562170222</v>
      </c>
    </row>
    <row r="19" spans="1:12">
      <c r="A19" s="44">
        <f t="shared" si="0"/>
        <v>10</v>
      </c>
      <c r="B19" s="32"/>
      <c r="C19" s="32"/>
      <c r="D19" s="32"/>
      <c r="E19" s="32"/>
      <c r="F19" s="32"/>
      <c r="G19" s="32"/>
      <c r="H19" s="32"/>
      <c r="I19" s="19"/>
      <c r="J19" s="17"/>
      <c r="K19" s="32"/>
      <c r="L19" s="32"/>
    </row>
    <row r="20" spans="1:12">
      <c r="A20" s="44">
        <f t="shared" si="0"/>
        <v>11</v>
      </c>
      <c r="B20" s="103" t="s">
        <v>337</v>
      </c>
      <c r="C20" s="17">
        <f>+'JAP-23,  p13 Campus Sch 40'!J16</f>
        <v>17342.649999999994</v>
      </c>
      <c r="D20" s="103"/>
      <c r="E20" s="103"/>
      <c r="F20" s="103"/>
      <c r="G20" s="32"/>
      <c r="H20" s="32"/>
      <c r="I20" s="19"/>
      <c r="J20" s="17"/>
      <c r="K20" s="32"/>
      <c r="L20" s="32"/>
    </row>
    <row r="21" spans="1:12">
      <c r="A21" s="44">
        <f t="shared" si="0"/>
        <v>12</v>
      </c>
      <c r="B21" s="103" t="s">
        <v>338</v>
      </c>
      <c r="C21" s="17">
        <f>+'JAP-23,  p13 Campus Sch 40'!J34</f>
        <v>19431.495300000039</v>
      </c>
      <c r="D21" s="103"/>
      <c r="E21" s="103"/>
      <c r="F21" s="103"/>
      <c r="G21" s="32"/>
      <c r="H21" s="32"/>
      <c r="I21" s="19"/>
      <c r="J21" s="17"/>
      <c r="K21" s="32"/>
      <c r="L21" s="32"/>
    </row>
    <row r="22" spans="1:12">
      <c r="A22" s="44">
        <f t="shared" si="0"/>
        <v>13</v>
      </c>
      <c r="B22" s="103" t="s">
        <v>339</v>
      </c>
      <c r="C22" s="17">
        <f>+'JAP-23,  p13 Campus Sch 40'!J37</f>
        <v>-304473.97570199985</v>
      </c>
      <c r="D22" s="103"/>
      <c r="E22" s="103"/>
      <c r="F22" s="103"/>
      <c r="G22" s="32"/>
      <c r="H22" s="32"/>
      <c r="I22" s="32"/>
      <c r="J22" s="17"/>
      <c r="K22" s="32"/>
      <c r="L22" s="32"/>
    </row>
    <row r="23" spans="1:12">
      <c r="A23" s="44">
        <f t="shared" si="0"/>
        <v>14</v>
      </c>
      <c r="B23" s="103" t="s">
        <v>340</v>
      </c>
      <c r="C23" s="17">
        <f>SUM(L11:L13)</f>
        <v>314196.79000000004</v>
      </c>
      <c r="D23" s="101"/>
      <c r="E23" s="101"/>
      <c r="F23" s="101"/>
      <c r="G23" s="32"/>
      <c r="H23" s="32"/>
      <c r="I23" s="32"/>
      <c r="J23" s="17"/>
      <c r="K23" s="32"/>
      <c r="L23" s="32"/>
    </row>
    <row r="24" spans="1:12">
      <c r="A24" s="44">
        <f t="shared" si="0"/>
        <v>15</v>
      </c>
      <c r="B24" s="103" t="s">
        <v>341</v>
      </c>
      <c r="C24" s="17">
        <f>SUM(L16:L18)</f>
        <v>3310149.7491946071</v>
      </c>
      <c r="D24" s="103"/>
      <c r="E24" s="103"/>
      <c r="F24" s="103"/>
      <c r="G24" s="32"/>
      <c r="H24" s="32"/>
      <c r="I24" s="32"/>
      <c r="J24" s="17"/>
      <c r="K24" s="32"/>
      <c r="L24" s="32"/>
    </row>
    <row r="25" spans="1:12">
      <c r="A25" s="44">
        <f t="shared" si="0"/>
        <v>16</v>
      </c>
      <c r="B25" s="32" t="s">
        <v>342</v>
      </c>
      <c r="C25" s="17">
        <f>SUM(C20:C24)</f>
        <v>3356646.7087926073</v>
      </c>
      <c r="D25" s="32"/>
      <c r="E25" s="32"/>
      <c r="F25" s="32"/>
      <c r="G25" s="32"/>
      <c r="H25" s="32"/>
      <c r="I25" s="32"/>
      <c r="J25" s="17"/>
      <c r="K25" s="32"/>
      <c r="L25" s="32"/>
    </row>
    <row r="26" spans="1:12">
      <c r="A26" s="44">
        <f t="shared" si="0"/>
        <v>17</v>
      </c>
      <c r="B26" s="103" t="s">
        <v>343</v>
      </c>
      <c r="C26" s="29">
        <f>+'JAP-23,  p1 Rate Spread'!J21</f>
        <v>3356646.7087926073</v>
      </c>
      <c r="D26" s="103"/>
      <c r="E26" s="103"/>
      <c r="F26" s="103"/>
      <c r="G26" s="32"/>
      <c r="H26" s="32"/>
      <c r="I26" s="32"/>
      <c r="J26" s="17"/>
      <c r="K26" s="32"/>
      <c r="L26" s="32"/>
    </row>
    <row r="27" spans="1:12">
      <c r="A27" s="44">
        <f t="shared" si="0"/>
        <v>18</v>
      </c>
      <c r="B27" s="32" t="s">
        <v>92</v>
      </c>
      <c r="C27" s="17">
        <f>+C25-C26</f>
        <v>0</v>
      </c>
      <c r="D27" s="32"/>
      <c r="E27" s="32"/>
      <c r="F27" s="32"/>
      <c r="G27" s="32"/>
      <c r="H27" s="32"/>
      <c r="I27" s="32"/>
      <c r="J27" s="17"/>
      <c r="K27" s="32"/>
      <c r="L27" s="32"/>
    </row>
    <row r="28" spans="1:12">
      <c r="A28" s="44">
        <f t="shared" si="0"/>
        <v>19</v>
      </c>
      <c r="B28" s="103" t="s">
        <v>344</v>
      </c>
      <c r="C28" s="17">
        <f>+'JAP-23,  p3 Proforma Proposed'!E26</f>
        <v>52013001.872035034</v>
      </c>
      <c r="D28" s="103"/>
      <c r="E28" s="103"/>
      <c r="F28" s="103"/>
      <c r="G28" s="32"/>
      <c r="H28" s="32"/>
      <c r="I28" s="32"/>
      <c r="J28" s="17"/>
      <c r="K28" s="32"/>
      <c r="L28" s="32"/>
    </row>
    <row r="29" spans="1:12">
      <c r="A29" s="44">
        <f t="shared" si="0"/>
        <v>20</v>
      </c>
      <c r="B29" s="32" t="s">
        <v>157</v>
      </c>
      <c r="C29" s="14">
        <f>+C26/C28</f>
        <v>6.4534762232158718E-2</v>
      </c>
      <c r="D29" s="32"/>
      <c r="E29" s="32"/>
      <c r="F29" s="32"/>
      <c r="G29" s="32"/>
      <c r="H29" s="32"/>
      <c r="I29" s="32"/>
      <c r="J29" s="17"/>
      <c r="K29" s="32"/>
      <c r="L29" s="32"/>
    </row>
    <row r="30" spans="1:12">
      <c r="A30" s="44">
        <f t="shared" si="0"/>
        <v>21</v>
      </c>
      <c r="B30" s="32"/>
      <c r="C30" s="17"/>
      <c r="D30" s="32"/>
      <c r="E30" s="32"/>
      <c r="F30" s="32"/>
      <c r="G30" s="32"/>
      <c r="H30" s="32"/>
      <c r="I30" s="32"/>
      <c r="J30" s="17"/>
      <c r="K30" s="32"/>
      <c r="L30" s="32"/>
    </row>
    <row r="31" spans="1:12">
      <c r="A31" s="44">
        <f t="shared" si="0"/>
        <v>22</v>
      </c>
      <c r="B31" s="32" t="s">
        <v>345</v>
      </c>
      <c r="C31" s="17">
        <f>+'JAP-23,  p13 Campus Sch 40'!I41</f>
        <v>55369648.580827639</v>
      </c>
      <c r="D31" s="32"/>
      <c r="E31" s="32"/>
      <c r="F31" s="32"/>
      <c r="G31" s="32"/>
      <c r="H31" s="32"/>
      <c r="I31" s="32"/>
      <c r="J31" s="32"/>
      <c r="K31" s="32"/>
      <c r="L31" s="32"/>
    </row>
    <row r="32" spans="1:12">
      <c r="A32" s="44">
        <f t="shared" si="0"/>
        <v>23</v>
      </c>
      <c r="B32" s="103" t="s">
        <v>346</v>
      </c>
      <c r="C32" s="17">
        <f>+'JAP-23,  p1 Rate Spread'!$K$21</f>
        <v>55369648.580827639</v>
      </c>
      <c r="D32" s="103"/>
      <c r="E32" s="103"/>
      <c r="F32" s="103"/>
      <c r="G32" s="32"/>
      <c r="H32" s="32"/>
      <c r="I32" s="32"/>
      <c r="J32" s="32"/>
      <c r="K32" s="32"/>
      <c r="L32" s="32"/>
    </row>
    <row r="33" spans="1:12">
      <c r="A33" s="44">
        <f t="shared" si="0"/>
        <v>24</v>
      </c>
      <c r="B33" s="32" t="s">
        <v>257</v>
      </c>
      <c r="C33" s="17">
        <f>+C32-C31</f>
        <v>0</v>
      </c>
      <c r="D33" s="32"/>
      <c r="E33" s="32"/>
      <c r="F33" s="32"/>
      <c r="G33" s="32"/>
      <c r="H33" s="32"/>
      <c r="I33" s="32"/>
      <c r="J33" s="32"/>
      <c r="K33" s="32"/>
      <c r="L33" s="32"/>
    </row>
  </sheetData>
  <mergeCells count="7">
    <mergeCell ref="B7:L7"/>
    <mergeCell ref="B10:L10"/>
    <mergeCell ref="B15:L15"/>
    <mergeCell ref="A1:L1"/>
    <mergeCell ref="A2:L2"/>
    <mergeCell ref="A3:L3"/>
    <mergeCell ref="A4:L4"/>
  </mergeCells>
  <phoneticPr fontId="0" type="noConversion"/>
  <printOptions horizontalCentered="1"/>
  <pageMargins left="0.25" right="0.25" top="1" bottom="1.1399999999999999" header="0.5" footer="0.5"/>
  <pageSetup scale="82" orientation="landscape" r:id="rId1"/>
  <headerFooter alignWithMargins="0">
    <oddFooter>&amp;R&amp;"Times New Roman,Regular"Exhibit No.___(JAP-23)
Page 44 of 49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8"/>
  <sheetViews>
    <sheetView zoomScaleNormal="100" workbookViewId="0">
      <selection activeCell="F44" sqref="F44"/>
    </sheetView>
  </sheetViews>
  <sheetFormatPr defaultRowHeight="12.75"/>
  <cols>
    <col min="1" max="1" width="5.42578125" style="2" customWidth="1"/>
    <col min="2" max="4" width="17.140625" style="2" customWidth="1"/>
    <col min="5" max="5" width="9.140625" style="2"/>
    <col min="6" max="6" width="49.28515625" style="2" bestFit="1" customWidth="1"/>
    <col min="7" max="7" width="11.85546875" style="2" customWidth="1"/>
    <col min="8" max="8" width="22.140625" style="2" bestFit="1" customWidth="1"/>
    <col min="9" max="9" width="9.140625" style="2"/>
    <col min="10" max="10" width="14" style="2" bestFit="1" customWidth="1"/>
    <col min="11" max="16384" width="9.140625" style="2"/>
  </cols>
  <sheetData>
    <row r="1" spans="1:9">
      <c r="A1" s="327" t="s">
        <v>8</v>
      </c>
      <c r="B1" s="327"/>
      <c r="C1" s="327"/>
      <c r="D1" s="327"/>
      <c r="E1" s="327"/>
      <c r="F1" s="327"/>
      <c r="G1" s="327"/>
      <c r="H1" s="327"/>
    </row>
    <row r="2" spans="1:9">
      <c r="A2" s="327" t="s">
        <v>211</v>
      </c>
      <c r="B2" s="327"/>
      <c r="C2" s="327"/>
      <c r="D2" s="327"/>
      <c r="E2" s="327"/>
      <c r="F2" s="327"/>
      <c r="G2" s="327"/>
      <c r="H2" s="327"/>
    </row>
    <row r="3" spans="1:9">
      <c r="A3" s="327" t="s">
        <v>490</v>
      </c>
      <c r="B3" s="327"/>
      <c r="C3" s="327"/>
      <c r="D3" s="327"/>
      <c r="E3" s="327"/>
      <c r="F3" s="327"/>
      <c r="G3" s="327"/>
      <c r="H3" s="327"/>
    </row>
    <row r="4" spans="1:9">
      <c r="A4" s="327" t="s">
        <v>491</v>
      </c>
      <c r="B4" s="327"/>
      <c r="C4" s="327"/>
      <c r="D4" s="327"/>
      <c r="E4" s="327"/>
      <c r="F4" s="327"/>
      <c r="G4" s="327"/>
      <c r="H4" s="327"/>
    </row>
    <row r="5" spans="1:9" ht="13.5" customHeight="1"/>
    <row r="6" spans="1:9" ht="13.5" customHeight="1">
      <c r="B6" s="167" t="s">
        <v>477</v>
      </c>
      <c r="C6" s="133" t="s">
        <v>478</v>
      </c>
      <c r="D6" s="133" t="s">
        <v>479</v>
      </c>
      <c r="E6" s="133" t="s">
        <v>480</v>
      </c>
      <c r="F6" s="133" t="s">
        <v>481</v>
      </c>
      <c r="G6" s="133" t="s">
        <v>482</v>
      </c>
      <c r="H6" s="133" t="s">
        <v>483</v>
      </c>
      <c r="I6" s="133"/>
    </row>
    <row r="7" spans="1:9" ht="13.5" thickBot="1"/>
    <row r="8" spans="1:9" ht="13.5" thickBot="1">
      <c r="B8" s="358" t="s">
        <v>492</v>
      </c>
      <c r="C8" s="359"/>
      <c r="D8" s="360"/>
    </row>
    <row r="9" spans="1:9" ht="13.5" thickBot="1">
      <c r="B9" s="361" t="s">
        <v>540</v>
      </c>
      <c r="C9" s="359"/>
      <c r="D9" s="360"/>
    </row>
    <row r="10" spans="1:9" ht="26.25" thickBot="1">
      <c r="A10" s="239" t="s">
        <v>46</v>
      </c>
      <c r="B10" s="137" t="s">
        <v>347</v>
      </c>
      <c r="C10" s="138" t="s">
        <v>348</v>
      </c>
      <c r="D10" s="139" t="s">
        <v>349</v>
      </c>
      <c r="F10" s="355" t="s">
        <v>350</v>
      </c>
      <c r="G10" s="356"/>
      <c r="H10" s="357"/>
    </row>
    <row r="11" spans="1:9">
      <c r="A11" s="11">
        <v>1</v>
      </c>
      <c r="B11" s="125">
        <v>0</v>
      </c>
      <c r="C11" s="268">
        <v>0.10938541695733284</v>
      </c>
      <c r="D11" s="269">
        <v>0.10938541695733284</v>
      </c>
      <c r="F11" s="125"/>
      <c r="G11" s="40"/>
      <c r="H11" s="123"/>
    </row>
    <row r="12" spans="1:9">
      <c r="A12" s="11">
        <f>+A11+1</f>
        <v>2</v>
      </c>
      <c r="B12" s="96">
        <v>1</v>
      </c>
      <c r="C12" s="270">
        <v>0.1118301264869519</v>
      </c>
      <c r="D12" s="271">
        <v>0.11511924785421519</v>
      </c>
      <c r="F12" s="96" t="s">
        <v>351</v>
      </c>
      <c r="G12" s="44" t="s">
        <v>352</v>
      </c>
      <c r="H12" s="47" t="s">
        <v>335</v>
      </c>
    </row>
    <row r="13" spans="1:9">
      <c r="A13" s="11">
        <f t="shared" ref="A13:A47" si="0">+A12+1</f>
        <v>3</v>
      </c>
      <c r="B13" s="96">
        <f t="shared" ref="B13:B35" si="1">B12+1</f>
        <v>2</v>
      </c>
      <c r="C13" s="270">
        <v>0.10822070733846489</v>
      </c>
      <c r="D13" s="271">
        <v>0.11477953808625063</v>
      </c>
      <c r="F13" s="312" t="s">
        <v>551</v>
      </c>
      <c r="G13" s="126">
        <v>527248219.58399999</v>
      </c>
      <c r="H13" s="47"/>
    </row>
    <row r="14" spans="1:9" ht="13.5" thickBot="1">
      <c r="A14" s="11">
        <f t="shared" si="0"/>
        <v>4</v>
      </c>
      <c r="B14" s="96">
        <f t="shared" si="1"/>
        <v>3</v>
      </c>
      <c r="C14" s="270">
        <v>0.10473494053030873</v>
      </c>
      <c r="D14" s="271">
        <v>0.11455384120502515</v>
      </c>
      <c r="F14" s="127" t="s">
        <v>552</v>
      </c>
      <c r="G14" s="128">
        <v>220407012.67199999</v>
      </c>
      <c r="H14" s="129">
        <f>+G13/SQRT(G14^2+G13^2)</f>
        <v>0.92262882990188455</v>
      </c>
    </row>
    <row r="15" spans="1:9">
      <c r="A15" s="11">
        <f t="shared" si="0"/>
        <v>5</v>
      </c>
      <c r="B15" s="96">
        <f t="shared" si="1"/>
        <v>4</v>
      </c>
      <c r="C15" s="270">
        <v>0.10136379489386442</v>
      </c>
      <c r="D15" s="271">
        <v>0.11444299423500821</v>
      </c>
      <c r="F15" s="96"/>
      <c r="G15" s="32"/>
      <c r="H15" s="47"/>
    </row>
    <row r="16" spans="1:9">
      <c r="A16" s="11">
        <f t="shared" si="0"/>
        <v>6</v>
      </c>
      <c r="B16" s="96">
        <f t="shared" si="1"/>
        <v>5</v>
      </c>
      <c r="C16" s="270">
        <v>9.8097253920305466E-2</v>
      </c>
      <c r="D16" s="271">
        <v>0.11444679624035638</v>
      </c>
      <c r="F16" s="43" t="s">
        <v>471</v>
      </c>
      <c r="G16" s="32"/>
      <c r="H16" s="47"/>
    </row>
    <row r="17" spans="1:8">
      <c r="A17" s="11">
        <f t="shared" si="0"/>
        <v>7</v>
      </c>
      <c r="B17" s="96">
        <f t="shared" si="1"/>
        <v>6</v>
      </c>
      <c r="C17" s="270">
        <v>9.4924167506612103E-2</v>
      </c>
      <c r="D17" s="271">
        <v>0.11456365043901461</v>
      </c>
      <c r="F17" s="117" t="s">
        <v>353</v>
      </c>
      <c r="G17" s="14">
        <v>1.6054735474289313E-2</v>
      </c>
      <c r="H17" s="47" t="s">
        <v>354</v>
      </c>
    </row>
    <row r="18" spans="1:8">
      <c r="A18" s="11">
        <f t="shared" si="0"/>
        <v>8</v>
      </c>
      <c r="B18" s="96">
        <f t="shared" si="1"/>
        <v>7</v>
      </c>
      <c r="C18" s="270">
        <v>9.1836201346987084E-2</v>
      </c>
      <c r="D18" s="271">
        <v>0.11479525168373386</v>
      </c>
      <c r="F18" s="117" t="s">
        <v>355</v>
      </c>
      <c r="G18" s="14">
        <v>3.647950303350022E-2</v>
      </c>
      <c r="H18" s="47" t="s">
        <v>354</v>
      </c>
    </row>
    <row r="19" spans="1:8">
      <c r="A19" s="11">
        <f t="shared" si="0"/>
        <v>9</v>
      </c>
      <c r="B19" s="96">
        <f t="shared" si="1"/>
        <v>8</v>
      </c>
      <c r="C19" s="270">
        <v>8.8824003963355075E-2</v>
      </c>
      <c r="D19" s="271">
        <v>0.11514222735990473</v>
      </c>
      <c r="F19" s="117" t="s">
        <v>356</v>
      </c>
      <c r="G19" s="14">
        <v>8.1140264193676023E-2</v>
      </c>
      <c r="H19" s="47" t="s">
        <v>354</v>
      </c>
    </row>
    <row r="20" spans="1:8">
      <c r="A20" s="11">
        <f t="shared" si="0"/>
        <v>10</v>
      </c>
      <c r="B20" s="96">
        <f t="shared" si="1"/>
        <v>9</v>
      </c>
      <c r="C20" s="270">
        <v>8.5877030976528906E-2</v>
      </c>
      <c r="D20" s="271">
        <v>0.11560369554532737</v>
      </c>
      <c r="F20" s="96"/>
      <c r="G20" s="32"/>
      <c r="H20" s="47"/>
    </row>
    <row r="21" spans="1:8">
      <c r="A21" s="11">
        <f t="shared" si="0"/>
        <v>11</v>
      </c>
      <c r="B21" s="96">
        <f t="shared" si="1"/>
        <v>10</v>
      </c>
      <c r="C21" s="270">
        <v>8.3000385579356073E-2</v>
      </c>
      <c r="D21" s="271">
        <v>0.1162005398110985</v>
      </c>
      <c r="F21" s="119" t="s">
        <v>357</v>
      </c>
      <c r="G21" s="130">
        <f>+G19-G17</f>
        <v>6.5085528719386707E-2</v>
      </c>
      <c r="H21" s="47"/>
    </row>
    <row r="22" spans="1:8" ht="13.5" thickBot="1">
      <c r="A22" s="11">
        <f t="shared" si="0"/>
        <v>12</v>
      </c>
      <c r="B22" s="96">
        <f t="shared" si="1"/>
        <v>11</v>
      </c>
      <c r="C22" s="270">
        <v>8.0199833513912286E-2</v>
      </c>
      <c r="D22" s="271">
        <v>0.11695809054112209</v>
      </c>
      <c r="F22" s="121" t="s">
        <v>358</v>
      </c>
      <c r="G22" s="131">
        <f>+G18-G17</f>
        <v>2.0424767559210907E-2</v>
      </c>
      <c r="H22" s="108"/>
    </row>
    <row r="23" spans="1:8">
      <c r="A23" s="11">
        <f t="shared" si="0"/>
        <v>13</v>
      </c>
      <c r="B23" s="96">
        <f t="shared" si="1"/>
        <v>12</v>
      </c>
      <c r="C23" s="270">
        <v>7.7481943531431438E-2</v>
      </c>
      <c r="D23" s="271">
        <v>0.1179073053739174</v>
      </c>
    </row>
    <row r="24" spans="1:8">
      <c r="A24" s="11">
        <f t="shared" si="0"/>
        <v>14</v>
      </c>
      <c r="B24" s="96">
        <f t="shared" si="1"/>
        <v>13</v>
      </c>
      <c r="C24" s="270">
        <v>7.4854266823819404E-2</v>
      </c>
      <c r="D24" s="271">
        <v>0.11908633358334905</v>
      </c>
    </row>
    <row r="25" spans="1:8">
      <c r="A25" s="11">
        <f t="shared" si="0"/>
        <v>15</v>
      </c>
      <c r="B25" s="96">
        <f t="shared" si="1"/>
        <v>14</v>
      </c>
      <c r="C25" s="270">
        <v>7.2325568477427493E-2</v>
      </c>
      <c r="D25" s="271">
        <v>0.12054261412904581</v>
      </c>
    </row>
    <row r="26" spans="1:8">
      <c r="A26" s="11">
        <f t="shared" si="0"/>
        <v>16</v>
      </c>
      <c r="B26" s="96">
        <f t="shared" si="1"/>
        <v>15</v>
      </c>
      <c r="C26" s="270">
        <v>6.9906129217166185E-2</v>
      </c>
      <c r="D26" s="271">
        <v>0.12233572613004082</v>
      </c>
      <c r="G26" s="115"/>
    </row>
    <row r="27" spans="1:8">
      <c r="A27" s="11">
        <f t="shared" si="0"/>
        <v>17</v>
      </c>
      <c r="B27" s="96">
        <f t="shared" si="1"/>
        <v>16</v>
      </c>
      <c r="C27" s="270">
        <v>6.7608143396927015E-2</v>
      </c>
      <c r="D27" s="271">
        <v>0.12454131678381293</v>
      </c>
    </row>
    <row r="28" spans="1:8">
      <c r="A28" s="11">
        <f t="shared" si="0"/>
        <v>18</v>
      </c>
      <c r="B28" s="96">
        <f t="shared" si="1"/>
        <v>17</v>
      </c>
      <c r="C28" s="270">
        <v>6.5446250723139879E-2</v>
      </c>
      <c r="D28" s="271">
        <v>0.12725659862832756</v>
      </c>
    </row>
    <row r="29" spans="1:8">
      <c r="A29" s="11">
        <f t="shared" si="0"/>
        <v>19</v>
      </c>
      <c r="B29" s="96">
        <f t="shared" si="1"/>
        <v>18</v>
      </c>
      <c r="C29" s="270">
        <v>6.3438256832687917E-2</v>
      </c>
      <c r="D29" s="271">
        <v>0.13060817583200454</v>
      </c>
    </row>
    <row r="30" spans="1:8">
      <c r="A30" s="11">
        <f t="shared" si="0"/>
        <v>20</v>
      </c>
      <c r="B30" s="96">
        <f t="shared" si="1"/>
        <v>19</v>
      </c>
      <c r="C30" s="270">
        <v>6.1606125399078143E-2</v>
      </c>
      <c r="D30" s="271">
        <v>0.13476339931048342</v>
      </c>
    </row>
    <row r="31" spans="1:8">
      <c r="A31" s="11">
        <f t="shared" si="0"/>
        <v>21</v>
      </c>
      <c r="B31" s="96">
        <f t="shared" si="1"/>
        <v>20</v>
      </c>
      <c r="C31" s="270">
        <v>5.9977368523947236E-2</v>
      </c>
      <c r="D31" s="271">
        <v>0.13994719322254356</v>
      </c>
    </row>
    <row r="32" spans="1:8">
      <c r="A32" s="11">
        <f t="shared" si="0"/>
        <v>22</v>
      </c>
      <c r="B32" s="96">
        <f t="shared" si="1"/>
        <v>21</v>
      </c>
      <c r="C32" s="270">
        <v>5.8587034592255477E-2</v>
      </c>
      <c r="D32" s="271">
        <v>0.14646758648063871</v>
      </c>
    </row>
    <row r="33" spans="1:4">
      <c r="A33" s="11">
        <f t="shared" si="0"/>
        <v>23</v>
      </c>
      <c r="B33" s="96">
        <f t="shared" si="1"/>
        <v>22</v>
      </c>
      <c r="C33" s="270">
        <v>5.7321355336665207E-2</v>
      </c>
      <c r="D33" s="271">
        <v>0.15432672590640634</v>
      </c>
    </row>
    <row r="34" spans="1:4">
      <c r="A34" s="11">
        <f t="shared" si="0"/>
        <v>24</v>
      </c>
      <c r="B34" s="96">
        <f t="shared" si="1"/>
        <v>23</v>
      </c>
      <c r="C34" s="270">
        <v>5.6102656208384324E-2</v>
      </c>
      <c r="D34" s="271">
        <v>0.16363274727445429</v>
      </c>
    </row>
    <row r="35" spans="1:4">
      <c r="A35" s="11">
        <f t="shared" si="0"/>
        <v>25</v>
      </c>
      <c r="B35" s="96">
        <f t="shared" si="1"/>
        <v>24</v>
      </c>
      <c r="C35" s="270">
        <v>5.4937417922269624E-2</v>
      </c>
      <c r="D35" s="271">
        <v>0.17480087520722154</v>
      </c>
    </row>
    <row r="36" spans="1:4">
      <c r="A36" s="11">
        <f t="shared" si="0"/>
        <v>26</v>
      </c>
      <c r="B36" s="96">
        <f t="shared" ref="B36:B45" si="2">B35+1</f>
        <v>25</v>
      </c>
      <c r="C36" s="270">
        <v>5.3834525469617867E-2</v>
      </c>
      <c r="D36" s="271">
        <v>0.18842083914366253</v>
      </c>
    </row>
    <row r="37" spans="1:4">
      <c r="A37" s="11">
        <f t="shared" si="0"/>
        <v>27</v>
      </c>
      <c r="B37" s="96">
        <f t="shared" si="2"/>
        <v>26</v>
      </c>
      <c r="C37" s="270">
        <v>5.2806616105661897E-2</v>
      </c>
      <c r="D37" s="271">
        <v>0.20535906263312961</v>
      </c>
    </row>
    <row r="38" spans="1:4">
      <c r="A38" s="11">
        <f t="shared" si="0"/>
        <v>28</v>
      </c>
      <c r="B38" s="96">
        <f t="shared" si="2"/>
        <v>27</v>
      </c>
      <c r="C38" s="270">
        <v>5.1872439614488848E-2</v>
      </c>
      <c r="D38" s="271">
        <v>0.22694192331338869</v>
      </c>
    </row>
    <row r="39" spans="1:4">
      <c r="A39" s="11">
        <f t="shared" si="0"/>
        <v>29</v>
      </c>
      <c r="B39" s="96">
        <f t="shared" si="2"/>
        <v>28</v>
      </c>
      <c r="C39" s="270">
        <v>5.1061243054569494E-2</v>
      </c>
      <c r="D39" s="271">
        <v>0.25530621527284747</v>
      </c>
    </row>
    <row r="40" spans="1:4">
      <c r="A40" s="11">
        <f t="shared" si="0"/>
        <v>30</v>
      </c>
      <c r="B40" s="96">
        <f t="shared" si="2"/>
        <v>29</v>
      </c>
      <c r="C40" s="270">
        <v>5.0421541775331313E-2</v>
      </c>
      <c r="D40" s="271">
        <v>0.29412566035609938</v>
      </c>
    </row>
    <row r="41" spans="1:4">
      <c r="A41" s="11">
        <f t="shared" si="0"/>
        <v>31</v>
      </c>
      <c r="B41" s="96">
        <f t="shared" si="2"/>
        <v>30</v>
      </c>
      <c r="C41" s="270">
        <v>5.0040417340361638E-2</v>
      </c>
      <c r="D41" s="271">
        <v>0.35028292138253142</v>
      </c>
    </row>
    <row r="42" spans="1:4">
      <c r="A42" s="11">
        <f t="shared" si="0"/>
        <v>32</v>
      </c>
      <c r="B42" s="96">
        <f t="shared" si="2"/>
        <v>31</v>
      </c>
      <c r="C42" s="270">
        <v>5.0091764241058073E-2</v>
      </c>
      <c r="D42" s="271">
        <v>0.43830293710925811</v>
      </c>
    </row>
    <row r="43" spans="1:4">
      <c r="A43" s="11">
        <f t="shared" si="0"/>
        <v>33</v>
      </c>
      <c r="B43" s="96">
        <f t="shared" si="2"/>
        <v>32</v>
      </c>
      <c r="C43" s="270">
        <v>5.098103227995112E-2</v>
      </c>
      <c r="D43" s="271">
        <v>0.59477870993276316</v>
      </c>
    </row>
    <row r="44" spans="1:4">
      <c r="A44" s="11">
        <f t="shared" si="0"/>
        <v>34</v>
      </c>
      <c r="B44" s="96">
        <f t="shared" si="2"/>
        <v>33</v>
      </c>
      <c r="C44" s="270">
        <v>5.3924198982092483E-2</v>
      </c>
      <c r="D44" s="271">
        <v>0.9436734821866184</v>
      </c>
    </row>
    <row r="45" spans="1:4" ht="13.5" thickBot="1">
      <c r="A45" s="11">
        <f t="shared" si="0"/>
        <v>35</v>
      </c>
      <c r="B45" s="100">
        <f t="shared" si="2"/>
        <v>34</v>
      </c>
      <c r="C45" s="272">
        <v>6.5000581194768578E-2</v>
      </c>
      <c r="D45" s="273">
        <v>2.2750203418169002</v>
      </c>
    </row>
    <row r="46" spans="1:4">
      <c r="A46" s="44">
        <f t="shared" si="0"/>
        <v>36</v>
      </c>
      <c r="B46" s="32"/>
      <c r="C46" s="32"/>
      <c r="D46" s="32"/>
    </row>
    <row r="47" spans="1:4">
      <c r="A47" s="44">
        <f t="shared" si="0"/>
        <v>37</v>
      </c>
      <c r="B47" s="32" t="s">
        <v>359</v>
      </c>
      <c r="C47" s="32"/>
      <c r="D47" s="270">
        <v>0.1236925280931556</v>
      </c>
    </row>
    <row r="48" spans="1:4">
      <c r="B48" s="32"/>
      <c r="C48" s="32"/>
      <c r="D48" s="32"/>
    </row>
  </sheetData>
  <mergeCells count="7">
    <mergeCell ref="F10:H10"/>
    <mergeCell ref="B8:D8"/>
    <mergeCell ref="B9:D9"/>
    <mergeCell ref="A1:H1"/>
    <mergeCell ref="A2:H2"/>
    <mergeCell ref="A3:H3"/>
    <mergeCell ref="A4:H4"/>
  </mergeCells>
  <phoneticPr fontId="0" type="noConversion"/>
  <printOptions horizontalCentered="1"/>
  <pageMargins left="0.25" right="0.25" top="1" bottom="1.1399999999999999" header="0.5" footer="0.5"/>
  <pageSetup scale="76" orientation="landscape" r:id="rId1"/>
  <headerFooter alignWithMargins="0">
    <oddFooter>&amp;R&amp;"Times New Roman,Regular"Exhibit No.___(JAP-23)
Page 45 of 49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1"/>
  <sheetViews>
    <sheetView zoomScaleNormal="100" workbookViewId="0">
      <selection activeCell="F28" sqref="F28"/>
    </sheetView>
  </sheetViews>
  <sheetFormatPr defaultRowHeight="12.75"/>
  <cols>
    <col min="1" max="1" width="6.85546875" style="2" customWidth="1"/>
    <col min="2" max="2" width="30.28515625" style="2" customWidth="1"/>
    <col min="3" max="3" width="7.7109375" style="2" bestFit="1" customWidth="1"/>
    <col min="4" max="4" width="13.7109375" style="2" customWidth="1"/>
    <col min="5" max="6" width="15.7109375" style="2" customWidth="1"/>
    <col min="7" max="16384" width="9.140625" style="2"/>
  </cols>
  <sheetData>
    <row r="1" spans="1:9">
      <c r="A1" s="327" t="s">
        <v>8</v>
      </c>
      <c r="B1" s="327"/>
      <c r="C1" s="327"/>
      <c r="D1" s="327"/>
      <c r="E1" s="327"/>
      <c r="F1" s="327"/>
      <c r="G1" s="327"/>
    </row>
    <row r="2" spans="1:9">
      <c r="A2" s="327" t="s">
        <v>398</v>
      </c>
      <c r="B2" s="327"/>
      <c r="C2" s="327"/>
      <c r="D2" s="327"/>
      <c r="E2" s="327"/>
      <c r="F2" s="327"/>
      <c r="G2" s="327"/>
    </row>
    <row r="3" spans="1:9">
      <c r="A3" s="328" t="s">
        <v>559</v>
      </c>
      <c r="B3" s="327"/>
      <c r="C3" s="327"/>
      <c r="D3" s="327"/>
      <c r="E3" s="327"/>
      <c r="F3" s="327"/>
      <c r="G3" s="327"/>
    </row>
    <row r="5" spans="1:9">
      <c r="D5" s="364" t="s">
        <v>399</v>
      </c>
      <c r="E5" s="364"/>
    </row>
    <row r="6" spans="1:9" s="5" customFormat="1" ht="25.5">
      <c r="A6" s="3" t="s">
        <v>46</v>
      </c>
      <c r="B6" s="3" t="s">
        <v>400</v>
      </c>
      <c r="C6" s="3" t="s">
        <v>12</v>
      </c>
      <c r="D6" s="4" t="s">
        <v>401</v>
      </c>
      <c r="E6" s="4" t="s">
        <v>86</v>
      </c>
      <c r="F6" s="3" t="s">
        <v>402</v>
      </c>
      <c r="G6" s="3" t="s">
        <v>403</v>
      </c>
    </row>
    <row r="7" spans="1:9" ht="13.5" customHeight="1">
      <c r="B7" s="167" t="s">
        <v>477</v>
      </c>
      <c r="C7" s="133" t="s">
        <v>478</v>
      </c>
      <c r="D7" s="133" t="s">
        <v>479</v>
      </c>
      <c r="E7" s="133" t="s">
        <v>480</v>
      </c>
      <c r="F7" s="133" t="s">
        <v>481</v>
      </c>
      <c r="G7" s="133" t="s">
        <v>482</v>
      </c>
      <c r="H7" s="133"/>
      <c r="I7" s="133"/>
    </row>
    <row r="8" spans="1:9">
      <c r="A8" s="11">
        <v>1</v>
      </c>
      <c r="B8" s="2" t="s">
        <v>404</v>
      </c>
      <c r="C8" s="18">
        <v>1000</v>
      </c>
      <c r="D8" s="74">
        <f t="shared" ref="D8:E19" si="0">+E$29+IF($C8&gt;600,600*E$31/100+($C8-600)*E$32/100,$C8*E$31/100)+$C8*SUM(E$33:E$41)/100</f>
        <v>99.258200000000002</v>
      </c>
      <c r="E8" s="74">
        <f t="shared" si="0"/>
        <v>105.0624</v>
      </c>
      <c r="F8" s="74">
        <f t="shared" ref="F8:F19" si="1">+E8-D8</f>
        <v>5.8041999999999945</v>
      </c>
      <c r="G8" s="21">
        <f t="shared" ref="G8:G19" si="2">+F8/D8</f>
        <v>5.8475773286237251E-2</v>
      </c>
    </row>
    <row r="9" spans="1:9">
      <c r="A9" s="11">
        <f>+A8+1</f>
        <v>2</v>
      </c>
      <c r="B9" s="2" t="s">
        <v>405</v>
      </c>
      <c r="C9" s="18">
        <f t="shared" ref="C9:C19" si="3">+C8</f>
        <v>1000</v>
      </c>
      <c r="D9" s="74">
        <f t="shared" si="0"/>
        <v>99.258200000000002</v>
      </c>
      <c r="E9" s="74">
        <f t="shared" si="0"/>
        <v>105.0624</v>
      </c>
      <c r="F9" s="74">
        <f t="shared" si="1"/>
        <v>5.8041999999999945</v>
      </c>
      <c r="G9" s="21">
        <f t="shared" si="2"/>
        <v>5.8475773286237251E-2</v>
      </c>
    </row>
    <row r="10" spans="1:9">
      <c r="A10" s="11">
        <f t="shared" ref="A10:A41" si="4">+A9+1</f>
        <v>3</v>
      </c>
      <c r="B10" s="2" t="s">
        <v>406</v>
      </c>
      <c r="C10" s="18">
        <f t="shared" si="3"/>
        <v>1000</v>
      </c>
      <c r="D10" s="74">
        <f t="shared" si="0"/>
        <v>99.258200000000002</v>
      </c>
      <c r="E10" s="74">
        <f t="shared" si="0"/>
        <v>105.0624</v>
      </c>
      <c r="F10" s="74">
        <f t="shared" si="1"/>
        <v>5.8041999999999945</v>
      </c>
      <c r="G10" s="21">
        <f t="shared" si="2"/>
        <v>5.8475773286237251E-2</v>
      </c>
    </row>
    <row r="11" spans="1:9">
      <c r="A11" s="11">
        <f t="shared" si="4"/>
        <v>4</v>
      </c>
      <c r="B11" s="2" t="s">
        <v>407</v>
      </c>
      <c r="C11" s="18">
        <f t="shared" si="3"/>
        <v>1000</v>
      </c>
      <c r="D11" s="74">
        <f t="shared" si="0"/>
        <v>99.258200000000002</v>
      </c>
      <c r="E11" s="74">
        <f t="shared" si="0"/>
        <v>105.0624</v>
      </c>
      <c r="F11" s="74">
        <f t="shared" si="1"/>
        <v>5.8041999999999945</v>
      </c>
      <c r="G11" s="21">
        <f t="shared" si="2"/>
        <v>5.8475773286237251E-2</v>
      </c>
    </row>
    <row r="12" spans="1:9">
      <c r="A12" s="317">
        <f t="shared" si="4"/>
        <v>5</v>
      </c>
      <c r="B12" s="2" t="s">
        <v>408</v>
      </c>
      <c r="C12" s="18">
        <f t="shared" si="3"/>
        <v>1000</v>
      </c>
      <c r="D12" s="74">
        <f t="shared" si="0"/>
        <v>99.258200000000002</v>
      </c>
      <c r="E12" s="74">
        <f t="shared" si="0"/>
        <v>105.0624</v>
      </c>
      <c r="F12" s="74">
        <f t="shared" si="1"/>
        <v>5.8041999999999945</v>
      </c>
      <c r="G12" s="21">
        <f t="shared" si="2"/>
        <v>5.8475773286237251E-2</v>
      </c>
    </row>
    <row r="13" spans="1:9">
      <c r="A13" s="317">
        <f t="shared" si="4"/>
        <v>6</v>
      </c>
      <c r="B13" s="2" t="s">
        <v>409</v>
      </c>
      <c r="C13" s="18">
        <f t="shared" si="3"/>
        <v>1000</v>
      </c>
      <c r="D13" s="74">
        <f t="shared" si="0"/>
        <v>99.258200000000002</v>
      </c>
      <c r="E13" s="74">
        <f t="shared" si="0"/>
        <v>105.0624</v>
      </c>
      <c r="F13" s="74">
        <f t="shared" si="1"/>
        <v>5.8041999999999945</v>
      </c>
      <c r="G13" s="21">
        <f t="shared" si="2"/>
        <v>5.8475773286237251E-2</v>
      </c>
    </row>
    <row r="14" spans="1:9">
      <c r="A14" s="317">
        <f t="shared" si="4"/>
        <v>7</v>
      </c>
      <c r="B14" s="2" t="s">
        <v>410</v>
      </c>
      <c r="C14" s="18">
        <f>+C13</f>
        <v>1000</v>
      </c>
      <c r="D14" s="74">
        <f t="shared" si="0"/>
        <v>99.258200000000002</v>
      </c>
      <c r="E14" s="74">
        <f t="shared" si="0"/>
        <v>105.0624</v>
      </c>
      <c r="F14" s="74">
        <f t="shared" si="1"/>
        <v>5.8041999999999945</v>
      </c>
      <c r="G14" s="21">
        <f t="shared" si="2"/>
        <v>5.8475773286237251E-2</v>
      </c>
    </row>
    <row r="15" spans="1:9">
      <c r="A15" s="317">
        <f t="shared" si="4"/>
        <v>8</v>
      </c>
      <c r="B15" s="2" t="s">
        <v>411</v>
      </c>
      <c r="C15" s="18">
        <f t="shared" si="3"/>
        <v>1000</v>
      </c>
      <c r="D15" s="74">
        <f t="shared" si="0"/>
        <v>99.258200000000002</v>
      </c>
      <c r="E15" s="74">
        <f t="shared" si="0"/>
        <v>105.0624</v>
      </c>
      <c r="F15" s="74">
        <f t="shared" si="1"/>
        <v>5.8041999999999945</v>
      </c>
      <c r="G15" s="21">
        <f t="shared" si="2"/>
        <v>5.8475773286237251E-2</v>
      </c>
    </row>
    <row r="16" spans="1:9">
      <c r="A16" s="317">
        <f t="shared" si="4"/>
        <v>9</v>
      </c>
      <c r="B16" s="2" t="s">
        <v>412</v>
      </c>
      <c r="C16" s="18">
        <f t="shared" si="3"/>
        <v>1000</v>
      </c>
      <c r="D16" s="74">
        <f t="shared" si="0"/>
        <v>99.258200000000002</v>
      </c>
      <c r="E16" s="74">
        <f t="shared" si="0"/>
        <v>105.0624</v>
      </c>
      <c r="F16" s="74">
        <f t="shared" si="1"/>
        <v>5.8041999999999945</v>
      </c>
      <c r="G16" s="21">
        <f t="shared" si="2"/>
        <v>5.8475773286237251E-2</v>
      </c>
    </row>
    <row r="17" spans="1:7">
      <c r="A17" s="317">
        <f t="shared" si="4"/>
        <v>10</v>
      </c>
      <c r="B17" s="2" t="s">
        <v>413</v>
      </c>
      <c r="C17" s="18">
        <f t="shared" si="3"/>
        <v>1000</v>
      </c>
      <c r="D17" s="74">
        <f t="shared" si="0"/>
        <v>99.258200000000002</v>
      </c>
      <c r="E17" s="74">
        <f t="shared" si="0"/>
        <v>105.0624</v>
      </c>
      <c r="F17" s="74">
        <f t="shared" si="1"/>
        <v>5.8041999999999945</v>
      </c>
      <c r="G17" s="21">
        <f t="shared" si="2"/>
        <v>5.8475773286237251E-2</v>
      </c>
    </row>
    <row r="18" spans="1:7">
      <c r="A18" s="317">
        <f t="shared" si="4"/>
        <v>11</v>
      </c>
      <c r="B18" s="2" t="s">
        <v>414</v>
      </c>
      <c r="C18" s="18">
        <f t="shared" si="3"/>
        <v>1000</v>
      </c>
      <c r="D18" s="74">
        <f t="shared" si="0"/>
        <v>99.258200000000002</v>
      </c>
      <c r="E18" s="74">
        <f t="shared" si="0"/>
        <v>105.0624</v>
      </c>
      <c r="F18" s="74">
        <f t="shared" si="1"/>
        <v>5.8041999999999945</v>
      </c>
      <c r="G18" s="21">
        <f t="shared" si="2"/>
        <v>5.8475773286237251E-2</v>
      </c>
    </row>
    <row r="19" spans="1:7">
      <c r="A19" s="317">
        <f t="shared" si="4"/>
        <v>12</v>
      </c>
      <c r="B19" s="2" t="s">
        <v>415</v>
      </c>
      <c r="C19" s="18">
        <f t="shared" si="3"/>
        <v>1000</v>
      </c>
      <c r="D19" s="74">
        <f t="shared" si="0"/>
        <v>99.258200000000002</v>
      </c>
      <c r="E19" s="74">
        <f t="shared" si="0"/>
        <v>105.0624</v>
      </c>
      <c r="F19" s="74">
        <f t="shared" si="1"/>
        <v>5.8041999999999945</v>
      </c>
      <c r="G19" s="21">
        <f t="shared" si="2"/>
        <v>5.8475773286237251E-2</v>
      </c>
    </row>
    <row r="20" spans="1:7">
      <c r="A20" s="317">
        <f t="shared" si="4"/>
        <v>13</v>
      </c>
      <c r="D20" s="74"/>
      <c r="E20" s="74"/>
      <c r="F20" s="74"/>
      <c r="G20" s="21"/>
    </row>
    <row r="21" spans="1:7" ht="13.5" thickBot="1">
      <c r="A21" s="317">
        <f t="shared" si="4"/>
        <v>14</v>
      </c>
      <c r="B21" s="24" t="s">
        <v>416</v>
      </c>
      <c r="C21" s="79">
        <f>SUM(C8:C20)</f>
        <v>12000</v>
      </c>
      <c r="D21" s="177">
        <f>SUM(D8:D20)</f>
        <v>1191.0984000000001</v>
      </c>
      <c r="E21" s="177">
        <f>SUM(E8:E20)</f>
        <v>1260.7488000000001</v>
      </c>
      <c r="F21" s="177">
        <f>SUM(F8:F20)</f>
        <v>69.650399999999934</v>
      </c>
      <c r="G21" s="64">
        <f>+F21/D21</f>
        <v>5.8475773286237251E-2</v>
      </c>
    </row>
    <row r="22" spans="1:7" ht="13.5" thickTop="1">
      <c r="A22" s="317">
        <f t="shared" si="4"/>
        <v>15</v>
      </c>
      <c r="B22" s="24"/>
      <c r="G22" s="21"/>
    </row>
    <row r="23" spans="1:7" ht="13.5" thickBot="1">
      <c r="A23" s="317">
        <f t="shared" si="4"/>
        <v>16</v>
      </c>
      <c r="B23" s="10" t="s">
        <v>417</v>
      </c>
      <c r="C23" s="79">
        <f>AVERAGE(C14:C19)</f>
        <v>1000</v>
      </c>
      <c r="D23" s="177">
        <f>AVERAGE(D14:D19)</f>
        <v>99.258200000000002</v>
      </c>
      <c r="E23" s="177">
        <f>AVERAGE(E14:E19)</f>
        <v>105.06240000000001</v>
      </c>
      <c r="F23" s="177">
        <f>AVERAGE(F14:F19)</f>
        <v>5.8041999999999945</v>
      </c>
      <c r="G23" s="64">
        <f>+F23/D23</f>
        <v>5.8475773286237251E-2</v>
      </c>
    </row>
    <row r="24" spans="1:7" ht="13.5" thickTop="1">
      <c r="A24" s="317">
        <f t="shared" si="4"/>
        <v>17</v>
      </c>
    </row>
    <row r="25" spans="1:7">
      <c r="A25" s="317">
        <f t="shared" si="4"/>
        <v>18</v>
      </c>
      <c r="B25" s="2" t="s">
        <v>418</v>
      </c>
      <c r="E25" s="71">
        <f>+E21/C21*100</f>
        <v>10.50624</v>
      </c>
    </row>
    <row r="26" spans="1:7">
      <c r="A26" s="317">
        <f t="shared" si="4"/>
        <v>19</v>
      </c>
    </row>
    <row r="27" spans="1:7">
      <c r="A27" s="317">
        <f t="shared" si="4"/>
        <v>20</v>
      </c>
    </row>
    <row r="28" spans="1:7" ht="38.25">
      <c r="A28" s="317">
        <f t="shared" si="4"/>
        <v>21</v>
      </c>
      <c r="B28" s="178" t="s">
        <v>419</v>
      </c>
      <c r="C28" s="179"/>
      <c r="D28" s="180"/>
      <c r="E28" s="162" t="s">
        <v>560</v>
      </c>
      <c r="F28" s="162" t="s">
        <v>561</v>
      </c>
    </row>
    <row r="29" spans="1:7">
      <c r="A29" s="317">
        <f t="shared" si="4"/>
        <v>22</v>
      </c>
      <c r="B29" s="24" t="s">
        <v>420</v>
      </c>
      <c r="E29" s="163">
        <f>+'JAP-23,  p4 Residential Sch 7'!F12</f>
        <v>7.25</v>
      </c>
      <c r="F29" s="163">
        <v>7.83</v>
      </c>
      <c r="G29" s="2" t="s">
        <v>421</v>
      </c>
    </row>
    <row r="30" spans="1:7">
      <c r="A30" s="317">
        <f t="shared" si="4"/>
        <v>23</v>
      </c>
      <c r="B30" s="2" t="s">
        <v>422</v>
      </c>
      <c r="E30" s="164"/>
      <c r="F30" s="164"/>
    </row>
    <row r="31" spans="1:7">
      <c r="A31" s="317">
        <f t="shared" si="4"/>
        <v>24</v>
      </c>
      <c r="B31" s="362" t="s">
        <v>423</v>
      </c>
      <c r="C31" s="362"/>
      <c r="D31" s="363"/>
      <c r="E31" s="165">
        <f>+'JAP-23,  p4 Residential Sch 7'!F16*100</f>
        <v>8.4991000000000003</v>
      </c>
      <c r="F31" s="165">
        <v>9.1793999999999993</v>
      </c>
      <c r="G31" s="2" t="s">
        <v>424</v>
      </c>
    </row>
    <row r="32" spans="1:7">
      <c r="A32" s="317">
        <f t="shared" si="4"/>
        <v>25</v>
      </c>
      <c r="B32" s="362" t="s">
        <v>425</v>
      </c>
      <c r="C32" s="362"/>
      <c r="D32" s="363"/>
      <c r="E32" s="165">
        <f>+'JAP-23,  p4 Residential Sch 7'!F17*100</f>
        <v>10.2974</v>
      </c>
      <c r="F32" s="165">
        <v>11.121499999999999</v>
      </c>
      <c r="G32" s="2" t="s">
        <v>424</v>
      </c>
    </row>
    <row r="33" spans="1:7">
      <c r="A33" s="317">
        <f t="shared" si="4"/>
        <v>26</v>
      </c>
      <c r="B33" s="362" t="s">
        <v>426</v>
      </c>
      <c r="C33" s="362"/>
      <c r="D33" s="363"/>
      <c r="E33" s="165">
        <v>0</v>
      </c>
      <c r="F33" s="165">
        <f>+E33</f>
        <v>0</v>
      </c>
      <c r="G33" s="2" t="s">
        <v>424</v>
      </c>
    </row>
    <row r="34" spans="1:7">
      <c r="A34" s="317">
        <f t="shared" si="4"/>
        <v>27</v>
      </c>
      <c r="B34" s="362" t="s">
        <v>531</v>
      </c>
      <c r="C34" s="362"/>
      <c r="D34" s="363"/>
      <c r="E34" s="165">
        <v>-4.3900000000000002E-2</v>
      </c>
      <c r="F34" s="165">
        <f>+E34</f>
        <v>-4.3900000000000002E-2</v>
      </c>
      <c r="G34" s="2" t="s">
        <v>424</v>
      </c>
    </row>
    <row r="35" spans="1:7">
      <c r="A35" s="317">
        <f t="shared" si="4"/>
        <v>28</v>
      </c>
      <c r="B35" s="362" t="s">
        <v>427</v>
      </c>
      <c r="C35" s="362"/>
      <c r="D35" s="363"/>
      <c r="E35" s="165">
        <v>0.43359999999999999</v>
      </c>
      <c r="F35" s="165">
        <f>+E35</f>
        <v>0.43359999999999999</v>
      </c>
      <c r="G35" s="2" t="s">
        <v>424</v>
      </c>
    </row>
    <row r="36" spans="1:7">
      <c r="A36" s="317">
        <f t="shared" si="4"/>
        <v>29</v>
      </c>
      <c r="B36" s="362" t="s">
        <v>428</v>
      </c>
      <c r="C36" s="362"/>
      <c r="D36" s="363"/>
      <c r="E36" s="165">
        <v>5.7200000000000001E-2</v>
      </c>
      <c r="F36" s="165">
        <f>E36</f>
        <v>5.7200000000000001E-2</v>
      </c>
      <c r="G36" s="2" t="s">
        <v>424</v>
      </c>
    </row>
    <row r="37" spans="1:7">
      <c r="A37" s="317">
        <f t="shared" si="4"/>
        <v>30</v>
      </c>
      <c r="B37" s="362" t="s">
        <v>440</v>
      </c>
      <c r="C37" s="362"/>
      <c r="D37" s="363"/>
      <c r="E37" s="165">
        <v>-3.2500000000000001E-2</v>
      </c>
      <c r="F37" s="165">
        <f>+E37</f>
        <v>-3.2500000000000001E-2</v>
      </c>
      <c r="G37" s="2" t="s">
        <v>424</v>
      </c>
    </row>
    <row r="38" spans="1:7">
      <c r="A38" s="317">
        <f t="shared" si="4"/>
        <v>31</v>
      </c>
      <c r="B38" s="362" t="s">
        <v>533</v>
      </c>
      <c r="C38" s="362"/>
      <c r="D38" s="363"/>
      <c r="E38" s="165">
        <v>0.2465</v>
      </c>
      <c r="F38" s="165">
        <v>0</v>
      </c>
      <c r="G38" s="2" t="s">
        <v>424</v>
      </c>
    </row>
    <row r="39" spans="1:7">
      <c r="A39" s="317">
        <f t="shared" si="4"/>
        <v>32</v>
      </c>
      <c r="B39" s="362" t="s">
        <v>532</v>
      </c>
      <c r="C39" s="362"/>
      <c r="D39" s="363"/>
      <c r="E39" s="165">
        <v>0</v>
      </c>
      <c r="F39" s="165">
        <f>+E39</f>
        <v>0</v>
      </c>
      <c r="G39" s="2" t="s">
        <v>424</v>
      </c>
    </row>
    <row r="40" spans="1:7">
      <c r="A40" s="317">
        <f t="shared" si="4"/>
        <v>33</v>
      </c>
      <c r="B40" s="362" t="s">
        <v>553</v>
      </c>
      <c r="C40" s="362"/>
      <c r="D40" s="363"/>
      <c r="E40" s="165">
        <v>0</v>
      </c>
      <c r="F40" s="165">
        <v>3.1099999999999999E-2</v>
      </c>
      <c r="G40" s="2" t="s">
        <v>424</v>
      </c>
    </row>
    <row r="41" spans="1:7">
      <c r="A41" s="317">
        <f t="shared" si="4"/>
        <v>34</v>
      </c>
      <c r="B41" s="362" t="s">
        <v>429</v>
      </c>
      <c r="C41" s="362"/>
      <c r="D41" s="363"/>
      <c r="E41" s="166">
        <v>-0.67849999999999999</v>
      </c>
      <c r="F41" s="166">
        <f>+E41</f>
        <v>-0.67849999999999999</v>
      </c>
      <c r="G41" s="2" t="s">
        <v>424</v>
      </c>
    </row>
  </sheetData>
  <mergeCells count="15">
    <mergeCell ref="A1:G1"/>
    <mergeCell ref="A2:G2"/>
    <mergeCell ref="A3:G3"/>
    <mergeCell ref="B31:D31"/>
    <mergeCell ref="D5:E5"/>
    <mergeCell ref="B37:D37"/>
    <mergeCell ref="B41:D41"/>
    <mergeCell ref="B38:D38"/>
    <mergeCell ref="B39:D39"/>
    <mergeCell ref="B32:D32"/>
    <mergeCell ref="B33:D33"/>
    <mergeCell ref="B34:D34"/>
    <mergeCell ref="B35:D35"/>
    <mergeCell ref="B36:D36"/>
    <mergeCell ref="B40:D40"/>
  </mergeCells>
  <phoneticPr fontId="0" type="noConversion"/>
  <printOptions horizontalCentered="1"/>
  <pageMargins left="0.25" right="0.25" top="1" bottom="1.2" header="0.5" footer="0.5"/>
  <pageSetup scale="83" orientation="landscape" r:id="rId1"/>
  <headerFooter alignWithMargins="0">
    <oddFooter>&amp;R&amp;"Times New Roman,Regular"Exhibit No.___(JAP-23)
Page 46 of 49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1"/>
  <sheetViews>
    <sheetView zoomScaleNormal="100" workbookViewId="0">
      <selection activeCell="F28" sqref="F28"/>
    </sheetView>
  </sheetViews>
  <sheetFormatPr defaultRowHeight="12.75"/>
  <cols>
    <col min="1" max="1" width="6.85546875" style="2" customWidth="1"/>
    <col min="2" max="2" width="30.28515625" style="2" customWidth="1"/>
    <col min="3" max="3" width="7.7109375" style="2" bestFit="1" customWidth="1"/>
    <col min="4" max="4" width="13.7109375" style="2" customWidth="1"/>
    <col min="5" max="6" width="15.7109375" style="2" customWidth="1"/>
    <col min="7" max="16384" width="9.140625" style="2"/>
  </cols>
  <sheetData>
    <row r="1" spans="1:9">
      <c r="A1" s="327" t="s">
        <v>8</v>
      </c>
      <c r="B1" s="327"/>
      <c r="C1" s="327"/>
      <c r="D1" s="327"/>
      <c r="E1" s="327"/>
      <c r="F1" s="327"/>
      <c r="G1" s="327"/>
    </row>
    <row r="2" spans="1:9">
      <c r="A2" s="327" t="s">
        <v>398</v>
      </c>
      <c r="B2" s="327"/>
      <c r="C2" s="327"/>
      <c r="D2" s="327"/>
      <c r="E2" s="327"/>
      <c r="F2" s="327"/>
      <c r="G2" s="327"/>
    </row>
    <row r="3" spans="1:9">
      <c r="A3" s="328" t="s">
        <v>559</v>
      </c>
      <c r="B3" s="327"/>
      <c r="C3" s="327"/>
      <c r="D3" s="327"/>
      <c r="E3" s="327"/>
      <c r="F3" s="327"/>
      <c r="G3" s="327"/>
    </row>
    <row r="5" spans="1:9">
      <c r="D5" s="364" t="s">
        <v>399</v>
      </c>
      <c r="E5" s="364"/>
    </row>
    <row r="6" spans="1:9" s="5" customFormat="1" ht="25.5">
      <c r="A6" s="3" t="s">
        <v>46</v>
      </c>
      <c r="B6" s="3" t="s">
        <v>400</v>
      </c>
      <c r="C6" s="3" t="s">
        <v>12</v>
      </c>
      <c r="D6" s="4" t="s">
        <v>401</v>
      </c>
      <c r="E6" s="4" t="s">
        <v>86</v>
      </c>
      <c r="F6" s="3" t="s">
        <v>402</v>
      </c>
      <c r="G6" s="3" t="s">
        <v>403</v>
      </c>
    </row>
    <row r="7" spans="1:9" ht="13.5" customHeight="1">
      <c r="B7" s="167" t="s">
        <v>477</v>
      </c>
      <c r="C7" s="133" t="s">
        <v>478</v>
      </c>
      <c r="D7" s="133" t="s">
        <v>479</v>
      </c>
      <c r="E7" s="133" t="s">
        <v>480</v>
      </c>
      <c r="F7" s="133" t="s">
        <v>481</v>
      </c>
      <c r="G7" s="133" t="s">
        <v>482</v>
      </c>
      <c r="H7" s="133"/>
      <c r="I7" s="133"/>
    </row>
    <row r="8" spans="1:9">
      <c r="A8" s="317">
        <v>1</v>
      </c>
      <c r="B8" s="2" t="s">
        <v>404</v>
      </c>
      <c r="C8" s="18">
        <v>1000</v>
      </c>
      <c r="D8" s="74">
        <f t="shared" ref="D8:E19" si="0">+E$29+IF($C8&gt;600,600*E$31/100+($C8-600)*E$32/100,$C8*E$31/100)+$C8*SUM(E$33:E$41)/100</f>
        <v>99.258200000000002</v>
      </c>
      <c r="E8" s="74">
        <f t="shared" si="0"/>
        <v>104.75139999999999</v>
      </c>
      <c r="F8" s="74">
        <f t="shared" ref="F8:F19" si="1">+E8-D8</f>
        <v>5.4931999999999874</v>
      </c>
      <c r="G8" s="21">
        <f t="shared" ref="G8:G19" si="2">+F8/D8</f>
        <v>5.5342530894172848E-2</v>
      </c>
    </row>
    <row r="9" spans="1:9">
      <c r="A9" s="317">
        <f>+A8+1</f>
        <v>2</v>
      </c>
      <c r="B9" s="2" t="s">
        <v>405</v>
      </c>
      <c r="C9" s="18">
        <f t="shared" ref="C9:C19" si="3">+C8</f>
        <v>1000</v>
      </c>
      <c r="D9" s="74">
        <f t="shared" si="0"/>
        <v>99.258200000000002</v>
      </c>
      <c r="E9" s="74">
        <f t="shared" si="0"/>
        <v>104.75139999999999</v>
      </c>
      <c r="F9" s="74">
        <f t="shared" si="1"/>
        <v>5.4931999999999874</v>
      </c>
      <c r="G9" s="21">
        <f t="shared" si="2"/>
        <v>5.5342530894172848E-2</v>
      </c>
    </row>
    <row r="10" spans="1:9">
      <c r="A10" s="317">
        <f t="shared" ref="A10:A41" si="4">+A9+1</f>
        <v>3</v>
      </c>
      <c r="B10" s="2" t="s">
        <v>406</v>
      </c>
      <c r="C10" s="18">
        <f t="shared" si="3"/>
        <v>1000</v>
      </c>
      <c r="D10" s="74">
        <f t="shared" si="0"/>
        <v>99.258200000000002</v>
      </c>
      <c r="E10" s="74">
        <f t="shared" si="0"/>
        <v>104.75139999999999</v>
      </c>
      <c r="F10" s="74">
        <f t="shared" si="1"/>
        <v>5.4931999999999874</v>
      </c>
      <c r="G10" s="21">
        <f t="shared" si="2"/>
        <v>5.5342530894172848E-2</v>
      </c>
    </row>
    <row r="11" spans="1:9">
      <c r="A11" s="317">
        <f t="shared" si="4"/>
        <v>4</v>
      </c>
      <c r="B11" s="2" t="s">
        <v>407</v>
      </c>
      <c r="C11" s="18">
        <f t="shared" si="3"/>
        <v>1000</v>
      </c>
      <c r="D11" s="74">
        <f t="shared" si="0"/>
        <v>99.258200000000002</v>
      </c>
      <c r="E11" s="74">
        <f t="shared" si="0"/>
        <v>104.75139999999999</v>
      </c>
      <c r="F11" s="74">
        <f t="shared" si="1"/>
        <v>5.4931999999999874</v>
      </c>
      <c r="G11" s="21">
        <f t="shared" si="2"/>
        <v>5.5342530894172848E-2</v>
      </c>
    </row>
    <row r="12" spans="1:9">
      <c r="A12" s="317">
        <f t="shared" si="4"/>
        <v>5</v>
      </c>
      <c r="B12" s="2" t="s">
        <v>408</v>
      </c>
      <c r="C12" s="18">
        <f t="shared" si="3"/>
        <v>1000</v>
      </c>
      <c r="D12" s="74">
        <f t="shared" si="0"/>
        <v>99.258200000000002</v>
      </c>
      <c r="E12" s="74">
        <f t="shared" si="0"/>
        <v>104.75139999999999</v>
      </c>
      <c r="F12" s="74">
        <f t="shared" si="1"/>
        <v>5.4931999999999874</v>
      </c>
      <c r="G12" s="21">
        <f t="shared" si="2"/>
        <v>5.5342530894172848E-2</v>
      </c>
    </row>
    <row r="13" spans="1:9">
      <c r="A13" s="317">
        <f t="shared" si="4"/>
        <v>6</v>
      </c>
      <c r="B13" s="2" t="s">
        <v>409</v>
      </c>
      <c r="C13" s="18">
        <f t="shared" si="3"/>
        <v>1000</v>
      </c>
      <c r="D13" s="74">
        <f t="shared" si="0"/>
        <v>99.258200000000002</v>
      </c>
      <c r="E13" s="74">
        <f t="shared" si="0"/>
        <v>104.75139999999999</v>
      </c>
      <c r="F13" s="74">
        <f t="shared" si="1"/>
        <v>5.4931999999999874</v>
      </c>
      <c r="G13" s="21">
        <f t="shared" si="2"/>
        <v>5.5342530894172848E-2</v>
      </c>
    </row>
    <row r="14" spans="1:9">
      <c r="A14" s="317">
        <f t="shared" si="4"/>
        <v>7</v>
      </c>
      <c r="B14" s="2" t="s">
        <v>410</v>
      </c>
      <c r="C14" s="18">
        <f>+C13</f>
        <v>1000</v>
      </c>
      <c r="D14" s="74">
        <f t="shared" si="0"/>
        <v>99.258200000000002</v>
      </c>
      <c r="E14" s="74">
        <f t="shared" si="0"/>
        <v>104.75139999999999</v>
      </c>
      <c r="F14" s="74">
        <f t="shared" si="1"/>
        <v>5.4931999999999874</v>
      </c>
      <c r="G14" s="21">
        <f t="shared" si="2"/>
        <v>5.5342530894172848E-2</v>
      </c>
    </row>
    <row r="15" spans="1:9">
      <c r="A15" s="317">
        <f t="shared" si="4"/>
        <v>8</v>
      </c>
      <c r="B15" s="2" t="s">
        <v>411</v>
      </c>
      <c r="C15" s="18">
        <f t="shared" si="3"/>
        <v>1000</v>
      </c>
      <c r="D15" s="74">
        <f t="shared" si="0"/>
        <v>99.258200000000002</v>
      </c>
      <c r="E15" s="74">
        <f t="shared" si="0"/>
        <v>104.75139999999999</v>
      </c>
      <c r="F15" s="74">
        <f t="shared" si="1"/>
        <v>5.4931999999999874</v>
      </c>
      <c r="G15" s="21">
        <f t="shared" si="2"/>
        <v>5.5342530894172848E-2</v>
      </c>
    </row>
    <row r="16" spans="1:9">
      <c r="A16" s="317">
        <f t="shared" si="4"/>
        <v>9</v>
      </c>
      <c r="B16" s="2" t="s">
        <v>412</v>
      </c>
      <c r="C16" s="18">
        <f t="shared" si="3"/>
        <v>1000</v>
      </c>
      <c r="D16" s="74">
        <f t="shared" si="0"/>
        <v>99.258200000000002</v>
      </c>
      <c r="E16" s="74">
        <f t="shared" si="0"/>
        <v>104.75139999999999</v>
      </c>
      <c r="F16" s="74">
        <f t="shared" si="1"/>
        <v>5.4931999999999874</v>
      </c>
      <c r="G16" s="21">
        <f t="shared" si="2"/>
        <v>5.5342530894172848E-2</v>
      </c>
    </row>
    <row r="17" spans="1:7">
      <c r="A17" s="317">
        <f t="shared" si="4"/>
        <v>10</v>
      </c>
      <c r="B17" s="2" t="s">
        <v>413</v>
      </c>
      <c r="C17" s="18">
        <f t="shared" si="3"/>
        <v>1000</v>
      </c>
      <c r="D17" s="74">
        <f t="shared" si="0"/>
        <v>99.258200000000002</v>
      </c>
      <c r="E17" s="74">
        <f t="shared" si="0"/>
        <v>104.75139999999999</v>
      </c>
      <c r="F17" s="74">
        <f t="shared" si="1"/>
        <v>5.4931999999999874</v>
      </c>
      <c r="G17" s="21">
        <f t="shared" si="2"/>
        <v>5.5342530894172848E-2</v>
      </c>
    </row>
    <row r="18" spans="1:7">
      <c r="A18" s="317">
        <f t="shared" si="4"/>
        <v>11</v>
      </c>
      <c r="B18" s="2" t="s">
        <v>414</v>
      </c>
      <c r="C18" s="18">
        <f t="shared" si="3"/>
        <v>1000</v>
      </c>
      <c r="D18" s="74">
        <f t="shared" si="0"/>
        <v>99.258200000000002</v>
      </c>
      <c r="E18" s="74">
        <f t="shared" si="0"/>
        <v>104.75139999999999</v>
      </c>
      <c r="F18" s="74">
        <f t="shared" si="1"/>
        <v>5.4931999999999874</v>
      </c>
      <c r="G18" s="21">
        <f t="shared" si="2"/>
        <v>5.5342530894172848E-2</v>
      </c>
    </row>
    <row r="19" spans="1:7">
      <c r="A19" s="317">
        <f t="shared" si="4"/>
        <v>12</v>
      </c>
      <c r="B19" s="2" t="s">
        <v>415</v>
      </c>
      <c r="C19" s="18">
        <f t="shared" si="3"/>
        <v>1000</v>
      </c>
      <c r="D19" s="74">
        <f t="shared" si="0"/>
        <v>99.258200000000002</v>
      </c>
      <c r="E19" s="74">
        <f t="shared" si="0"/>
        <v>104.75139999999999</v>
      </c>
      <c r="F19" s="74">
        <f t="shared" si="1"/>
        <v>5.4931999999999874</v>
      </c>
      <c r="G19" s="21">
        <f t="shared" si="2"/>
        <v>5.5342530894172848E-2</v>
      </c>
    </row>
    <row r="20" spans="1:7">
      <c r="A20" s="317">
        <f t="shared" si="4"/>
        <v>13</v>
      </c>
      <c r="D20" s="74"/>
      <c r="E20" s="74"/>
      <c r="F20" s="74"/>
      <c r="G20" s="21"/>
    </row>
    <row r="21" spans="1:7" ht="13.5" thickBot="1">
      <c r="A21" s="317">
        <f t="shared" si="4"/>
        <v>14</v>
      </c>
      <c r="B21" s="24" t="s">
        <v>416</v>
      </c>
      <c r="C21" s="79">
        <f>SUM(C8:C20)</f>
        <v>12000</v>
      </c>
      <c r="D21" s="177">
        <f>SUM(D8:D20)</f>
        <v>1191.0984000000001</v>
      </c>
      <c r="E21" s="177">
        <f>SUM(E8:E20)</f>
        <v>1257.0167999999999</v>
      </c>
      <c r="F21" s="177">
        <f>SUM(F8:F20)</f>
        <v>65.918399999999849</v>
      </c>
      <c r="G21" s="64">
        <f>+F21/D21</f>
        <v>5.5342530894172848E-2</v>
      </c>
    </row>
    <row r="22" spans="1:7" ht="13.5" thickTop="1">
      <c r="A22" s="317">
        <f t="shared" si="4"/>
        <v>15</v>
      </c>
      <c r="B22" s="24"/>
      <c r="G22" s="21"/>
    </row>
    <row r="23" spans="1:7" ht="13.5" thickBot="1">
      <c r="A23" s="317">
        <f t="shared" si="4"/>
        <v>16</v>
      </c>
      <c r="B23" s="10" t="s">
        <v>417</v>
      </c>
      <c r="C23" s="79">
        <f>AVERAGE(C14:C19)</f>
        <v>1000</v>
      </c>
      <c r="D23" s="177">
        <f>AVERAGE(D14:D19)</f>
        <v>99.258200000000002</v>
      </c>
      <c r="E23" s="177">
        <f>AVERAGE(E14:E19)</f>
        <v>104.75139999999999</v>
      </c>
      <c r="F23" s="177">
        <f>AVERAGE(F14:F19)</f>
        <v>5.4931999999999874</v>
      </c>
      <c r="G23" s="64">
        <f>+F23/D23</f>
        <v>5.5342530894172848E-2</v>
      </c>
    </row>
    <row r="24" spans="1:7" ht="13.5" thickTop="1">
      <c r="A24" s="317">
        <f t="shared" si="4"/>
        <v>17</v>
      </c>
    </row>
    <row r="25" spans="1:7">
      <c r="A25" s="317">
        <f t="shared" si="4"/>
        <v>18</v>
      </c>
      <c r="B25" s="2" t="s">
        <v>418</v>
      </c>
      <c r="E25" s="71">
        <f>+E21/C21*100</f>
        <v>10.47514</v>
      </c>
    </row>
    <row r="26" spans="1:7">
      <c r="A26" s="317">
        <f t="shared" si="4"/>
        <v>19</v>
      </c>
    </row>
    <row r="27" spans="1:7">
      <c r="A27" s="317">
        <f t="shared" si="4"/>
        <v>20</v>
      </c>
    </row>
    <row r="28" spans="1:7" ht="38.25">
      <c r="A28" s="317">
        <f t="shared" si="4"/>
        <v>21</v>
      </c>
      <c r="B28" s="178" t="s">
        <v>419</v>
      </c>
      <c r="C28" s="179"/>
      <c r="D28" s="180"/>
      <c r="E28" s="162" t="s">
        <v>560</v>
      </c>
      <c r="F28" s="162" t="s">
        <v>561</v>
      </c>
    </row>
    <row r="29" spans="1:7">
      <c r="A29" s="317">
        <f t="shared" si="4"/>
        <v>22</v>
      </c>
      <c r="B29" s="24" t="s">
        <v>420</v>
      </c>
      <c r="E29" s="163">
        <f>+'JAP-23,  p4 Residential Sch 7'!F12</f>
        <v>7.25</v>
      </c>
      <c r="F29" s="163">
        <v>7.83</v>
      </c>
      <c r="G29" s="2" t="s">
        <v>421</v>
      </c>
    </row>
    <row r="30" spans="1:7">
      <c r="A30" s="317">
        <f t="shared" si="4"/>
        <v>23</v>
      </c>
      <c r="B30" s="2" t="s">
        <v>422</v>
      </c>
      <c r="E30" s="164"/>
      <c r="F30" s="164"/>
    </row>
    <row r="31" spans="1:7">
      <c r="A31" s="317">
        <f t="shared" si="4"/>
        <v>24</v>
      </c>
      <c r="B31" s="362" t="s">
        <v>423</v>
      </c>
      <c r="C31" s="362"/>
      <c r="D31" s="363"/>
      <c r="E31" s="165">
        <f>+'JAP-23,  p4 Residential Sch 7'!F16*100</f>
        <v>8.4991000000000003</v>
      </c>
      <c r="F31" s="165">
        <v>9.1793999999999993</v>
      </c>
      <c r="G31" s="2" t="s">
        <v>424</v>
      </c>
    </row>
    <row r="32" spans="1:7">
      <c r="A32" s="317">
        <f t="shared" si="4"/>
        <v>25</v>
      </c>
      <c r="B32" s="362" t="s">
        <v>425</v>
      </c>
      <c r="C32" s="362"/>
      <c r="D32" s="363"/>
      <c r="E32" s="165">
        <f>+'JAP-23,  p4 Residential Sch 7'!F17*100</f>
        <v>10.2974</v>
      </c>
      <c r="F32" s="165">
        <v>11.121499999999999</v>
      </c>
      <c r="G32" s="2" t="s">
        <v>424</v>
      </c>
    </row>
    <row r="33" spans="1:7">
      <c r="A33" s="317">
        <f t="shared" si="4"/>
        <v>26</v>
      </c>
      <c r="B33" s="362" t="s">
        <v>426</v>
      </c>
      <c r="C33" s="362"/>
      <c r="D33" s="363"/>
      <c r="E33" s="165">
        <f>+'JAP-23,  p46 Typ Res GRC 2011'!E33</f>
        <v>0</v>
      </c>
      <c r="F33" s="165">
        <f>+E33</f>
        <v>0</v>
      </c>
      <c r="G33" s="2" t="s">
        <v>424</v>
      </c>
    </row>
    <row r="34" spans="1:7">
      <c r="A34" s="317">
        <f t="shared" si="4"/>
        <v>27</v>
      </c>
      <c r="B34" s="362" t="s">
        <v>531</v>
      </c>
      <c r="C34" s="362"/>
      <c r="D34" s="363"/>
      <c r="E34" s="165">
        <f>+'JAP-23,  p46 Typ Res GRC 2011'!E34</f>
        <v>-4.3900000000000002E-2</v>
      </c>
      <c r="F34" s="165">
        <f>+E34</f>
        <v>-4.3900000000000002E-2</v>
      </c>
      <c r="G34" s="2" t="s">
        <v>424</v>
      </c>
    </row>
    <row r="35" spans="1:7">
      <c r="A35" s="317">
        <f t="shared" si="4"/>
        <v>28</v>
      </c>
      <c r="B35" s="362" t="s">
        <v>427</v>
      </c>
      <c r="C35" s="362"/>
      <c r="D35" s="363"/>
      <c r="E35" s="165">
        <f>+'JAP-23,  p46 Typ Res GRC 2011'!E35</f>
        <v>0.43359999999999999</v>
      </c>
      <c r="F35" s="165">
        <f>+E35</f>
        <v>0.43359999999999999</v>
      </c>
      <c r="G35" s="2" t="s">
        <v>424</v>
      </c>
    </row>
    <row r="36" spans="1:7">
      <c r="A36" s="317">
        <f t="shared" si="4"/>
        <v>29</v>
      </c>
      <c r="B36" s="362" t="s">
        <v>428</v>
      </c>
      <c r="C36" s="362"/>
      <c r="D36" s="363"/>
      <c r="E36" s="165">
        <f>+'JAP-23,  p46 Typ Res GRC 2011'!E36</f>
        <v>5.7200000000000001E-2</v>
      </c>
      <c r="F36" s="165">
        <f>E36</f>
        <v>5.7200000000000001E-2</v>
      </c>
      <c r="G36" s="2" t="s">
        <v>424</v>
      </c>
    </row>
    <row r="37" spans="1:7">
      <c r="A37" s="317">
        <f t="shared" si="4"/>
        <v>30</v>
      </c>
      <c r="B37" s="362" t="s">
        <v>440</v>
      </c>
      <c r="C37" s="362"/>
      <c r="D37" s="363"/>
      <c r="E37" s="165">
        <f>+'JAP-23,  p46 Typ Res GRC 2011'!E37</f>
        <v>-3.2500000000000001E-2</v>
      </c>
      <c r="F37" s="165">
        <f>+E37</f>
        <v>-3.2500000000000001E-2</v>
      </c>
      <c r="G37" s="2" t="s">
        <v>424</v>
      </c>
    </row>
    <row r="38" spans="1:7">
      <c r="A38" s="317">
        <f t="shared" si="4"/>
        <v>31</v>
      </c>
      <c r="B38" s="362" t="s">
        <v>533</v>
      </c>
      <c r="C38" s="362"/>
      <c r="D38" s="363"/>
      <c r="E38" s="165">
        <f>+'JAP-23,  p46 Typ Res GRC 2011'!E38</f>
        <v>0.2465</v>
      </c>
      <c r="F38" s="165">
        <v>0</v>
      </c>
      <c r="G38" s="2" t="s">
        <v>424</v>
      </c>
    </row>
    <row r="39" spans="1:7">
      <c r="A39" s="317">
        <f t="shared" si="4"/>
        <v>32</v>
      </c>
      <c r="B39" s="362" t="s">
        <v>532</v>
      </c>
      <c r="C39" s="362"/>
      <c r="D39" s="363"/>
      <c r="E39" s="165">
        <f>+'JAP-23,  p46 Typ Res GRC 2011'!E39</f>
        <v>0</v>
      </c>
      <c r="F39" s="165">
        <f>+E39</f>
        <v>0</v>
      </c>
      <c r="G39" s="2" t="s">
        <v>424</v>
      </c>
    </row>
    <row r="40" spans="1:7">
      <c r="A40" s="317">
        <f t="shared" si="4"/>
        <v>33</v>
      </c>
      <c r="B40" s="362" t="s">
        <v>553</v>
      </c>
      <c r="C40" s="362"/>
      <c r="D40" s="363"/>
      <c r="E40" s="165">
        <f>+'JAP-23,  p46 Typ Res GRC 2011'!E40</f>
        <v>0</v>
      </c>
      <c r="F40" s="165">
        <v>0</v>
      </c>
      <c r="G40" s="2" t="s">
        <v>424</v>
      </c>
    </row>
    <row r="41" spans="1:7">
      <c r="A41" s="317">
        <f t="shared" si="4"/>
        <v>34</v>
      </c>
      <c r="B41" s="362" t="s">
        <v>429</v>
      </c>
      <c r="C41" s="362"/>
      <c r="D41" s="363"/>
      <c r="E41" s="166">
        <f>+'JAP-23,  p46 Typ Res GRC 2011'!E41</f>
        <v>-0.67849999999999999</v>
      </c>
      <c r="F41" s="166">
        <f>+E41</f>
        <v>-0.67849999999999999</v>
      </c>
      <c r="G41" s="2" t="s">
        <v>424</v>
      </c>
    </row>
  </sheetData>
  <mergeCells count="15">
    <mergeCell ref="B32:D32"/>
    <mergeCell ref="A1:G1"/>
    <mergeCell ref="A2:G2"/>
    <mergeCell ref="A3:G3"/>
    <mergeCell ref="D5:E5"/>
    <mergeCell ref="B31:D31"/>
    <mergeCell ref="B39:D39"/>
    <mergeCell ref="B40:D40"/>
    <mergeCell ref="B41:D41"/>
    <mergeCell ref="B33:D33"/>
    <mergeCell ref="B34:D34"/>
    <mergeCell ref="B35:D35"/>
    <mergeCell ref="B36:D36"/>
    <mergeCell ref="B37:D37"/>
    <mergeCell ref="B38:D38"/>
  </mergeCells>
  <printOptions horizontalCentered="1"/>
  <pageMargins left="0.25" right="0.25" top="1" bottom="1.2" header="0.5" footer="0.5"/>
  <pageSetup scale="83" orientation="landscape" r:id="rId1"/>
  <headerFooter alignWithMargins="0">
    <oddFooter>&amp;R&amp;"Times New Roman,Regular"Exhibit No.___(JAP-23)
Page 47 of 49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1"/>
  <sheetViews>
    <sheetView zoomScaleNormal="100" workbookViewId="0">
      <selection activeCell="F28" sqref="F28"/>
    </sheetView>
  </sheetViews>
  <sheetFormatPr defaultRowHeight="12.75"/>
  <cols>
    <col min="1" max="1" width="6.85546875" style="2" customWidth="1"/>
    <col min="2" max="2" width="30.28515625" style="2" customWidth="1"/>
    <col min="3" max="3" width="7.7109375" style="2" bestFit="1" customWidth="1"/>
    <col min="4" max="4" width="13.7109375" style="2" customWidth="1"/>
    <col min="5" max="6" width="15.7109375" style="2" customWidth="1"/>
    <col min="7" max="16384" width="9.140625" style="2"/>
  </cols>
  <sheetData>
    <row r="1" spans="1:9">
      <c r="A1" s="327" t="s">
        <v>8</v>
      </c>
      <c r="B1" s="327"/>
      <c r="C1" s="327"/>
      <c r="D1" s="327"/>
      <c r="E1" s="327"/>
      <c r="F1" s="327"/>
      <c r="G1" s="327"/>
    </row>
    <row r="2" spans="1:9">
      <c r="A2" s="327" t="s">
        <v>398</v>
      </c>
      <c r="B2" s="327"/>
      <c r="C2" s="327"/>
      <c r="D2" s="327"/>
      <c r="E2" s="327"/>
      <c r="F2" s="327"/>
      <c r="G2" s="327"/>
    </row>
    <row r="3" spans="1:9">
      <c r="A3" s="328" t="s">
        <v>559</v>
      </c>
      <c r="B3" s="327"/>
      <c r="C3" s="327"/>
      <c r="D3" s="327"/>
      <c r="E3" s="327"/>
      <c r="F3" s="327"/>
      <c r="G3" s="327"/>
    </row>
    <row r="5" spans="1:9">
      <c r="D5" s="364" t="s">
        <v>399</v>
      </c>
      <c r="E5" s="364"/>
    </row>
    <row r="6" spans="1:9" s="5" customFormat="1" ht="25.5">
      <c r="A6" s="3" t="s">
        <v>46</v>
      </c>
      <c r="B6" s="3" t="s">
        <v>400</v>
      </c>
      <c r="C6" s="3" t="s">
        <v>12</v>
      </c>
      <c r="D6" s="4" t="s">
        <v>401</v>
      </c>
      <c r="E6" s="4" t="s">
        <v>86</v>
      </c>
      <c r="F6" s="3" t="s">
        <v>402</v>
      </c>
      <c r="G6" s="3" t="s">
        <v>403</v>
      </c>
    </row>
    <row r="7" spans="1:9" ht="13.5" customHeight="1">
      <c r="B7" s="167" t="s">
        <v>477</v>
      </c>
      <c r="C7" s="133" t="s">
        <v>478</v>
      </c>
      <c r="D7" s="133" t="s">
        <v>479</v>
      </c>
      <c r="E7" s="133" t="s">
        <v>480</v>
      </c>
      <c r="F7" s="133" t="s">
        <v>481</v>
      </c>
      <c r="G7" s="133" t="s">
        <v>482</v>
      </c>
      <c r="H7" s="133"/>
      <c r="I7" s="133"/>
    </row>
    <row r="8" spans="1:9">
      <c r="A8" s="317">
        <v>1</v>
      </c>
      <c r="B8" s="2" t="s">
        <v>404</v>
      </c>
      <c r="C8" s="18">
        <v>1000</v>
      </c>
      <c r="D8" s="74">
        <f t="shared" ref="D8:E19" si="0">+E$29+IF($C8&gt;600,600*E$31/100+($C8-600)*E$32/100,$C8*E$31/100)+$C8*SUM(E$33:E$41)/100</f>
        <v>96.793199999999999</v>
      </c>
      <c r="E8" s="74">
        <f t="shared" si="0"/>
        <v>105.0624</v>
      </c>
      <c r="F8" s="74">
        <f t="shared" ref="F8:F19" si="1">+E8-D8</f>
        <v>8.2691999999999979</v>
      </c>
      <c r="G8" s="21">
        <f t="shared" ref="G8:G19" si="2">+F8/D8</f>
        <v>8.5431621229590485E-2</v>
      </c>
    </row>
    <row r="9" spans="1:9">
      <c r="A9" s="317">
        <f>+A8+1</f>
        <v>2</v>
      </c>
      <c r="B9" s="2" t="s">
        <v>405</v>
      </c>
      <c r="C9" s="18">
        <f t="shared" ref="C9:C19" si="3">+C8</f>
        <v>1000</v>
      </c>
      <c r="D9" s="74">
        <f t="shared" si="0"/>
        <v>96.793199999999999</v>
      </c>
      <c r="E9" s="74">
        <f t="shared" si="0"/>
        <v>105.0624</v>
      </c>
      <c r="F9" s="74">
        <f t="shared" si="1"/>
        <v>8.2691999999999979</v>
      </c>
      <c r="G9" s="21">
        <f t="shared" si="2"/>
        <v>8.5431621229590485E-2</v>
      </c>
    </row>
    <row r="10" spans="1:9">
      <c r="A10" s="317">
        <f t="shared" ref="A10:A41" si="4">+A9+1</f>
        <v>3</v>
      </c>
      <c r="B10" s="2" t="s">
        <v>406</v>
      </c>
      <c r="C10" s="18">
        <f t="shared" si="3"/>
        <v>1000</v>
      </c>
      <c r="D10" s="74">
        <f t="shared" si="0"/>
        <v>96.793199999999999</v>
      </c>
      <c r="E10" s="74">
        <f t="shared" si="0"/>
        <v>105.0624</v>
      </c>
      <c r="F10" s="74">
        <f t="shared" si="1"/>
        <v>8.2691999999999979</v>
      </c>
      <c r="G10" s="21">
        <f t="shared" si="2"/>
        <v>8.5431621229590485E-2</v>
      </c>
    </row>
    <row r="11" spans="1:9">
      <c r="A11" s="317">
        <f t="shared" si="4"/>
        <v>4</v>
      </c>
      <c r="B11" s="2" t="s">
        <v>407</v>
      </c>
      <c r="C11" s="18">
        <f t="shared" si="3"/>
        <v>1000</v>
      </c>
      <c r="D11" s="74">
        <f t="shared" si="0"/>
        <v>96.793199999999999</v>
      </c>
      <c r="E11" s="74">
        <f t="shared" si="0"/>
        <v>105.0624</v>
      </c>
      <c r="F11" s="74">
        <f t="shared" si="1"/>
        <v>8.2691999999999979</v>
      </c>
      <c r="G11" s="21">
        <f t="shared" si="2"/>
        <v>8.5431621229590485E-2</v>
      </c>
    </row>
    <row r="12" spans="1:9">
      <c r="A12" s="317">
        <f t="shared" si="4"/>
        <v>5</v>
      </c>
      <c r="B12" s="2" t="s">
        <v>408</v>
      </c>
      <c r="C12" s="18">
        <f t="shared" si="3"/>
        <v>1000</v>
      </c>
      <c r="D12" s="74">
        <f t="shared" si="0"/>
        <v>96.793199999999999</v>
      </c>
      <c r="E12" s="74">
        <f t="shared" si="0"/>
        <v>105.0624</v>
      </c>
      <c r="F12" s="74">
        <f t="shared" si="1"/>
        <v>8.2691999999999979</v>
      </c>
      <c r="G12" s="21">
        <f t="shared" si="2"/>
        <v>8.5431621229590485E-2</v>
      </c>
    </row>
    <row r="13" spans="1:9">
      <c r="A13" s="317">
        <f t="shared" si="4"/>
        <v>6</v>
      </c>
      <c r="B13" s="2" t="s">
        <v>409</v>
      </c>
      <c r="C13" s="18">
        <f t="shared" si="3"/>
        <v>1000</v>
      </c>
      <c r="D13" s="74">
        <f t="shared" si="0"/>
        <v>96.793199999999999</v>
      </c>
      <c r="E13" s="74">
        <f t="shared" si="0"/>
        <v>105.0624</v>
      </c>
      <c r="F13" s="74">
        <f t="shared" si="1"/>
        <v>8.2691999999999979</v>
      </c>
      <c r="G13" s="21">
        <f t="shared" si="2"/>
        <v>8.5431621229590485E-2</v>
      </c>
    </row>
    <row r="14" spans="1:9">
      <c r="A14" s="317">
        <f t="shared" si="4"/>
        <v>7</v>
      </c>
      <c r="B14" s="2" t="s">
        <v>410</v>
      </c>
      <c r="C14" s="18">
        <f>+C13</f>
        <v>1000</v>
      </c>
      <c r="D14" s="74">
        <f t="shared" si="0"/>
        <v>96.793199999999999</v>
      </c>
      <c r="E14" s="74">
        <f t="shared" si="0"/>
        <v>105.0624</v>
      </c>
      <c r="F14" s="74">
        <f t="shared" si="1"/>
        <v>8.2691999999999979</v>
      </c>
      <c r="G14" s="21">
        <f t="shared" si="2"/>
        <v>8.5431621229590485E-2</v>
      </c>
    </row>
    <row r="15" spans="1:9">
      <c r="A15" s="317">
        <f t="shared" si="4"/>
        <v>8</v>
      </c>
      <c r="B15" s="2" t="s">
        <v>411</v>
      </c>
      <c r="C15" s="18">
        <f t="shared" si="3"/>
        <v>1000</v>
      </c>
      <c r="D15" s="74">
        <f t="shared" si="0"/>
        <v>96.793199999999999</v>
      </c>
      <c r="E15" s="74">
        <f t="shared" si="0"/>
        <v>105.0624</v>
      </c>
      <c r="F15" s="74">
        <f t="shared" si="1"/>
        <v>8.2691999999999979</v>
      </c>
      <c r="G15" s="21">
        <f t="shared" si="2"/>
        <v>8.5431621229590485E-2</v>
      </c>
    </row>
    <row r="16" spans="1:9">
      <c r="A16" s="317">
        <f t="shared" si="4"/>
        <v>9</v>
      </c>
      <c r="B16" s="2" t="s">
        <v>412</v>
      </c>
      <c r="C16" s="18">
        <f t="shared" si="3"/>
        <v>1000</v>
      </c>
      <c r="D16" s="74">
        <f t="shared" si="0"/>
        <v>96.793199999999999</v>
      </c>
      <c r="E16" s="74">
        <f t="shared" si="0"/>
        <v>105.0624</v>
      </c>
      <c r="F16" s="74">
        <f t="shared" si="1"/>
        <v>8.2691999999999979</v>
      </c>
      <c r="G16" s="21">
        <f t="shared" si="2"/>
        <v>8.5431621229590485E-2</v>
      </c>
    </row>
    <row r="17" spans="1:7">
      <c r="A17" s="317">
        <f t="shared" si="4"/>
        <v>10</v>
      </c>
      <c r="B17" s="2" t="s">
        <v>413</v>
      </c>
      <c r="C17" s="18">
        <f t="shared" si="3"/>
        <v>1000</v>
      </c>
      <c r="D17" s="74">
        <f t="shared" si="0"/>
        <v>96.793199999999999</v>
      </c>
      <c r="E17" s="74">
        <f t="shared" si="0"/>
        <v>105.0624</v>
      </c>
      <c r="F17" s="74">
        <f t="shared" si="1"/>
        <v>8.2691999999999979</v>
      </c>
      <c r="G17" s="21">
        <f t="shared" si="2"/>
        <v>8.5431621229590485E-2</v>
      </c>
    </row>
    <row r="18" spans="1:7">
      <c r="A18" s="317">
        <f t="shared" si="4"/>
        <v>11</v>
      </c>
      <c r="B18" s="2" t="s">
        <v>414</v>
      </c>
      <c r="C18" s="18">
        <f t="shared" si="3"/>
        <v>1000</v>
      </c>
      <c r="D18" s="74">
        <f t="shared" si="0"/>
        <v>96.793199999999999</v>
      </c>
      <c r="E18" s="74">
        <f t="shared" si="0"/>
        <v>105.0624</v>
      </c>
      <c r="F18" s="74">
        <f t="shared" si="1"/>
        <v>8.2691999999999979</v>
      </c>
      <c r="G18" s="21">
        <f t="shared" si="2"/>
        <v>8.5431621229590485E-2</v>
      </c>
    </row>
    <row r="19" spans="1:7">
      <c r="A19" s="317">
        <f t="shared" si="4"/>
        <v>12</v>
      </c>
      <c r="B19" s="2" t="s">
        <v>415</v>
      </c>
      <c r="C19" s="18">
        <f t="shared" si="3"/>
        <v>1000</v>
      </c>
      <c r="D19" s="74">
        <f t="shared" si="0"/>
        <v>96.793199999999999</v>
      </c>
      <c r="E19" s="74">
        <f t="shared" si="0"/>
        <v>105.0624</v>
      </c>
      <c r="F19" s="74">
        <f t="shared" si="1"/>
        <v>8.2691999999999979</v>
      </c>
      <c r="G19" s="21">
        <f t="shared" si="2"/>
        <v>8.5431621229590485E-2</v>
      </c>
    </row>
    <row r="20" spans="1:7">
      <c r="A20" s="317">
        <f t="shared" si="4"/>
        <v>13</v>
      </c>
      <c r="D20" s="74"/>
      <c r="E20" s="74"/>
      <c r="F20" s="74"/>
      <c r="G20" s="21"/>
    </row>
    <row r="21" spans="1:7" ht="13.5" thickBot="1">
      <c r="A21" s="317">
        <f t="shared" si="4"/>
        <v>14</v>
      </c>
      <c r="B21" s="24" t="s">
        <v>416</v>
      </c>
      <c r="C21" s="79">
        <f>SUM(C8:C20)</f>
        <v>12000</v>
      </c>
      <c r="D21" s="177">
        <f>SUM(D8:D20)</f>
        <v>1161.5183999999999</v>
      </c>
      <c r="E21" s="177">
        <f>SUM(E8:E20)</f>
        <v>1260.7488000000001</v>
      </c>
      <c r="F21" s="177">
        <f>SUM(F8:F20)</f>
        <v>99.230399999999975</v>
      </c>
      <c r="G21" s="64">
        <f>+F21/D21</f>
        <v>8.5431621229590499E-2</v>
      </c>
    </row>
    <row r="22" spans="1:7" ht="13.5" thickTop="1">
      <c r="A22" s="317">
        <f t="shared" si="4"/>
        <v>15</v>
      </c>
      <c r="B22" s="24"/>
      <c r="G22" s="21"/>
    </row>
    <row r="23" spans="1:7" ht="13.5" thickBot="1">
      <c r="A23" s="317">
        <f t="shared" si="4"/>
        <v>16</v>
      </c>
      <c r="B23" s="10" t="s">
        <v>417</v>
      </c>
      <c r="C23" s="79">
        <f>AVERAGE(C14:C19)</f>
        <v>1000</v>
      </c>
      <c r="D23" s="177">
        <f>AVERAGE(D14:D19)</f>
        <v>96.793199999999999</v>
      </c>
      <c r="E23" s="177">
        <f>AVERAGE(E14:E19)</f>
        <v>105.06240000000001</v>
      </c>
      <c r="F23" s="177">
        <f>AVERAGE(F14:F19)</f>
        <v>8.2691999999999979</v>
      </c>
      <c r="G23" s="64">
        <f>+F23/D23</f>
        <v>8.5431621229590485E-2</v>
      </c>
    </row>
    <row r="24" spans="1:7" ht="13.5" thickTop="1">
      <c r="A24" s="317">
        <f t="shared" si="4"/>
        <v>17</v>
      </c>
    </row>
    <row r="25" spans="1:7">
      <c r="A25" s="317">
        <f t="shared" si="4"/>
        <v>18</v>
      </c>
      <c r="B25" s="2" t="s">
        <v>418</v>
      </c>
      <c r="E25" s="71">
        <f>+E21/C21*100</f>
        <v>10.50624</v>
      </c>
    </row>
    <row r="26" spans="1:7">
      <c r="A26" s="317">
        <f t="shared" si="4"/>
        <v>19</v>
      </c>
    </row>
    <row r="27" spans="1:7">
      <c r="A27" s="317">
        <f t="shared" si="4"/>
        <v>20</v>
      </c>
    </row>
    <row r="28" spans="1:7" ht="38.25">
      <c r="A28" s="317">
        <f t="shared" si="4"/>
        <v>21</v>
      </c>
      <c r="B28" s="178" t="s">
        <v>419</v>
      </c>
      <c r="C28" s="179"/>
      <c r="D28" s="180"/>
      <c r="E28" s="162" t="s">
        <v>560</v>
      </c>
      <c r="F28" s="162" t="s">
        <v>561</v>
      </c>
    </row>
    <row r="29" spans="1:7">
      <c r="A29" s="317">
        <f t="shared" si="4"/>
        <v>22</v>
      </c>
      <c r="B29" s="24" t="s">
        <v>420</v>
      </c>
      <c r="E29" s="163">
        <f>+'JAP-23,  p4 Residential Sch 7'!F12</f>
        <v>7.25</v>
      </c>
      <c r="F29" s="163">
        <v>7.83</v>
      </c>
      <c r="G29" s="2" t="s">
        <v>421</v>
      </c>
    </row>
    <row r="30" spans="1:7">
      <c r="A30" s="317">
        <f t="shared" si="4"/>
        <v>23</v>
      </c>
      <c r="B30" s="2" t="s">
        <v>422</v>
      </c>
      <c r="E30" s="164"/>
      <c r="F30" s="164"/>
    </row>
    <row r="31" spans="1:7">
      <c r="A31" s="317">
        <f t="shared" si="4"/>
        <v>24</v>
      </c>
      <c r="B31" s="362" t="s">
        <v>423</v>
      </c>
      <c r="C31" s="362"/>
      <c r="D31" s="363"/>
      <c r="E31" s="165">
        <f>+'JAP-23,  p4 Residential Sch 7'!F16*100</f>
        <v>8.4991000000000003</v>
      </c>
      <c r="F31" s="165">
        <v>9.1793999999999993</v>
      </c>
      <c r="G31" s="2" t="s">
        <v>424</v>
      </c>
    </row>
    <row r="32" spans="1:7">
      <c r="A32" s="317">
        <f t="shared" si="4"/>
        <v>25</v>
      </c>
      <c r="B32" s="362" t="s">
        <v>425</v>
      </c>
      <c r="C32" s="362"/>
      <c r="D32" s="363"/>
      <c r="E32" s="165">
        <f>+'JAP-23,  p4 Residential Sch 7'!F17*100</f>
        <v>10.2974</v>
      </c>
      <c r="F32" s="165">
        <v>11.121499999999999</v>
      </c>
      <c r="G32" s="2" t="s">
        <v>424</v>
      </c>
    </row>
    <row r="33" spans="1:7">
      <c r="A33" s="317">
        <f t="shared" si="4"/>
        <v>26</v>
      </c>
      <c r="B33" s="362" t="s">
        <v>426</v>
      </c>
      <c r="C33" s="362"/>
      <c r="D33" s="363"/>
      <c r="E33" s="165">
        <f>+'JAP-23,  p46 Typ Res GRC 2011'!E33</f>
        <v>0</v>
      </c>
      <c r="F33" s="165">
        <f>+E33</f>
        <v>0</v>
      </c>
      <c r="G33" s="2" t="s">
        <v>424</v>
      </c>
    </row>
    <row r="34" spans="1:7">
      <c r="A34" s="317">
        <f t="shared" si="4"/>
        <v>27</v>
      </c>
      <c r="B34" s="362" t="s">
        <v>531</v>
      </c>
      <c r="C34" s="362"/>
      <c r="D34" s="363"/>
      <c r="E34" s="165">
        <f>+'JAP-23,  p46 Typ Res GRC 2011'!E34</f>
        <v>-4.3900000000000002E-2</v>
      </c>
      <c r="F34" s="165">
        <f>+E34</f>
        <v>-4.3900000000000002E-2</v>
      </c>
      <c r="G34" s="2" t="s">
        <v>424</v>
      </c>
    </row>
    <row r="35" spans="1:7">
      <c r="A35" s="317">
        <f t="shared" si="4"/>
        <v>28</v>
      </c>
      <c r="B35" s="362" t="s">
        <v>427</v>
      </c>
      <c r="C35" s="362"/>
      <c r="D35" s="363"/>
      <c r="E35" s="165">
        <f>+'JAP-23,  p46 Typ Res GRC 2011'!E35</f>
        <v>0.43359999999999999</v>
      </c>
      <c r="F35" s="165">
        <f>+E35</f>
        <v>0.43359999999999999</v>
      </c>
      <c r="G35" s="2" t="s">
        <v>424</v>
      </c>
    </row>
    <row r="36" spans="1:7">
      <c r="A36" s="317">
        <f t="shared" si="4"/>
        <v>29</v>
      </c>
      <c r="B36" s="362" t="s">
        <v>428</v>
      </c>
      <c r="C36" s="362"/>
      <c r="D36" s="363"/>
      <c r="E36" s="165">
        <f>+'JAP-23,  p46 Typ Res GRC 2011'!E36</f>
        <v>5.7200000000000001E-2</v>
      </c>
      <c r="F36" s="165">
        <f>E36</f>
        <v>5.7200000000000001E-2</v>
      </c>
      <c r="G36" s="2" t="s">
        <v>424</v>
      </c>
    </row>
    <row r="37" spans="1:7">
      <c r="A37" s="317">
        <f t="shared" si="4"/>
        <v>30</v>
      </c>
      <c r="B37" s="362" t="s">
        <v>440</v>
      </c>
      <c r="C37" s="362"/>
      <c r="D37" s="363"/>
      <c r="E37" s="165">
        <f>+'JAP-23,  p46 Typ Res GRC 2011'!E37</f>
        <v>-3.2500000000000001E-2</v>
      </c>
      <c r="F37" s="165">
        <f>+E37</f>
        <v>-3.2500000000000001E-2</v>
      </c>
      <c r="G37" s="2" t="s">
        <v>424</v>
      </c>
    </row>
    <row r="38" spans="1:7">
      <c r="A38" s="317">
        <f t="shared" si="4"/>
        <v>31</v>
      </c>
      <c r="B38" s="362" t="s">
        <v>533</v>
      </c>
      <c r="C38" s="362"/>
      <c r="D38" s="363"/>
      <c r="E38" s="165">
        <v>0</v>
      </c>
      <c r="F38" s="165">
        <v>0</v>
      </c>
      <c r="G38" s="2" t="s">
        <v>424</v>
      </c>
    </row>
    <row r="39" spans="1:7">
      <c r="A39" s="317">
        <f t="shared" si="4"/>
        <v>32</v>
      </c>
      <c r="B39" s="362" t="s">
        <v>532</v>
      </c>
      <c r="C39" s="362"/>
      <c r="D39" s="363"/>
      <c r="E39" s="165">
        <f>+'JAP-23,  p46 Typ Res GRC 2011'!E39</f>
        <v>0</v>
      </c>
      <c r="F39" s="165">
        <f>+E39</f>
        <v>0</v>
      </c>
      <c r="G39" s="2" t="s">
        <v>424</v>
      </c>
    </row>
    <row r="40" spans="1:7">
      <c r="A40" s="317">
        <f t="shared" si="4"/>
        <v>33</v>
      </c>
      <c r="B40" s="362" t="s">
        <v>553</v>
      </c>
      <c r="C40" s="362"/>
      <c r="D40" s="363"/>
      <c r="E40" s="165">
        <f>+'JAP-23,  p46 Typ Res GRC 2011'!E40</f>
        <v>0</v>
      </c>
      <c r="F40" s="165">
        <v>3.1099999999999999E-2</v>
      </c>
      <c r="G40" s="2" t="s">
        <v>424</v>
      </c>
    </row>
    <row r="41" spans="1:7">
      <c r="A41" s="317">
        <f t="shared" si="4"/>
        <v>34</v>
      </c>
      <c r="B41" s="362" t="s">
        <v>429</v>
      </c>
      <c r="C41" s="362"/>
      <c r="D41" s="363"/>
      <c r="E41" s="166">
        <f>+'JAP-23,  p46 Typ Res GRC 2011'!E41</f>
        <v>-0.67849999999999999</v>
      </c>
      <c r="F41" s="166">
        <f>+E41</f>
        <v>-0.67849999999999999</v>
      </c>
      <c r="G41" s="2" t="s">
        <v>424</v>
      </c>
    </row>
  </sheetData>
  <mergeCells count="15">
    <mergeCell ref="B32:D32"/>
    <mergeCell ref="A1:G1"/>
    <mergeCell ref="A2:G2"/>
    <mergeCell ref="A3:G3"/>
    <mergeCell ref="D5:E5"/>
    <mergeCell ref="B31:D31"/>
    <mergeCell ref="B39:D39"/>
    <mergeCell ref="B40:D40"/>
    <mergeCell ref="B41:D41"/>
    <mergeCell ref="B33:D33"/>
    <mergeCell ref="B34:D34"/>
    <mergeCell ref="B35:D35"/>
    <mergeCell ref="B36:D36"/>
    <mergeCell ref="B37:D37"/>
    <mergeCell ref="B38:D38"/>
  </mergeCells>
  <printOptions horizontalCentered="1"/>
  <pageMargins left="0.25" right="0.25" top="1" bottom="1.2" header="0.5" footer="0.5"/>
  <pageSetup scale="83" orientation="landscape" r:id="rId1"/>
  <headerFooter alignWithMargins="0">
    <oddFooter>&amp;R&amp;"Times New Roman,Regular"Exhibit No.___(JAP-23)
Page 48 of 49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1"/>
  <sheetViews>
    <sheetView zoomScaleNormal="100" workbookViewId="0">
      <selection activeCell="F28" sqref="F28"/>
    </sheetView>
  </sheetViews>
  <sheetFormatPr defaultRowHeight="12.75"/>
  <cols>
    <col min="1" max="1" width="6.85546875" style="2" customWidth="1"/>
    <col min="2" max="2" width="30.28515625" style="2" customWidth="1"/>
    <col min="3" max="3" width="7.7109375" style="2" bestFit="1" customWidth="1"/>
    <col min="4" max="4" width="13.7109375" style="2" customWidth="1"/>
    <col min="5" max="6" width="15.7109375" style="2" customWidth="1"/>
    <col min="7" max="16384" width="9.140625" style="2"/>
  </cols>
  <sheetData>
    <row r="1" spans="1:9">
      <c r="A1" s="327" t="s">
        <v>8</v>
      </c>
      <c r="B1" s="327"/>
      <c r="C1" s="327"/>
      <c r="D1" s="327"/>
      <c r="E1" s="327"/>
      <c r="F1" s="327"/>
      <c r="G1" s="327"/>
    </row>
    <row r="2" spans="1:9">
      <c r="A2" s="327" t="s">
        <v>398</v>
      </c>
      <c r="B2" s="327"/>
      <c r="C2" s="327"/>
      <c r="D2" s="327"/>
      <c r="E2" s="327"/>
      <c r="F2" s="327"/>
      <c r="G2" s="327"/>
    </row>
    <row r="3" spans="1:9">
      <c r="A3" s="328" t="s">
        <v>559</v>
      </c>
      <c r="B3" s="327"/>
      <c r="C3" s="327"/>
      <c r="D3" s="327"/>
      <c r="E3" s="327"/>
      <c r="F3" s="327"/>
      <c r="G3" s="327"/>
    </row>
    <row r="5" spans="1:9">
      <c r="D5" s="364" t="s">
        <v>399</v>
      </c>
      <c r="E5" s="364"/>
    </row>
    <row r="6" spans="1:9" s="5" customFormat="1" ht="25.5">
      <c r="A6" s="3" t="s">
        <v>46</v>
      </c>
      <c r="B6" s="3" t="s">
        <v>400</v>
      </c>
      <c r="C6" s="3" t="s">
        <v>12</v>
      </c>
      <c r="D6" s="4" t="s">
        <v>401</v>
      </c>
      <c r="E6" s="4" t="s">
        <v>86</v>
      </c>
      <c r="F6" s="3" t="s">
        <v>402</v>
      </c>
      <c r="G6" s="3" t="s">
        <v>403</v>
      </c>
    </row>
    <row r="7" spans="1:9" ht="13.5" customHeight="1">
      <c r="B7" s="167" t="s">
        <v>477</v>
      </c>
      <c r="C7" s="133" t="s">
        <v>478</v>
      </c>
      <c r="D7" s="133" t="s">
        <v>479</v>
      </c>
      <c r="E7" s="133" t="s">
        <v>480</v>
      </c>
      <c r="F7" s="133" t="s">
        <v>481</v>
      </c>
      <c r="G7" s="133" t="s">
        <v>482</v>
      </c>
      <c r="H7" s="133"/>
      <c r="I7" s="133"/>
    </row>
    <row r="8" spans="1:9">
      <c r="A8" s="317">
        <v>1</v>
      </c>
      <c r="B8" s="2" t="s">
        <v>404</v>
      </c>
      <c r="C8" s="18">
        <v>1000</v>
      </c>
      <c r="D8" s="74">
        <f t="shared" ref="D8:E19" si="0">+E$29+IF($C8&gt;600,600*E$31/100+($C8-600)*E$32/100,$C8*E$31/100)+$C8*SUM(E$33:E$41)/100</f>
        <v>96.793199999999999</v>
      </c>
      <c r="E8" s="74">
        <f t="shared" si="0"/>
        <v>104.75139999999999</v>
      </c>
      <c r="F8" s="74">
        <f t="shared" ref="F8:F19" si="1">+E8-D8</f>
        <v>7.9581999999999908</v>
      </c>
      <c r="G8" s="21">
        <f t="shared" ref="G8:G19" si="2">+F8/D8</f>
        <v>8.2218585603120786E-2</v>
      </c>
    </row>
    <row r="9" spans="1:9">
      <c r="A9" s="317">
        <f>+A8+1</f>
        <v>2</v>
      </c>
      <c r="B9" s="2" t="s">
        <v>405</v>
      </c>
      <c r="C9" s="18">
        <f t="shared" ref="C9:C19" si="3">+C8</f>
        <v>1000</v>
      </c>
      <c r="D9" s="74">
        <f t="shared" si="0"/>
        <v>96.793199999999999</v>
      </c>
      <c r="E9" s="74">
        <f t="shared" si="0"/>
        <v>104.75139999999999</v>
      </c>
      <c r="F9" s="74">
        <f t="shared" si="1"/>
        <v>7.9581999999999908</v>
      </c>
      <c r="G9" s="21">
        <f t="shared" si="2"/>
        <v>8.2218585603120786E-2</v>
      </c>
    </row>
    <row r="10" spans="1:9">
      <c r="A10" s="317">
        <f t="shared" ref="A10:A41" si="4">+A9+1</f>
        <v>3</v>
      </c>
      <c r="B10" s="2" t="s">
        <v>406</v>
      </c>
      <c r="C10" s="18">
        <f t="shared" si="3"/>
        <v>1000</v>
      </c>
      <c r="D10" s="74">
        <f t="shared" si="0"/>
        <v>96.793199999999999</v>
      </c>
      <c r="E10" s="74">
        <f t="shared" si="0"/>
        <v>104.75139999999999</v>
      </c>
      <c r="F10" s="74">
        <f t="shared" si="1"/>
        <v>7.9581999999999908</v>
      </c>
      <c r="G10" s="21">
        <f t="shared" si="2"/>
        <v>8.2218585603120786E-2</v>
      </c>
    </row>
    <row r="11" spans="1:9">
      <c r="A11" s="317">
        <f t="shared" si="4"/>
        <v>4</v>
      </c>
      <c r="B11" s="2" t="s">
        <v>407</v>
      </c>
      <c r="C11" s="18">
        <f t="shared" si="3"/>
        <v>1000</v>
      </c>
      <c r="D11" s="74">
        <f t="shared" si="0"/>
        <v>96.793199999999999</v>
      </c>
      <c r="E11" s="74">
        <f t="shared" si="0"/>
        <v>104.75139999999999</v>
      </c>
      <c r="F11" s="74">
        <f t="shared" si="1"/>
        <v>7.9581999999999908</v>
      </c>
      <c r="G11" s="21">
        <f t="shared" si="2"/>
        <v>8.2218585603120786E-2</v>
      </c>
    </row>
    <row r="12" spans="1:9">
      <c r="A12" s="317">
        <f t="shared" si="4"/>
        <v>5</v>
      </c>
      <c r="B12" s="2" t="s">
        <v>408</v>
      </c>
      <c r="C12" s="18">
        <f t="shared" si="3"/>
        <v>1000</v>
      </c>
      <c r="D12" s="74">
        <f t="shared" si="0"/>
        <v>96.793199999999999</v>
      </c>
      <c r="E12" s="74">
        <f t="shared" si="0"/>
        <v>104.75139999999999</v>
      </c>
      <c r="F12" s="74">
        <f t="shared" si="1"/>
        <v>7.9581999999999908</v>
      </c>
      <c r="G12" s="21">
        <f t="shared" si="2"/>
        <v>8.2218585603120786E-2</v>
      </c>
    </row>
    <row r="13" spans="1:9">
      <c r="A13" s="317">
        <f t="shared" si="4"/>
        <v>6</v>
      </c>
      <c r="B13" s="2" t="s">
        <v>409</v>
      </c>
      <c r="C13" s="18">
        <f t="shared" si="3"/>
        <v>1000</v>
      </c>
      <c r="D13" s="74">
        <f t="shared" si="0"/>
        <v>96.793199999999999</v>
      </c>
      <c r="E13" s="74">
        <f t="shared" si="0"/>
        <v>104.75139999999999</v>
      </c>
      <c r="F13" s="74">
        <f t="shared" si="1"/>
        <v>7.9581999999999908</v>
      </c>
      <c r="G13" s="21">
        <f t="shared" si="2"/>
        <v>8.2218585603120786E-2</v>
      </c>
    </row>
    <row r="14" spans="1:9">
      <c r="A14" s="317">
        <f t="shared" si="4"/>
        <v>7</v>
      </c>
      <c r="B14" s="2" t="s">
        <v>410</v>
      </c>
      <c r="C14" s="18">
        <f>+C13</f>
        <v>1000</v>
      </c>
      <c r="D14" s="74">
        <f t="shared" si="0"/>
        <v>96.793199999999999</v>
      </c>
      <c r="E14" s="74">
        <f t="shared" si="0"/>
        <v>104.75139999999999</v>
      </c>
      <c r="F14" s="74">
        <f t="shared" si="1"/>
        <v>7.9581999999999908</v>
      </c>
      <c r="G14" s="21">
        <f t="shared" si="2"/>
        <v>8.2218585603120786E-2</v>
      </c>
    </row>
    <row r="15" spans="1:9">
      <c r="A15" s="317">
        <f t="shared" si="4"/>
        <v>8</v>
      </c>
      <c r="B15" s="2" t="s">
        <v>411</v>
      </c>
      <c r="C15" s="18">
        <f t="shared" si="3"/>
        <v>1000</v>
      </c>
      <c r="D15" s="74">
        <f t="shared" si="0"/>
        <v>96.793199999999999</v>
      </c>
      <c r="E15" s="74">
        <f t="shared" si="0"/>
        <v>104.75139999999999</v>
      </c>
      <c r="F15" s="74">
        <f t="shared" si="1"/>
        <v>7.9581999999999908</v>
      </c>
      <c r="G15" s="21">
        <f t="shared" si="2"/>
        <v>8.2218585603120786E-2</v>
      </c>
    </row>
    <row r="16" spans="1:9">
      <c r="A16" s="317">
        <f t="shared" si="4"/>
        <v>9</v>
      </c>
      <c r="B16" s="2" t="s">
        <v>412</v>
      </c>
      <c r="C16" s="18">
        <f t="shared" si="3"/>
        <v>1000</v>
      </c>
      <c r="D16" s="74">
        <f t="shared" si="0"/>
        <v>96.793199999999999</v>
      </c>
      <c r="E16" s="74">
        <f t="shared" si="0"/>
        <v>104.75139999999999</v>
      </c>
      <c r="F16" s="74">
        <f t="shared" si="1"/>
        <v>7.9581999999999908</v>
      </c>
      <c r="G16" s="21">
        <f t="shared" si="2"/>
        <v>8.2218585603120786E-2</v>
      </c>
    </row>
    <row r="17" spans="1:7">
      <c r="A17" s="317">
        <f t="shared" si="4"/>
        <v>10</v>
      </c>
      <c r="B17" s="2" t="s">
        <v>413</v>
      </c>
      <c r="C17" s="18">
        <f t="shared" si="3"/>
        <v>1000</v>
      </c>
      <c r="D17" s="74">
        <f t="shared" si="0"/>
        <v>96.793199999999999</v>
      </c>
      <c r="E17" s="74">
        <f t="shared" si="0"/>
        <v>104.75139999999999</v>
      </c>
      <c r="F17" s="74">
        <f t="shared" si="1"/>
        <v>7.9581999999999908</v>
      </c>
      <c r="G17" s="21">
        <f t="shared" si="2"/>
        <v>8.2218585603120786E-2</v>
      </c>
    </row>
    <row r="18" spans="1:7">
      <c r="A18" s="317">
        <f t="shared" si="4"/>
        <v>11</v>
      </c>
      <c r="B18" s="2" t="s">
        <v>414</v>
      </c>
      <c r="C18" s="18">
        <f t="shared" si="3"/>
        <v>1000</v>
      </c>
      <c r="D18" s="74">
        <f t="shared" si="0"/>
        <v>96.793199999999999</v>
      </c>
      <c r="E18" s="74">
        <f t="shared" si="0"/>
        <v>104.75139999999999</v>
      </c>
      <c r="F18" s="74">
        <f t="shared" si="1"/>
        <v>7.9581999999999908</v>
      </c>
      <c r="G18" s="21">
        <f t="shared" si="2"/>
        <v>8.2218585603120786E-2</v>
      </c>
    </row>
    <row r="19" spans="1:7">
      <c r="A19" s="317">
        <f t="shared" si="4"/>
        <v>12</v>
      </c>
      <c r="B19" s="2" t="s">
        <v>415</v>
      </c>
      <c r="C19" s="18">
        <f t="shared" si="3"/>
        <v>1000</v>
      </c>
      <c r="D19" s="74">
        <f t="shared" si="0"/>
        <v>96.793199999999999</v>
      </c>
      <c r="E19" s="74">
        <f t="shared" si="0"/>
        <v>104.75139999999999</v>
      </c>
      <c r="F19" s="74">
        <f t="shared" si="1"/>
        <v>7.9581999999999908</v>
      </c>
      <c r="G19" s="21">
        <f t="shared" si="2"/>
        <v>8.2218585603120786E-2</v>
      </c>
    </row>
    <row r="20" spans="1:7">
      <c r="A20" s="317">
        <f t="shared" si="4"/>
        <v>13</v>
      </c>
      <c r="D20" s="74"/>
      <c r="E20" s="74"/>
      <c r="F20" s="74"/>
      <c r="G20" s="21"/>
    </row>
    <row r="21" spans="1:7" ht="13.5" thickBot="1">
      <c r="A21" s="317">
        <f t="shared" si="4"/>
        <v>14</v>
      </c>
      <c r="B21" s="24" t="s">
        <v>416</v>
      </c>
      <c r="C21" s="79">
        <f>SUM(C8:C20)</f>
        <v>12000</v>
      </c>
      <c r="D21" s="177">
        <f>SUM(D8:D20)</f>
        <v>1161.5183999999999</v>
      </c>
      <c r="E21" s="177">
        <f>SUM(E8:E20)</f>
        <v>1257.0167999999999</v>
      </c>
      <c r="F21" s="177">
        <f>SUM(F8:F20)</f>
        <v>95.49839999999989</v>
      </c>
      <c r="G21" s="64">
        <f>+F21/D21</f>
        <v>8.2218585603120786E-2</v>
      </c>
    </row>
    <row r="22" spans="1:7" ht="13.5" thickTop="1">
      <c r="A22" s="317">
        <f t="shared" si="4"/>
        <v>15</v>
      </c>
      <c r="B22" s="24"/>
      <c r="G22" s="21"/>
    </row>
    <row r="23" spans="1:7" ht="13.5" thickBot="1">
      <c r="A23" s="317">
        <f t="shared" si="4"/>
        <v>16</v>
      </c>
      <c r="B23" s="10" t="s">
        <v>417</v>
      </c>
      <c r="C23" s="79">
        <f>AVERAGE(C14:C19)</f>
        <v>1000</v>
      </c>
      <c r="D23" s="177">
        <f>AVERAGE(D14:D19)</f>
        <v>96.793199999999999</v>
      </c>
      <c r="E23" s="177">
        <f>AVERAGE(E14:E19)</f>
        <v>104.75139999999999</v>
      </c>
      <c r="F23" s="177">
        <f>AVERAGE(F14:F19)</f>
        <v>7.9581999999999908</v>
      </c>
      <c r="G23" s="64">
        <f>+F23/D23</f>
        <v>8.2218585603120786E-2</v>
      </c>
    </row>
    <row r="24" spans="1:7" ht="13.5" thickTop="1">
      <c r="A24" s="317">
        <f t="shared" si="4"/>
        <v>17</v>
      </c>
    </row>
    <row r="25" spans="1:7">
      <c r="A25" s="317">
        <f t="shared" si="4"/>
        <v>18</v>
      </c>
      <c r="B25" s="2" t="s">
        <v>418</v>
      </c>
      <c r="E25" s="71">
        <f>+E21/C21*100</f>
        <v>10.47514</v>
      </c>
    </row>
    <row r="26" spans="1:7">
      <c r="A26" s="317">
        <f t="shared" si="4"/>
        <v>19</v>
      </c>
    </row>
    <row r="27" spans="1:7">
      <c r="A27" s="317">
        <f t="shared" si="4"/>
        <v>20</v>
      </c>
    </row>
    <row r="28" spans="1:7" ht="38.25">
      <c r="A28" s="317">
        <f t="shared" si="4"/>
        <v>21</v>
      </c>
      <c r="B28" s="178" t="s">
        <v>419</v>
      </c>
      <c r="C28" s="179"/>
      <c r="D28" s="180"/>
      <c r="E28" s="162" t="s">
        <v>560</v>
      </c>
      <c r="F28" s="162" t="s">
        <v>561</v>
      </c>
    </row>
    <row r="29" spans="1:7">
      <c r="A29" s="317">
        <f t="shared" si="4"/>
        <v>22</v>
      </c>
      <c r="B29" s="24" t="s">
        <v>420</v>
      </c>
      <c r="E29" s="163">
        <f>+'JAP-23,  p4 Residential Sch 7'!F12</f>
        <v>7.25</v>
      </c>
      <c r="F29" s="163">
        <v>7.83</v>
      </c>
      <c r="G29" s="2" t="s">
        <v>421</v>
      </c>
    </row>
    <row r="30" spans="1:7">
      <c r="A30" s="317">
        <f t="shared" si="4"/>
        <v>23</v>
      </c>
      <c r="B30" s="2" t="s">
        <v>422</v>
      </c>
      <c r="E30" s="164"/>
      <c r="F30" s="164"/>
    </row>
    <row r="31" spans="1:7">
      <c r="A31" s="317">
        <f t="shared" si="4"/>
        <v>24</v>
      </c>
      <c r="B31" s="362" t="s">
        <v>423</v>
      </c>
      <c r="C31" s="362"/>
      <c r="D31" s="363"/>
      <c r="E31" s="165">
        <f>+'JAP-23,  p4 Residential Sch 7'!F16*100</f>
        <v>8.4991000000000003</v>
      </c>
      <c r="F31" s="165">
        <v>9.1793999999999993</v>
      </c>
      <c r="G31" s="2" t="s">
        <v>424</v>
      </c>
    </row>
    <row r="32" spans="1:7">
      <c r="A32" s="317">
        <f t="shared" si="4"/>
        <v>25</v>
      </c>
      <c r="B32" s="362" t="s">
        <v>425</v>
      </c>
      <c r="C32" s="362"/>
      <c r="D32" s="363"/>
      <c r="E32" s="165">
        <f>+'JAP-23,  p4 Residential Sch 7'!F17*100</f>
        <v>10.2974</v>
      </c>
      <c r="F32" s="165">
        <v>11.121499999999999</v>
      </c>
      <c r="G32" s="2" t="s">
        <v>424</v>
      </c>
    </row>
    <row r="33" spans="1:7">
      <c r="A33" s="317">
        <f t="shared" si="4"/>
        <v>26</v>
      </c>
      <c r="B33" s="362" t="s">
        <v>426</v>
      </c>
      <c r="C33" s="362"/>
      <c r="D33" s="363"/>
      <c r="E33" s="165">
        <f>+'JAP-23,  p46 Typ Res GRC 2011'!E33</f>
        <v>0</v>
      </c>
      <c r="F33" s="165">
        <f>+E33</f>
        <v>0</v>
      </c>
      <c r="G33" s="2" t="s">
        <v>424</v>
      </c>
    </row>
    <row r="34" spans="1:7">
      <c r="A34" s="317">
        <f t="shared" si="4"/>
        <v>27</v>
      </c>
      <c r="B34" s="362" t="s">
        <v>531</v>
      </c>
      <c r="C34" s="362"/>
      <c r="D34" s="363"/>
      <c r="E34" s="165">
        <f>+'JAP-23,  p46 Typ Res GRC 2011'!E34</f>
        <v>-4.3900000000000002E-2</v>
      </c>
      <c r="F34" s="165">
        <f>+E34</f>
        <v>-4.3900000000000002E-2</v>
      </c>
      <c r="G34" s="2" t="s">
        <v>424</v>
      </c>
    </row>
    <row r="35" spans="1:7">
      <c r="A35" s="317">
        <f t="shared" si="4"/>
        <v>28</v>
      </c>
      <c r="B35" s="362" t="s">
        <v>427</v>
      </c>
      <c r="C35" s="362"/>
      <c r="D35" s="363"/>
      <c r="E35" s="165">
        <f>+'JAP-23,  p46 Typ Res GRC 2011'!E35</f>
        <v>0.43359999999999999</v>
      </c>
      <c r="F35" s="165">
        <f>+E35</f>
        <v>0.43359999999999999</v>
      </c>
      <c r="G35" s="2" t="s">
        <v>424</v>
      </c>
    </row>
    <row r="36" spans="1:7">
      <c r="A36" s="317">
        <f t="shared" si="4"/>
        <v>29</v>
      </c>
      <c r="B36" s="362" t="s">
        <v>428</v>
      </c>
      <c r="C36" s="362"/>
      <c r="D36" s="363"/>
      <c r="E36" s="165">
        <f>+'JAP-23,  p46 Typ Res GRC 2011'!E36</f>
        <v>5.7200000000000001E-2</v>
      </c>
      <c r="F36" s="165">
        <f>E36</f>
        <v>5.7200000000000001E-2</v>
      </c>
      <c r="G36" s="2" t="s">
        <v>424</v>
      </c>
    </row>
    <row r="37" spans="1:7">
      <c r="A37" s="317">
        <f t="shared" si="4"/>
        <v>30</v>
      </c>
      <c r="B37" s="362" t="s">
        <v>440</v>
      </c>
      <c r="C37" s="362"/>
      <c r="D37" s="363"/>
      <c r="E37" s="165">
        <f>+'JAP-23,  p46 Typ Res GRC 2011'!E37</f>
        <v>-3.2500000000000001E-2</v>
      </c>
      <c r="F37" s="165">
        <f>+E37</f>
        <v>-3.2500000000000001E-2</v>
      </c>
      <c r="G37" s="2" t="s">
        <v>424</v>
      </c>
    </row>
    <row r="38" spans="1:7">
      <c r="A38" s="317">
        <f t="shared" si="4"/>
        <v>31</v>
      </c>
      <c r="B38" s="362" t="s">
        <v>533</v>
      </c>
      <c r="C38" s="362"/>
      <c r="D38" s="363"/>
      <c r="E38" s="165">
        <v>0</v>
      </c>
      <c r="F38" s="165">
        <v>0</v>
      </c>
      <c r="G38" s="2" t="s">
        <v>424</v>
      </c>
    </row>
    <row r="39" spans="1:7">
      <c r="A39" s="317">
        <f t="shared" si="4"/>
        <v>32</v>
      </c>
      <c r="B39" s="362" t="s">
        <v>532</v>
      </c>
      <c r="C39" s="362"/>
      <c r="D39" s="363"/>
      <c r="E39" s="165">
        <f>+'JAP-23,  p46 Typ Res GRC 2011'!E39</f>
        <v>0</v>
      </c>
      <c r="F39" s="165">
        <f>+E39</f>
        <v>0</v>
      </c>
      <c r="G39" s="2" t="s">
        <v>424</v>
      </c>
    </row>
    <row r="40" spans="1:7">
      <c r="A40" s="317">
        <f t="shared" si="4"/>
        <v>33</v>
      </c>
      <c r="B40" s="362" t="s">
        <v>553</v>
      </c>
      <c r="C40" s="362"/>
      <c r="D40" s="363"/>
      <c r="E40" s="165">
        <f>+'JAP-23,  p46 Typ Res GRC 2011'!E40</f>
        <v>0</v>
      </c>
      <c r="F40" s="165">
        <v>0</v>
      </c>
      <c r="G40" s="2" t="s">
        <v>424</v>
      </c>
    </row>
    <row r="41" spans="1:7">
      <c r="A41" s="317">
        <f t="shared" si="4"/>
        <v>34</v>
      </c>
      <c r="B41" s="362" t="s">
        <v>429</v>
      </c>
      <c r="C41" s="362"/>
      <c r="D41" s="363"/>
      <c r="E41" s="166">
        <f>+'JAP-23,  p46 Typ Res GRC 2011'!E41</f>
        <v>-0.67849999999999999</v>
      </c>
      <c r="F41" s="166">
        <f>+E41</f>
        <v>-0.67849999999999999</v>
      </c>
      <c r="G41" s="2" t="s">
        <v>424</v>
      </c>
    </row>
  </sheetData>
  <mergeCells count="15">
    <mergeCell ref="B32:D32"/>
    <mergeCell ref="A1:G1"/>
    <mergeCell ref="A2:G2"/>
    <mergeCell ref="A3:G3"/>
    <mergeCell ref="D5:E5"/>
    <mergeCell ref="B31:D31"/>
    <mergeCell ref="B39:D39"/>
    <mergeCell ref="B40:D40"/>
    <mergeCell ref="B41:D41"/>
    <mergeCell ref="B33:D33"/>
    <mergeCell ref="B34:D34"/>
    <mergeCell ref="B35:D35"/>
    <mergeCell ref="B36:D36"/>
    <mergeCell ref="B37:D37"/>
    <mergeCell ref="B38:D38"/>
  </mergeCells>
  <printOptions horizontalCentered="1"/>
  <pageMargins left="0.25" right="0.25" top="1" bottom="1.2" header="0.5" footer="0.5"/>
  <pageSetup scale="83" orientation="landscape" r:id="rId1"/>
  <headerFooter alignWithMargins="0">
    <oddFooter>&amp;R&amp;"Times New Roman,Regular"Exhibit No.___(JAP-23)
Page 49 of 49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M31"/>
  <sheetViews>
    <sheetView zoomScaleNormal="100" workbookViewId="0">
      <selection activeCell="A25" sqref="A25:G32"/>
    </sheetView>
  </sheetViews>
  <sheetFormatPr defaultRowHeight="12.75"/>
  <cols>
    <col min="1" max="1" width="4.28515625" style="2" bestFit="1" customWidth="1"/>
    <col min="2" max="2" width="23.5703125" style="2" bestFit="1" customWidth="1"/>
    <col min="3" max="3" width="12.5703125" style="2" customWidth="1"/>
    <col min="4" max="4" width="10.5703125" style="2" customWidth="1"/>
    <col min="5" max="5" width="12.85546875" style="2" customWidth="1"/>
    <col min="6" max="6" width="10" style="2" customWidth="1"/>
    <col min="7" max="7" width="12.7109375" style="2" customWidth="1"/>
    <col min="8" max="8" width="10.140625" style="2" customWidth="1"/>
    <col min="9" max="9" width="12.42578125" style="2" customWidth="1"/>
    <col min="10" max="10" width="11.28515625" style="2" customWidth="1"/>
    <col min="11" max="11" width="4.7109375" style="2" bestFit="1" customWidth="1"/>
    <col min="12" max="12" width="9.140625" style="2"/>
    <col min="13" max="13" width="12.28515625" style="2" bestFit="1" customWidth="1"/>
    <col min="14" max="16384" width="9.140625" style="2"/>
  </cols>
  <sheetData>
    <row r="1" spans="1:11">
      <c r="A1" s="327" t="str">
        <f>+'JAP-23,  p4 Residential Sch 7'!A1</f>
        <v>Puget Sound Energy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</row>
    <row r="2" spans="1:11">
      <c r="A2" s="327" t="str">
        <f>+'JAP-23,  p4 Residential Sch 7'!A2</f>
        <v>Proforma and Proposed Revenue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</row>
    <row r="3" spans="1:11">
      <c r="A3" s="327" t="str">
        <f>+'JAP-23,  p4 Residential Sch 7'!A3</f>
        <v>Test Year Twelve Months ended December 2010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</row>
    <row r="4" spans="1:11">
      <c r="A4" s="327" t="s">
        <v>177</v>
      </c>
      <c r="B4" s="327"/>
      <c r="C4" s="327"/>
      <c r="D4" s="327"/>
      <c r="E4" s="327"/>
      <c r="F4" s="327"/>
      <c r="G4" s="327"/>
      <c r="H4" s="327"/>
      <c r="I4" s="327"/>
      <c r="J4" s="327"/>
      <c r="K4" s="327"/>
    </row>
    <row r="5" spans="1:11">
      <c r="A5" s="327" t="s">
        <v>178</v>
      </c>
      <c r="B5" s="327"/>
      <c r="C5" s="327"/>
      <c r="D5" s="327"/>
      <c r="E5" s="327"/>
      <c r="F5" s="327"/>
      <c r="G5" s="327"/>
      <c r="H5" s="327"/>
      <c r="I5" s="327"/>
      <c r="J5" s="327"/>
      <c r="K5" s="327"/>
    </row>
    <row r="7" spans="1:11">
      <c r="F7" s="336" t="s">
        <v>85</v>
      </c>
      <c r="G7" s="337"/>
      <c r="H7" s="338" t="s">
        <v>86</v>
      </c>
      <c r="I7" s="339"/>
    </row>
    <row r="8" spans="1:11">
      <c r="A8" s="11" t="s">
        <v>450</v>
      </c>
      <c r="C8" s="333" t="s">
        <v>165</v>
      </c>
      <c r="D8" s="335"/>
      <c r="E8" s="334"/>
      <c r="F8" s="340" t="str">
        <f>+'JAP-23,  p4 Residential Sch 7'!F8</f>
        <v>Rates Effective 5-1-10</v>
      </c>
      <c r="G8" s="332"/>
      <c r="H8" s="340" t="str">
        <f>+'JAP-23,  p4 Residential Sch 7'!H8</f>
        <v>Rates Effective May 2012</v>
      </c>
      <c r="I8" s="332"/>
      <c r="J8" s="333" t="s">
        <v>166</v>
      </c>
      <c r="K8" s="334"/>
    </row>
    <row r="9" spans="1:11">
      <c r="A9" s="176" t="s">
        <v>451</v>
      </c>
      <c r="B9" s="176"/>
      <c r="C9" s="235" t="s">
        <v>85</v>
      </c>
      <c r="D9" s="237" t="s">
        <v>433</v>
      </c>
      <c r="E9" s="236" t="s">
        <v>167</v>
      </c>
      <c r="F9" s="203" t="s">
        <v>168</v>
      </c>
      <c r="G9" s="204" t="s">
        <v>169</v>
      </c>
      <c r="H9" s="176" t="s">
        <v>168</v>
      </c>
      <c r="I9" s="204" t="s">
        <v>169</v>
      </c>
      <c r="J9" s="203" t="s">
        <v>170</v>
      </c>
      <c r="K9" s="204" t="s">
        <v>171</v>
      </c>
    </row>
    <row r="10" spans="1:11" s="5" customFormat="1">
      <c r="A10" s="167"/>
      <c r="B10" s="167" t="s">
        <v>477</v>
      </c>
      <c r="C10" s="133" t="s">
        <v>478</v>
      </c>
      <c r="D10" s="133" t="s">
        <v>479</v>
      </c>
      <c r="E10" s="133" t="s">
        <v>480</v>
      </c>
      <c r="F10" s="133" t="s">
        <v>481</v>
      </c>
      <c r="G10" s="133" t="s">
        <v>482</v>
      </c>
      <c r="H10" s="133" t="s">
        <v>483</v>
      </c>
      <c r="I10" s="133" t="s">
        <v>484</v>
      </c>
      <c r="J10" s="133" t="s">
        <v>485</v>
      </c>
      <c r="K10" s="133" t="s">
        <v>486</v>
      </c>
    </row>
    <row r="11" spans="1:11" s="5" customFormat="1">
      <c r="A11" s="167"/>
      <c r="B11" s="167"/>
      <c r="C11" s="133"/>
      <c r="D11" s="133"/>
      <c r="E11" s="133"/>
      <c r="F11" s="133"/>
      <c r="G11" s="133"/>
      <c r="H11" s="133"/>
      <c r="I11" s="133"/>
      <c r="J11" s="133"/>
      <c r="K11" s="133"/>
    </row>
    <row r="12" spans="1:11">
      <c r="A12" s="5">
        <v>1</v>
      </c>
      <c r="B12" s="24" t="s">
        <v>172</v>
      </c>
      <c r="C12" s="211">
        <v>1042443</v>
      </c>
      <c r="D12" s="211"/>
      <c r="E12" s="211">
        <f>+C12</f>
        <v>1042443</v>
      </c>
      <c r="F12" s="74">
        <v>9.35</v>
      </c>
      <c r="G12" s="29">
        <f>+F12*E12</f>
        <v>9746842.0499999989</v>
      </c>
      <c r="H12" s="184">
        <f>+'JAP-23,  p33 Rate Des Sch 24'!$E$10</f>
        <v>10.1</v>
      </c>
      <c r="I12" s="29">
        <f>+H12*E12</f>
        <v>10528674.299999999</v>
      </c>
      <c r="J12" s="37">
        <f>+I12-G12</f>
        <v>781832.25</v>
      </c>
      <c r="K12" s="21">
        <f>+J12/G12</f>
        <v>8.0213903743315523E-2</v>
      </c>
    </row>
    <row r="13" spans="1:11">
      <c r="A13" s="5">
        <f>+A12+1</f>
        <v>2</v>
      </c>
      <c r="B13" s="2" t="s">
        <v>173</v>
      </c>
      <c r="C13" s="211">
        <v>431676</v>
      </c>
      <c r="D13" s="211"/>
      <c r="E13" s="211">
        <f>+C13</f>
        <v>431676</v>
      </c>
      <c r="F13" s="74">
        <v>23.76</v>
      </c>
      <c r="G13" s="29">
        <f>+F13*E13</f>
        <v>10256621.76</v>
      </c>
      <c r="H13" s="184">
        <f>+'JAP-23,  p33 Rate Des Sch 24'!$E$11</f>
        <v>25.66</v>
      </c>
      <c r="I13" s="29">
        <f>+H13*E13</f>
        <v>11076806.16</v>
      </c>
      <c r="J13" s="37">
        <f>+I13-G13</f>
        <v>820184.40000000037</v>
      </c>
      <c r="K13" s="21">
        <f>+J13/G13</f>
        <v>7.9966329966330005E-2</v>
      </c>
    </row>
    <row r="14" spans="1:11">
      <c r="A14" s="5">
        <f t="shared" ref="A14:A24" si="0">+A13+1</f>
        <v>3</v>
      </c>
      <c r="B14" s="2" t="s">
        <v>53</v>
      </c>
      <c r="C14" s="12">
        <f>SUM(C12:C13)</f>
        <v>1474119</v>
      </c>
      <c r="D14" s="12"/>
      <c r="E14" s="12">
        <f>SUM(E12:E13)</f>
        <v>1474119</v>
      </c>
      <c r="G14" s="13">
        <f>SUM(G12:G13)</f>
        <v>20003463.809999999</v>
      </c>
      <c r="I14" s="13">
        <f>SUM(I12:I13)</f>
        <v>21605480.460000001</v>
      </c>
      <c r="J14" s="13">
        <f>SUM(J12:J13)</f>
        <v>1602016.6500000004</v>
      </c>
      <c r="K14" s="52">
        <f>+J14/G14</f>
        <v>8.0086962198973308E-2</v>
      </c>
    </row>
    <row r="15" spans="1:11">
      <c r="A15" s="5">
        <f t="shared" si="0"/>
        <v>4</v>
      </c>
      <c r="G15" s="29"/>
      <c r="I15" s="74"/>
    </row>
    <row r="16" spans="1:11">
      <c r="A16" s="5">
        <f t="shared" si="0"/>
        <v>5</v>
      </c>
      <c r="B16" s="2" t="s">
        <v>179</v>
      </c>
      <c r="C16" s="211">
        <v>1361267444.4359</v>
      </c>
      <c r="D16" s="18">
        <v>17770374.273186427</v>
      </c>
      <c r="E16" s="18">
        <f>SUM(C16:D16)</f>
        <v>1379037818.7090864</v>
      </c>
      <c r="F16" s="58">
        <v>8.8446999999999998E-2</v>
      </c>
      <c r="G16" s="29">
        <f>+F16*E16</f>
        <v>121971757.95136257</v>
      </c>
      <c r="H16" s="58">
        <f>+'JAP-23,  p33 Rate Des Sch 24'!$E$15</f>
        <v>9.5526E-2</v>
      </c>
      <c r="I16" s="29">
        <f>+H16*E16</f>
        <v>131733966.67000419</v>
      </c>
      <c r="J16" s="37">
        <f>+I16-G16</f>
        <v>9762208.7186416239</v>
      </c>
      <c r="K16" s="21">
        <f>+J16/G16</f>
        <v>8.0036632107363739E-2</v>
      </c>
    </row>
    <row r="17" spans="1:13">
      <c r="A17" s="5">
        <f t="shared" si="0"/>
        <v>6</v>
      </c>
      <c r="B17" s="2" t="s">
        <v>180</v>
      </c>
      <c r="C17" s="211">
        <v>1213889391.6689003</v>
      </c>
      <c r="D17" s="18">
        <v>16597970.250334155</v>
      </c>
      <c r="E17" s="18">
        <f>SUM(C17:D17)</f>
        <v>1230487361.9192345</v>
      </c>
      <c r="F17" s="58">
        <v>8.5448999999999997E-2</v>
      </c>
      <c r="G17" s="29">
        <f>+F17*E17</f>
        <v>105143914.58863667</v>
      </c>
      <c r="H17" s="58">
        <f>+'JAP-23,  p33 Rate Des Sch 24'!$E$16</f>
        <v>9.2285999999999993E-2</v>
      </c>
      <c r="I17" s="29">
        <f>+H17*E17</f>
        <v>113556756.68207847</v>
      </c>
      <c r="J17" s="37">
        <f>+I17-G17</f>
        <v>8412842.0934417993</v>
      </c>
      <c r="K17" s="21">
        <f>+J17/G17</f>
        <v>8.0012639118070369E-2</v>
      </c>
    </row>
    <row r="18" spans="1:13">
      <c r="A18" s="5">
        <f t="shared" si="0"/>
        <v>7</v>
      </c>
      <c r="B18" s="2" t="s">
        <v>59</v>
      </c>
      <c r="C18" s="12">
        <f>SUM(C16:C17)</f>
        <v>2575156836.1048002</v>
      </c>
      <c r="D18" s="12">
        <f>SUM(D16:D17)</f>
        <v>34368344.523520581</v>
      </c>
      <c r="E18" s="12">
        <f>SUM(E16:E17)</f>
        <v>2609525180.6283207</v>
      </c>
      <c r="G18" s="13">
        <f>SUM(G16:G17)</f>
        <v>227115672.53999925</v>
      </c>
      <c r="I18" s="13">
        <f>SUM(I16:I17)</f>
        <v>245290723.35208267</v>
      </c>
      <c r="J18" s="13">
        <f>SUM(J16:J17)</f>
        <v>18175050.812083423</v>
      </c>
      <c r="K18" s="52">
        <f>+J18/G18</f>
        <v>8.0025524477543325E-2</v>
      </c>
      <c r="M18" s="37"/>
    </row>
    <row r="19" spans="1:13">
      <c r="A19" s="5">
        <f t="shared" si="0"/>
        <v>8</v>
      </c>
      <c r="C19" s="19"/>
      <c r="D19" s="19"/>
      <c r="E19" s="19"/>
      <c r="G19" s="17"/>
      <c r="I19" s="17"/>
      <c r="J19" s="17"/>
      <c r="K19" s="56"/>
    </row>
    <row r="20" spans="1:13">
      <c r="A20" s="5">
        <f t="shared" si="0"/>
        <v>9</v>
      </c>
      <c r="B20" s="2" t="s">
        <v>175</v>
      </c>
      <c r="E20" s="12">
        <f>+E18</f>
        <v>2609525180.6283207</v>
      </c>
      <c r="F20" s="58">
        <v>0</v>
      </c>
      <c r="G20" s="13">
        <f>+F20*E20</f>
        <v>0</v>
      </c>
      <c r="H20" s="58">
        <v>0</v>
      </c>
      <c r="I20" s="13">
        <f>+H20*E20</f>
        <v>0</v>
      </c>
      <c r="J20" s="54">
        <f>+I20-G20</f>
        <v>0</v>
      </c>
      <c r="K20" s="56"/>
    </row>
    <row r="21" spans="1:13">
      <c r="A21" s="5">
        <f t="shared" si="0"/>
        <v>10</v>
      </c>
      <c r="E21" s="81"/>
    </row>
    <row r="22" spans="1:13">
      <c r="A22" s="5">
        <f t="shared" si="0"/>
        <v>11</v>
      </c>
      <c r="B22" s="2" t="s">
        <v>176</v>
      </c>
      <c r="E22" s="12">
        <v>-14659755</v>
      </c>
      <c r="F22" s="58">
        <f>ROUND(+G22/E22,6)</f>
        <v>9.5217999999999997E-2</v>
      </c>
      <c r="G22" s="13">
        <v>-1395874</v>
      </c>
      <c r="H22" s="58">
        <f>+'JAP-23,  p33 Rate Des Sch 24'!$E$19</f>
        <v>0.102839</v>
      </c>
      <c r="I22" s="13">
        <f>+H22*E22</f>
        <v>-1507594.5444449999</v>
      </c>
      <c r="J22" s="54">
        <f>+I22-G22</f>
        <v>-111720.54444499989</v>
      </c>
      <c r="K22" s="52">
        <f>+J22/G22</f>
        <v>8.0036267202483816E-2</v>
      </c>
    </row>
    <row r="23" spans="1:13">
      <c r="A23" s="5">
        <f t="shared" si="0"/>
        <v>12</v>
      </c>
      <c r="E23" s="81"/>
    </row>
    <row r="24" spans="1:13" ht="13.5" thickBot="1">
      <c r="A24" s="5">
        <f t="shared" si="0"/>
        <v>13</v>
      </c>
      <c r="B24" s="24" t="s">
        <v>181</v>
      </c>
      <c r="C24" s="24"/>
      <c r="D24" s="24"/>
      <c r="E24" s="79">
        <f>SUM(E22,E18)</f>
        <v>2594865425.6283207</v>
      </c>
      <c r="G24" s="63">
        <f>SUM(G18,G14,G20,G22)</f>
        <v>245723262.34999925</v>
      </c>
      <c r="I24" s="63">
        <f>SUM(I18,I14,I20,I22)</f>
        <v>265388609.26763767</v>
      </c>
      <c r="J24" s="63">
        <f>SUM(J18,J14,J20,J22)</f>
        <v>19665346.917638421</v>
      </c>
      <c r="K24" s="64">
        <f>+J24/G24</f>
        <v>8.0030464879746785E-2</v>
      </c>
    </row>
    <row r="25" spans="1:13" ht="13.5" thickTop="1">
      <c r="A25" s="5"/>
      <c r="E25" s="81"/>
    </row>
    <row r="26" spans="1:13">
      <c r="A26" s="5"/>
      <c r="B26" s="24"/>
      <c r="G26" s="29"/>
      <c r="I26" s="37"/>
    </row>
    <row r="27" spans="1:13">
      <c r="A27" s="5"/>
      <c r="B27" s="24"/>
      <c r="G27" s="37"/>
      <c r="H27" s="37"/>
      <c r="I27" s="37"/>
    </row>
    <row r="31" spans="1:13">
      <c r="B31" s="24"/>
      <c r="F31" s="58"/>
      <c r="G31" s="29"/>
    </row>
  </sheetData>
  <mergeCells count="11">
    <mergeCell ref="A1:K1"/>
    <mergeCell ref="A2:K2"/>
    <mergeCell ref="A3:K3"/>
    <mergeCell ref="A4:K4"/>
    <mergeCell ref="C8:E8"/>
    <mergeCell ref="F8:G8"/>
    <mergeCell ref="H8:I8"/>
    <mergeCell ref="J8:K8"/>
    <mergeCell ref="A5:K5"/>
    <mergeCell ref="F7:G7"/>
    <mergeCell ref="H7:I7"/>
  </mergeCells>
  <phoneticPr fontId="0" type="noConversion"/>
  <printOptions horizontalCentered="1"/>
  <pageMargins left="0.25" right="0.25" top="1" bottom="1.1499999999999999" header="0.5" footer="0.5"/>
  <pageSetup scale="85" orientation="landscape" r:id="rId1"/>
  <headerFooter alignWithMargins="0">
    <oddFooter>&amp;R&amp;"Times New Roman,Regular"Exhibit No.___(JAP-23)
Page 5 of 49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K37"/>
  <sheetViews>
    <sheetView zoomScaleNormal="100" workbookViewId="0">
      <selection activeCell="A31" sqref="A31:G38"/>
    </sheetView>
  </sheetViews>
  <sheetFormatPr defaultRowHeight="12.75"/>
  <cols>
    <col min="1" max="1" width="4.28515625" style="2" bestFit="1" customWidth="1"/>
    <col min="2" max="2" width="24.42578125" style="2" bestFit="1" customWidth="1"/>
    <col min="3" max="3" width="14" style="2" bestFit="1" customWidth="1"/>
    <col min="4" max="4" width="11.28515625" style="2" bestFit="1" customWidth="1"/>
    <col min="5" max="5" width="16.5703125" style="2" bestFit="1" customWidth="1"/>
    <col min="6" max="6" width="10.7109375" style="2" bestFit="1" customWidth="1"/>
    <col min="7" max="7" width="16.5703125" style="2" bestFit="1" customWidth="1"/>
    <col min="8" max="8" width="11.28515625" style="2" bestFit="1" customWidth="1"/>
    <col min="9" max="9" width="13.42578125" style="2" bestFit="1" customWidth="1"/>
    <col min="10" max="10" width="12.85546875" style="2" bestFit="1" customWidth="1"/>
    <col min="11" max="11" width="7.85546875" style="2" bestFit="1" customWidth="1"/>
    <col min="12" max="16384" width="9.140625" style="2"/>
  </cols>
  <sheetData>
    <row r="1" spans="1:11">
      <c r="A1" s="327" t="str">
        <f>+'JAP-23,  p4 Residential Sch 7'!A1</f>
        <v>Puget Sound Energy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</row>
    <row r="2" spans="1:11">
      <c r="A2" s="327" t="str">
        <f>+'JAP-23,  p4 Residential Sch 7'!A2</f>
        <v>Proforma and Proposed Revenue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</row>
    <row r="3" spans="1:11">
      <c r="A3" s="327" t="str">
        <f>+'JAP-23,  p4 Residential Sch 7'!A3</f>
        <v>Test Year Twelve Months ended December 2010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</row>
    <row r="4" spans="1:11">
      <c r="A4" s="327" t="s">
        <v>182</v>
      </c>
      <c r="B4" s="327"/>
      <c r="C4" s="327"/>
      <c r="D4" s="327"/>
      <c r="E4" s="327"/>
      <c r="F4" s="327"/>
      <c r="G4" s="327"/>
      <c r="H4" s="327"/>
      <c r="I4" s="327"/>
      <c r="J4" s="327"/>
      <c r="K4" s="327"/>
    </row>
    <row r="5" spans="1:11">
      <c r="A5" s="327" t="s">
        <v>183</v>
      </c>
      <c r="B5" s="327"/>
      <c r="C5" s="327"/>
      <c r="D5" s="327"/>
      <c r="E5" s="327"/>
      <c r="F5" s="327"/>
      <c r="G5" s="327"/>
      <c r="H5" s="327"/>
      <c r="I5" s="327"/>
      <c r="J5" s="327"/>
      <c r="K5" s="327"/>
    </row>
    <row r="7" spans="1:11">
      <c r="F7" s="336" t="s">
        <v>85</v>
      </c>
      <c r="G7" s="337"/>
      <c r="H7" s="338" t="s">
        <v>86</v>
      </c>
      <c r="I7" s="339"/>
    </row>
    <row r="8" spans="1:11">
      <c r="A8" s="11" t="s">
        <v>450</v>
      </c>
      <c r="C8" s="333" t="s">
        <v>165</v>
      </c>
      <c r="D8" s="335"/>
      <c r="E8" s="334"/>
      <c r="F8" s="340" t="str">
        <f>+'JAP-23,  p4 Residential Sch 7'!F8</f>
        <v>Rates Effective 5-1-10</v>
      </c>
      <c r="G8" s="332"/>
      <c r="H8" s="340" t="str">
        <f>+'JAP-23,  p4 Residential Sch 7'!H8</f>
        <v>Rates Effective May 2012</v>
      </c>
      <c r="I8" s="332"/>
      <c r="J8" s="333" t="s">
        <v>166</v>
      </c>
      <c r="K8" s="334"/>
    </row>
    <row r="9" spans="1:11">
      <c r="A9" s="176" t="s">
        <v>451</v>
      </c>
      <c r="B9" s="176"/>
      <c r="C9" s="235" t="s">
        <v>85</v>
      </c>
      <c r="D9" s="237" t="s">
        <v>433</v>
      </c>
      <c r="E9" s="236" t="s">
        <v>167</v>
      </c>
      <c r="F9" s="203" t="s">
        <v>168</v>
      </c>
      <c r="G9" s="204" t="s">
        <v>169</v>
      </c>
      <c r="H9" s="176" t="s">
        <v>168</v>
      </c>
      <c r="I9" s="204" t="s">
        <v>169</v>
      </c>
      <c r="J9" s="203" t="s">
        <v>170</v>
      </c>
      <c r="K9" s="204" t="s">
        <v>171</v>
      </c>
    </row>
    <row r="10" spans="1:11" s="5" customFormat="1">
      <c r="A10" s="167"/>
      <c r="B10" s="167" t="s">
        <v>477</v>
      </c>
      <c r="C10" s="133" t="s">
        <v>478</v>
      </c>
      <c r="D10" s="133" t="s">
        <v>479</v>
      </c>
      <c r="E10" s="133" t="s">
        <v>480</v>
      </c>
      <c r="F10" s="133" t="s">
        <v>481</v>
      </c>
      <c r="G10" s="133" t="s">
        <v>482</v>
      </c>
      <c r="H10" s="133" t="s">
        <v>483</v>
      </c>
      <c r="I10" s="133" t="s">
        <v>484</v>
      </c>
      <c r="J10" s="133" t="s">
        <v>485</v>
      </c>
      <c r="K10" s="133" t="s">
        <v>486</v>
      </c>
    </row>
    <row r="11" spans="1:11" s="5" customFormat="1">
      <c r="A11" s="167"/>
      <c r="B11" s="167"/>
      <c r="C11" s="133"/>
      <c r="D11" s="133"/>
      <c r="E11" s="133"/>
      <c r="F11" s="133"/>
      <c r="G11" s="133"/>
      <c r="H11" s="133"/>
      <c r="I11" s="133"/>
      <c r="J11" s="133"/>
      <c r="K11" s="133"/>
    </row>
    <row r="12" spans="1:11">
      <c r="A12" s="5">
        <v>1</v>
      </c>
      <c r="B12" s="2" t="s">
        <v>53</v>
      </c>
      <c r="C12" s="210">
        <v>92162</v>
      </c>
      <c r="D12" s="210"/>
      <c r="E12" s="210">
        <f>+C12</f>
        <v>92162</v>
      </c>
      <c r="F12" s="74">
        <v>50.41</v>
      </c>
      <c r="G12" s="13">
        <f>+F12*E12</f>
        <v>4645886.42</v>
      </c>
      <c r="H12" s="184">
        <f>+'JAP-23,  p34 Rate Des Sch 25'!$E$9</f>
        <v>53.44</v>
      </c>
      <c r="I12" s="13">
        <f>+H12*E12</f>
        <v>4925137.2799999993</v>
      </c>
      <c r="J12" s="54">
        <f>+I12-G12</f>
        <v>279250.8599999994</v>
      </c>
      <c r="K12" s="52">
        <f>+J12/G12</f>
        <v>6.0107121602856452E-2</v>
      </c>
    </row>
    <row r="13" spans="1:11">
      <c r="A13" s="5">
        <f>+A12+1</f>
        <v>2</v>
      </c>
      <c r="G13" s="29"/>
      <c r="I13" s="29"/>
    </row>
    <row r="14" spans="1:11">
      <c r="A14" s="5">
        <f t="shared" ref="A14:A30" si="0">+A13+1</f>
        <v>3</v>
      </c>
      <c r="B14" s="2" t="s">
        <v>184</v>
      </c>
      <c r="C14" s="18">
        <v>767964403.55190015</v>
      </c>
      <c r="D14" s="18">
        <v>0</v>
      </c>
      <c r="E14" s="18">
        <f>SUM(C14:D14)</f>
        <v>767964403.55190015</v>
      </c>
      <c r="F14" s="58">
        <v>8.9007000000000003E-2</v>
      </c>
      <c r="G14" s="29">
        <f>+F14*E14</f>
        <v>68354207.666943982</v>
      </c>
      <c r="H14" s="58">
        <f>+'JAP-23,  p34 Rate Des Sch 25'!$E$13</f>
        <v>9.4342000000000009E-2</v>
      </c>
      <c r="I14" s="29">
        <f>+H14*E14</f>
        <v>72451297.759893373</v>
      </c>
      <c r="J14" s="37">
        <f>+I14-G14</f>
        <v>4097090.0929493904</v>
      </c>
      <c r="K14" s="21">
        <f>+J14/G14</f>
        <v>5.9939105913018119E-2</v>
      </c>
    </row>
    <row r="15" spans="1:11">
      <c r="A15" s="5">
        <f t="shared" si="0"/>
        <v>4</v>
      </c>
      <c r="B15" s="2" t="s">
        <v>185</v>
      </c>
      <c r="C15" s="18">
        <v>743096582.25419998</v>
      </c>
      <c r="D15" s="18">
        <v>0</v>
      </c>
      <c r="E15" s="18">
        <f>SUM(C15:D15)</f>
        <v>743096582.25419998</v>
      </c>
      <c r="F15" s="58">
        <v>8.1068000000000001E-2</v>
      </c>
      <c r="G15" s="29">
        <f>+F15*E15</f>
        <v>60241353.730183482</v>
      </c>
      <c r="H15" s="58">
        <f>+'JAP-23,  p34 Rate Des Sch 25'!$E$14</f>
        <v>8.5933999999999996E-2</v>
      </c>
      <c r="I15" s="29">
        <f>+H15*E15</f>
        <v>63857261.699432418</v>
      </c>
      <c r="J15" s="37">
        <f>+I15-G15</f>
        <v>3615907.9692489356</v>
      </c>
      <c r="K15" s="21">
        <f>+J15/G15</f>
        <v>6.0023683820989764E-2</v>
      </c>
    </row>
    <row r="16" spans="1:11">
      <c r="A16" s="5">
        <f t="shared" si="0"/>
        <v>5</v>
      </c>
      <c r="B16" s="24" t="s">
        <v>186</v>
      </c>
      <c r="C16" s="18">
        <v>1387079687.6911004</v>
      </c>
      <c r="D16" s="18">
        <v>34964493.965337791</v>
      </c>
      <c r="E16" s="18">
        <f>SUM(C16:D16)</f>
        <v>1422044181.6564381</v>
      </c>
      <c r="F16" s="58">
        <v>6.4116000000000006E-2</v>
      </c>
      <c r="G16" s="29">
        <f>+F16*E16</f>
        <v>91175784.751084194</v>
      </c>
      <c r="H16" s="58">
        <f>+'JAP-23,  p34 Rate Des Sch 25'!$E$17</f>
        <v>6.7964999999999998E-2</v>
      </c>
      <c r="I16" s="29">
        <f>+H16*E16</f>
        <v>96649232.806279808</v>
      </c>
      <c r="J16" s="37">
        <f>+I16-G16</f>
        <v>5473448.0551956147</v>
      </c>
      <c r="K16" s="21">
        <f>+J16/G16</f>
        <v>6.0031817331087228E-2</v>
      </c>
    </row>
    <row r="17" spans="1:11">
      <c r="A17" s="5">
        <f t="shared" si="0"/>
        <v>6</v>
      </c>
      <c r="B17" s="24" t="s">
        <v>187</v>
      </c>
      <c r="C17" s="210">
        <f>SUM(C14:C16)</f>
        <v>2898140673.4972005</v>
      </c>
      <c r="D17" s="210">
        <f>SUM(D14:D16)</f>
        <v>34964493.965337791</v>
      </c>
      <c r="E17" s="210">
        <f>SUM(E14:E16)</f>
        <v>2933105167.4625382</v>
      </c>
      <c r="F17" s="74"/>
      <c r="G17" s="13">
        <f>SUM(G14:G16)</f>
        <v>219771346.14821166</v>
      </c>
      <c r="H17" s="212"/>
      <c r="I17" s="13">
        <f>SUM(I14:I16)</f>
        <v>232957792.2656056</v>
      </c>
      <c r="J17" s="54">
        <f>SUM(J14:J16)</f>
        <v>13186446.117393941</v>
      </c>
      <c r="K17" s="52">
        <f>+J17/G17</f>
        <v>6.0000752366057446E-2</v>
      </c>
    </row>
    <row r="18" spans="1:11">
      <c r="A18" s="5">
        <f t="shared" si="0"/>
        <v>7</v>
      </c>
      <c r="C18" s="81"/>
      <c r="D18" s="81"/>
      <c r="E18" s="81"/>
      <c r="G18" s="37"/>
    </row>
    <row r="19" spans="1:11">
      <c r="A19" s="5">
        <f t="shared" si="0"/>
        <v>8</v>
      </c>
      <c r="B19" s="10" t="s">
        <v>80</v>
      </c>
      <c r="C19" s="18">
        <v>4306678.4790000003</v>
      </c>
      <c r="D19" s="18"/>
      <c r="E19" s="18">
        <f>+C19</f>
        <v>4306678.4790000003</v>
      </c>
      <c r="F19" s="74">
        <v>0</v>
      </c>
      <c r="G19" s="29">
        <f>+F19*E19</f>
        <v>0</v>
      </c>
      <c r="H19" s="74">
        <v>0</v>
      </c>
      <c r="I19" s="29">
        <f>+H19*E19</f>
        <v>0</v>
      </c>
      <c r="J19" s="37">
        <f>+I19-G19</f>
        <v>0</v>
      </c>
      <c r="K19" s="21"/>
    </row>
    <row r="20" spans="1:11">
      <c r="A20" s="5">
        <f t="shared" si="0"/>
        <v>9</v>
      </c>
      <c r="B20" s="24" t="s">
        <v>188</v>
      </c>
      <c r="C20" s="18">
        <v>2256960.6359999999</v>
      </c>
      <c r="D20" s="18"/>
      <c r="E20" s="18">
        <f>+C20</f>
        <v>2256960.6359999999</v>
      </c>
      <c r="F20" s="74">
        <v>8.7899999999999991</v>
      </c>
      <c r="G20" s="29">
        <f>+F20*E20</f>
        <v>19838683.990439996</v>
      </c>
      <c r="H20" s="74">
        <f>+'JAP-23,  p34 Rate Des Sch 25'!$E$28</f>
        <v>9.32</v>
      </c>
      <c r="I20" s="29">
        <f>+H20*E20</f>
        <v>21034873.127519999</v>
      </c>
      <c r="J20" s="37">
        <f>+I20-G20</f>
        <v>1196189.1370800026</v>
      </c>
      <c r="K20" s="21">
        <f>+J20/G20</f>
        <v>6.0295790671217431E-2</v>
      </c>
    </row>
    <row r="21" spans="1:11">
      <c r="A21" s="5">
        <f t="shared" si="0"/>
        <v>10</v>
      </c>
      <c r="B21" s="24" t="s">
        <v>189</v>
      </c>
      <c r="C21" s="18">
        <v>2144315</v>
      </c>
      <c r="D21" s="18"/>
      <c r="E21" s="18">
        <f>+C21</f>
        <v>2144315</v>
      </c>
      <c r="F21" s="74">
        <v>5.86</v>
      </c>
      <c r="G21" s="29">
        <f>+F21*E21</f>
        <v>12565685.9</v>
      </c>
      <c r="H21" s="74">
        <f>+'JAP-23,  p34 Rate Des Sch 25'!$E$29</f>
        <v>6.21</v>
      </c>
      <c r="I21" s="29">
        <f>+H21*E21</f>
        <v>13316196.15</v>
      </c>
      <c r="J21" s="37">
        <f>+I21-G21</f>
        <v>750510.25</v>
      </c>
      <c r="K21" s="21">
        <f>+J21/G21</f>
        <v>5.9726962457337884E-2</v>
      </c>
    </row>
    <row r="22" spans="1:11">
      <c r="A22" s="5">
        <f t="shared" si="0"/>
        <v>11</v>
      </c>
      <c r="B22" s="24" t="s">
        <v>190</v>
      </c>
      <c r="C22" s="210">
        <f>SUM(C19:C21)</f>
        <v>8707954.1150000002</v>
      </c>
      <c r="D22" s="210"/>
      <c r="E22" s="210">
        <f>SUM(E19:E21)</f>
        <v>8707954.1150000002</v>
      </c>
      <c r="F22" s="74"/>
      <c r="G22" s="13">
        <f>SUM(G20:G21)</f>
        <v>32404369.890439995</v>
      </c>
      <c r="H22" s="212"/>
      <c r="I22" s="13">
        <f>SUM(I20:I21)</f>
        <v>34351069.277520001</v>
      </c>
      <c r="J22" s="13">
        <f>SUM(J20:J21)</f>
        <v>1946699.3870800026</v>
      </c>
      <c r="K22" s="52">
        <f>+J22/G22</f>
        <v>6.0075211882281404E-2</v>
      </c>
    </row>
    <row r="23" spans="1:11">
      <c r="A23" s="5">
        <f t="shared" si="0"/>
        <v>12</v>
      </c>
      <c r="C23" s="19"/>
      <c r="D23" s="19"/>
      <c r="E23" s="19"/>
      <c r="G23" s="17"/>
      <c r="I23" s="17"/>
      <c r="J23" s="17"/>
      <c r="K23" s="56"/>
    </row>
    <row r="24" spans="1:11">
      <c r="A24" s="5">
        <f t="shared" si="0"/>
        <v>13</v>
      </c>
      <c r="B24" s="24" t="s">
        <v>191</v>
      </c>
      <c r="C24" s="210">
        <v>722346665</v>
      </c>
      <c r="D24" s="210"/>
      <c r="E24" s="210">
        <f>+C24</f>
        <v>722346665</v>
      </c>
      <c r="F24" s="85">
        <v>2.7599999999999999E-3</v>
      </c>
      <c r="G24" s="13">
        <f>+F24*E24</f>
        <v>1993676.7953999999</v>
      </c>
      <c r="H24" s="85">
        <f>+'JAP-23,  p34 Rate Des Sch 25'!$E$32</f>
        <v>2.9299999999999999E-3</v>
      </c>
      <c r="I24" s="13">
        <f>+H24*E24</f>
        <v>2116475.7284499998</v>
      </c>
      <c r="J24" s="54">
        <f>+I24-G24</f>
        <v>122798.93304999988</v>
      </c>
      <c r="K24" s="52">
        <f>+J24/G24</f>
        <v>6.1594202898550665E-2</v>
      </c>
    </row>
    <row r="25" spans="1:11">
      <c r="A25" s="5">
        <f t="shared" si="0"/>
        <v>14</v>
      </c>
      <c r="E25" s="81"/>
    </row>
    <row r="26" spans="1:11">
      <c r="A26" s="5">
        <f t="shared" si="0"/>
        <v>15</v>
      </c>
      <c r="B26" s="10" t="s">
        <v>175</v>
      </c>
      <c r="E26" s="210">
        <f>+E17</f>
        <v>2933105167.4625382</v>
      </c>
      <c r="F26" s="58">
        <v>0</v>
      </c>
      <c r="G26" s="13">
        <f>+F26*E26</f>
        <v>0</v>
      </c>
      <c r="H26" s="58">
        <v>0</v>
      </c>
      <c r="I26" s="13">
        <f>+H26*E26</f>
        <v>0</v>
      </c>
      <c r="J26" s="54">
        <f>+I26-G26</f>
        <v>0</v>
      </c>
      <c r="K26" s="21"/>
    </row>
    <row r="27" spans="1:11">
      <c r="A27" s="5">
        <f t="shared" si="0"/>
        <v>16</v>
      </c>
      <c r="E27" s="81"/>
    </row>
    <row r="28" spans="1:11">
      <c r="A28" s="5">
        <f t="shared" si="0"/>
        <v>17</v>
      </c>
      <c r="B28" s="10" t="s">
        <v>176</v>
      </c>
      <c r="E28" s="12">
        <v>-15460392</v>
      </c>
      <c r="F28" s="58">
        <f>ROUND(+G28/E28,6)</f>
        <v>9.2618000000000006E-2</v>
      </c>
      <c r="G28" s="13">
        <v>-1431907</v>
      </c>
      <c r="H28" s="58">
        <f>+'JAP-23,  p34 Rate Des Sch 25'!$E$23</f>
        <v>9.8177E-2</v>
      </c>
      <c r="I28" s="13">
        <f>+H28*E28</f>
        <v>-1517854.9053839999</v>
      </c>
      <c r="J28" s="54">
        <f>+I28-G28</f>
        <v>-85947.905383999925</v>
      </c>
      <c r="K28" s="52">
        <f>+J28/G28</f>
        <v>6.0023385166774045E-2</v>
      </c>
    </row>
    <row r="29" spans="1:11">
      <c r="A29" s="5">
        <f t="shared" si="0"/>
        <v>18</v>
      </c>
      <c r="E29" s="81"/>
      <c r="G29" s="213"/>
      <c r="H29" s="71"/>
    </row>
    <row r="30" spans="1:11" ht="13.5" thickBot="1">
      <c r="A30" s="5">
        <f t="shared" si="0"/>
        <v>19</v>
      </c>
      <c r="B30" s="2" t="s">
        <v>60</v>
      </c>
      <c r="E30" s="34">
        <f>+E17+E28</f>
        <v>2917644775.4625382</v>
      </c>
      <c r="G30" s="63">
        <f>SUM(G24,G22,G17,G12,G26,G28)</f>
        <v>257383372.25405166</v>
      </c>
      <c r="I30" s="63">
        <f>SUM(I24,I22,I17,I12,I26,I28)</f>
        <v>272832619.64619154</v>
      </c>
      <c r="J30" s="63">
        <f>SUM(J24,J22,J17,J12,J26,J28)</f>
        <v>15449247.392139941</v>
      </c>
      <c r="K30" s="64">
        <f>+J30/G30</f>
        <v>6.0024263637709581E-2</v>
      </c>
    </row>
    <row r="31" spans="1:11" ht="13.5" thickTop="1">
      <c r="A31" s="5"/>
    </row>
    <row r="32" spans="1:11">
      <c r="A32" s="5"/>
      <c r="B32" s="24"/>
      <c r="E32" s="81"/>
      <c r="G32" s="29"/>
      <c r="I32" s="29"/>
    </row>
    <row r="33" spans="1:9">
      <c r="A33" s="5"/>
      <c r="B33" s="24"/>
      <c r="G33" s="37"/>
      <c r="I33" s="37"/>
    </row>
    <row r="35" spans="1:9">
      <c r="F35" s="214"/>
      <c r="G35" s="71"/>
      <c r="H35" s="214"/>
    </row>
    <row r="37" spans="1:9">
      <c r="B37" s="24"/>
      <c r="F37" s="58"/>
      <c r="G37" s="29"/>
    </row>
  </sheetData>
  <mergeCells count="11">
    <mergeCell ref="A1:K1"/>
    <mergeCell ref="A2:K2"/>
    <mergeCell ref="A3:K3"/>
    <mergeCell ref="A4:K4"/>
    <mergeCell ref="C8:E8"/>
    <mergeCell ref="F8:G8"/>
    <mergeCell ref="H8:I8"/>
    <mergeCell ref="J8:K8"/>
    <mergeCell ref="A5:K5"/>
    <mergeCell ref="F7:G7"/>
    <mergeCell ref="H7:I7"/>
  </mergeCells>
  <phoneticPr fontId="0" type="noConversion"/>
  <printOptions horizontalCentered="1"/>
  <pageMargins left="0.25" right="0.25" top="1" bottom="1.1599999999999999" header="0.5" footer="0.5"/>
  <pageSetup scale="85" orientation="landscape" r:id="rId1"/>
  <headerFooter alignWithMargins="0">
    <oddFooter>&amp;R&amp;"Times New Roman,Regular"Exhibit No.___(JAP-23)
Page 6 of 49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K32"/>
  <sheetViews>
    <sheetView zoomScaleNormal="100" workbookViewId="0">
      <selection activeCell="A27" sqref="A27:G33"/>
    </sheetView>
  </sheetViews>
  <sheetFormatPr defaultRowHeight="12.75"/>
  <cols>
    <col min="1" max="1" width="4.28515625" style="2" bestFit="1" customWidth="1"/>
    <col min="2" max="2" width="25.7109375" style="2" bestFit="1" customWidth="1"/>
    <col min="3" max="3" width="14" style="2" bestFit="1" customWidth="1"/>
    <col min="4" max="4" width="11.28515625" style="2" bestFit="1" customWidth="1"/>
    <col min="5" max="5" width="16.5703125" style="2" bestFit="1" customWidth="1"/>
    <col min="6" max="6" width="10.7109375" style="2" bestFit="1" customWidth="1"/>
    <col min="7" max="7" width="13.42578125" style="2" bestFit="1" customWidth="1"/>
    <col min="8" max="8" width="10.7109375" style="2" bestFit="1" customWidth="1"/>
    <col min="9" max="9" width="13.42578125" style="2" bestFit="1" customWidth="1"/>
    <col min="10" max="10" width="12.85546875" style="2" bestFit="1" customWidth="1"/>
    <col min="11" max="11" width="7.85546875" style="2" bestFit="1" customWidth="1"/>
    <col min="12" max="16384" width="9.140625" style="2"/>
  </cols>
  <sheetData>
    <row r="1" spans="1:11">
      <c r="A1" s="327" t="str">
        <f>+'JAP-23,  p4 Residential Sch 7'!A1</f>
        <v>Puget Sound Energy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</row>
    <row r="2" spans="1:11">
      <c r="A2" s="327" t="str">
        <f>+'JAP-23,  p4 Residential Sch 7'!A2</f>
        <v>Proforma and Proposed Revenue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</row>
    <row r="3" spans="1:11">
      <c r="A3" s="327" t="str">
        <f>+'JAP-23,  p4 Residential Sch 7'!A3</f>
        <v>Test Year Twelve Months ended December 2010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</row>
    <row r="4" spans="1:11">
      <c r="A4" s="327" t="s">
        <v>192</v>
      </c>
      <c r="B4" s="327"/>
      <c r="C4" s="327"/>
      <c r="D4" s="327"/>
      <c r="E4" s="327"/>
      <c r="F4" s="327"/>
      <c r="G4" s="327"/>
      <c r="H4" s="327"/>
      <c r="I4" s="327"/>
      <c r="J4" s="327"/>
      <c r="K4" s="327"/>
    </row>
    <row r="5" spans="1:11">
      <c r="A5" s="327" t="s">
        <v>193</v>
      </c>
      <c r="B5" s="327"/>
      <c r="C5" s="327"/>
      <c r="D5" s="327"/>
      <c r="E5" s="327"/>
      <c r="F5" s="327"/>
      <c r="G5" s="327"/>
      <c r="H5" s="327"/>
      <c r="I5" s="327"/>
      <c r="J5" s="327"/>
      <c r="K5" s="327"/>
    </row>
    <row r="7" spans="1:11">
      <c r="F7" s="336" t="s">
        <v>85</v>
      </c>
      <c r="G7" s="337"/>
      <c r="H7" s="338" t="s">
        <v>86</v>
      </c>
      <c r="I7" s="339"/>
    </row>
    <row r="8" spans="1:11">
      <c r="A8" s="11" t="s">
        <v>450</v>
      </c>
      <c r="C8" s="333" t="s">
        <v>165</v>
      </c>
      <c r="D8" s="335"/>
      <c r="E8" s="334"/>
      <c r="F8" s="340" t="str">
        <f>+'JAP-23,  p4 Residential Sch 7'!F8</f>
        <v>Rates Effective 5-1-10</v>
      </c>
      <c r="G8" s="332"/>
      <c r="H8" s="340" t="str">
        <f>+'JAP-23,  p4 Residential Sch 7'!H8</f>
        <v>Rates Effective May 2012</v>
      </c>
      <c r="I8" s="332"/>
      <c r="J8" s="333" t="s">
        <v>166</v>
      </c>
      <c r="K8" s="334"/>
    </row>
    <row r="9" spans="1:11">
      <c r="A9" s="176" t="s">
        <v>451</v>
      </c>
      <c r="B9" s="176"/>
      <c r="C9" s="235" t="s">
        <v>85</v>
      </c>
      <c r="D9" s="237" t="s">
        <v>433</v>
      </c>
      <c r="E9" s="236" t="s">
        <v>167</v>
      </c>
      <c r="F9" s="203" t="s">
        <v>168</v>
      </c>
      <c r="G9" s="204" t="s">
        <v>169</v>
      </c>
      <c r="H9" s="176" t="s">
        <v>168</v>
      </c>
      <c r="I9" s="204" t="s">
        <v>169</v>
      </c>
      <c r="J9" s="203" t="s">
        <v>170</v>
      </c>
      <c r="K9" s="204" t="s">
        <v>171</v>
      </c>
    </row>
    <row r="10" spans="1:11" s="5" customFormat="1">
      <c r="A10" s="167"/>
      <c r="B10" s="167" t="s">
        <v>477</v>
      </c>
      <c r="C10" s="133" t="s">
        <v>478</v>
      </c>
      <c r="D10" s="133" t="s">
        <v>479</v>
      </c>
      <c r="E10" s="133" t="s">
        <v>480</v>
      </c>
      <c r="F10" s="133" t="s">
        <v>481</v>
      </c>
      <c r="G10" s="133" t="s">
        <v>482</v>
      </c>
      <c r="H10" s="133" t="s">
        <v>483</v>
      </c>
      <c r="I10" s="133" t="s">
        <v>484</v>
      </c>
      <c r="J10" s="133" t="s">
        <v>485</v>
      </c>
      <c r="K10" s="133" t="s">
        <v>486</v>
      </c>
    </row>
    <row r="11" spans="1:11" s="5" customFormat="1">
      <c r="A11" s="167"/>
      <c r="B11" s="167"/>
      <c r="C11" s="133"/>
      <c r="D11" s="133"/>
      <c r="E11" s="133"/>
      <c r="F11" s="133"/>
      <c r="G11" s="133"/>
      <c r="H11" s="133"/>
      <c r="I11" s="133"/>
      <c r="J11" s="133"/>
      <c r="K11" s="133"/>
    </row>
    <row r="12" spans="1:11">
      <c r="A12" s="5">
        <v>1</v>
      </c>
      <c r="B12" s="2" t="s">
        <v>53</v>
      </c>
      <c r="C12" s="210">
        <v>9989</v>
      </c>
      <c r="D12" s="210"/>
      <c r="E12" s="210">
        <f>SUM(C12:D12)</f>
        <v>9989</v>
      </c>
      <c r="F12" s="74">
        <v>101.1</v>
      </c>
      <c r="G12" s="13">
        <f>+F12*E12</f>
        <v>1009887.8999999999</v>
      </c>
      <c r="H12" s="184">
        <f>+'JAP-23,  p35 Rate Des Sch 26'!$E$9</f>
        <v>109.19</v>
      </c>
      <c r="I12" s="13">
        <f>+H12*E12</f>
        <v>1090698.9099999999</v>
      </c>
      <c r="J12" s="54">
        <f>+I12-G12</f>
        <v>80811.010000000009</v>
      </c>
      <c r="K12" s="52">
        <f>+J12/G12</f>
        <v>8.001978239366965E-2</v>
      </c>
    </row>
    <row r="13" spans="1:11">
      <c r="A13" s="5">
        <f>+A12+1</f>
        <v>2</v>
      </c>
      <c r="G13" s="29"/>
      <c r="I13" s="29"/>
    </row>
    <row r="14" spans="1:11">
      <c r="A14" s="5">
        <f t="shared" ref="A14:A26" si="0">+A13+1</f>
        <v>3</v>
      </c>
      <c r="B14" s="24" t="s">
        <v>187</v>
      </c>
      <c r="C14" s="12">
        <v>1976249893.1284001</v>
      </c>
      <c r="D14" s="12">
        <v>15451095.206466006</v>
      </c>
      <c r="E14" s="210">
        <f>SUM(C14:D14)</f>
        <v>1991700988.334866</v>
      </c>
      <c r="F14" s="58">
        <v>6.1608999999999997E-2</v>
      </c>
      <c r="G14" s="13">
        <f>+F14*E14</f>
        <v>122706706.19032276</v>
      </c>
      <c r="H14" s="58">
        <f>+'JAP-23,  p35 Rate Des Sch 26'!$E$14</f>
        <v>6.6528000000000004E-2</v>
      </c>
      <c r="I14" s="13">
        <f>+H14*E14</f>
        <v>132503883.35194197</v>
      </c>
      <c r="J14" s="54">
        <f>+I14-G14</f>
        <v>9797177.1616192162</v>
      </c>
      <c r="K14" s="52">
        <f>+J14/G14</f>
        <v>7.9842230842896419E-2</v>
      </c>
    </row>
    <row r="15" spans="1:11">
      <c r="A15" s="5">
        <f t="shared" si="0"/>
        <v>4</v>
      </c>
      <c r="C15" s="81"/>
      <c r="D15" s="81"/>
      <c r="E15" s="81"/>
    </row>
    <row r="16" spans="1:11">
      <c r="A16" s="5">
        <f t="shared" si="0"/>
        <v>5</v>
      </c>
      <c r="B16" s="24" t="s">
        <v>194</v>
      </c>
      <c r="C16" s="18">
        <v>2410274.44</v>
      </c>
      <c r="D16" s="18"/>
      <c r="E16" s="18">
        <f>SUM(C16:D16)</f>
        <v>2410274.44</v>
      </c>
      <c r="F16" s="74">
        <v>8.65</v>
      </c>
      <c r="G16" s="29">
        <f>+F16*E16</f>
        <v>20848873.905999999</v>
      </c>
      <c r="H16" s="74">
        <f>+'JAP-23,  p35 Rate Des Sch 26'!$E$21</f>
        <v>9.34</v>
      </c>
      <c r="I16" s="29">
        <f>+H16*E16</f>
        <v>22511963.2696</v>
      </c>
      <c r="J16" s="37">
        <f>+I16-G16</f>
        <v>1663089.3636000007</v>
      </c>
      <c r="K16" s="21">
        <f>+J16/G16</f>
        <v>7.9768786127167673E-2</v>
      </c>
    </row>
    <row r="17" spans="1:11">
      <c r="A17" s="5">
        <f t="shared" si="0"/>
        <v>6</v>
      </c>
      <c r="B17" s="24" t="s">
        <v>195</v>
      </c>
      <c r="C17" s="18">
        <v>2431362.48</v>
      </c>
      <c r="D17" s="18"/>
      <c r="E17" s="18">
        <f>SUM(C17:D17)</f>
        <v>2431362.48</v>
      </c>
      <c r="F17" s="74">
        <v>5.76</v>
      </c>
      <c r="G17" s="29">
        <f>+F17*E17</f>
        <v>14004647.8848</v>
      </c>
      <c r="H17" s="74">
        <f>+'JAP-23,  p35 Rate Des Sch 26'!$E$22</f>
        <v>6.23</v>
      </c>
      <c r="I17" s="29">
        <f>+H17*E17</f>
        <v>15147388.250400001</v>
      </c>
      <c r="J17" s="37">
        <f>+I17-G17</f>
        <v>1142740.3656000011</v>
      </c>
      <c r="K17" s="21">
        <f>+J17/G17</f>
        <v>8.1597222222222293E-2</v>
      </c>
    </row>
    <row r="18" spans="1:11">
      <c r="A18" s="5">
        <f t="shared" si="0"/>
        <v>7</v>
      </c>
      <c r="B18" s="24" t="s">
        <v>190</v>
      </c>
      <c r="C18" s="12">
        <f>SUM(C16:C17)</f>
        <v>4841636.92</v>
      </c>
      <c r="D18" s="12">
        <f>SUM(D16:D17)</f>
        <v>0</v>
      </c>
      <c r="E18" s="12">
        <f>SUM(C18:D18)</f>
        <v>4841636.92</v>
      </c>
      <c r="G18" s="13">
        <f>SUM(G16:G17)</f>
        <v>34853521.790799998</v>
      </c>
      <c r="I18" s="13">
        <f>SUM(I16:I17)</f>
        <v>37659351.520000003</v>
      </c>
      <c r="J18" s="13">
        <f>SUM(J16:J17)</f>
        <v>2805829.7292000018</v>
      </c>
      <c r="K18" s="52">
        <f>+J18/G18</f>
        <v>8.0503478128876899E-2</v>
      </c>
    </row>
    <row r="19" spans="1:11">
      <c r="A19" s="5">
        <f t="shared" si="0"/>
        <v>8</v>
      </c>
      <c r="C19" s="19"/>
      <c r="D19" s="19"/>
      <c r="E19" s="19"/>
      <c r="G19" s="17"/>
      <c r="I19" s="17"/>
      <c r="J19" s="17"/>
      <c r="K19" s="56"/>
    </row>
    <row r="20" spans="1:11">
      <c r="A20" s="5">
        <f t="shared" si="0"/>
        <v>9</v>
      </c>
      <c r="B20" s="24" t="s">
        <v>191</v>
      </c>
      <c r="C20" s="210">
        <v>922667690</v>
      </c>
      <c r="D20" s="210"/>
      <c r="E20" s="12">
        <f>SUM(C20:D20)</f>
        <v>922667690</v>
      </c>
      <c r="F20" s="85">
        <v>1.1999999999999999E-3</v>
      </c>
      <c r="G20" s="13">
        <f>+F20*E20</f>
        <v>1107201.2279999999</v>
      </c>
      <c r="H20" s="85">
        <f>+'JAP-23,  p35 Rate Des Sch 26'!$E$25</f>
        <v>1.2999999999999999E-3</v>
      </c>
      <c r="I20" s="13">
        <f>+H20*E20</f>
        <v>1199467.997</v>
      </c>
      <c r="J20" s="54">
        <f>+I20-G20</f>
        <v>92266.769000000088</v>
      </c>
      <c r="K20" s="52">
        <f>+J20/G20</f>
        <v>8.3333333333333426E-2</v>
      </c>
    </row>
    <row r="21" spans="1:11">
      <c r="A21" s="5">
        <f t="shared" si="0"/>
        <v>10</v>
      </c>
      <c r="B21" s="24"/>
      <c r="C21" s="206"/>
      <c r="D21" s="206"/>
      <c r="E21" s="19"/>
      <c r="F21" s="85"/>
      <c r="G21" s="17"/>
      <c r="H21" s="85"/>
      <c r="I21" s="17"/>
      <c r="J21" s="55"/>
      <c r="K21" s="56"/>
    </row>
    <row r="22" spans="1:11">
      <c r="A22" s="5">
        <f t="shared" si="0"/>
        <v>11</v>
      </c>
      <c r="B22" s="10" t="s">
        <v>175</v>
      </c>
      <c r="C22" s="81"/>
      <c r="D22" s="81"/>
      <c r="E22" s="12">
        <f>+E14</f>
        <v>1991700988.334866</v>
      </c>
      <c r="F22" s="58">
        <v>0</v>
      </c>
      <c r="G22" s="13">
        <f>+F22*E22</f>
        <v>0</v>
      </c>
      <c r="H22" s="58">
        <v>0</v>
      </c>
      <c r="I22" s="13">
        <f>+H22*E22</f>
        <v>0</v>
      </c>
      <c r="J22" s="54">
        <f>+I22-G22</f>
        <v>0</v>
      </c>
      <c r="K22" s="56"/>
    </row>
    <row r="23" spans="1:11">
      <c r="A23" s="5">
        <f t="shared" si="0"/>
        <v>12</v>
      </c>
      <c r="E23" s="81"/>
    </row>
    <row r="24" spans="1:11">
      <c r="A24" s="5">
        <f t="shared" si="0"/>
        <v>13</v>
      </c>
      <c r="B24" s="10" t="s">
        <v>196</v>
      </c>
      <c r="C24" s="81"/>
      <c r="D24" s="81"/>
      <c r="E24" s="12">
        <v>-10326395</v>
      </c>
      <c r="F24" s="58">
        <f>ROUND(+G24/E24,6)</f>
        <v>8.3209000000000005E-2</v>
      </c>
      <c r="G24" s="13">
        <v>-859252</v>
      </c>
      <c r="H24" s="58">
        <f>+'JAP-23,  p35 Rate Des Sch 26'!$E$16</f>
        <v>8.9867000000000002E-2</v>
      </c>
      <c r="I24" s="13">
        <f>+H24*E24</f>
        <v>-928002.13946500001</v>
      </c>
      <c r="J24" s="54">
        <f>+I24-G24</f>
        <v>-68750.139465000015</v>
      </c>
      <c r="K24" s="52">
        <f>+J24/G24</f>
        <v>8.0011614130662503E-2</v>
      </c>
    </row>
    <row r="25" spans="1:11">
      <c r="A25" s="5">
        <f t="shared" si="0"/>
        <v>14</v>
      </c>
      <c r="E25" s="81"/>
    </row>
    <row r="26" spans="1:11" ht="13.5" thickBot="1">
      <c r="A26" s="5">
        <f t="shared" si="0"/>
        <v>15</v>
      </c>
      <c r="B26" s="2" t="s">
        <v>60</v>
      </c>
      <c r="E26" s="34">
        <f>+E24+E14</f>
        <v>1981374593.334866</v>
      </c>
      <c r="G26" s="63">
        <f>SUM(G20,G18,G14,G12,G22,G24)</f>
        <v>158818065.10912275</v>
      </c>
      <c r="I26" s="63">
        <f>SUM(I20,I18,I14,I12,I22,I24)</f>
        <v>171525399.63947695</v>
      </c>
      <c r="J26" s="63">
        <f>SUM(J20,J18,J14,J12,J22,J24)</f>
        <v>12707334.530354219</v>
      </c>
      <c r="K26" s="64">
        <f>+J26/G26</f>
        <v>8.001189613803128E-2</v>
      </c>
    </row>
    <row r="27" spans="1:11" ht="13.5" thickTop="1">
      <c r="A27" s="5"/>
    </row>
    <row r="28" spans="1:11">
      <c r="A28" s="5"/>
      <c r="B28" s="24"/>
      <c r="G28" s="29"/>
      <c r="I28" s="29"/>
    </row>
    <row r="29" spans="1:11">
      <c r="A29" s="5"/>
      <c r="B29" s="24"/>
      <c r="G29" s="37"/>
      <c r="I29" s="37"/>
    </row>
    <row r="32" spans="1:11">
      <c r="B32" s="24"/>
      <c r="F32" s="58"/>
      <c r="G32" s="29"/>
    </row>
  </sheetData>
  <mergeCells count="11">
    <mergeCell ref="A1:K1"/>
    <mergeCell ref="A2:K2"/>
    <mergeCell ref="A3:K3"/>
    <mergeCell ref="A4:K4"/>
    <mergeCell ref="C8:E8"/>
    <mergeCell ref="F8:G8"/>
    <mergeCell ref="H8:I8"/>
    <mergeCell ref="J8:K8"/>
    <mergeCell ref="A5:K5"/>
    <mergeCell ref="F7:G7"/>
    <mergeCell ref="H7:I7"/>
  </mergeCells>
  <phoneticPr fontId="0" type="noConversion"/>
  <printOptions horizontalCentered="1"/>
  <pageMargins left="0.25" right="0.25" top="1" bottom="1.1599999999999999" header="0.5" footer="0.5"/>
  <pageSetup scale="85" orientation="landscape" r:id="rId1"/>
  <headerFooter alignWithMargins="0">
    <oddFooter>&amp;R&amp;"Times New Roman,Regular"Exhibit No.___(JAP-23)
Page 7 of 49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K32"/>
  <sheetViews>
    <sheetView zoomScaleNormal="100" workbookViewId="0">
      <selection activeCell="A27" sqref="A27:G33"/>
    </sheetView>
  </sheetViews>
  <sheetFormatPr defaultRowHeight="12.75"/>
  <cols>
    <col min="1" max="1" width="4.28515625" style="2" bestFit="1" customWidth="1"/>
    <col min="2" max="2" width="25.7109375" style="2" bestFit="1" customWidth="1"/>
    <col min="3" max="3" width="14" style="2" bestFit="1" customWidth="1"/>
    <col min="4" max="4" width="11.28515625" style="2" bestFit="1" customWidth="1"/>
    <col min="5" max="5" width="16.5703125" style="2" bestFit="1" customWidth="1"/>
    <col min="6" max="6" width="10.7109375" style="2" bestFit="1" customWidth="1"/>
    <col min="7" max="7" width="13.42578125" style="2" bestFit="1" customWidth="1"/>
    <col min="8" max="8" width="10.7109375" style="2" bestFit="1" customWidth="1"/>
    <col min="9" max="9" width="13.42578125" style="2" bestFit="1" customWidth="1"/>
    <col min="10" max="10" width="12.85546875" style="2" bestFit="1" customWidth="1"/>
    <col min="11" max="11" width="7.85546875" style="2" bestFit="1" customWidth="1"/>
    <col min="12" max="16384" width="9.140625" style="2"/>
  </cols>
  <sheetData>
    <row r="1" spans="1:11">
      <c r="A1" s="327" t="str">
        <f>+'JAP-23,  p4 Residential Sch 7'!A1</f>
        <v>Puget Sound Energy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</row>
    <row r="2" spans="1:11">
      <c r="A2" s="327" t="str">
        <f>+'JAP-23,  p4 Residential Sch 7'!A2</f>
        <v>Proforma and Proposed Revenue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</row>
    <row r="3" spans="1:11">
      <c r="A3" s="327" t="str">
        <f>+'JAP-23,  p4 Residential Sch 7'!A3</f>
        <v>Test Year Twelve Months ended December 2010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</row>
    <row r="4" spans="1:11">
      <c r="A4" s="328" t="s">
        <v>510</v>
      </c>
      <c r="B4" s="327"/>
      <c r="C4" s="327"/>
      <c r="D4" s="327"/>
      <c r="E4" s="327"/>
      <c r="F4" s="327"/>
      <c r="G4" s="327"/>
      <c r="H4" s="327"/>
      <c r="I4" s="327"/>
      <c r="J4" s="327"/>
      <c r="K4" s="327"/>
    </row>
    <row r="5" spans="1:11">
      <c r="A5" s="328" t="s">
        <v>509</v>
      </c>
      <c r="B5" s="327"/>
      <c r="C5" s="327"/>
      <c r="D5" s="327"/>
      <c r="E5" s="327"/>
      <c r="F5" s="327"/>
      <c r="G5" s="327"/>
      <c r="H5" s="327"/>
      <c r="I5" s="327"/>
      <c r="J5" s="327"/>
      <c r="K5" s="327"/>
    </row>
    <row r="7" spans="1:11">
      <c r="F7" s="336" t="s">
        <v>85</v>
      </c>
      <c r="G7" s="337"/>
      <c r="H7" s="338" t="s">
        <v>86</v>
      </c>
      <c r="I7" s="339"/>
    </row>
    <row r="8" spans="1:11">
      <c r="A8" s="11" t="s">
        <v>450</v>
      </c>
      <c r="C8" s="333" t="s">
        <v>165</v>
      </c>
      <c r="D8" s="335"/>
      <c r="E8" s="334"/>
      <c r="F8" s="340" t="str">
        <f>+'JAP-23,  p4 Residential Sch 7'!F8</f>
        <v>Rates Effective 5-1-10</v>
      </c>
      <c r="G8" s="332"/>
      <c r="H8" s="340" t="str">
        <f>+'JAP-23,  p4 Residential Sch 7'!H8</f>
        <v>Rates Effective May 2012</v>
      </c>
      <c r="I8" s="332"/>
      <c r="J8" s="333" t="s">
        <v>166</v>
      </c>
      <c r="K8" s="334"/>
    </row>
    <row r="9" spans="1:11">
      <c r="A9" s="176" t="s">
        <v>451</v>
      </c>
      <c r="B9" s="176"/>
      <c r="C9" s="235" t="s">
        <v>85</v>
      </c>
      <c r="D9" s="237" t="s">
        <v>433</v>
      </c>
      <c r="E9" s="236" t="s">
        <v>167</v>
      </c>
      <c r="F9" s="203" t="s">
        <v>168</v>
      </c>
      <c r="G9" s="204" t="s">
        <v>169</v>
      </c>
      <c r="H9" s="176" t="s">
        <v>168</v>
      </c>
      <c r="I9" s="204" t="s">
        <v>169</v>
      </c>
      <c r="J9" s="203" t="s">
        <v>170</v>
      </c>
      <c r="K9" s="204" t="s">
        <v>171</v>
      </c>
    </row>
    <row r="10" spans="1:11" s="5" customFormat="1">
      <c r="A10" s="167"/>
      <c r="B10" s="167" t="s">
        <v>477</v>
      </c>
      <c r="C10" s="133" t="s">
        <v>478</v>
      </c>
      <c r="D10" s="133" t="s">
        <v>479</v>
      </c>
      <c r="E10" s="133" t="s">
        <v>480</v>
      </c>
      <c r="F10" s="133" t="s">
        <v>481</v>
      </c>
      <c r="G10" s="133" t="s">
        <v>482</v>
      </c>
      <c r="H10" s="133" t="s">
        <v>483</v>
      </c>
      <c r="I10" s="133" t="s">
        <v>484</v>
      </c>
      <c r="J10" s="133" t="s">
        <v>485</v>
      </c>
      <c r="K10" s="133" t="s">
        <v>486</v>
      </c>
    </row>
    <row r="11" spans="1:11" s="5" customFormat="1">
      <c r="A11" s="167"/>
      <c r="B11" s="167"/>
      <c r="C11" s="133"/>
      <c r="D11" s="133"/>
      <c r="E11" s="133"/>
      <c r="F11" s="133"/>
      <c r="G11" s="133"/>
      <c r="H11" s="133"/>
      <c r="I11" s="133"/>
      <c r="J11" s="133"/>
      <c r="K11" s="133"/>
    </row>
    <row r="12" spans="1:11">
      <c r="A12" s="5">
        <v>1</v>
      </c>
      <c r="B12" s="2" t="s">
        <v>53</v>
      </c>
      <c r="C12" s="210">
        <v>12</v>
      </c>
      <c r="D12" s="210"/>
      <c r="E12" s="210">
        <f>SUM(C12:D12)</f>
        <v>12</v>
      </c>
      <c r="F12" s="74">
        <v>328.59</v>
      </c>
      <c r="G12" s="13">
        <f>+F12*E12</f>
        <v>3943.08</v>
      </c>
      <c r="H12" s="184">
        <f>SUM('JAP-23,  p35 Rate Des Sch 26'!E9,'JAP-23,  p35 Rate Des Sch 26'!C36)</f>
        <v>354.89</v>
      </c>
      <c r="I12" s="13">
        <f>+H12*E12</f>
        <v>4258.68</v>
      </c>
      <c r="J12" s="54">
        <f>+I12-G12</f>
        <v>315.60000000000036</v>
      </c>
      <c r="K12" s="52">
        <f>+J12/G12</f>
        <v>8.0038954319973307E-2</v>
      </c>
    </row>
    <row r="13" spans="1:11">
      <c r="A13" s="5">
        <f>+A12+1</f>
        <v>2</v>
      </c>
      <c r="G13" s="29"/>
      <c r="I13" s="29"/>
    </row>
    <row r="14" spans="1:11">
      <c r="A14" s="5">
        <f t="shared" ref="A14:A26" si="0">+A13+1</f>
        <v>3</v>
      </c>
      <c r="B14" s="24" t="s">
        <v>187</v>
      </c>
      <c r="C14" s="12">
        <v>9856000</v>
      </c>
      <c r="D14" s="12">
        <v>0</v>
      </c>
      <c r="E14" s="210">
        <f>SUM(C14:D14)</f>
        <v>9856000</v>
      </c>
      <c r="F14" s="58">
        <v>5.9477000000000002E-2</v>
      </c>
      <c r="G14" s="13">
        <f>+F14*E14</f>
        <v>586205.31200000003</v>
      </c>
      <c r="H14" s="58">
        <f>+'JAP-23,  p35 Rate Des Sch 26'!E14-'JAP-23,  p35 Rate Des Sch 26'!E38</f>
        <v>6.4232999999999998E-2</v>
      </c>
      <c r="I14" s="13">
        <f>+H14*E14</f>
        <v>633080.44799999997</v>
      </c>
      <c r="J14" s="54">
        <f>+I14-G14</f>
        <v>46875.13599999994</v>
      </c>
      <c r="K14" s="52">
        <f>+J14/G14</f>
        <v>7.9963683440657629E-2</v>
      </c>
    </row>
    <row r="15" spans="1:11">
      <c r="A15" s="5">
        <f t="shared" si="0"/>
        <v>4</v>
      </c>
      <c r="C15" s="81"/>
      <c r="D15" s="81"/>
      <c r="E15" s="81"/>
    </row>
    <row r="16" spans="1:11">
      <c r="A16" s="5">
        <f t="shared" si="0"/>
        <v>5</v>
      </c>
      <c r="B16" s="24" t="s">
        <v>194</v>
      </c>
      <c r="C16" s="18">
        <v>14328</v>
      </c>
      <c r="D16" s="18"/>
      <c r="E16" s="18">
        <f>SUM(C16:D16)</f>
        <v>14328</v>
      </c>
      <c r="F16" s="74">
        <v>8.4</v>
      </c>
      <c r="G16" s="29">
        <f>+F16*E16</f>
        <v>120355.20000000001</v>
      </c>
      <c r="H16" s="74">
        <f>ROUND(+'JAP-23,  p35 Rate Des Sch 26'!E21-'JAP-23,  p35 Rate Des Sch 26'!E37,2)</f>
        <v>9.07</v>
      </c>
      <c r="I16" s="29">
        <f>+H16*E16</f>
        <v>129954.96</v>
      </c>
      <c r="J16" s="37">
        <f>+I16-G16</f>
        <v>9599.7599999999948</v>
      </c>
      <c r="K16" s="21">
        <f>+J16/G16</f>
        <v>7.9761904761904714E-2</v>
      </c>
    </row>
    <row r="17" spans="1:11">
      <c r="A17" s="5">
        <f t="shared" si="0"/>
        <v>6</v>
      </c>
      <c r="B17" s="24" t="s">
        <v>195</v>
      </c>
      <c r="C17" s="18">
        <v>11049</v>
      </c>
      <c r="D17" s="18"/>
      <c r="E17" s="18">
        <f>SUM(C17:D17)</f>
        <v>11049</v>
      </c>
      <c r="F17" s="74">
        <v>5.51</v>
      </c>
      <c r="G17" s="29">
        <f>+F17*E17</f>
        <v>60879.99</v>
      </c>
      <c r="H17" s="74">
        <f>ROUND(+'JAP-23,  p35 Rate Des Sch 26'!E22-'JAP-23,  p35 Rate Des Sch 26'!E37,2)</f>
        <v>5.96</v>
      </c>
      <c r="I17" s="29">
        <f>+H17*E17</f>
        <v>65852.039999999994</v>
      </c>
      <c r="J17" s="37">
        <f>+I17-G17</f>
        <v>4972.0499999999956</v>
      </c>
      <c r="K17" s="21">
        <f>+J17/G17</f>
        <v>8.1669691470054373E-2</v>
      </c>
    </row>
    <row r="18" spans="1:11">
      <c r="A18" s="5">
        <f t="shared" si="0"/>
        <v>7</v>
      </c>
      <c r="B18" s="24" t="s">
        <v>190</v>
      </c>
      <c r="C18" s="12">
        <f>SUM(C16:C17)</f>
        <v>25377</v>
      </c>
      <c r="D18" s="12">
        <f>SUM(D16:D17)</f>
        <v>0</v>
      </c>
      <c r="E18" s="12">
        <f>SUM(C18:D18)</f>
        <v>25377</v>
      </c>
      <c r="G18" s="13">
        <f>SUM(G16:G17)</f>
        <v>181235.19</v>
      </c>
      <c r="I18" s="13">
        <f>SUM(I16:I17)</f>
        <v>195807</v>
      </c>
      <c r="J18" s="13">
        <f>SUM(J16:J17)</f>
        <v>14571.80999999999</v>
      </c>
      <c r="K18" s="52">
        <f>+J18/G18</f>
        <v>8.0402762840925041E-2</v>
      </c>
    </row>
    <row r="19" spans="1:11">
      <c r="A19" s="5">
        <f t="shared" si="0"/>
        <v>8</v>
      </c>
      <c r="C19" s="19"/>
      <c r="D19" s="19"/>
      <c r="E19" s="19"/>
      <c r="G19" s="17"/>
      <c r="I19" s="17"/>
      <c r="J19" s="17"/>
      <c r="K19" s="56"/>
    </row>
    <row r="20" spans="1:11">
      <c r="A20" s="5">
        <f t="shared" si="0"/>
        <v>9</v>
      </c>
      <c r="B20" s="24" t="s">
        <v>191</v>
      </c>
      <c r="C20" s="210">
        <v>3944600</v>
      </c>
      <c r="D20" s="210"/>
      <c r="E20" s="12">
        <f>SUM(C20:D20)</f>
        <v>3944600</v>
      </c>
      <c r="F20" s="85">
        <v>1.16E-3</v>
      </c>
      <c r="G20" s="13">
        <f>+F20*E20</f>
        <v>4575.7359999999999</v>
      </c>
      <c r="H20" s="85">
        <f>ROUND(+'JAP-23,  p35 Rate Des Sch 26'!E25*(1-'JAP-23,  p35 Rate Des Sch 26'!C38),5)</f>
        <v>1.2600000000000001E-3</v>
      </c>
      <c r="I20" s="13">
        <f>+H20*E20</f>
        <v>4970.1959999999999</v>
      </c>
      <c r="J20" s="54">
        <f>+I20-G20</f>
        <v>394.46000000000004</v>
      </c>
      <c r="K20" s="52">
        <f>+J20/G20</f>
        <v>8.6206896551724144E-2</v>
      </c>
    </row>
    <row r="21" spans="1:11">
      <c r="A21" s="5">
        <f t="shared" si="0"/>
        <v>10</v>
      </c>
      <c r="B21" s="24"/>
      <c r="C21" s="206"/>
      <c r="D21" s="206"/>
      <c r="E21" s="19"/>
      <c r="F21" s="85"/>
      <c r="G21" s="17"/>
      <c r="H21" s="85"/>
      <c r="I21" s="17"/>
      <c r="J21" s="55"/>
      <c r="K21" s="56"/>
    </row>
    <row r="22" spans="1:11">
      <c r="A22" s="5">
        <f t="shared" si="0"/>
        <v>11</v>
      </c>
      <c r="B22" s="10" t="s">
        <v>175</v>
      </c>
      <c r="C22" s="81"/>
      <c r="D22" s="81"/>
      <c r="E22" s="12">
        <f>+E14</f>
        <v>9856000</v>
      </c>
      <c r="F22" s="58">
        <v>0</v>
      </c>
      <c r="G22" s="13">
        <f>+F22*E22</f>
        <v>0</v>
      </c>
      <c r="H22" s="58">
        <v>0</v>
      </c>
      <c r="I22" s="13">
        <f>+H22*E22</f>
        <v>0</v>
      </c>
      <c r="J22" s="54">
        <f>+I22-G22</f>
        <v>0</v>
      </c>
      <c r="K22" s="56"/>
    </row>
    <row r="23" spans="1:11">
      <c r="A23" s="5">
        <f t="shared" si="0"/>
        <v>12</v>
      </c>
      <c r="E23" s="81"/>
    </row>
    <row r="24" spans="1:11">
      <c r="A24" s="5">
        <f t="shared" si="0"/>
        <v>13</v>
      </c>
      <c r="B24" s="10" t="s">
        <v>196</v>
      </c>
      <c r="C24" s="81"/>
      <c r="D24" s="81"/>
      <c r="E24" s="12">
        <v>-55864</v>
      </c>
      <c r="F24" s="58">
        <f>ROUND(+G24/E24,6)</f>
        <v>8.1555000000000002E-2</v>
      </c>
      <c r="G24" s="13">
        <v>-4556</v>
      </c>
      <c r="H24" s="58">
        <f>+F24</f>
        <v>8.1555000000000002E-2</v>
      </c>
      <c r="I24" s="13">
        <f>+H24*E24</f>
        <v>-4555.9885199999999</v>
      </c>
      <c r="J24" s="54">
        <f>+I24-G24</f>
        <v>1.1480000000119617E-2</v>
      </c>
      <c r="K24" s="52">
        <f>+J24/G24</f>
        <v>-2.5197541703511011E-6</v>
      </c>
    </row>
    <row r="25" spans="1:11">
      <c r="A25" s="5">
        <f t="shared" si="0"/>
        <v>14</v>
      </c>
      <c r="E25" s="81"/>
    </row>
    <row r="26" spans="1:11" ht="13.5" thickBot="1">
      <c r="A26" s="5">
        <f t="shared" si="0"/>
        <v>15</v>
      </c>
      <c r="B26" s="2" t="s">
        <v>60</v>
      </c>
      <c r="E26" s="34">
        <f>+E24+E14</f>
        <v>9800136</v>
      </c>
      <c r="G26" s="63">
        <f>SUM(G20,G18,G14,G12,G22,G24)</f>
        <v>771403.31799999997</v>
      </c>
      <c r="I26" s="63">
        <f>SUM(I20,I18,I14,I12,I22,I24)</f>
        <v>833560.33548000001</v>
      </c>
      <c r="J26" s="63">
        <f>SUM(J20,J18,J14,J12,J22,J24)</f>
        <v>62157.017479999929</v>
      </c>
      <c r="K26" s="64">
        <f>+J26/G26</f>
        <v>8.0576549296097186E-2</v>
      </c>
    </row>
    <row r="27" spans="1:11" ht="13.5" thickTop="1">
      <c r="A27" s="5"/>
    </row>
    <row r="28" spans="1:11">
      <c r="A28" s="5"/>
      <c r="B28" s="24"/>
      <c r="G28" s="29"/>
      <c r="I28" s="29"/>
    </row>
    <row r="29" spans="1:11">
      <c r="A29" s="5"/>
      <c r="B29" s="24"/>
      <c r="G29" s="37"/>
      <c r="I29" s="37"/>
    </row>
    <row r="32" spans="1:11">
      <c r="B32" s="24"/>
      <c r="F32" s="58"/>
      <c r="G32" s="29"/>
    </row>
  </sheetData>
  <mergeCells count="11">
    <mergeCell ref="C8:E8"/>
    <mergeCell ref="F8:G8"/>
    <mergeCell ref="H8:I8"/>
    <mergeCell ref="J8:K8"/>
    <mergeCell ref="A1:K1"/>
    <mergeCell ref="A2:K2"/>
    <mergeCell ref="A3:K3"/>
    <mergeCell ref="A4:K4"/>
    <mergeCell ref="A5:K5"/>
    <mergeCell ref="F7:G7"/>
    <mergeCell ref="H7:I7"/>
  </mergeCells>
  <printOptions horizontalCentered="1"/>
  <pageMargins left="0.25" right="0.25" top="1" bottom="1.1599999999999999" header="0.5" footer="0.5"/>
  <pageSetup scale="85" orientation="landscape" r:id="rId1"/>
  <headerFooter alignWithMargins="0">
    <oddFooter>&amp;R&amp;"Times New Roman,Regular"Exhibit No.___(JAP-23)
Page 8 of 49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K39"/>
  <sheetViews>
    <sheetView zoomScaleNormal="100" workbookViewId="0">
      <selection activeCell="A33" sqref="A33:G39"/>
    </sheetView>
  </sheetViews>
  <sheetFormatPr defaultRowHeight="12.75"/>
  <cols>
    <col min="1" max="1" width="4.28515625" style="2" bestFit="1" customWidth="1"/>
    <col min="2" max="2" width="26.7109375" style="2" bestFit="1" customWidth="1"/>
    <col min="3" max="4" width="11.28515625" style="2" bestFit="1" customWidth="1"/>
    <col min="5" max="5" width="14" style="2" bestFit="1" customWidth="1"/>
    <col min="6" max="6" width="11.7109375" style="2" bestFit="1" customWidth="1"/>
    <col min="7" max="7" width="13.42578125" style="2" bestFit="1" customWidth="1"/>
    <col min="8" max="9" width="11.28515625" style="2" bestFit="1" customWidth="1"/>
    <col min="10" max="10" width="9.7109375" style="2" bestFit="1" customWidth="1"/>
    <col min="11" max="11" width="7.85546875" style="2" bestFit="1" customWidth="1"/>
    <col min="12" max="16384" width="9.140625" style="2"/>
  </cols>
  <sheetData>
    <row r="1" spans="1:11">
      <c r="A1" s="327" t="str">
        <f>+'JAP-23,  p4 Residential Sch 7'!A1</f>
        <v>Puget Sound Energy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</row>
    <row r="2" spans="1:11">
      <c r="A2" s="327" t="str">
        <f>+'JAP-23,  p4 Residential Sch 7'!A2</f>
        <v>Proforma and Proposed Revenue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</row>
    <row r="3" spans="1:11">
      <c r="A3" s="327" t="str">
        <f>+'JAP-23,  p4 Residential Sch 7'!A3</f>
        <v>Test Year Twelve Months ended December 2010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</row>
    <row r="4" spans="1:11">
      <c r="A4" s="327" t="s">
        <v>197</v>
      </c>
      <c r="B4" s="327"/>
      <c r="C4" s="327"/>
      <c r="D4" s="327"/>
      <c r="E4" s="327"/>
      <c r="F4" s="327"/>
      <c r="G4" s="327"/>
      <c r="H4" s="327"/>
      <c r="I4" s="327"/>
      <c r="J4" s="327"/>
      <c r="K4" s="327"/>
    </row>
    <row r="5" spans="1:11">
      <c r="A5" s="327" t="s">
        <v>198</v>
      </c>
      <c r="B5" s="327"/>
      <c r="C5" s="327"/>
      <c r="D5" s="327"/>
      <c r="E5" s="327"/>
      <c r="F5" s="327"/>
      <c r="G5" s="327"/>
      <c r="H5" s="327"/>
      <c r="I5" s="327"/>
      <c r="J5" s="327"/>
      <c r="K5" s="327"/>
    </row>
    <row r="7" spans="1:11">
      <c r="F7" s="336" t="s">
        <v>85</v>
      </c>
      <c r="G7" s="337"/>
      <c r="H7" s="338" t="s">
        <v>86</v>
      </c>
      <c r="I7" s="339"/>
    </row>
    <row r="8" spans="1:11">
      <c r="A8" s="11" t="s">
        <v>450</v>
      </c>
      <c r="C8" s="333" t="s">
        <v>165</v>
      </c>
      <c r="D8" s="335"/>
      <c r="E8" s="334"/>
      <c r="F8" s="340" t="str">
        <f>+'JAP-23,  p4 Residential Sch 7'!F8</f>
        <v>Rates Effective 5-1-10</v>
      </c>
      <c r="G8" s="332"/>
      <c r="H8" s="340" t="str">
        <f>+'JAP-23,  p4 Residential Sch 7'!H8</f>
        <v>Rates Effective May 2012</v>
      </c>
      <c r="I8" s="332"/>
      <c r="J8" s="333" t="s">
        <v>166</v>
      </c>
      <c r="K8" s="334"/>
    </row>
    <row r="9" spans="1:11">
      <c r="A9" s="176" t="s">
        <v>451</v>
      </c>
      <c r="B9" s="176"/>
      <c r="C9" s="235" t="s">
        <v>85</v>
      </c>
      <c r="D9" s="237" t="s">
        <v>433</v>
      </c>
      <c r="E9" s="236" t="s">
        <v>167</v>
      </c>
      <c r="F9" s="203" t="s">
        <v>168</v>
      </c>
      <c r="G9" s="204" t="s">
        <v>169</v>
      </c>
      <c r="H9" s="176" t="s">
        <v>168</v>
      </c>
      <c r="I9" s="204" t="s">
        <v>169</v>
      </c>
      <c r="J9" s="203" t="s">
        <v>170</v>
      </c>
      <c r="K9" s="204" t="s">
        <v>171</v>
      </c>
    </row>
    <row r="10" spans="1:11" s="5" customFormat="1">
      <c r="A10" s="167"/>
      <c r="B10" s="167" t="s">
        <v>477</v>
      </c>
      <c r="C10" s="133" t="s">
        <v>478</v>
      </c>
      <c r="D10" s="133" t="s">
        <v>479</v>
      </c>
      <c r="E10" s="133" t="s">
        <v>480</v>
      </c>
      <c r="F10" s="133" t="s">
        <v>481</v>
      </c>
      <c r="G10" s="133" t="s">
        <v>482</v>
      </c>
      <c r="H10" s="133" t="s">
        <v>483</v>
      </c>
      <c r="I10" s="133" t="s">
        <v>484</v>
      </c>
      <c r="J10" s="133" t="s">
        <v>485</v>
      </c>
      <c r="K10" s="133" t="s">
        <v>486</v>
      </c>
    </row>
    <row r="11" spans="1:11" s="5" customFormat="1">
      <c r="A11" s="167"/>
      <c r="B11" s="167"/>
      <c r="C11" s="133"/>
      <c r="D11" s="133"/>
      <c r="E11" s="133"/>
      <c r="F11" s="133"/>
      <c r="G11" s="133"/>
      <c r="H11" s="133"/>
      <c r="I11" s="133"/>
      <c r="J11" s="133"/>
      <c r="K11" s="133"/>
    </row>
    <row r="12" spans="1:11">
      <c r="A12" s="5">
        <v>1</v>
      </c>
      <c r="B12" s="24" t="s">
        <v>172</v>
      </c>
      <c r="C12" s="211">
        <v>2919</v>
      </c>
      <c r="D12" s="211"/>
      <c r="E12" s="211">
        <f>SUM(C12:D12)</f>
        <v>2919</v>
      </c>
      <c r="F12" s="74">
        <v>9.33</v>
      </c>
      <c r="G12" s="29">
        <f>+F12*E12</f>
        <v>27234.27</v>
      </c>
      <c r="H12" s="184">
        <f>+'JAP-23,  p36 Rate Des Sch 29'!$E$10</f>
        <v>9.89</v>
      </c>
      <c r="I12" s="29">
        <f>+H12*E12</f>
        <v>28868.91</v>
      </c>
      <c r="J12" s="37">
        <f>+I12-G12</f>
        <v>1634.6399999999994</v>
      </c>
      <c r="K12" s="21">
        <f>+J12/G12</f>
        <v>6.0021436227223987E-2</v>
      </c>
    </row>
    <row r="13" spans="1:11">
      <c r="A13" s="5">
        <f>+A12+1</f>
        <v>2</v>
      </c>
      <c r="B13" s="2" t="s">
        <v>173</v>
      </c>
      <c r="C13" s="211">
        <v>5944</v>
      </c>
      <c r="D13" s="211"/>
      <c r="E13" s="211">
        <f>SUM(C13:D13)</f>
        <v>5944</v>
      </c>
      <c r="F13" s="74">
        <v>23.69</v>
      </c>
      <c r="G13" s="29">
        <f>+F13*E13</f>
        <v>140813.36000000002</v>
      </c>
      <c r="H13" s="212">
        <f>+'JAP-23,  p36 Rate Des Sch 29'!$E$11</f>
        <v>25.11</v>
      </c>
      <c r="I13" s="29">
        <f>+H13*E13</f>
        <v>149253.84</v>
      </c>
      <c r="J13" s="37">
        <f>+I13-G13</f>
        <v>8440.4799999999814</v>
      </c>
      <c r="K13" s="21">
        <f>+J13/G13</f>
        <v>5.994090333474026E-2</v>
      </c>
    </row>
    <row r="14" spans="1:11">
      <c r="A14" s="5">
        <f t="shared" ref="A14:A32" si="0">+A13+1</f>
        <v>3</v>
      </c>
      <c r="B14" s="2" t="s">
        <v>53</v>
      </c>
      <c r="C14" s="210">
        <f>SUM(C12:C13)</f>
        <v>8863</v>
      </c>
      <c r="D14" s="210"/>
      <c r="E14" s="210">
        <f>SUM(E12:E13)</f>
        <v>8863</v>
      </c>
      <c r="F14" s="74"/>
      <c r="G14" s="13">
        <f>SUM(G12:G13)</f>
        <v>168047.63</v>
      </c>
      <c r="H14" s="74"/>
      <c r="I14" s="13">
        <f>SUM(I12:I13)</f>
        <v>178122.75</v>
      </c>
      <c r="J14" s="13">
        <f>SUM(J12:J13)</f>
        <v>10075.119999999981</v>
      </c>
      <c r="K14" s="52">
        <f>+J14/G14</f>
        <v>5.9953954721051292E-2</v>
      </c>
    </row>
    <row r="15" spans="1:11">
      <c r="A15" s="5">
        <f t="shared" si="0"/>
        <v>4</v>
      </c>
      <c r="G15" s="29"/>
      <c r="I15" s="29"/>
    </row>
    <row r="16" spans="1:11">
      <c r="A16" s="5">
        <f t="shared" si="0"/>
        <v>5</v>
      </c>
      <c r="B16" s="2" t="s">
        <v>184</v>
      </c>
      <c r="C16" s="18">
        <v>2055680.7146000001</v>
      </c>
      <c r="D16" s="18"/>
      <c r="E16" s="211">
        <f>SUM(C16:D16)</f>
        <v>2055680.7146000001</v>
      </c>
      <c r="F16" s="58">
        <v>8.9007000000000003E-2</v>
      </c>
      <c r="G16" s="29">
        <f>+F16*E16</f>
        <v>182969.97336440222</v>
      </c>
      <c r="H16" s="58">
        <f>+'JAP-23,  p36 Rate Des Sch 29'!$E$16</f>
        <v>9.4350000000000003E-2</v>
      </c>
      <c r="I16" s="29">
        <f>+H16*E16</f>
        <v>193953.47542251</v>
      </c>
      <c r="J16" s="37">
        <f>+I16-G16</f>
        <v>10983.502058107784</v>
      </c>
      <c r="K16" s="21">
        <f>+J16/G16</f>
        <v>6.0028986484209013E-2</v>
      </c>
    </row>
    <row r="17" spans="1:11">
      <c r="A17" s="5">
        <f t="shared" si="0"/>
        <v>6</v>
      </c>
      <c r="B17" s="24" t="s">
        <v>199</v>
      </c>
      <c r="C17" s="18">
        <v>186394.9375</v>
      </c>
      <c r="D17" s="18">
        <v>63.589163327288148</v>
      </c>
      <c r="E17" s="211">
        <f>SUM(C17:D17)</f>
        <v>186458.5266633273</v>
      </c>
      <c r="F17" s="58">
        <v>6.7984000000000003E-2</v>
      </c>
      <c r="G17" s="29">
        <f>+F17*E17</f>
        <v>12676.196476679643</v>
      </c>
      <c r="H17" s="58">
        <f>+'JAP-23,  p36 Rate Des Sch 29'!$E$20</f>
        <v>7.2065000000000004E-2</v>
      </c>
      <c r="I17" s="29">
        <f>+H17*E17</f>
        <v>13437.133723992683</v>
      </c>
      <c r="J17" s="37">
        <f>+I17-G17</f>
        <v>760.93724731304064</v>
      </c>
      <c r="K17" s="21">
        <f>+J17/G17</f>
        <v>6.002883031301498E-2</v>
      </c>
    </row>
    <row r="18" spans="1:11">
      <c r="A18" s="5">
        <f t="shared" si="0"/>
        <v>7</v>
      </c>
      <c r="B18" s="2" t="s">
        <v>185</v>
      </c>
      <c r="C18" s="18">
        <v>11531944.156799998</v>
      </c>
      <c r="D18" s="18"/>
      <c r="E18" s="211">
        <f>SUM(C18:D18)</f>
        <v>11531944.156799998</v>
      </c>
      <c r="F18" s="58">
        <v>6.2169000000000002E-2</v>
      </c>
      <c r="G18" s="29">
        <f>+F18*E18</f>
        <v>716929.43628409912</v>
      </c>
      <c r="H18" s="58">
        <f>+'JAP-23,  p36 Rate Des Sch 29'!$E$17</f>
        <v>6.5901000000000001E-2</v>
      </c>
      <c r="I18" s="29">
        <f>+H18*E18</f>
        <v>759966.65187727672</v>
      </c>
      <c r="J18" s="37">
        <f>+I18-G18</f>
        <v>43037.215593177592</v>
      </c>
      <c r="K18" s="21">
        <f>+J18/G18</f>
        <v>6.0029918448101141E-2</v>
      </c>
    </row>
    <row r="19" spans="1:11">
      <c r="A19" s="5">
        <f t="shared" si="0"/>
        <v>8</v>
      </c>
      <c r="B19" s="24" t="s">
        <v>200</v>
      </c>
      <c r="C19" s="18">
        <v>819037.4622999999</v>
      </c>
      <c r="D19" s="18">
        <v>-107398.51979640379</v>
      </c>
      <c r="E19" s="211">
        <f>SUM(C19:D19)</f>
        <v>711638.94250359607</v>
      </c>
      <c r="F19" s="58">
        <v>5.3497999999999997E-2</v>
      </c>
      <c r="G19" s="29">
        <f>+F19*E19</f>
        <v>38071.260146057379</v>
      </c>
      <c r="H19" s="58">
        <f>+'JAP-23,  p36 Rate Des Sch 29'!$E$21</f>
        <v>5.6709000000000002E-2</v>
      </c>
      <c r="I19" s="29">
        <f>+H19*E19</f>
        <v>40356.332790436434</v>
      </c>
      <c r="J19" s="37">
        <f>+I19-G19</f>
        <v>2285.0726443790554</v>
      </c>
      <c r="K19" s="21">
        <f>+J19/G19</f>
        <v>6.0020935362069837E-2</v>
      </c>
    </row>
    <row r="20" spans="1:11">
      <c r="A20" s="5">
        <f t="shared" si="0"/>
        <v>9</v>
      </c>
      <c r="B20" s="24" t="s">
        <v>187</v>
      </c>
      <c r="C20" s="12">
        <f>SUM(C16:C19)</f>
        <v>14593057.271199999</v>
      </c>
      <c r="D20" s="12">
        <f>SUM(D16:D19)</f>
        <v>-107334.93063307651</v>
      </c>
      <c r="E20" s="12">
        <f>SUM(E16:E19)</f>
        <v>14485722.34056692</v>
      </c>
      <c r="G20" s="13">
        <f>SUM(G16:G19)</f>
        <v>950646.86627123831</v>
      </c>
      <c r="I20" s="13">
        <f>SUM(I16:I19)</f>
        <v>1007713.5938142159</v>
      </c>
      <c r="J20" s="13">
        <f>SUM(J16:J19)</f>
        <v>57066.727542977475</v>
      </c>
      <c r="K20" s="52">
        <f>+J20/G20</f>
        <v>6.0029364812206942E-2</v>
      </c>
    </row>
    <row r="21" spans="1:11">
      <c r="A21" s="5">
        <f t="shared" si="0"/>
        <v>10</v>
      </c>
      <c r="C21" s="81"/>
      <c r="D21" s="81"/>
      <c r="E21" s="81"/>
      <c r="I21" s="17"/>
    </row>
    <row r="22" spans="1:11">
      <c r="A22" s="5">
        <f t="shared" si="0"/>
        <v>11</v>
      </c>
      <c r="B22" s="24" t="s">
        <v>188</v>
      </c>
      <c r="C22" s="18">
        <v>3752</v>
      </c>
      <c r="D22" s="18"/>
      <c r="E22" s="211">
        <f>SUM(C22:D22)</f>
        <v>3752</v>
      </c>
      <c r="F22" s="74">
        <v>8.6199999999999992</v>
      </c>
      <c r="G22" s="29">
        <f>+F22*E22</f>
        <v>32342.239999999998</v>
      </c>
      <c r="H22" s="74">
        <f>+'JAP-23,  p36 Rate Des Sch 29'!$E$30</f>
        <v>9.14</v>
      </c>
      <c r="I22" s="29">
        <f>+H22*E22</f>
        <v>34293.279999999999</v>
      </c>
      <c r="J22" s="37">
        <f>+I22-G22</f>
        <v>1951.0400000000009</v>
      </c>
      <c r="K22" s="21">
        <f>+J22/G22</f>
        <v>6.0324825986078918E-2</v>
      </c>
    </row>
    <row r="23" spans="1:11">
      <c r="A23" s="5">
        <f t="shared" si="0"/>
        <v>12</v>
      </c>
      <c r="B23" s="24" t="s">
        <v>189</v>
      </c>
      <c r="C23" s="18">
        <v>7783</v>
      </c>
      <c r="D23" s="18"/>
      <c r="E23" s="211">
        <f>SUM(C23:D23)</f>
        <v>7783</v>
      </c>
      <c r="F23" s="74">
        <v>4.24</v>
      </c>
      <c r="G23" s="29">
        <f>+F23*E23</f>
        <v>32999.919999999998</v>
      </c>
      <c r="H23" s="74">
        <f>+'JAP-23,  p36 Rate Des Sch 29'!$E$31</f>
        <v>4.49</v>
      </c>
      <c r="I23" s="29">
        <f>+H23*E23</f>
        <v>34945.67</v>
      </c>
      <c r="J23" s="37">
        <f>+I23-G23</f>
        <v>1945.75</v>
      </c>
      <c r="K23" s="21">
        <f>+J23/G23</f>
        <v>5.8962264150943397E-2</v>
      </c>
    </row>
    <row r="24" spans="1:11">
      <c r="A24" s="5">
        <f t="shared" si="0"/>
        <v>13</v>
      </c>
      <c r="B24" s="24" t="s">
        <v>190</v>
      </c>
      <c r="C24" s="12">
        <f>SUM(C22:C23)</f>
        <v>11535</v>
      </c>
      <c r="D24" s="12"/>
      <c r="E24" s="12">
        <f>SUM(E22:E23)</f>
        <v>11535</v>
      </c>
      <c r="G24" s="13">
        <f>SUM(G22:G23)</f>
        <v>65342.159999999996</v>
      </c>
      <c r="I24" s="13">
        <f>SUM(I22:I23)</f>
        <v>69238.95</v>
      </c>
      <c r="J24" s="13">
        <f>SUM(J22:J23)</f>
        <v>3896.7900000000009</v>
      </c>
      <c r="K24" s="52">
        <f>+J24/G24</f>
        <v>5.9636687859721829E-2</v>
      </c>
    </row>
    <row r="25" spans="1:11">
      <c r="A25" s="5">
        <f t="shared" si="0"/>
        <v>14</v>
      </c>
      <c r="C25" s="19"/>
      <c r="D25" s="19"/>
      <c r="E25" s="19"/>
      <c r="G25" s="17"/>
      <c r="I25" s="17"/>
      <c r="J25" s="17"/>
      <c r="K25" s="56"/>
    </row>
    <row r="26" spans="1:11">
      <c r="A26" s="5">
        <f t="shared" si="0"/>
        <v>15</v>
      </c>
      <c r="B26" s="24" t="s">
        <v>191</v>
      </c>
      <c r="C26" s="210">
        <v>369065</v>
      </c>
      <c r="D26" s="210"/>
      <c r="E26" s="210">
        <f>SUM(C26:D26)</f>
        <v>369065</v>
      </c>
      <c r="F26" s="85">
        <v>2.7399999999999998E-3</v>
      </c>
      <c r="G26" s="13">
        <f>+F26*E26</f>
        <v>1011.2380999999999</v>
      </c>
      <c r="H26" s="85">
        <f>+'JAP-23,  p36 Rate Des Sch 29'!$E$34</f>
        <v>2.8999999999999998E-3</v>
      </c>
      <c r="I26" s="13">
        <f>+H26*E26</f>
        <v>1070.2884999999999</v>
      </c>
      <c r="J26" s="54">
        <f>+I26-G26</f>
        <v>59.050399999999968</v>
      </c>
      <c r="K26" s="52">
        <f>+J26/G26</f>
        <v>5.8394160583941576E-2</v>
      </c>
    </row>
    <row r="27" spans="1:11">
      <c r="A27" s="5">
        <f t="shared" si="0"/>
        <v>16</v>
      </c>
      <c r="B27" s="24"/>
      <c r="C27" s="206"/>
      <c r="D27" s="206"/>
      <c r="E27" s="206"/>
      <c r="F27" s="85"/>
      <c r="G27" s="17"/>
      <c r="H27" s="85"/>
      <c r="I27" s="17"/>
      <c r="J27" s="55"/>
      <c r="K27" s="56"/>
    </row>
    <row r="28" spans="1:11">
      <c r="A28" s="5">
        <f t="shared" si="0"/>
        <v>17</v>
      </c>
      <c r="B28" s="10" t="s">
        <v>175</v>
      </c>
      <c r="E28" s="210">
        <f>+E20</f>
        <v>14485722.34056692</v>
      </c>
      <c r="F28" s="58">
        <v>0</v>
      </c>
      <c r="G28" s="13">
        <f>+F28*E28</f>
        <v>0</v>
      </c>
      <c r="H28" s="58">
        <v>0</v>
      </c>
      <c r="I28" s="13">
        <f>+H28*E28</f>
        <v>0</v>
      </c>
      <c r="J28" s="54">
        <f>+I28-G28</f>
        <v>0</v>
      </c>
      <c r="K28" s="56"/>
    </row>
    <row r="29" spans="1:11">
      <c r="A29" s="5">
        <f t="shared" si="0"/>
        <v>18</v>
      </c>
      <c r="E29" s="81"/>
    </row>
    <row r="30" spans="1:11">
      <c r="A30" s="5">
        <f t="shared" si="0"/>
        <v>19</v>
      </c>
      <c r="B30" s="10" t="s">
        <v>196</v>
      </c>
      <c r="E30" s="12">
        <v>-20017</v>
      </c>
      <c r="F30" s="58">
        <f>ROUND(+G30/E30,6)</f>
        <v>0.142179</v>
      </c>
      <c r="G30" s="13">
        <v>-2846</v>
      </c>
      <c r="H30" s="58">
        <f>+'JAP-23,  p36 Rate Des Sch 29'!$E$25</f>
        <v>0.15071300000000001</v>
      </c>
      <c r="I30" s="13">
        <f>+H30*E30</f>
        <v>-3016.8221210000002</v>
      </c>
      <c r="J30" s="54">
        <f>+I30-G30</f>
        <v>-170.82212100000015</v>
      </c>
      <c r="K30" s="52">
        <f>+J30/G30</f>
        <v>6.0021827477160984E-2</v>
      </c>
    </row>
    <row r="31" spans="1:11">
      <c r="A31" s="5">
        <f t="shared" si="0"/>
        <v>20</v>
      </c>
      <c r="E31" s="81"/>
    </row>
    <row r="32" spans="1:11" ht="13.5" thickBot="1">
      <c r="A32" s="5">
        <f t="shared" si="0"/>
        <v>21</v>
      </c>
      <c r="B32" s="2" t="s">
        <v>60</v>
      </c>
      <c r="E32" s="34">
        <f>SUM(E20,E30)</f>
        <v>14465705.34056692</v>
      </c>
      <c r="G32" s="63">
        <f>SUM(G26,G24,G20,G14,G28,G30)</f>
        <v>1182201.8943712383</v>
      </c>
      <c r="I32" s="63">
        <f>SUM(I26,I24,I20,I14,I28,I30)</f>
        <v>1253128.7601932159</v>
      </c>
      <c r="J32" s="63">
        <f>SUM(J26,J24,J20,J14,J28,J30)</f>
        <v>70926.865821977452</v>
      </c>
      <c r="K32" s="64">
        <f>+J32/G32</f>
        <v>5.9995560961015347E-2</v>
      </c>
    </row>
    <row r="33" spans="1:10" ht="13.5" customHeight="1" thickTop="1">
      <c r="A33" s="5"/>
    </row>
    <row r="34" spans="1:10" ht="13.5" customHeight="1">
      <c r="A34" s="5"/>
      <c r="B34" s="24"/>
      <c r="G34" s="29"/>
      <c r="I34" s="29"/>
    </row>
    <row r="35" spans="1:10" ht="13.5" customHeight="1">
      <c r="A35" s="5"/>
      <c r="B35" s="24"/>
      <c r="G35" s="37"/>
      <c r="I35" s="37"/>
    </row>
    <row r="36" spans="1:10" ht="13.5" customHeight="1">
      <c r="E36" s="81"/>
      <c r="I36" s="37"/>
      <c r="J36" s="208"/>
    </row>
    <row r="37" spans="1:10" ht="13.5" customHeight="1">
      <c r="E37" s="81"/>
      <c r="G37" s="37"/>
      <c r="I37" s="37"/>
      <c r="J37" s="208"/>
    </row>
    <row r="38" spans="1:10" ht="13.5" customHeight="1">
      <c r="B38" s="24"/>
      <c r="F38" s="58"/>
      <c r="G38" s="29"/>
    </row>
    <row r="39" spans="1:10" ht="13.5" customHeight="1"/>
  </sheetData>
  <mergeCells count="11">
    <mergeCell ref="A1:K1"/>
    <mergeCell ref="A2:K2"/>
    <mergeCell ref="A3:K3"/>
    <mergeCell ref="A4:K4"/>
    <mergeCell ref="C8:E8"/>
    <mergeCell ref="F8:G8"/>
    <mergeCell ref="H8:I8"/>
    <mergeCell ref="J8:K8"/>
    <mergeCell ref="A5:K5"/>
    <mergeCell ref="F7:G7"/>
    <mergeCell ref="H7:I7"/>
  </mergeCells>
  <phoneticPr fontId="0" type="noConversion"/>
  <printOptions horizontalCentered="1"/>
  <pageMargins left="0.25" right="0.25" top="1" bottom="1.1299999999999999" header="0.5" footer="0.5"/>
  <pageSetup scale="85" orientation="landscape" r:id="rId1"/>
  <headerFooter alignWithMargins="0">
    <oddFooter>&amp;R&amp;"Times New Roman,Regular"Exhibit No.___(JAP-23)
Page 9 of 49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2011-06-13T07:00:00+00:00</OpenedDate>
    <Date1 xmlns="dc463f71-b30c-4ab2-9473-d307f9d35888">2011-11-09T08:00:00+00:00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111048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4EC8B21DBB10C40AB4409B4BAF96A70" ma:contentTypeVersion="143" ma:contentTypeDescription="" ma:contentTypeScope="" ma:versionID="3c7207432fc916bd95c5b70dd967b10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18726033-EA0A-47D4-9167-70635A889F1C}"/>
</file>

<file path=customXml/itemProps2.xml><?xml version="1.0" encoding="utf-8"?>
<ds:datastoreItem xmlns:ds="http://schemas.openxmlformats.org/officeDocument/2006/customXml" ds:itemID="{7530C01F-62A5-43CA-9050-72896F180941}"/>
</file>

<file path=customXml/itemProps3.xml><?xml version="1.0" encoding="utf-8"?>
<ds:datastoreItem xmlns:ds="http://schemas.openxmlformats.org/officeDocument/2006/customXml" ds:itemID="{1B605001-66A4-4C4D-AA18-987F80E170EE}"/>
</file>

<file path=customXml/itemProps4.xml><?xml version="1.0" encoding="utf-8"?>
<ds:datastoreItem xmlns:ds="http://schemas.openxmlformats.org/officeDocument/2006/customXml" ds:itemID="{B29A5DE9-F435-4803-8C64-8B55626A54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49</vt:i4>
      </vt:variant>
      <vt:variant>
        <vt:lpstr>Named Ranges</vt:lpstr>
      </vt:variant>
      <vt:variant>
        <vt:i4>49</vt:i4>
      </vt:variant>
    </vt:vector>
  </HeadingPairs>
  <TitlesOfParts>
    <vt:vector size="98" baseType="lpstr">
      <vt:lpstr>JAP-23,  p1 Rate Spread</vt:lpstr>
      <vt:lpstr>JAP-23,  p2  Rate Design Summ</vt:lpstr>
      <vt:lpstr>JAP-23,  p3 Proforma Proposed</vt:lpstr>
      <vt:lpstr>JAP-23,  p4 Residential Sch 7</vt:lpstr>
      <vt:lpstr>JAP-23,  p5 Secondary Sch 24</vt:lpstr>
      <vt:lpstr>JAP-23,  p6 Secondary Sch 25</vt:lpstr>
      <vt:lpstr>JAP-23,  p7 Secondary Sch 26</vt:lpstr>
      <vt:lpstr>JAP-23,  p8 Secondary Sch 26P</vt:lpstr>
      <vt:lpstr>JAP-23,  p9 Secondary Sch 29</vt:lpstr>
      <vt:lpstr>JAP-23,  p10 Primary Sch 31</vt:lpstr>
      <vt:lpstr>JAP-23,  p11 Primary Sch 35</vt:lpstr>
      <vt:lpstr>JAP-23,  p12 Primary Sch 43</vt:lpstr>
      <vt:lpstr>JAP-23,  p13 Campus Sch 40</vt:lpstr>
      <vt:lpstr>JAP-23,  p14 HV Sch 46</vt:lpstr>
      <vt:lpstr>JAP-23,  p15 HV Sch 49</vt:lpstr>
      <vt:lpstr>JAP-23,  p16 Firm Resale</vt:lpstr>
      <vt:lpstr>JAP-23,  p17 Sch 449</vt:lpstr>
      <vt:lpstr>JAP-23,  p18 Sch 459</vt:lpstr>
      <vt:lpstr>JAP-23,  p19 Lighting Summary</vt:lpstr>
      <vt:lpstr>JAP-23,  p20 Sch 003</vt:lpstr>
      <vt:lpstr>JAP-23,  p21 Sch 50</vt:lpstr>
      <vt:lpstr>JAP-23,  p22 Sch 51</vt:lpstr>
      <vt:lpstr>JAP-23,  p23 Sch 51 O&amp;M</vt:lpstr>
      <vt:lpstr>JAP-23,  p24 Sch 52</vt:lpstr>
      <vt:lpstr>JAP-23,  p25 Sch 52 O&amp;M</vt:lpstr>
      <vt:lpstr>JAP-23,  p26 Sch 53</vt:lpstr>
      <vt:lpstr>JAP-23,  p27 Sch 54</vt:lpstr>
      <vt:lpstr>JAP-23,  p28 Sch 55 &amp; 56</vt:lpstr>
      <vt:lpstr>JAP-23,  p29 Sch 57</vt:lpstr>
      <vt:lpstr>JAP-23,  p30 Sch 58 &amp; 59</vt:lpstr>
      <vt:lpstr>JAP-23,  p31 Sch 55 &amp; 58 pole</vt:lpstr>
      <vt:lpstr>JAP-23,  p32 Rate Des Sch 7</vt:lpstr>
      <vt:lpstr>JAP-23,  p33 Rate Des Sch 24</vt:lpstr>
      <vt:lpstr>JAP-23,  p34 Rate Des Sch 25</vt:lpstr>
      <vt:lpstr>JAP-23,  p35 Rate Des Sch 26</vt:lpstr>
      <vt:lpstr>JAP-23,  p36 Rate Des Sch 29</vt:lpstr>
      <vt:lpstr>JAP-23,  p37 Rate Des Sch 31</vt:lpstr>
      <vt:lpstr>JAP-23,  p38 Rate Des Sch 35</vt:lpstr>
      <vt:lpstr>JAP-23,  p39 Rate Des Sch 43</vt:lpstr>
      <vt:lpstr>JAP-23,  p40 Rate Des Sch 46</vt:lpstr>
      <vt:lpstr>JAP-23,  p41 Rate Des Sch 49</vt:lpstr>
      <vt:lpstr>JAP-23, p42 Rate Des Sch 449-59</vt:lpstr>
      <vt:lpstr>JAP-23,  p43 Sch 40 Summary</vt:lpstr>
      <vt:lpstr>JAP-23, p44 Sch 40 Prod &amp; Trans</vt:lpstr>
      <vt:lpstr>JAP-23,  p45 Sch 40 FCR Rates</vt:lpstr>
      <vt:lpstr>JAP-23,  p46 Typ Res GRC 2011</vt:lpstr>
      <vt:lpstr>JAP-23,  p47 Typ Res GRC no CSA</vt:lpstr>
      <vt:lpstr>JAP-23,  p48 Typ Res no RAT</vt:lpstr>
      <vt:lpstr>JAP-23,  p49 Typ Res no RAT-CSA</vt:lpstr>
      <vt:lpstr>'JAP-23,  p1 Rate Spread'!Print_Area</vt:lpstr>
      <vt:lpstr>'JAP-23,  p10 Primary Sch 31'!Print_Area</vt:lpstr>
      <vt:lpstr>'JAP-23,  p11 Primary Sch 35'!Print_Area</vt:lpstr>
      <vt:lpstr>'JAP-23,  p12 Primary Sch 43'!Print_Area</vt:lpstr>
      <vt:lpstr>'JAP-23,  p13 Campus Sch 40'!Print_Area</vt:lpstr>
      <vt:lpstr>'JAP-23,  p14 HV Sch 46'!Print_Area</vt:lpstr>
      <vt:lpstr>'JAP-23,  p15 HV Sch 49'!Print_Area</vt:lpstr>
      <vt:lpstr>'JAP-23,  p16 Firm Resale'!Print_Area</vt:lpstr>
      <vt:lpstr>'JAP-23,  p17 Sch 449'!Print_Area</vt:lpstr>
      <vt:lpstr>'JAP-23,  p18 Sch 459'!Print_Area</vt:lpstr>
      <vt:lpstr>'JAP-23,  p19 Lighting Summary'!Print_Area</vt:lpstr>
      <vt:lpstr>'JAP-23,  p2  Rate Design Summ'!Print_Area</vt:lpstr>
      <vt:lpstr>'JAP-23,  p20 Sch 003'!Print_Area</vt:lpstr>
      <vt:lpstr>'JAP-23,  p21 Sch 50'!Print_Area</vt:lpstr>
      <vt:lpstr>'JAP-23,  p22 Sch 51'!Print_Area</vt:lpstr>
      <vt:lpstr>'JAP-23,  p23 Sch 51 O&amp;M'!Print_Area</vt:lpstr>
      <vt:lpstr>'JAP-23,  p24 Sch 52'!Print_Area</vt:lpstr>
      <vt:lpstr>'JAP-23,  p25 Sch 52 O&amp;M'!Print_Area</vt:lpstr>
      <vt:lpstr>'JAP-23,  p26 Sch 53'!Print_Area</vt:lpstr>
      <vt:lpstr>'JAP-23,  p27 Sch 54'!Print_Area</vt:lpstr>
      <vt:lpstr>'JAP-23,  p28 Sch 55 &amp; 56'!Print_Area</vt:lpstr>
      <vt:lpstr>'JAP-23,  p29 Sch 57'!Print_Area</vt:lpstr>
      <vt:lpstr>'JAP-23,  p3 Proforma Proposed'!Print_Area</vt:lpstr>
      <vt:lpstr>'JAP-23,  p30 Sch 58 &amp; 59'!Print_Area</vt:lpstr>
      <vt:lpstr>'JAP-23,  p31 Sch 55 &amp; 58 pole'!Print_Area</vt:lpstr>
      <vt:lpstr>'JAP-23,  p32 Rate Des Sch 7'!Print_Area</vt:lpstr>
      <vt:lpstr>'JAP-23,  p33 Rate Des Sch 24'!Print_Area</vt:lpstr>
      <vt:lpstr>'JAP-23,  p34 Rate Des Sch 25'!Print_Area</vt:lpstr>
      <vt:lpstr>'JAP-23,  p35 Rate Des Sch 26'!Print_Area</vt:lpstr>
      <vt:lpstr>'JAP-23,  p36 Rate Des Sch 29'!Print_Area</vt:lpstr>
      <vt:lpstr>'JAP-23,  p37 Rate Des Sch 31'!Print_Area</vt:lpstr>
      <vt:lpstr>'JAP-23,  p38 Rate Des Sch 35'!Print_Area</vt:lpstr>
      <vt:lpstr>'JAP-23,  p39 Rate Des Sch 43'!Print_Area</vt:lpstr>
      <vt:lpstr>'JAP-23,  p4 Residential Sch 7'!Print_Area</vt:lpstr>
      <vt:lpstr>'JAP-23,  p40 Rate Des Sch 46'!Print_Area</vt:lpstr>
      <vt:lpstr>'JAP-23,  p41 Rate Des Sch 49'!Print_Area</vt:lpstr>
      <vt:lpstr>'JAP-23,  p43 Sch 40 Summary'!Print_Area</vt:lpstr>
      <vt:lpstr>'JAP-23,  p45 Sch 40 FCR Rates'!Print_Area</vt:lpstr>
      <vt:lpstr>'JAP-23,  p46 Typ Res GRC 2011'!Print_Area</vt:lpstr>
      <vt:lpstr>'JAP-23,  p47 Typ Res GRC no CSA'!Print_Area</vt:lpstr>
      <vt:lpstr>'JAP-23,  p48 Typ Res no RAT'!Print_Area</vt:lpstr>
      <vt:lpstr>'JAP-23,  p49 Typ Res no RAT-CSA'!Print_Area</vt:lpstr>
      <vt:lpstr>'JAP-23,  p5 Secondary Sch 24'!Print_Area</vt:lpstr>
      <vt:lpstr>'JAP-23,  p6 Secondary Sch 25'!Print_Area</vt:lpstr>
      <vt:lpstr>'JAP-23,  p7 Secondary Sch 26'!Print_Area</vt:lpstr>
      <vt:lpstr>'JAP-23,  p8 Secondary Sch 26P'!Print_Area</vt:lpstr>
      <vt:lpstr>'JAP-23,  p9 Secondary Sch 29'!Print_Area</vt:lpstr>
      <vt:lpstr>'JAP-23, p42 Rate Des Sch 449-59'!Print_Area</vt:lpstr>
      <vt:lpstr>'JAP-23, p44 Sch 40 Prod &amp; Trans'!Print_Area</vt:lpstr>
    </vt:vector>
  </TitlesOfParts>
  <Company>Puget Sound Energy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Pam Rasanen</cp:lastModifiedBy>
  <cp:lastPrinted>2011-11-03T22:12:59Z</cp:lastPrinted>
  <dcterms:created xsi:type="dcterms:W3CDTF">2007-11-27T17:03:20Z</dcterms:created>
  <dcterms:modified xsi:type="dcterms:W3CDTF">2011-11-03T22:13:10Z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0x0101006E56B4D1795A2E4DB2F0B01679ED314A00C4EC8B21DBB10C40AB4409B4BAF96A70</vt:lpwstr>
  </property>
  <property fmtid="{D5CDD505-2E9C-101B-9397-08002B2CF9AE}" pid="3" name="_docset_NoMedatataSyncRequired">
    <vt:lpwstr>False</vt:lpwstr>
  </property>
</Properties>
</file>