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xl/comments4.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01m107\c01m107\2016\2016_WA_Elec_and_Gas_GRC\Data Requests\Drafts\Liz\ICNU\"/>
    </mc:Choice>
  </mc:AlternateContent>
  <bookViews>
    <workbookView xWindow="-15" yWindow="-15" windowWidth="19410" windowHeight="11010" tabRatio="848"/>
  </bookViews>
  <sheets>
    <sheet name="ADJ DETAIL-INPUT" sheetId="1" r:id="rId1"/>
    <sheet name="RR SUMMARY" sheetId="51" r:id="rId2"/>
    <sheet name="CF " sheetId="52" r:id="rId3"/>
    <sheet name="ADJ SUMMARY" sheetId="3" r:id="rId4"/>
    <sheet name="LEAD SHEETS-DO NOT ENTER" sheetId="113" r:id="rId5"/>
    <sheet name="ROO INPUT" sheetId="111" r:id="rId6"/>
    <sheet name="DEBT CALC" sheetId="48" r:id="rId7"/>
  </sheets>
  <externalReferences>
    <externalReference r:id="rId8"/>
  </externalReferences>
  <definedNames>
    <definedName name="ID_Elec" localSheetId="5">#REF!</definedName>
    <definedName name="ID_Elec">'DEBT CALC'!$A$68:$F$145</definedName>
    <definedName name="ID_Gas" localSheetId="4">'DEBT CALC'!#REF!</definedName>
    <definedName name="ID_Gas" localSheetId="5">#REF!</definedName>
    <definedName name="ID_Gas">'DEBT CALC'!#REF!</definedName>
    <definedName name="_xlnm.Print_Area" localSheetId="0">'ADJ DETAIL-INPUT'!$A$2:$Z$80</definedName>
    <definedName name="_xlnm.Print_Area" localSheetId="3">'ADJ SUMMARY'!$A$1:$F$34</definedName>
    <definedName name="_xlnm.Print_Area" localSheetId="2">'CF '!$A$1:$E$25</definedName>
    <definedName name="_xlnm.Print_Area" localSheetId="6">'DEBT CALC'!$A$1:$I$47</definedName>
    <definedName name="_xlnm.Print_Area" localSheetId="4">'LEAD SHEETS-DO NOT ENTER'!$A$2:$X$79</definedName>
    <definedName name="_xlnm.Print_Area" localSheetId="5">'ROO INPUT'!$A$1:$G$80</definedName>
    <definedName name="_xlnm.Print_Area" localSheetId="1">'RR SUMMARY'!$H$1:$N$15</definedName>
    <definedName name="Print_for_CBReport">'ADJ SUMMARY'!$A$1:$F$35</definedName>
    <definedName name="Print_for_Checking" localSheetId="4">'ADJ SUMMARY'!#REF!:'ADJ SUMMARY'!#REF!</definedName>
    <definedName name="Print_for_Checking" localSheetId="5">[1]PFRstmtSheet!$A$1:[1]PFRstmtSheet!#REF!</definedName>
    <definedName name="Print_for_Checking">'ADJ SUMMARY'!#REF!:'ADJ SUMMARY'!#REF!</definedName>
    <definedName name="_xlnm.Print_Titles" localSheetId="0">'ADJ DETAIL-INPUT'!$A:$D,'ADJ DETAIL-INPUT'!$2:$10</definedName>
    <definedName name="_xlnm.Print_Titles" localSheetId="4">'LEAD SHEETS-DO NOT ENTER'!$A:$D,'LEAD SHEETS-DO NOT ENTER'!$2:$10</definedName>
    <definedName name="_xlnm.Print_Titles" localSheetId="5">'ROO INPUT'!$1:$10</definedName>
    <definedName name="RRC_Adjustment_Print">#REF!</definedName>
    <definedName name="RRC_Rate_Print">#REF!</definedName>
    <definedName name="Summary" localSheetId="4">#REF!</definedName>
    <definedName name="Summary" localSheetId="5">#REF!</definedName>
    <definedName name="Summary">#REF!</definedName>
    <definedName name="WA_Elec" localSheetId="5">#REF!</definedName>
    <definedName name="WA_Elec">'DEBT CALC'!$A$1:$F$67</definedName>
    <definedName name="WA_Gas" localSheetId="4">'DEBT CALC'!#REF!</definedName>
    <definedName name="WA_Gas" localSheetId="5">#REF!</definedName>
    <definedName name="WA_Gas">'DEBT CALC'!#REF!</definedName>
    <definedName name="Z_6E1B8C45_B07F_11D2_B0DC_0000832CDFF0_.wvu.Cols" localSheetId="0" hidden="1">'ADJ DETAIL-INPUT'!#REF!,'ADJ DETAIL-INPUT'!$X:$Z</definedName>
    <definedName name="Z_6E1B8C45_B07F_11D2_B0DC_0000832CDFF0_.wvu.Cols" localSheetId="4" hidden="1">'LEAD SHEETS-DO NOT ENTER'!#REF!,'LEAD SHEETS-DO NOT ENTER'!#REF!</definedName>
    <definedName name="Z_6E1B8C45_B07F_11D2_B0DC_0000832CDFF0_.wvu.PrintArea" localSheetId="0" hidden="1">'ADJ DETAIL-INPUT'!$E:$Z</definedName>
    <definedName name="Z_6E1B8C45_B07F_11D2_B0DC_0000832CDFF0_.wvu.PrintArea" localSheetId="3" hidden="1">'ADJ SUMMARY'!$A$1:$F$35</definedName>
    <definedName name="Z_6E1B8C45_B07F_11D2_B0DC_0000832CDFF0_.wvu.PrintArea" localSheetId="4" hidden="1">'LEAD SHEETS-DO NOT ENTER'!$E:$X</definedName>
    <definedName name="Z_6E1B8C45_B07F_11D2_B0DC_0000832CDFF0_.wvu.PrintArea" localSheetId="5" hidden="1">'ROO INPUT'!$A$1:$G$79</definedName>
    <definedName name="Z_6E1B8C45_B07F_11D2_B0DC_0000832CDFF0_.wvu.PrintTitles" localSheetId="0" hidden="1">'ADJ DETAIL-INPUT'!$A:$D,'ADJ DETAIL-INPUT'!$2:$10</definedName>
    <definedName name="Z_6E1B8C45_B07F_11D2_B0DC_0000832CDFF0_.wvu.PrintTitles" localSheetId="4" hidden="1">'LEAD SHEETS-DO NOT ENTER'!$A:$D,'LEAD SHEETS-DO NOT ENTER'!$2:$10</definedName>
    <definedName name="Z_6E1B8C45_B07F_11D2_B0DC_0000832CDFF0_.wvu.Rows" localSheetId="3" hidden="1">'ADJ SUMMARY'!#REF!,'ADJ SUMMARY'!$20:$32,'ADJ SUMMARY'!$31:$31,'ADJ SUMMARY'!$33:$35,'ADJ SUMMARY'!#REF!,'ADJ SUMMARY'!#REF!,'ADJ SUMMARY'!#REF!</definedName>
    <definedName name="Z_A15D1962_B049_11D2_8670_0000832CEEE8_.wvu.Cols" localSheetId="0" hidden="1">'ADJ DETAIL-INPUT'!$X:$AD</definedName>
    <definedName name="Z_A15D1962_B049_11D2_8670_0000832CEEE8_.wvu.Cols" localSheetId="4" hidden="1">'LEAD SHEETS-DO NOT ENTER'!#REF!</definedName>
    <definedName name="Z_A15D1962_B049_11D2_8670_0000832CEEE8_.wvu.Rows" localSheetId="3" hidden="1">'ADJ SUMMARY'!#REF!,'ADJ SUMMARY'!#REF!</definedName>
  </definedNames>
  <calcPr calcId="152511"/>
  <customWorkbookViews>
    <customWorkbookView name="Kathy Mitchell - Personal View" guid="{A15D1962-B049-11D2-8670-0000832CEEE8}" mergeInterval="0" personalView="1" maximized="1" windowWidth="796" windowHeight="436" tabRatio="768" activeSheetId="2"/>
    <customWorkbookView name="Don Falkner - Personal View" guid="{6E1B8C45-B07F-11D2-B0DC-0000832CDFF0}" mergeInterval="0" personalView="1" maximized="1" windowWidth="1020" windowHeight="604" tabRatio="768" activeSheetId="3"/>
  </customWorkbookViews>
</workbook>
</file>

<file path=xl/calcChain.xml><?xml version="1.0" encoding="utf-8"?>
<calcChain xmlns="http://schemas.openxmlformats.org/spreadsheetml/2006/main">
  <c r="U23" i="1" l="1"/>
  <c r="K12" i="51"/>
  <c r="X23" i="1"/>
  <c r="X18" i="1"/>
  <c r="U36" i="1" l="1"/>
  <c r="F84" i="111" l="1"/>
  <c r="F85" i="111"/>
  <c r="F86" i="111"/>
  <c r="F87" i="111"/>
  <c r="F88" i="111"/>
  <c r="F89" i="111"/>
  <c r="F90" i="111"/>
  <c r="F91" i="111"/>
  <c r="F92" i="111"/>
  <c r="M10" i="51" l="1"/>
  <c r="K17" i="1"/>
  <c r="K19" i="1" s="1"/>
  <c r="K28" i="1"/>
  <c r="K34" i="1"/>
  <c r="K44" i="1"/>
  <c r="K64" i="1"/>
  <c r="K71" i="1"/>
  <c r="I28" i="1"/>
  <c r="I17" i="1"/>
  <c r="I19" i="1" s="1"/>
  <c r="S41" i="1"/>
  <c r="S36" i="1"/>
  <c r="S33" i="1"/>
  <c r="K72" i="1" l="1"/>
  <c r="K75" i="1" s="1"/>
  <c r="K79" i="1" s="1"/>
  <c r="K45" i="1"/>
  <c r="K47" i="1" s="1"/>
  <c r="F236" i="111"/>
  <c r="F225" i="111"/>
  <c r="F213" i="111"/>
  <c r="F177" i="111"/>
  <c r="F167" i="111"/>
  <c r="F102" i="111"/>
  <c r="K50" i="1" l="1"/>
  <c r="C25" i="3"/>
  <c r="B26" i="48" s="1"/>
  <c r="B25" i="3"/>
  <c r="V7" i="113"/>
  <c r="W7" i="113"/>
  <c r="X7" i="113"/>
  <c r="V8" i="113"/>
  <c r="W8" i="113"/>
  <c r="X8" i="113"/>
  <c r="V9" i="113"/>
  <c r="W9" i="113"/>
  <c r="X9" i="113"/>
  <c r="V11" i="113"/>
  <c r="W11" i="113"/>
  <c r="X11" i="113"/>
  <c r="V14" i="113"/>
  <c r="W14" i="113"/>
  <c r="X14" i="113"/>
  <c r="V15" i="113"/>
  <c r="W15" i="113"/>
  <c r="X15" i="113"/>
  <c r="V16" i="113"/>
  <c r="W16" i="113"/>
  <c r="X16" i="113"/>
  <c r="V18" i="113"/>
  <c r="W18" i="113"/>
  <c r="V23" i="113"/>
  <c r="W23" i="113"/>
  <c r="V24" i="113"/>
  <c r="W24" i="113"/>
  <c r="X24" i="113"/>
  <c r="V25" i="113"/>
  <c r="W25" i="113"/>
  <c r="X25" i="113"/>
  <c r="V26" i="113"/>
  <c r="W26" i="113"/>
  <c r="X26" i="113"/>
  <c r="V27" i="113"/>
  <c r="W27" i="113"/>
  <c r="X27" i="113"/>
  <c r="V31" i="113"/>
  <c r="W31" i="113"/>
  <c r="X31" i="113"/>
  <c r="V32" i="113"/>
  <c r="W32" i="113"/>
  <c r="X32" i="113"/>
  <c r="V33" i="113"/>
  <c r="W33" i="113"/>
  <c r="X33" i="113"/>
  <c r="V36" i="113"/>
  <c r="W36" i="113"/>
  <c r="X36" i="113"/>
  <c r="V37" i="113"/>
  <c r="W37" i="113"/>
  <c r="X37" i="113"/>
  <c r="V38" i="113"/>
  <c r="W38" i="113"/>
  <c r="X38" i="113"/>
  <c r="V41" i="113"/>
  <c r="W41" i="113"/>
  <c r="X41" i="113"/>
  <c r="V42" i="113"/>
  <c r="W42" i="113"/>
  <c r="X42" i="113"/>
  <c r="V43" i="113"/>
  <c r="W43" i="113"/>
  <c r="X43" i="113"/>
  <c r="V49" i="113"/>
  <c r="W49" i="113"/>
  <c r="X49" i="113"/>
  <c r="W51" i="113"/>
  <c r="V52" i="113"/>
  <c r="W52" i="113"/>
  <c r="X52" i="113"/>
  <c r="V53" i="113"/>
  <c r="W53" i="113"/>
  <c r="X53" i="113"/>
  <c r="V59" i="113"/>
  <c r="W59" i="113"/>
  <c r="X59" i="113"/>
  <c r="V60" i="113"/>
  <c r="W60" i="113"/>
  <c r="X60" i="113"/>
  <c r="V61" i="113"/>
  <c r="W61" i="113"/>
  <c r="X61" i="113"/>
  <c r="V62" i="113"/>
  <c r="W62" i="113"/>
  <c r="X62" i="113"/>
  <c r="V63" i="113"/>
  <c r="W63" i="113"/>
  <c r="X63" i="113"/>
  <c r="V66" i="113"/>
  <c r="W66" i="113"/>
  <c r="X66" i="113"/>
  <c r="V67" i="113"/>
  <c r="W67" i="113"/>
  <c r="X67" i="113"/>
  <c r="V68" i="113"/>
  <c r="W68" i="113"/>
  <c r="X68" i="113"/>
  <c r="V69" i="113"/>
  <c r="W69" i="113"/>
  <c r="X69" i="113"/>
  <c r="V70" i="113"/>
  <c r="W70" i="113"/>
  <c r="X70" i="113"/>
  <c r="V74" i="113"/>
  <c r="W74" i="113"/>
  <c r="X74" i="113"/>
  <c r="V76" i="113"/>
  <c r="W76" i="113"/>
  <c r="X76" i="113"/>
  <c r="V77" i="113"/>
  <c r="W77" i="113"/>
  <c r="X77" i="113"/>
  <c r="V78" i="113"/>
  <c r="W78" i="113"/>
  <c r="X78" i="113"/>
  <c r="T78" i="113"/>
  <c r="T77" i="113"/>
  <c r="T76" i="113"/>
  <c r="T74" i="113"/>
  <c r="T70" i="113"/>
  <c r="T69" i="113"/>
  <c r="T68" i="113"/>
  <c r="T67" i="113"/>
  <c r="T66" i="113"/>
  <c r="T63" i="113"/>
  <c r="T62" i="113"/>
  <c r="T61" i="113"/>
  <c r="T60" i="113"/>
  <c r="T59" i="113"/>
  <c r="T53" i="113"/>
  <c r="T52" i="113"/>
  <c r="T49" i="113"/>
  <c r="T43" i="113"/>
  <c r="T42" i="113"/>
  <c r="T41" i="113"/>
  <c r="T38" i="113"/>
  <c r="T37" i="113"/>
  <c r="T36" i="113"/>
  <c r="T33" i="113"/>
  <c r="T32" i="113"/>
  <c r="T31" i="113"/>
  <c r="T27" i="113"/>
  <c r="T26" i="113"/>
  <c r="T25" i="113"/>
  <c r="T24" i="113"/>
  <c r="T23" i="113"/>
  <c r="T18" i="113"/>
  <c r="T16" i="113"/>
  <c r="T15" i="113"/>
  <c r="T14" i="113"/>
  <c r="T11" i="113"/>
  <c r="T9" i="113"/>
  <c r="T8" i="113"/>
  <c r="T7" i="113"/>
  <c r="S78" i="113"/>
  <c r="S77" i="113"/>
  <c r="S76" i="113"/>
  <c r="S74" i="113"/>
  <c r="S70" i="113"/>
  <c r="S69" i="113"/>
  <c r="S68" i="113"/>
  <c r="S67" i="113"/>
  <c r="S66" i="113"/>
  <c r="S63" i="113"/>
  <c r="S62" i="113"/>
  <c r="S61" i="113"/>
  <c r="S60" i="113"/>
  <c r="S59" i="113"/>
  <c r="S53" i="113"/>
  <c r="S52" i="113"/>
  <c r="S49" i="113"/>
  <c r="S43" i="113"/>
  <c r="S42" i="113"/>
  <c r="S41" i="113"/>
  <c r="S38" i="113"/>
  <c r="S37" i="113"/>
  <c r="S36" i="113"/>
  <c r="S33" i="113"/>
  <c r="S32" i="113"/>
  <c r="S31" i="113"/>
  <c r="S27" i="113"/>
  <c r="S26" i="113"/>
  <c r="S25" i="113"/>
  <c r="S24" i="113"/>
  <c r="S23" i="113"/>
  <c r="S18" i="113"/>
  <c r="S16" i="113"/>
  <c r="S15" i="113"/>
  <c r="S14" i="113"/>
  <c r="S11" i="113"/>
  <c r="S9" i="113"/>
  <c r="S8" i="113"/>
  <c r="S7" i="113"/>
  <c r="F7" i="113"/>
  <c r="G7" i="113"/>
  <c r="H7" i="113"/>
  <c r="I7" i="113"/>
  <c r="J7" i="113"/>
  <c r="K7" i="113"/>
  <c r="L7" i="113"/>
  <c r="M7" i="113"/>
  <c r="N7" i="113"/>
  <c r="O7" i="113"/>
  <c r="P7" i="113"/>
  <c r="Q7" i="113"/>
  <c r="R7" i="113"/>
  <c r="U7" i="113"/>
  <c r="F8" i="113"/>
  <c r="G8" i="113"/>
  <c r="H8" i="113"/>
  <c r="I8" i="113"/>
  <c r="J8" i="113"/>
  <c r="K8" i="113"/>
  <c r="L8" i="113"/>
  <c r="M8" i="113"/>
  <c r="N8" i="113"/>
  <c r="O8" i="113"/>
  <c r="P8" i="113"/>
  <c r="Q8" i="113"/>
  <c r="R8" i="113"/>
  <c r="U8" i="113"/>
  <c r="F9" i="113"/>
  <c r="G9" i="113"/>
  <c r="H9" i="113"/>
  <c r="I9" i="113"/>
  <c r="J9" i="113"/>
  <c r="K9" i="113"/>
  <c r="L9" i="113"/>
  <c r="M9" i="113"/>
  <c r="N9" i="113"/>
  <c r="O9" i="113"/>
  <c r="P9" i="113"/>
  <c r="Q9" i="113"/>
  <c r="U9" i="113"/>
  <c r="I10" i="113"/>
  <c r="F11" i="113"/>
  <c r="G11" i="113"/>
  <c r="H11" i="113"/>
  <c r="I11" i="113"/>
  <c r="J11" i="113"/>
  <c r="K11" i="113"/>
  <c r="L11" i="113"/>
  <c r="M11" i="113"/>
  <c r="N11" i="113"/>
  <c r="O11" i="113"/>
  <c r="P11" i="113"/>
  <c r="Q11" i="113"/>
  <c r="R11" i="113"/>
  <c r="U11" i="113"/>
  <c r="F14" i="113"/>
  <c r="G14" i="113"/>
  <c r="H14" i="113"/>
  <c r="I14" i="113"/>
  <c r="J14" i="113"/>
  <c r="K14" i="113"/>
  <c r="L14" i="113"/>
  <c r="M14" i="113"/>
  <c r="N14" i="113"/>
  <c r="O14" i="113"/>
  <c r="P14" i="113"/>
  <c r="Q14" i="113"/>
  <c r="R14" i="113"/>
  <c r="U14" i="113"/>
  <c r="F15" i="113"/>
  <c r="G15" i="113"/>
  <c r="H15" i="113"/>
  <c r="I15" i="113"/>
  <c r="J15" i="113"/>
  <c r="K15" i="113"/>
  <c r="L15" i="113"/>
  <c r="M15" i="113"/>
  <c r="N15" i="113"/>
  <c r="O15" i="113"/>
  <c r="P15" i="113"/>
  <c r="Q15" i="113"/>
  <c r="R15" i="113"/>
  <c r="U15" i="113"/>
  <c r="F16" i="113"/>
  <c r="G16" i="113"/>
  <c r="H16" i="113"/>
  <c r="I16" i="113"/>
  <c r="J16" i="113"/>
  <c r="K16" i="113"/>
  <c r="L16" i="113"/>
  <c r="M16" i="113"/>
  <c r="N16" i="113"/>
  <c r="O16" i="113"/>
  <c r="P16" i="113"/>
  <c r="Q16" i="113"/>
  <c r="R16" i="113"/>
  <c r="U16" i="113"/>
  <c r="F18" i="113"/>
  <c r="G18" i="113"/>
  <c r="H18" i="113"/>
  <c r="I18" i="113"/>
  <c r="J18" i="113"/>
  <c r="K18" i="113"/>
  <c r="L18" i="113"/>
  <c r="M18" i="113"/>
  <c r="N18" i="113"/>
  <c r="O18" i="113"/>
  <c r="P18" i="113"/>
  <c r="Q18" i="113"/>
  <c r="R18" i="113"/>
  <c r="U18" i="113"/>
  <c r="F23" i="113"/>
  <c r="G23" i="113"/>
  <c r="H23" i="113"/>
  <c r="I23" i="113"/>
  <c r="J23" i="113"/>
  <c r="K23" i="113"/>
  <c r="L23" i="113"/>
  <c r="M23" i="113"/>
  <c r="N23" i="113"/>
  <c r="O23" i="113"/>
  <c r="P23" i="113"/>
  <c r="Q23" i="113"/>
  <c r="R23" i="113"/>
  <c r="U23" i="113"/>
  <c r="F24" i="113"/>
  <c r="G24" i="113"/>
  <c r="H24" i="113"/>
  <c r="I24" i="113"/>
  <c r="J24" i="113"/>
  <c r="K24" i="113"/>
  <c r="L24" i="113"/>
  <c r="M24" i="113"/>
  <c r="N24" i="113"/>
  <c r="O24" i="113"/>
  <c r="P24" i="113"/>
  <c r="Q24" i="113"/>
  <c r="R24" i="113"/>
  <c r="U24" i="113"/>
  <c r="F25" i="113"/>
  <c r="G25" i="113"/>
  <c r="H25" i="113"/>
  <c r="I25" i="113"/>
  <c r="J25" i="113"/>
  <c r="K25" i="113"/>
  <c r="L25" i="113"/>
  <c r="M25" i="113"/>
  <c r="N25" i="113"/>
  <c r="O25" i="113"/>
  <c r="P25" i="113"/>
  <c r="Q25" i="113"/>
  <c r="R25" i="113"/>
  <c r="U25" i="113"/>
  <c r="F26" i="113"/>
  <c r="G26" i="113"/>
  <c r="H26" i="113"/>
  <c r="I26" i="113"/>
  <c r="J26" i="113"/>
  <c r="K26" i="113"/>
  <c r="L26" i="113"/>
  <c r="M26" i="113"/>
  <c r="N26" i="113"/>
  <c r="O26" i="113"/>
  <c r="P26" i="113"/>
  <c r="Q26" i="113"/>
  <c r="R26" i="113"/>
  <c r="U26" i="113"/>
  <c r="F27" i="113"/>
  <c r="G27" i="113"/>
  <c r="H27" i="113"/>
  <c r="I27" i="113"/>
  <c r="J27" i="113"/>
  <c r="K27" i="113"/>
  <c r="L27" i="113"/>
  <c r="M27" i="113"/>
  <c r="N27" i="113"/>
  <c r="O27" i="113"/>
  <c r="P27" i="113"/>
  <c r="Q27" i="113"/>
  <c r="R27" i="113"/>
  <c r="U27" i="113"/>
  <c r="F31" i="113"/>
  <c r="G31" i="113"/>
  <c r="H31" i="113"/>
  <c r="I31" i="113"/>
  <c r="J31" i="113"/>
  <c r="K31" i="113"/>
  <c r="L31" i="113"/>
  <c r="M31" i="113"/>
  <c r="N31" i="113"/>
  <c r="O31" i="113"/>
  <c r="P31" i="113"/>
  <c r="Q31" i="113"/>
  <c r="R31" i="113"/>
  <c r="U31" i="113"/>
  <c r="F32" i="113"/>
  <c r="G32" i="113"/>
  <c r="H32" i="113"/>
  <c r="I32" i="113"/>
  <c r="J32" i="113"/>
  <c r="K32" i="113"/>
  <c r="L32" i="113"/>
  <c r="M32" i="113"/>
  <c r="N32" i="113"/>
  <c r="O32" i="113"/>
  <c r="P32" i="113"/>
  <c r="Q32" i="113"/>
  <c r="R32" i="113"/>
  <c r="U32" i="113"/>
  <c r="F33" i="113"/>
  <c r="G33" i="113"/>
  <c r="H33" i="113"/>
  <c r="I33" i="113"/>
  <c r="J33" i="113"/>
  <c r="K33" i="113"/>
  <c r="L33" i="113"/>
  <c r="M33" i="113"/>
  <c r="N33" i="113"/>
  <c r="O33" i="113"/>
  <c r="P33" i="113"/>
  <c r="Q33" i="113"/>
  <c r="F36" i="113"/>
  <c r="G36" i="113"/>
  <c r="H36" i="113"/>
  <c r="I36" i="113"/>
  <c r="J36" i="113"/>
  <c r="K36" i="113"/>
  <c r="L36" i="113"/>
  <c r="M36" i="113"/>
  <c r="N36" i="113"/>
  <c r="O36" i="113"/>
  <c r="P36" i="113"/>
  <c r="Q36" i="113"/>
  <c r="F37" i="113"/>
  <c r="G37" i="113"/>
  <c r="H37" i="113"/>
  <c r="I37" i="113"/>
  <c r="J37" i="113"/>
  <c r="K37" i="113"/>
  <c r="L37" i="113"/>
  <c r="M37" i="113"/>
  <c r="N37" i="113"/>
  <c r="O37" i="113"/>
  <c r="P37" i="113"/>
  <c r="Q37" i="113"/>
  <c r="R37" i="113"/>
  <c r="U37" i="113"/>
  <c r="F38" i="113"/>
  <c r="G38" i="113"/>
  <c r="H38" i="113"/>
  <c r="I38" i="113"/>
  <c r="J38" i="113"/>
  <c r="K38" i="113"/>
  <c r="L38" i="113"/>
  <c r="M38" i="113"/>
  <c r="N38" i="113"/>
  <c r="O38" i="113"/>
  <c r="P38" i="113"/>
  <c r="Q38" i="113"/>
  <c r="R38" i="113"/>
  <c r="U38" i="113"/>
  <c r="F41" i="113"/>
  <c r="G41" i="113"/>
  <c r="H41" i="113"/>
  <c r="I41" i="113"/>
  <c r="J41" i="113"/>
  <c r="K41" i="113"/>
  <c r="L41" i="113"/>
  <c r="M41" i="113"/>
  <c r="N41" i="113"/>
  <c r="O41" i="113"/>
  <c r="P41" i="113"/>
  <c r="Q41" i="113"/>
  <c r="F42" i="113"/>
  <c r="G42" i="113"/>
  <c r="H42" i="113"/>
  <c r="I42" i="113"/>
  <c r="J42" i="113"/>
  <c r="K42" i="113"/>
  <c r="L42" i="113"/>
  <c r="M42" i="113"/>
  <c r="N42" i="113"/>
  <c r="O42" i="113"/>
  <c r="P42" i="113"/>
  <c r="Q42" i="113"/>
  <c r="R42" i="113"/>
  <c r="U42" i="113"/>
  <c r="F43" i="113"/>
  <c r="G43" i="113"/>
  <c r="H43" i="113"/>
  <c r="I43" i="113"/>
  <c r="J43" i="113"/>
  <c r="K43" i="113"/>
  <c r="L43" i="113"/>
  <c r="M43" i="113"/>
  <c r="N43" i="113"/>
  <c r="O43" i="113"/>
  <c r="P43" i="113"/>
  <c r="Q43" i="113"/>
  <c r="R43" i="113"/>
  <c r="U43" i="113"/>
  <c r="F49" i="113"/>
  <c r="G49" i="113"/>
  <c r="H49" i="113"/>
  <c r="I49" i="113"/>
  <c r="J49" i="113"/>
  <c r="K49" i="113"/>
  <c r="L49" i="113"/>
  <c r="M49" i="113"/>
  <c r="N49" i="113"/>
  <c r="O49" i="113"/>
  <c r="P49" i="113"/>
  <c r="Q49" i="113"/>
  <c r="R49" i="113"/>
  <c r="U49" i="113"/>
  <c r="N50" i="113"/>
  <c r="U50" i="113"/>
  <c r="N51" i="113"/>
  <c r="F52" i="113"/>
  <c r="G52" i="113"/>
  <c r="H52" i="113"/>
  <c r="I52" i="113"/>
  <c r="J52" i="113"/>
  <c r="K52" i="113"/>
  <c r="L52" i="113"/>
  <c r="M52" i="113"/>
  <c r="N52" i="113"/>
  <c r="O52" i="113"/>
  <c r="P52" i="113"/>
  <c r="Q52" i="113"/>
  <c r="R52" i="113"/>
  <c r="F53" i="113"/>
  <c r="G53" i="113"/>
  <c r="H53" i="113"/>
  <c r="I53" i="113"/>
  <c r="J53" i="113"/>
  <c r="K53" i="113"/>
  <c r="L53" i="113"/>
  <c r="M53" i="113"/>
  <c r="N53" i="113"/>
  <c r="O53" i="113"/>
  <c r="P53" i="113"/>
  <c r="Q53" i="113"/>
  <c r="R53" i="113"/>
  <c r="U53" i="113"/>
  <c r="F59" i="113"/>
  <c r="G59" i="113"/>
  <c r="H59" i="113"/>
  <c r="I59" i="113"/>
  <c r="J59" i="113"/>
  <c r="K59" i="113"/>
  <c r="L59" i="113"/>
  <c r="M59" i="113"/>
  <c r="N59" i="113"/>
  <c r="O59" i="113"/>
  <c r="P59" i="113"/>
  <c r="Q59" i="113"/>
  <c r="R59" i="113"/>
  <c r="U59" i="113"/>
  <c r="F60" i="113"/>
  <c r="G60" i="113"/>
  <c r="H60" i="113"/>
  <c r="I60" i="113"/>
  <c r="J60" i="113"/>
  <c r="K60" i="113"/>
  <c r="L60" i="113"/>
  <c r="M60" i="113"/>
  <c r="N60" i="113"/>
  <c r="O60" i="113"/>
  <c r="P60" i="113"/>
  <c r="Q60" i="113"/>
  <c r="R60" i="113"/>
  <c r="U60" i="113"/>
  <c r="F61" i="113"/>
  <c r="G61" i="113"/>
  <c r="H61" i="113"/>
  <c r="I61" i="113"/>
  <c r="J61" i="113"/>
  <c r="K61" i="113"/>
  <c r="L61" i="113"/>
  <c r="M61" i="113"/>
  <c r="N61" i="113"/>
  <c r="O61" i="113"/>
  <c r="P61" i="113"/>
  <c r="Q61" i="113"/>
  <c r="R61" i="113"/>
  <c r="U61" i="113"/>
  <c r="F62" i="113"/>
  <c r="G62" i="113"/>
  <c r="H62" i="113"/>
  <c r="I62" i="113"/>
  <c r="J62" i="113"/>
  <c r="K62" i="113"/>
  <c r="L62" i="113"/>
  <c r="M62" i="113"/>
  <c r="N62" i="113"/>
  <c r="O62" i="113"/>
  <c r="P62" i="113"/>
  <c r="Q62" i="113"/>
  <c r="R62" i="113"/>
  <c r="U62" i="113"/>
  <c r="F63" i="113"/>
  <c r="G63" i="113"/>
  <c r="H63" i="113"/>
  <c r="I63" i="113"/>
  <c r="J63" i="113"/>
  <c r="K63" i="113"/>
  <c r="L63" i="113"/>
  <c r="M63" i="113"/>
  <c r="N63" i="113"/>
  <c r="O63" i="113"/>
  <c r="P63" i="113"/>
  <c r="Q63" i="113"/>
  <c r="R63" i="113"/>
  <c r="U63" i="113"/>
  <c r="F66" i="113"/>
  <c r="G66" i="113"/>
  <c r="H66" i="113"/>
  <c r="I66" i="113"/>
  <c r="J66" i="113"/>
  <c r="K66" i="113"/>
  <c r="L66" i="113"/>
  <c r="M66" i="113"/>
  <c r="N66" i="113"/>
  <c r="O66" i="113"/>
  <c r="P66" i="113"/>
  <c r="Q66" i="113"/>
  <c r="R66" i="113"/>
  <c r="U66" i="113"/>
  <c r="F67" i="113"/>
  <c r="G67" i="113"/>
  <c r="H67" i="113"/>
  <c r="I67" i="113"/>
  <c r="J67" i="113"/>
  <c r="K67" i="113"/>
  <c r="L67" i="113"/>
  <c r="M67" i="113"/>
  <c r="N67" i="113"/>
  <c r="O67" i="113"/>
  <c r="P67" i="113"/>
  <c r="Q67" i="113"/>
  <c r="R67" i="113"/>
  <c r="U67" i="113"/>
  <c r="F68" i="113"/>
  <c r="G68" i="113"/>
  <c r="H68" i="113"/>
  <c r="I68" i="113"/>
  <c r="J68" i="113"/>
  <c r="K68" i="113"/>
  <c r="L68" i="113"/>
  <c r="M68" i="113"/>
  <c r="N68" i="113"/>
  <c r="O68" i="113"/>
  <c r="P68" i="113"/>
  <c r="Q68" i="113"/>
  <c r="R68" i="113"/>
  <c r="U68" i="113"/>
  <c r="F69" i="113"/>
  <c r="G69" i="113"/>
  <c r="H69" i="113"/>
  <c r="I69" i="113"/>
  <c r="J69" i="113"/>
  <c r="K69" i="113"/>
  <c r="L69" i="113"/>
  <c r="M69" i="113"/>
  <c r="N69" i="113"/>
  <c r="O69" i="113"/>
  <c r="P69" i="113"/>
  <c r="Q69" i="113"/>
  <c r="R69" i="113"/>
  <c r="U69" i="113"/>
  <c r="F70" i="113"/>
  <c r="G70" i="113"/>
  <c r="H70" i="113"/>
  <c r="I70" i="113"/>
  <c r="J70" i="113"/>
  <c r="K70" i="113"/>
  <c r="L70" i="113"/>
  <c r="M70" i="113"/>
  <c r="N70" i="113"/>
  <c r="O70" i="113"/>
  <c r="P70" i="113"/>
  <c r="Q70" i="113"/>
  <c r="R70" i="113"/>
  <c r="U70" i="113"/>
  <c r="F74" i="113"/>
  <c r="G74" i="113"/>
  <c r="H74" i="113"/>
  <c r="I74" i="113"/>
  <c r="J74" i="113"/>
  <c r="K74" i="113"/>
  <c r="L74" i="113"/>
  <c r="M74" i="113"/>
  <c r="N74" i="113"/>
  <c r="O74" i="113"/>
  <c r="P74" i="113"/>
  <c r="Q74" i="113"/>
  <c r="R74" i="113"/>
  <c r="U74" i="113"/>
  <c r="F76" i="113"/>
  <c r="G76" i="113"/>
  <c r="H76" i="113"/>
  <c r="I76" i="113"/>
  <c r="J76" i="113"/>
  <c r="K76" i="113"/>
  <c r="L76" i="113"/>
  <c r="M76" i="113"/>
  <c r="N76" i="113"/>
  <c r="O76" i="113"/>
  <c r="P76" i="113"/>
  <c r="Q76" i="113"/>
  <c r="R76" i="113"/>
  <c r="U76" i="113"/>
  <c r="F77" i="113"/>
  <c r="G77" i="113"/>
  <c r="H77" i="113"/>
  <c r="I77" i="113"/>
  <c r="J77" i="113"/>
  <c r="K77" i="113"/>
  <c r="L77" i="113"/>
  <c r="M77" i="113"/>
  <c r="N77" i="113"/>
  <c r="O77" i="113"/>
  <c r="P77" i="113"/>
  <c r="Q77" i="113"/>
  <c r="R77" i="113"/>
  <c r="U77" i="113"/>
  <c r="F78" i="113"/>
  <c r="G78" i="113"/>
  <c r="H78" i="113"/>
  <c r="I78" i="113"/>
  <c r="J78" i="113"/>
  <c r="K78" i="113"/>
  <c r="L78" i="113"/>
  <c r="M78" i="113"/>
  <c r="N78" i="113"/>
  <c r="O78" i="113"/>
  <c r="P78" i="113"/>
  <c r="Q78" i="113"/>
  <c r="R78" i="113"/>
  <c r="U78" i="113"/>
  <c r="T71" i="1"/>
  <c r="T71" i="113" s="1"/>
  <c r="T64" i="1"/>
  <c r="T64" i="113" s="1"/>
  <c r="T44" i="1"/>
  <c r="T44" i="113" s="1"/>
  <c r="T34" i="1"/>
  <c r="T34" i="113" s="1"/>
  <c r="T28" i="1"/>
  <c r="T28" i="113" s="1"/>
  <c r="T17" i="1"/>
  <c r="T19" i="1" s="1"/>
  <c r="T19" i="113" s="1"/>
  <c r="T17" i="113" l="1"/>
  <c r="T72" i="1"/>
  <c r="T45" i="1"/>
  <c r="X23" i="113"/>
  <c r="X18" i="113"/>
  <c r="T47" i="1" l="1"/>
  <c r="T45" i="113"/>
  <c r="T75" i="1"/>
  <c r="T72" i="113"/>
  <c r="T50" i="1" l="1"/>
  <c r="T47" i="113"/>
  <c r="T79" i="1"/>
  <c r="E25" i="3" s="1"/>
  <c r="T75" i="113"/>
  <c r="T79" i="113" l="1"/>
  <c r="T50" i="113"/>
  <c r="U36" i="113" l="1"/>
  <c r="C24" i="3"/>
  <c r="B25" i="48" s="1"/>
  <c r="B24" i="3"/>
  <c r="S17" i="1"/>
  <c r="S28" i="1"/>
  <c r="S28" i="113" s="1"/>
  <c r="S34" i="1"/>
  <c r="S34" i="113" s="1"/>
  <c r="S44" i="1"/>
  <c r="S44" i="113" s="1"/>
  <c r="S64" i="1"/>
  <c r="S64" i="113" s="1"/>
  <c r="S71" i="1"/>
  <c r="S71" i="113" s="1"/>
  <c r="U41" i="1"/>
  <c r="U41" i="113" s="1"/>
  <c r="R41" i="1"/>
  <c r="R41" i="113" s="1"/>
  <c r="R33" i="1"/>
  <c r="R33" i="113" s="1"/>
  <c r="R36" i="1"/>
  <c r="R36" i="113" s="1"/>
  <c r="U33" i="1"/>
  <c r="U33" i="113" s="1"/>
  <c r="S19" i="1" l="1"/>
  <c r="S19" i="113" s="1"/>
  <c r="S17" i="113"/>
  <c r="S45" i="1"/>
  <c r="S45" i="113" s="1"/>
  <c r="S72" i="1"/>
  <c r="S72" i="113" s="1"/>
  <c r="I28" i="113"/>
  <c r="I34" i="1"/>
  <c r="I34" i="113" s="1"/>
  <c r="I19" i="113" l="1"/>
  <c r="I17" i="113"/>
  <c r="S75" i="1"/>
  <c r="S75" i="113" s="1"/>
  <c r="S47" i="1"/>
  <c r="S47" i="113" s="1"/>
  <c r="F190" i="111"/>
  <c r="S79" i="1" l="1"/>
  <c r="S50" i="1"/>
  <c r="S50" i="113" s="1"/>
  <c r="F26" i="48" l="1"/>
  <c r="G26" i="48" s="1"/>
  <c r="S79" i="113"/>
  <c r="E24" i="3"/>
  <c r="F25" i="48" s="1"/>
  <c r="G25" i="48" s="1"/>
  <c r="C19" i="3" l="1"/>
  <c r="B20" i="48" s="1"/>
  <c r="L38" i="51" l="1"/>
  <c r="N38" i="51" s="1"/>
  <c r="N36" i="51"/>
  <c r="N40" i="51" l="1"/>
  <c r="O37" i="51"/>
  <c r="L40" i="51"/>
  <c r="N11" i="51" l="1"/>
  <c r="S51" i="1" l="1"/>
  <c r="S51" i="113" s="1"/>
  <c r="K51" i="1"/>
  <c r="K55" i="1" s="1"/>
  <c r="T51" i="1"/>
  <c r="T51" i="113" l="1"/>
  <c r="T55" i="1"/>
  <c r="D25" i="3" s="1"/>
  <c r="S55" i="1"/>
  <c r="S55" i="113" s="1"/>
  <c r="G77" i="111"/>
  <c r="G76" i="111" s="1"/>
  <c r="F198" i="111"/>
  <c r="F199" i="111"/>
  <c r="F200" i="111"/>
  <c r="F201" i="111"/>
  <c r="F202" i="111"/>
  <c r="F309" i="111"/>
  <c r="F310" i="111"/>
  <c r="F342" i="111"/>
  <c r="F343" i="111"/>
  <c r="F420" i="111"/>
  <c r="F421" i="111"/>
  <c r="F458" i="111"/>
  <c r="F457" i="111"/>
  <c r="F456" i="111"/>
  <c r="F455" i="111"/>
  <c r="F454" i="111"/>
  <c r="F453" i="111"/>
  <c r="F452" i="111"/>
  <c r="D24" i="3" l="1"/>
  <c r="T55" i="113"/>
  <c r="F186" i="111"/>
  <c r="J10" i="1" l="1"/>
  <c r="C15" i="3"/>
  <c r="B16" i="48" s="1"/>
  <c r="B15" i="3"/>
  <c r="J71" i="1"/>
  <c r="J71" i="113" s="1"/>
  <c r="J64" i="1"/>
  <c r="J64" i="113" s="1"/>
  <c r="J44" i="1"/>
  <c r="J44" i="113" s="1"/>
  <c r="J34" i="1"/>
  <c r="J34" i="113" s="1"/>
  <c r="J28" i="1"/>
  <c r="J28" i="113" s="1"/>
  <c r="J17" i="1"/>
  <c r="J17" i="113" s="1"/>
  <c r="E35" i="51"/>
  <c r="J10" i="113" l="1"/>
  <c r="K10" i="1"/>
  <c r="K10" i="113" s="1"/>
  <c r="J19" i="1"/>
  <c r="J19" i="113" s="1"/>
  <c r="J72" i="1"/>
  <c r="J72" i="113" s="1"/>
  <c r="A15" i="3"/>
  <c r="A16" i="48" s="1"/>
  <c r="J45" i="1"/>
  <c r="J45" i="113" s="1"/>
  <c r="L10" i="1" l="1"/>
  <c r="L10" i="113" s="1"/>
  <c r="J47" i="1"/>
  <c r="J47" i="113" s="1"/>
  <c r="J75" i="1"/>
  <c r="J75" i="113" s="1"/>
  <c r="M10" i="1" l="1"/>
  <c r="M10" i="113" s="1"/>
  <c r="J50" i="1"/>
  <c r="J50" i="113" s="1"/>
  <c r="J79" i="1"/>
  <c r="J79" i="113" s="1"/>
  <c r="N10" i="1" l="1"/>
  <c r="N10" i="113" s="1"/>
  <c r="E15" i="3"/>
  <c r="F16" i="48" s="1"/>
  <c r="G16" i="48" s="1"/>
  <c r="O10" i="1" l="1"/>
  <c r="O10" i="113" s="1"/>
  <c r="P10" i="1" l="1"/>
  <c r="P10" i="113" s="1"/>
  <c r="Q10" i="1" l="1"/>
  <c r="R10" i="1" l="1"/>
  <c r="R10" i="113" s="1"/>
  <c r="Q10" i="113"/>
  <c r="S10" i="1" l="1"/>
  <c r="S10" i="113" s="1"/>
  <c r="E11" i="113"/>
  <c r="T10" i="1" l="1"/>
  <c r="A25" i="3" s="1"/>
  <c r="A26" i="48" s="1"/>
  <c r="A24" i="3"/>
  <c r="A25" i="48" s="1"/>
  <c r="C10" i="3"/>
  <c r="B10" i="3"/>
  <c r="A10" i="3"/>
  <c r="A79" i="113"/>
  <c r="A77" i="113"/>
  <c r="A76" i="113"/>
  <c r="A75" i="113"/>
  <c r="A74" i="113"/>
  <c r="A72" i="113"/>
  <c r="A71" i="113"/>
  <c r="A70" i="113"/>
  <c r="A69" i="113"/>
  <c r="A68" i="113"/>
  <c r="A67" i="113"/>
  <c r="A66" i="113"/>
  <c r="A64" i="113"/>
  <c r="A63" i="113"/>
  <c r="A62" i="113"/>
  <c r="A61" i="113"/>
  <c r="A60" i="113"/>
  <c r="A59" i="113"/>
  <c r="A55" i="113"/>
  <c r="A53" i="113"/>
  <c r="A52" i="113"/>
  <c r="A51" i="113"/>
  <c r="A50" i="113"/>
  <c r="A47" i="113"/>
  <c r="A45" i="113"/>
  <c r="A44" i="113"/>
  <c r="A43" i="113"/>
  <c r="A42" i="113"/>
  <c r="A41" i="113"/>
  <c r="A38" i="113"/>
  <c r="A37" i="113"/>
  <c r="A36" i="113"/>
  <c r="A34" i="113"/>
  <c r="A33" i="113"/>
  <c r="A32" i="113"/>
  <c r="A31" i="113"/>
  <c r="A28" i="113"/>
  <c r="A27" i="113"/>
  <c r="A26" i="113"/>
  <c r="A25" i="113"/>
  <c r="A24" i="113"/>
  <c r="A23" i="113"/>
  <c r="A19" i="113"/>
  <c r="A18" i="113"/>
  <c r="A17" i="113"/>
  <c r="A16" i="113"/>
  <c r="A15" i="113"/>
  <c r="A14" i="113"/>
  <c r="C24" i="113"/>
  <c r="C25" i="113"/>
  <c r="C26" i="113"/>
  <c r="C27" i="113"/>
  <c r="C31" i="113"/>
  <c r="C32" i="113"/>
  <c r="C33" i="113"/>
  <c r="C41" i="113"/>
  <c r="C42" i="113"/>
  <c r="C43" i="113"/>
  <c r="C59" i="113"/>
  <c r="C60" i="113"/>
  <c r="C61" i="113"/>
  <c r="C62" i="113"/>
  <c r="C63" i="113"/>
  <c r="C66" i="113"/>
  <c r="C67" i="113"/>
  <c r="C68" i="113"/>
  <c r="C69" i="113"/>
  <c r="C70" i="113"/>
  <c r="C75" i="113"/>
  <c r="C23" i="113"/>
  <c r="B14" i="113"/>
  <c r="B15" i="113"/>
  <c r="B16" i="113"/>
  <c r="B17" i="113"/>
  <c r="B18" i="113"/>
  <c r="B19" i="113"/>
  <c r="B21" i="113"/>
  <c r="B22" i="113"/>
  <c r="B28" i="113"/>
  <c r="B30" i="113"/>
  <c r="B34" i="113"/>
  <c r="B36" i="113"/>
  <c r="B37" i="113"/>
  <c r="B38" i="113"/>
  <c r="B40" i="113"/>
  <c r="B44" i="113"/>
  <c r="B45" i="113"/>
  <c r="B47" i="113"/>
  <c r="B49" i="113"/>
  <c r="B50" i="113"/>
  <c r="B51" i="113"/>
  <c r="B52" i="113"/>
  <c r="B53" i="113"/>
  <c r="B55" i="113"/>
  <c r="B57" i="113"/>
  <c r="B58" i="113"/>
  <c r="B64" i="113"/>
  <c r="B65" i="113"/>
  <c r="B71" i="113"/>
  <c r="B72" i="113"/>
  <c r="B74" i="113"/>
  <c r="B76" i="113"/>
  <c r="B77" i="113"/>
  <c r="B79" i="113"/>
  <c r="B13" i="113"/>
  <c r="E49" i="113"/>
  <c r="E78" i="113"/>
  <c r="A9" i="113"/>
  <c r="A8" i="113"/>
  <c r="A4" i="113"/>
  <c r="A5" i="113"/>
  <c r="A6" i="113"/>
  <c r="A3" i="113"/>
  <c r="F10" i="1"/>
  <c r="F10" i="113" s="1"/>
  <c r="F17" i="1"/>
  <c r="F17" i="113" s="1"/>
  <c r="G17" i="1"/>
  <c r="G17" i="113" s="1"/>
  <c r="H17" i="1"/>
  <c r="H17" i="113" s="1"/>
  <c r="K17" i="113"/>
  <c r="L17" i="1"/>
  <c r="L17" i="113" s="1"/>
  <c r="M17" i="1"/>
  <c r="M17" i="113" s="1"/>
  <c r="N17" i="1"/>
  <c r="N17" i="113" s="1"/>
  <c r="U17" i="1"/>
  <c r="U17" i="113" s="1"/>
  <c r="V17" i="1"/>
  <c r="V17" i="113" s="1"/>
  <c r="Y17" i="1"/>
  <c r="O17" i="1"/>
  <c r="O17" i="113" s="1"/>
  <c r="P17" i="1"/>
  <c r="P17" i="113" s="1"/>
  <c r="Q17" i="1"/>
  <c r="Q17" i="113" s="1"/>
  <c r="R17" i="1"/>
  <c r="R17" i="113" s="1"/>
  <c r="W17" i="1"/>
  <c r="W17" i="113" s="1"/>
  <c r="X17" i="1"/>
  <c r="X17" i="113" s="1"/>
  <c r="AD22" i="1"/>
  <c r="F28" i="1"/>
  <c r="F28" i="113" s="1"/>
  <c r="G28" i="1"/>
  <c r="G28" i="113" s="1"/>
  <c r="H28" i="1"/>
  <c r="H28" i="113" s="1"/>
  <c r="K28" i="113"/>
  <c r="L28" i="1"/>
  <c r="L28" i="113" s="1"/>
  <c r="M28" i="1"/>
  <c r="M28" i="113" s="1"/>
  <c r="N28" i="1"/>
  <c r="N28" i="113" s="1"/>
  <c r="U28" i="1"/>
  <c r="U28" i="113" s="1"/>
  <c r="V28" i="1"/>
  <c r="V28" i="113" s="1"/>
  <c r="Y28" i="1"/>
  <c r="O28" i="1"/>
  <c r="O28" i="113" s="1"/>
  <c r="P28" i="1"/>
  <c r="P28" i="113" s="1"/>
  <c r="Q28" i="1"/>
  <c r="Q28" i="113" s="1"/>
  <c r="R28" i="1"/>
  <c r="R28" i="113" s="1"/>
  <c r="W28" i="1"/>
  <c r="W28" i="113" s="1"/>
  <c r="X28" i="1"/>
  <c r="X28" i="113" s="1"/>
  <c r="F34" i="1"/>
  <c r="F34" i="113" s="1"/>
  <c r="G34" i="1"/>
  <c r="G34" i="113" s="1"/>
  <c r="H34" i="1"/>
  <c r="H34" i="113" s="1"/>
  <c r="K34" i="113"/>
  <c r="L34" i="1"/>
  <c r="L34" i="113" s="1"/>
  <c r="M34" i="1"/>
  <c r="M34" i="113" s="1"/>
  <c r="N34" i="1"/>
  <c r="N34" i="113" s="1"/>
  <c r="U34" i="1"/>
  <c r="U34" i="113" s="1"/>
  <c r="V34" i="1"/>
  <c r="V34" i="113" s="1"/>
  <c r="Y34" i="1"/>
  <c r="O34" i="1"/>
  <c r="O34" i="113" s="1"/>
  <c r="P34" i="1"/>
  <c r="P34" i="113" s="1"/>
  <c r="Q34" i="1"/>
  <c r="Q34" i="113" s="1"/>
  <c r="R34" i="1"/>
  <c r="R34" i="113" s="1"/>
  <c r="W34" i="1"/>
  <c r="W34" i="113" s="1"/>
  <c r="X34" i="1"/>
  <c r="X34" i="113" s="1"/>
  <c r="E43" i="1"/>
  <c r="Z43" i="1" s="1"/>
  <c r="F44" i="1"/>
  <c r="F44" i="113" s="1"/>
  <c r="G44" i="1"/>
  <c r="G44" i="113" s="1"/>
  <c r="H44" i="1"/>
  <c r="H44" i="113" s="1"/>
  <c r="I44" i="1"/>
  <c r="I44" i="113" s="1"/>
  <c r="K44" i="113"/>
  <c r="L44" i="1"/>
  <c r="L44" i="113" s="1"/>
  <c r="M44" i="1"/>
  <c r="M44" i="113" s="1"/>
  <c r="N44" i="1"/>
  <c r="N44" i="113" s="1"/>
  <c r="U44" i="1"/>
  <c r="U44" i="113" s="1"/>
  <c r="V44" i="1"/>
  <c r="V44" i="113" s="1"/>
  <c r="Y44" i="1"/>
  <c r="O44" i="1"/>
  <c r="O44" i="113" s="1"/>
  <c r="P44" i="1"/>
  <c r="P44" i="113" s="1"/>
  <c r="Q44" i="1"/>
  <c r="Q44" i="113" s="1"/>
  <c r="R44" i="1"/>
  <c r="R44" i="113" s="1"/>
  <c r="W44" i="1"/>
  <c r="W44" i="113" s="1"/>
  <c r="X44" i="1"/>
  <c r="X44" i="113" s="1"/>
  <c r="E51" i="1"/>
  <c r="E51" i="113" s="1"/>
  <c r="F64" i="1"/>
  <c r="F64" i="113" s="1"/>
  <c r="G64" i="1"/>
  <c r="G64" i="113" s="1"/>
  <c r="H64" i="1"/>
  <c r="H64" i="113" s="1"/>
  <c r="I64" i="1"/>
  <c r="I64" i="113" s="1"/>
  <c r="K64" i="113"/>
  <c r="L64" i="1"/>
  <c r="L64" i="113" s="1"/>
  <c r="M64" i="1"/>
  <c r="M64" i="113" s="1"/>
  <c r="N64" i="1"/>
  <c r="N64" i="113" s="1"/>
  <c r="U64" i="1"/>
  <c r="U64" i="113" s="1"/>
  <c r="V64" i="1"/>
  <c r="V64" i="113" s="1"/>
  <c r="Y64" i="1"/>
  <c r="O64" i="1"/>
  <c r="O64" i="113" s="1"/>
  <c r="P64" i="1"/>
  <c r="P64" i="113" s="1"/>
  <c r="Q64" i="1"/>
  <c r="Q64" i="113" s="1"/>
  <c r="R64" i="1"/>
  <c r="R64" i="113" s="1"/>
  <c r="W64" i="1"/>
  <c r="W64" i="113" s="1"/>
  <c r="X64" i="1"/>
  <c r="X64" i="113" s="1"/>
  <c r="F71" i="1"/>
  <c r="F71" i="113" s="1"/>
  <c r="G71" i="1"/>
  <c r="G71" i="113" s="1"/>
  <c r="H71" i="1"/>
  <c r="H71" i="113" s="1"/>
  <c r="I71" i="1"/>
  <c r="I71" i="113" s="1"/>
  <c r="K71" i="113"/>
  <c r="L71" i="1"/>
  <c r="L71" i="113" s="1"/>
  <c r="M71" i="1"/>
  <c r="M71" i="113" s="1"/>
  <c r="N71" i="1"/>
  <c r="N71" i="113" s="1"/>
  <c r="U71" i="1"/>
  <c r="U71" i="113" s="1"/>
  <c r="V71" i="1"/>
  <c r="V71" i="113" s="1"/>
  <c r="Y71" i="1"/>
  <c r="O71" i="1"/>
  <c r="O71" i="113" s="1"/>
  <c r="P71" i="1"/>
  <c r="P71" i="113" s="1"/>
  <c r="Q71" i="1"/>
  <c r="Q71" i="113" s="1"/>
  <c r="R71" i="1"/>
  <c r="R71" i="113" s="1"/>
  <c r="W71" i="1"/>
  <c r="W71" i="113" s="1"/>
  <c r="X71" i="1"/>
  <c r="X71" i="113" s="1"/>
  <c r="B29" i="3"/>
  <c r="B28" i="3"/>
  <c r="B23" i="3"/>
  <c r="B22" i="3"/>
  <c r="B21" i="3"/>
  <c r="B20" i="3"/>
  <c r="B30" i="3"/>
  <c r="B27" i="3"/>
  <c r="B26" i="3"/>
  <c r="B19" i="3"/>
  <c r="B18" i="3"/>
  <c r="B17" i="3"/>
  <c r="B16" i="3"/>
  <c r="B14" i="3"/>
  <c r="B13" i="3"/>
  <c r="B12" i="3"/>
  <c r="B11" i="3"/>
  <c r="T10" i="113" l="1"/>
  <c r="U10" i="1"/>
  <c r="U10" i="113" s="1"/>
  <c r="X72" i="1"/>
  <c r="X72" i="113" s="1"/>
  <c r="P72" i="1"/>
  <c r="P72" i="113" s="1"/>
  <c r="K72" i="113"/>
  <c r="Q72" i="1"/>
  <c r="Q72" i="113" s="1"/>
  <c r="L72" i="1"/>
  <c r="L72" i="113" s="1"/>
  <c r="H72" i="1"/>
  <c r="H72" i="113" s="1"/>
  <c r="W72" i="1"/>
  <c r="W72" i="113" s="1"/>
  <c r="O72" i="1"/>
  <c r="O72" i="113" s="1"/>
  <c r="N72" i="1"/>
  <c r="N72" i="113" s="1"/>
  <c r="G72" i="1"/>
  <c r="G72" i="113" s="1"/>
  <c r="U72" i="1"/>
  <c r="U72" i="113" s="1"/>
  <c r="V72" i="1"/>
  <c r="V72" i="113" s="1"/>
  <c r="R72" i="1"/>
  <c r="R72" i="113" s="1"/>
  <c r="Y72" i="1"/>
  <c r="M72" i="1"/>
  <c r="M72" i="113" s="1"/>
  <c r="I72" i="1"/>
  <c r="I72" i="113" s="1"/>
  <c r="F72" i="1"/>
  <c r="F72" i="113" s="1"/>
  <c r="N19" i="1"/>
  <c r="N19" i="113" s="1"/>
  <c r="AD30" i="1"/>
  <c r="O19" i="1"/>
  <c r="O19" i="113" s="1"/>
  <c r="W19" i="1"/>
  <c r="W19" i="113" s="1"/>
  <c r="G10" i="1"/>
  <c r="G10" i="113" s="1"/>
  <c r="P19" i="1"/>
  <c r="P19" i="113" s="1"/>
  <c r="G19" i="1"/>
  <c r="G19" i="113" s="1"/>
  <c r="U45" i="1"/>
  <c r="U45" i="113" s="1"/>
  <c r="Y19" i="1"/>
  <c r="U19" i="1"/>
  <c r="U19" i="113" s="1"/>
  <c r="R45" i="1"/>
  <c r="R45" i="113" s="1"/>
  <c r="Y45" i="1"/>
  <c r="M45" i="1"/>
  <c r="M45" i="113" s="1"/>
  <c r="I45" i="1"/>
  <c r="F45" i="1"/>
  <c r="F45" i="113" s="1"/>
  <c r="K19" i="113"/>
  <c r="R19" i="1"/>
  <c r="R19" i="113" s="1"/>
  <c r="F19" i="1"/>
  <c r="F19" i="113" s="1"/>
  <c r="M19" i="1"/>
  <c r="M19" i="113" s="1"/>
  <c r="Q45" i="1"/>
  <c r="Q45" i="113" s="1"/>
  <c r="L45" i="1"/>
  <c r="L45" i="113" s="1"/>
  <c r="Q19" i="1"/>
  <c r="Q19" i="113" s="1"/>
  <c r="V19" i="1"/>
  <c r="V19" i="113" s="1"/>
  <c r="L19" i="1"/>
  <c r="L19" i="113" s="1"/>
  <c r="H19" i="1"/>
  <c r="H19" i="113" s="1"/>
  <c r="V45" i="1"/>
  <c r="V45" i="113" s="1"/>
  <c r="H45" i="1"/>
  <c r="H45" i="113" s="1"/>
  <c r="P45" i="1"/>
  <c r="P45" i="113" s="1"/>
  <c r="K45" i="113"/>
  <c r="W45" i="1"/>
  <c r="W45" i="113" s="1"/>
  <c r="O45" i="1"/>
  <c r="O45" i="113" s="1"/>
  <c r="N45" i="1"/>
  <c r="N45" i="113" s="1"/>
  <c r="G45" i="1"/>
  <c r="G45" i="113" s="1"/>
  <c r="A11" i="3"/>
  <c r="E43" i="113"/>
  <c r="X45" i="1"/>
  <c r="X45" i="113" s="1"/>
  <c r="X19" i="1"/>
  <c r="X19" i="113" s="1"/>
  <c r="I10" i="48"/>
  <c r="G40" i="48"/>
  <c r="A3" i="111"/>
  <c r="F94" i="111"/>
  <c r="F95" i="111"/>
  <c r="F103" i="111"/>
  <c r="F104" i="111"/>
  <c r="F105" i="111"/>
  <c r="F106" i="111"/>
  <c r="F113" i="111"/>
  <c r="F114" i="111"/>
  <c r="F121" i="111"/>
  <c r="F122" i="111"/>
  <c r="F123" i="111"/>
  <c r="F131" i="111"/>
  <c r="F132" i="111"/>
  <c r="F139" i="111"/>
  <c r="F140" i="111"/>
  <c r="F141" i="111"/>
  <c r="F147" i="111"/>
  <c r="F148" i="111"/>
  <c r="F154" i="111"/>
  <c r="F155" i="111"/>
  <c r="F161" i="111"/>
  <c r="F162" i="111"/>
  <c r="F163" i="111"/>
  <c r="F173" i="111"/>
  <c r="F174" i="111"/>
  <c r="F184" i="111"/>
  <c r="F185" i="111"/>
  <c r="F187" i="111"/>
  <c r="F188" i="111"/>
  <c r="F189" i="111"/>
  <c r="F191" i="111"/>
  <c r="F192" i="111"/>
  <c r="F193" i="111"/>
  <c r="F194" i="111"/>
  <c r="F195" i="111"/>
  <c r="F196" i="111"/>
  <c r="F197" i="111"/>
  <c r="F203" i="111"/>
  <c r="F204" i="111"/>
  <c r="F205" i="111"/>
  <c r="F206" i="111"/>
  <c r="F207" i="111"/>
  <c r="F208" i="111"/>
  <c r="F209" i="111"/>
  <c r="F210" i="111"/>
  <c r="F211" i="111"/>
  <c r="F212" i="111"/>
  <c r="F214" i="111"/>
  <c r="F27" i="111" s="1"/>
  <c r="E27" i="1" s="1"/>
  <c r="Z27" i="1" s="1"/>
  <c r="F215" i="111"/>
  <c r="F216" i="111"/>
  <c r="F217" i="111"/>
  <c r="F218" i="111"/>
  <c r="F219" i="111"/>
  <c r="F220" i="111"/>
  <c r="F221" i="111"/>
  <c r="F222" i="111"/>
  <c r="F223" i="111"/>
  <c r="F224" i="111"/>
  <c r="F226" i="111"/>
  <c r="F227" i="111"/>
  <c r="F228" i="111"/>
  <c r="F229" i="111"/>
  <c r="F230" i="111"/>
  <c r="F231" i="111"/>
  <c r="F232" i="111"/>
  <c r="F233" i="111"/>
  <c r="F234" i="111"/>
  <c r="F235" i="111"/>
  <c r="F237" i="111"/>
  <c r="F238" i="111"/>
  <c r="F239" i="111"/>
  <c r="F240" i="111"/>
  <c r="F241" i="111"/>
  <c r="F242" i="111"/>
  <c r="F243" i="111"/>
  <c r="F31" i="111" s="1"/>
  <c r="E31" i="1" s="1"/>
  <c r="Z31" i="1" s="1"/>
  <c r="F244" i="111"/>
  <c r="F245" i="111"/>
  <c r="F246" i="111"/>
  <c r="F247" i="111"/>
  <c r="F33" i="111" s="1"/>
  <c r="E33" i="1" s="1"/>
  <c r="Z33" i="1" s="1"/>
  <c r="F248" i="111"/>
  <c r="F249" i="111"/>
  <c r="F250" i="111"/>
  <c r="F251" i="111"/>
  <c r="F252" i="111"/>
  <c r="F253" i="111"/>
  <c r="F254" i="111"/>
  <c r="F255" i="111"/>
  <c r="F256" i="111"/>
  <c r="F257" i="111"/>
  <c r="F258" i="111"/>
  <c r="F36" i="111" s="1"/>
  <c r="E36" i="1" s="1"/>
  <c r="Z36" i="1" s="1"/>
  <c r="F259" i="111"/>
  <c r="F260" i="111"/>
  <c r="F261" i="111"/>
  <c r="F262" i="111"/>
  <c r="F263" i="111"/>
  <c r="F264" i="111"/>
  <c r="F37" i="111" s="1"/>
  <c r="E37" i="1" s="1"/>
  <c r="E37" i="113" s="1"/>
  <c r="F265" i="111"/>
  <c r="F266" i="111"/>
  <c r="F267" i="111"/>
  <c r="F268" i="111"/>
  <c r="F269" i="111"/>
  <c r="F270" i="111"/>
  <c r="F38" i="111" s="1"/>
  <c r="E38" i="1" s="1"/>
  <c r="E38" i="113" s="1"/>
  <c r="F271" i="111"/>
  <c r="F272" i="111"/>
  <c r="F273" i="111"/>
  <c r="F274" i="111"/>
  <c r="F275" i="111"/>
  <c r="F276" i="111"/>
  <c r="F277" i="111"/>
  <c r="F278" i="111"/>
  <c r="F279" i="111"/>
  <c r="F280" i="111"/>
  <c r="F281" i="111"/>
  <c r="F282" i="111"/>
  <c r="F283" i="111"/>
  <c r="F284" i="111"/>
  <c r="F285" i="111"/>
  <c r="F41" i="111" s="1"/>
  <c r="E41" i="1" s="1"/>
  <c r="Z41" i="1" s="1"/>
  <c r="F286" i="111"/>
  <c r="F287" i="111"/>
  <c r="F288" i="111"/>
  <c r="F289" i="111"/>
  <c r="F290" i="111"/>
  <c r="F292" i="111"/>
  <c r="F42" i="111" s="1"/>
  <c r="E42" i="1" s="1"/>
  <c r="Z42" i="1" s="1"/>
  <c r="F293" i="111"/>
  <c r="F294" i="111"/>
  <c r="F295" i="111"/>
  <c r="F296" i="111"/>
  <c r="F297" i="111"/>
  <c r="F298" i="111"/>
  <c r="F299" i="111"/>
  <c r="F300" i="111"/>
  <c r="F50" i="111" s="1"/>
  <c r="E50" i="1" s="1"/>
  <c r="E50" i="113" s="1"/>
  <c r="F301" i="111"/>
  <c r="F52" i="111" s="1"/>
  <c r="E52" i="1" s="1"/>
  <c r="F302" i="111"/>
  <c r="F53" i="111" s="1"/>
  <c r="E53" i="1" s="1"/>
  <c r="Z53" i="1" s="1"/>
  <c r="F303" i="111"/>
  <c r="F304" i="111"/>
  <c r="F305" i="111"/>
  <c r="F306" i="111"/>
  <c r="F307" i="111"/>
  <c r="F308" i="111"/>
  <c r="F311" i="111"/>
  <c r="F312" i="111"/>
  <c r="F313" i="111"/>
  <c r="F314" i="111"/>
  <c r="F315" i="111"/>
  <c r="F59" i="111" s="1"/>
  <c r="F316" i="111"/>
  <c r="F317" i="111"/>
  <c r="F318" i="111"/>
  <c r="F319" i="111"/>
  <c r="F320" i="111"/>
  <c r="F321" i="111"/>
  <c r="F322" i="111"/>
  <c r="F323" i="111"/>
  <c r="F324" i="111"/>
  <c r="F325" i="111"/>
  <c r="F326" i="111"/>
  <c r="F327" i="111"/>
  <c r="F328" i="111"/>
  <c r="F329" i="111"/>
  <c r="F330" i="111"/>
  <c r="F331" i="111"/>
  <c r="F332" i="111"/>
  <c r="F333" i="111"/>
  <c r="F334" i="111"/>
  <c r="F335" i="111"/>
  <c r="F336" i="111"/>
  <c r="F337" i="111"/>
  <c r="F338" i="111"/>
  <c r="F339" i="111"/>
  <c r="F340" i="111"/>
  <c r="F341" i="111"/>
  <c r="F344" i="111"/>
  <c r="F345" i="111"/>
  <c r="F346" i="111"/>
  <c r="F347" i="111"/>
  <c r="F348" i="111"/>
  <c r="F60" i="111" s="1"/>
  <c r="F349" i="111"/>
  <c r="F350" i="111"/>
  <c r="F351" i="111"/>
  <c r="F353" i="111"/>
  <c r="F354" i="111"/>
  <c r="F355" i="111"/>
  <c r="F356" i="111"/>
  <c r="F357" i="111"/>
  <c r="F358" i="111"/>
  <c r="F359" i="111"/>
  <c r="F360" i="111"/>
  <c r="F361" i="111"/>
  <c r="F61" i="111" s="1"/>
  <c r="F362" i="111"/>
  <c r="F363" i="111"/>
  <c r="F364" i="111"/>
  <c r="F365" i="111"/>
  <c r="F366" i="111"/>
  <c r="F367" i="111"/>
  <c r="F369" i="111"/>
  <c r="F370" i="111"/>
  <c r="F371" i="111"/>
  <c r="F372" i="111"/>
  <c r="F373" i="111"/>
  <c r="F374" i="111"/>
  <c r="F375" i="111"/>
  <c r="F376" i="111"/>
  <c r="F377" i="111"/>
  <c r="F62" i="111" s="1"/>
  <c r="F378" i="111"/>
  <c r="F379" i="111"/>
  <c r="F380" i="111"/>
  <c r="F381" i="111"/>
  <c r="F382" i="111"/>
  <c r="F383" i="111"/>
  <c r="F384" i="111"/>
  <c r="F385" i="111"/>
  <c r="F386" i="111"/>
  <c r="F387" i="111"/>
  <c r="F388" i="111"/>
  <c r="F389" i="111"/>
  <c r="F390" i="111"/>
  <c r="F63" i="111" s="1"/>
  <c r="F391" i="111"/>
  <c r="F392" i="111"/>
  <c r="F393" i="111"/>
  <c r="F394" i="111"/>
  <c r="F395" i="111"/>
  <c r="F396" i="111"/>
  <c r="F67" i="111" s="1"/>
  <c r="F397" i="111"/>
  <c r="F398" i="111"/>
  <c r="F399" i="111"/>
  <c r="F68" i="111" s="1"/>
  <c r="F400" i="111"/>
  <c r="F69" i="111" s="1"/>
  <c r="F401" i="111"/>
  <c r="F402" i="111"/>
  <c r="F403" i="111"/>
  <c r="F404" i="111"/>
  <c r="F405" i="111"/>
  <c r="F406" i="111"/>
  <c r="F407" i="111"/>
  <c r="F408" i="111"/>
  <c r="F409" i="111"/>
  <c r="F410" i="111"/>
  <c r="F411" i="111"/>
  <c r="F412" i="111"/>
  <c r="F413" i="111"/>
  <c r="F414" i="111"/>
  <c r="F415" i="111"/>
  <c r="F416" i="111"/>
  <c r="F417" i="111"/>
  <c r="F418" i="111"/>
  <c r="F419" i="111"/>
  <c r="F422" i="111"/>
  <c r="F423" i="111"/>
  <c r="F424" i="111"/>
  <c r="F425" i="111"/>
  <c r="F426" i="111"/>
  <c r="F427" i="111"/>
  <c r="F74" i="111" s="1"/>
  <c r="F428" i="111"/>
  <c r="F429" i="111"/>
  <c r="F430" i="111"/>
  <c r="F431" i="111"/>
  <c r="F432" i="111"/>
  <c r="F433" i="111"/>
  <c r="F434" i="111"/>
  <c r="F435" i="111"/>
  <c r="F436" i="111"/>
  <c r="F437" i="111"/>
  <c r="F438" i="111"/>
  <c r="F439" i="111"/>
  <c r="F440" i="111"/>
  <c r="F441" i="111"/>
  <c r="F442" i="111"/>
  <c r="F443" i="111"/>
  <c r="F444" i="111"/>
  <c r="F445" i="111"/>
  <c r="F446" i="111"/>
  <c r="F447" i="111"/>
  <c r="F448" i="111"/>
  <c r="F449" i="111"/>
  <c r="F450" i="111"/>
  <c r="F451" i="111"/>
  <c r="F459" i="111"/>
  <c r="F460" i="111"/>
  <c r="F461" i="111"/>
  <c r="F77" i="111" s="1"/>
  <c r="F76" i="111" s="1"/>
  <c r="F462" i="111"/>
  <c r="F463" i="111"/>
  <c r="F464" i="111"/>
  <c r="F465" i="111"/>
  <c r="G14" i="111"/>
  <c r="G15" i="111"/>
  <c r="G16" i="111"/>
  <c r="G18" i="111"/>
  <c r="G23" i="111"/>
  <c r="G24" i="111"/>
  <c r="G25" i="111"/>
  <c r="G26" i="111"/>
  <c r="G27" i="111"/>
  <c r="G31" i="111"/>
  <c r="G32" i="111"/>
  <c r="G33" i="111"/>
  <c r="G36" i="111"/>
  <c r="G37" i="111"/>
  <c r="G38" i="111"/>
  <c r="G41" i="111"/>
  <c r="G42" i="111"/>
  <c r="G50" i="111"/>
  <c r="G52" i="111"/>
  <c r="G53" i="111"/>
  <c r="G59" i="111"/>
  <c r="G60" i="111"/>
  <c r="G61" i="111"/>
  <c r="G62" i="111"/>
  <c r="G63" i="111"/>
  <c r="G66" i="111"/>
  <c r="G67" i="111"/>
  <c r="G68" i="111"/>
  <c r="G69" i="111"/>
  <c r="G70" i="111"/>
  <c r="G74" i="111"/>
  <c r="F64" i="111" l="1"/>
  <c r="F66" i="111"/>
  <c r="F70" i="111"/>
  <c r="I45" i="113"/>
  <c r="I47" i="1"/>
  <c r="V10" i="1"/>
  <c r="F26" i="111"/>
  <c r="E26" i="1" s="1"/>
  <c r="X75" i="1"/>
  <c r="X75" i="113" s="1"/>
  <c r="H75" i="1"/>
  <c r="H75" i="113" s="1"/>
  <c r="N75" i="1"/>
  <c r="N75" i="113" s="1"/>
  <c r="V75" i="1"/>
  <c r="V75" i="113" s="1"/>
  <c r="Q75" i="1"/>
  <c r="Q75" i="113" s="1"/>
  <c r="L75" i="1"/>
  <c r="L75" i="113" s="1"/>
  <c r="Z38" i="1"/>
  <c r="E52" i="113"/>
  <c r="Z37" i="1"/>
  <c r="F32" i="111"/>
  <c r="E32" i="1" s="1"/>
  <c r="E34" i="1" s="1"/>
  <c r="E34" i="113" s="1"/>
  <c r="E44" i="1"/>
  <c r="E44" i="113" s="1"/>
  <c r="E41" i="113"/>
  <c r="E42" i="113"/>
  <c r="M47" i="1"/>
  <c r="M47" i="113" s="1"/>
  <c r="Z44" i="1"/>
  <c r="E36" i="113"/>
  <c r="E53" i="113"/>
  <c r="E31" i="113"/>
  <c r="I47" i="113"/>
  <c r="P47" i="1"/>
  <c r="P47" i="113" s="1"/>
  <c r="E33" i="113"/>
  <c r="E27" i="113"/>
  <c r="K75" i="113"/>
  <c r="K47" i="113"/>
  <c r="U75" i="1"/>
  <c r="U75" i="113" s="1"/>
  <c r="H10" i="1"/>
  <c r="H10" i="113" s="1"/>
  <c r="P75" i="1"/>
  <c r="P75" i="113" s="1"/>
  <c r="U47" i="1"/>
  <c r="Y47" i="1"/>
  <c r="F47" i="1"/>
  <c r="W75" i="1"/>
  <c r="W75" i="113" s="1"/>
  <c r="O75" i="1"/>
  <c r="O75" i="113" s="1"/>
  <c r="G75" i="1"/>
  <c r="G75" i="113" s="1"/>
  <c r="R47" i="1"/>
  <c r="R47" i="113" s="1"/>
  <c r="V47" i="1"/>
  <c r="V47" i="113" s="1"/>
  <c r="F75" i="1"/>
  <c r="F75" i="113" s="1"/>
  <c r="R75" i="1"/>
  <c r="R75" i="113" s="1"/>
  <c r="L47" i="1"/>
  <c r="L47" i="113" s="1"/>
  <c r="Y75" i="1"/>
  <c r="H47" i="1"/>
  <c r="H47" i="113" s="1"/>
  <c r="M75" i="1"/>
  <c r="M75" i="113" s="1"/>
  <c r="Q47" i="1"/>
  <c r="Q47" i="113" s="1"/>
  <c r="I75" i="1"/>
  <c r="I75" i="113" s="1"/>
  <c r="N47" i="1"/>
  <c r="N47" i="113" s="1"/>
  <c r="W47" i="1"/>
  <c r="W47" i="113" s="1"/>
  <c r="G47" i="1"/>
  <c r="G47" i="113" s="1"/>
  <c r="O47" i="1"/>
  <c r="O47" i="113" s="1"/>
  <c r="X47" i="1"/>
  <c r="X47" i="113" s="1"/>
  <c r="G44" i="111"/>
  <c r="G17" i="111"/>
  <c r="G19" i="111" s="1"/>
  <c r="G28" i="111"/>
  <c r="G71" i="111"/>
  <c r="G34" i="111"/>
  <c r="G64" i="111"/>
  <c r="A1" i="3"/>
  <c r="A4" i="51"/>
  <c r="A4" i="3"/>
  <c r="A4" i="48" s="1"/>
  <c r="F71" i="111" l="1"/>
  <c r="F72" i="111" s="1"/>
  <c r="F75" i="111" s="1"/>
  <c r="F79" i="111" s="1"/>
  <c r="U47" i="113"/>
  <c r="U52" i="1"/>
  <c r="V10" i="113"/>
  <c r="W10" i="1"/>
  <c r="X10" i="1" s="1"/>
  <c r="F50" i="1"/>
  <c r="F50" i="113" s="1"/>
  <c r="F47" i="113"/>
  <c r="G50" i="1"/>
  <c r="G50" i="113" s="1"/>
  <c r="G72" i="111"/>
  <c r="G75" i="111" s="1"/>
  <c r="G79" i="111" s="1"/>
  <c r="X79" i="1"/>
  <c r="X79" i="113" s="1"/>
  <c r="Q79" i="1"/>
  <c r="Q79" i="113" s="1"/>
  <c r="I50" i="1"/>
  <c r="I50" i="113" s="1"/>
  <c r="L79" i="1"/>
  <c r="L79" i="113" s="1"/>
  <c r="V79" i="1"/>
  <c r="V79" i="113" s="1"/>
  <c r="N79" i="1"/>
  <c r="N79" i="113" s="1"/>
  <c r="H79" i="1"/>
  <c r="H79" i="113" s="1"/>
  <c r="P50" i="1"/>
  <c r="P50" i="113" s="1"/>
  <c r="G45" i="111"/>
  <c r="G47" i="111" s="1"/>
  <c r="G55" i="111" s="1"/>
  <c r="M50" i="1"/>
  <c r="M50" i="113" s="1"/>
  <c r="Z26" i="1"/>
  <c r="E26" i="113"/>
  <c r="Z32" i="1"/>
  <c r="E32" i="113"/>
  <c r="Y50" i="1"/>
  <c r="G79" i="1"/>
  <c r="G79" i="113" s="1"/>
  <c r="U79" i="1"/>
  <c r="U79" i="113" s="1"/>
  <c r="K50" i="113"/>
  <c r="AD43" i="1"/>
  <c r="P79" i="1"/>
  <c r="P79" i="113" s="1"/>
  <c r="K79" i="113"/>
  <c r="R50" i="1"/>
  <c r="R50" i="113" s="1"/>
  <c r="O79" i="1"/>
  <c r="O79" i="113" s="1"/>
  <c r="W79" i="1"/>
  <c r="W79" i="113" s="1"/>
  <c r="Q50" i="1"/>
  <c r="Q50" i="113" s="1"/>
  <c r="M79" i="1"/>
  <c r="M79" i="113" s="1"/>
  <c r="H50" i="1"/>
  <c r="H50" i="113" s="1"/>
  <c r="L50" i="1"/>
  <c r="L50" i="113" s="1"/>
  <c r="R79" i="1"/>
  <c r="R79" i="113" s="1"/>
  <c r="V50" i="1"/>
  <c r="V50" i="113" s="1"/>
  <c r="I79" i="1"/>
  <c r="I79" i="113" s="1"/>
  <c r="Y79" i="1"/>
  <c r="F79" i="1"/>
  <c r="F79" i="113" s="1"/>
  <c r="O50" i="1"/>
  <c r="O50" i="113" s="1"/>
  <c r="X50" i="1"/>
  <c r="X50" i="113" s="1"/>
  <c r="U52" i="113" l="1"/>
  <c r="Z52" i="1"/>
  <c r="X10" i="113"/>
  <c r="W10" i="113"/>
  <c r="AD62" i="1"/>
  <c r="E13" i="3"/>
  <c r="F14" i="48" s="1"/>
  <c r="G14" i="48" s="1"/>
  <c r="AD52" i="1"/>
  <c r="AD41" i="1"/>
  <c r="AD42" i="1"/>
  <c r="AD59" i="1"/>
  <c r="AD31" i="1"/>
  <c r="AD61" i="1"/>
  <c r="E12" i="3"/>
  <c r="F13" i="48" s="1"/>
  <c r="G13" i="48" s="1"/>
  <c r="AD27" i="1"/>
  <c r="AD53" i="1"/>
  <c r="AD63" i="1"/>
  <c r="AD36" i="1"/>
  <c r="Z34" i="1"/>
  <c r="AD33" i="1"/>
  <c r="AD15" i="1" l="1"/>
  <c r="AD68" i="1"/>
  <c r="AD44" i="1"/>
  <c r="AD37" i="1"/>
  <c r="AD38" i="1"/>
  <c r="AD16" i="1"/>
  <c r="AD60" i="1"/>
  <c r="AD74" i="1"/>
  <c r="AD66" i="1"/>
  <c r="AD69" i="1"/>
  <c r="AD77" i="1"/>
  <c r="AD24" i="1"/>
  <c r="AD64" i="1" l="1"/>
  <c r="AD76" i="1"/>
  <c r="AD32" i="1"/>
  <c r="AD18" i="1"/>
  <c r="AD26" i="1"/>
  <c r="AD70" i="1"/>
  <c r="AD14" i="1"/>
  <c r="A1" i="111"/>
  <c r="J14" i="111"/>
  <c r="I14" i="111" s="1"/>
  <c r="J15" i="111"/>
  <c r="I15" i="111" s="1"/>
  <c r="J16" i="111"/>
  <c r="I16" i="111" s="1"/>
  <c r="J18" i="111"/>
  <c r="I18" i="111" s="1"/>
  <c r="J23" i="111"/>
  <c r="I23" i="111" s="1"/>
  <c r="J24" i="111"/>
  <c r="I24" i="111" s="1"/>
  <c r="E27" i="111"/>
  <c r="H27" i="111" s="1"/>
  <c r="J31" i="111"/>
  <c r="I31" i="111" s="1"/>
  <c r="J32" i="111"/>
  <c r="I32" i="111" s="1"/>
  <c r="J36" i="111"/>
  <c r="I36" i="111" s="1"/>
  <c r="J37" i="111"/>
  <c r="I37" i="111" s="1"/>
  <c r="J38" i="111"/>
  <c r="I38" i="111" s="1"/>
  <c r="J41" i="111"/>
  <c r="I41" i="111" s="1"/>
  <c r="J42" i="111"/>
  <c r="I42" i="111" s="1"/>
  <c r="J43" i="111"/>
  <c r="I43" i="111" s="1"/>
  <c r="J52" i="111"/>
  <c r="I52" i="111" s="1"/>
  <c r="J53" i="111"/>
  <c r="I53" i="111" s="1"/>
  <c r="J59" i="111"/>
  <c r="I59" i="111" s="1"/>
  <c r="J61" i="111"/>
  <c r="I61" i="111" s="1"/>
  <c r="J62" i="111"/>
  <c r="I62" i="111" s="1"/>
  <c r="J63" i="111"/>
  <c r="I63" i="111" s="1"/>
  <c r="H65" i="111"/>
  <c r="J65" i="111"/>
  <c r="I65" i="111" s="1"/>
  <c r="J74" i="111"/>
  <c r="I74" i="111" s="1"/>
  <c r="J25" i="111"/>
  <c r="J27" i="111"/>
  <c r="I27" i="111" s="1"/>
  <c r="J33" i="111"/>
  <c r="J60" i="111"/>
  <c r="AD34" i="1" l="1"/>
  <c r="AD67" i="1"/>
  <c r="AD25" i="1"/>
  <c r="AD17" i="1"/>
  <c r="E36" i="111"/>
  <c r="H36" i="111" s="1"/>
  <c r="E37" i="111"/>
  <c r="H37" i="111" s="1"/>
  <c r="E43" i="111"/>
  <c r="H43" i="111" s="1"/>
  <c r="E33" i="111"/>
  <c r="H33" i="111" s="1"/>
  <c r="E52" i="111"/>
  <c r="H52" i="111" s="1"/>
  <c r="E31" i="111"/>
  <c r="H31" i="111" s="1"/>
  <c r="E41" i="111"/>
  <c r="H41" i="111" s="1"/>
  <c r="E38" i="111"/>
  <c r="H38" i="111" s="1"/>
  <c r="F34" i="111"/>
  <c r="E53" i="111"/>
  <c r="H53" i="111" s="1"/>
  <c r="E50" i="111"/>
  <c r="H50" i="111" s="1"/>
  <c r="E32" i="111"/>
  <c r="H32" i="111" s="1"/>
  <c r="J17" i="111"/>
  <c r="J19" i="111" s="1"/>
  <c r="J44" i="111"/>
  <c r="I25" i="111"/>
  <c r="I28" i="111" s="1"/>
  <c r="J28" i="111"/>
  <c r="I33" i="111"/>
  <c r="I34" i="111" s="1"/>
  <c r="J34" i="111"/>
  <c r="E26" i="111"/>
  <c r="E42" i="111"/>
  <c r="H42" i="111" s="1"/>
  <c r="F44" i="111"/>
  <c r="I44" i="111"/>
  <c r="I17" i="111"/>
  <c r="I19" i="111" s="1"/>
  <c r="J64" i="111"/>
  <c r="J79" i="111" s="1"/>
  <c r="I79" i="111" s="1"/>
  <c r="I60" i="111"/>
  <c r="I64" i="111" s="1"/>
  <c r="J50" i="111"/>
  <c r="I50" i="111" s="1"/>
  <c r="AD71" i="1" l="1"/>
  <c r="AD19" i="1"/>
  <c r="E34" i="111"/>
  <c r="H34" i="111" s="1"/>
  <c r="E44" i="111"/>
  <c r="H44" i="111" s="1"/>
  <c r="J45" i="111"/>
  <c r="J47" i="111" s="1"/>
  <c r="J55" i="111" s="1"/>
  <c r="J80" i="111" s="1"/>
  <c r="I45" i="111"/>
  <c r="I47" i="111" s="1"/>
  <c r="I55" i="111" s="1"/>
  <c r="I80" i="111" s="1"/>
  <c r="AD72" i="1" l="1"/>
  <c r="AD75" i="1" l="1"/>
  <c r="AD79" i="1" l="1"/>
  <c r="E34" i="51" l="1"/>
  <c r="E36" i="51" s="1"/>
  <c r="E8" i="48" l="1"/>
  <c r="E46" i="48" s="1"/>
  <c r="C13" i="3" l="1"/>
  <c r="B14" i="48" s="1"/>
  <c r="A13" i="3"/>
  <c r="A14" i="48" s="1"/>
  <c r="A71" i="48"/>
  <c r="C52" i="48"/>
  <c r="E59" i="48" s="1"/>
  <c r="A68" i="48"/>
  <c r="A69" i="48"/>
  <c r="A112" i="48"/>
  <c r="B112" i="48"/>
  <c r="F112" i="48"/>
  <c r="B115" i="48"/>
  <c r="F115" i="48"/>
  <c r="C128" i="48"/>
  <c r="C129" i="48"/>
  <c r="B11" i="48"/>
  <c r="C11" i="3"/>
  <c r="A12" i="3"/>
  <c r="A13" i="48" s="1"/>
  <c r="C12" i="3"/>
  <c r="B13" i="48" s="1"/>
  <c r="A14" i="3"/>
  <c r="A15" i="48" s="1"/>
  <c r="C14" i="3"/>
  <c r="B15" i="48" s="1"/>
  <c r="A16" i="3"/>
  <c r="A17" i="48" s="1"/>
  <c r="C16" i="3"/>
  <c r="B17" i="48" s="1"/>
  <c r="A17" i="3"/>
  <c r="A18" i="48" s="1"/>
  <c r="C17" i="3"/>
  <c r="B18" i="48" s="1"/>
  <c r="A18" i="3"/>
  <c r="A19" i="48" s="1"/>
  <c r="C18" i="3"/>
  <c r="B19" i="48" s="1"/>
  <c r="A19" i="3"/>
  <c r="A20" i="48" s="1"/>
  <c r="A26" i="3"/>
  <c r="A27" i="48" s="1"/>
  <c r="C26" i="3"/>
  <c r="B27" i="48" s="1"/>
  <c r="A27" i="3"/>
  <c r="A28" i="48" s="1"/>
  <c r="C27" i="3"/>
  <c r="B28" i="48" s="1"/>
  <c r="C30" i="3"/>
  <c r="C20" i="3"/>
  <c r="B21" i="48" s="1"/>
  <c r="C21" i="3"/>
  <c r="B22" i="48" s="1"/>
  <c r="C22" i="3"/>
  <c r="B23" i="48" s="1"/>
  <c r="C23" i="3"/>
  <c r="B24" i="48" s="1"/>
  <c r="C28" i="3"/>
  <c r="B29" i="48" s="1"/>
  <c r="A29" i="3"/>
  <c r="A30" i="48" s="1"/>
  <c r="C29" i="3"/>
  <c r="B30" i="48" s="1"/>
  <c r="A75" i="48"/>
  <c r="B75" i="48"/>
  <c r="A76" i="48"/>
  <c r="B76" i="48"/>
  <c r="A77" i="48"/>
  <c r="B77" i="48"/>
  <c r="A78" i="48"/>
  <c r="B78" i="48"/>
  <c r="A79" i="48"/>
  <c r="B79" i="48"/>
  <c r="A80" i="48"/>
  <c r="B80" i="48"/>
  <c r="A81" i="48"/>
  <c r="B81" i="48"/>
  <c r="A82" i="48"/>
  <c r="B82" i="48"/>
  <c r="A83" i="48"/>
  <c r="B83" i="48"/>
  <c r="A84" i="48"/>
  <c r="B84" i="48"/>
  <c r="A85" i="48"/>
  <c r="B85" i="48"/>
  <c r="A86" i="48"/>
  <c r="B86" i="48"/>
  <c r="A87" i="48"/>
  <c r="B87" i="48"/>
  <c r="A88" i="48"/>
  <c r="B88" i="48"/>
  <c r="A89" i="48"/>
  <c r="B89" i="48"/>
  <c r="A90" i="48"/>
  <c r="B90" i="48"/>
  <c r="A91" i="48"/>
  <c r="B91" i="48"/>
  <c r="A92" i="48"/>
  <c r="B92" i="48"/>
  <c r="A93" i="48"/>
  <c r="B93" i="48"/>
  <c r="A94" i="48"/>
  <c r="B94" i="48"/>
  <c r="A95" i="48"/>
  <c r="B95" i="48"/>
  <c r="A97" i="48"/>
  <c r="B97" i="48"/>
  <c r="A98" i="48"/>
  <c r="B98" i="48"/>
  <c r="A99" i="48"/>
  <c r="B99" i="48"/>
  <c r="A100" i="48"/>
  <c r="B100" i="48"/>
  <c r="A101" i="48"/>
  <c r="B101" i="48"/>
  <c r="A102" i="48"/>
  <c r="B102" i="48"/>
  <c r="A103" i="48"/>
  <c r="B103" i="48"/>
  <c r="A104" i="48"/>
  <c r="B104" i="48"/>
  <c r="A105" i="48"/>
  <c r="B105" i="48"/>
  <c r="A106" i="48"/>
  <c r="B106" i="48"/>
  <c r="A107" i="48"/>
  <c r="B107" i="48"/>
  <c r="A108" i="48"/>
  <c r="B108" i="48"/>
  <c r="A109" i="48"/>
  <c r="B109" i="48"/>
  <c r="A110" i="48"/>
  <c r="B110" i="48"/>
  <c r="A111" i="48"/>
  <c r="B111" i="48"/>
  <c r="E18" i="52"/>
  <c r="E20" i="52" s="1"/>
  <c r="T12" i="51"/>
  <c r="T14" i="51"/>
  <c r="R16" i="51"/>
  <c r="S16" i="51"/>
  <c r="S20" i="51"/>
  <c r="F111" i="48"/>
  <c r="F110" i="48"/>
  <c r="C66" i="48"/>
  <c r="C144" i="48" s="1"/>
  <c r="C58" i="48"/>
  <c r="C136" i="48" s="1"/>
  <c r="C62" i="48"/>
  <c r="C140" i="48" s="1"/>
  <c r="C61" i="48"/>
  <c r="C139" i="48" s="1"/>
  <c r="C57" i="48"/>
  <c r="C135" i="48" s="1"/>
  <c r="C65" i="48"/>
  <c r="C143" i="48" s="1"/>
  <c r="C56" i="48"/>
  <c r="C134" i="48" s="1"/>
  <c r="F93" i="48"/>
  <c r="F107" i="48"/>
  <c r="F109" i="48"/>
  <c r="F99" i="48"/>
  <c r="F83" i="48"/>
  <c r="F91" i="48"/>
  <c r="F105" i="48"/>
  <c r="F103" i="48"/>
  <c r="F106" i="48"/>
  <c r="F78" i="48"/>
  <c r="F87" i="48"/>
  <c r="F85" i="48"/>
  <c r="F89" i="48"/>
  <c r="F100" i="48"/>
  <c r="F108" i="48"/>
  <c r="F88" i="48"/>
  <c r="F104" i="48"/>
  <c r="F79" i="48"/>
  <c r="F82" i="48"/>
  <c r="F86" i="48"/>
  <c r="F84" i="48"/>
  <c r="F90" i="48"/>
  <c r="F101" i="48"/>
  <c r="F81" i="48"/>
  <c r="F94" i="48"/>
  <c r="F102" i="48"/>
  <c r="F95" i="48"/>
  <c r="F75" i="48"/>
  <c r="F113" i="48" s="1"/>
  <c r="F76" i="48"/>
  <c r="F80" i="48"/>
  <c r="F97" i="48"/>
  <c r="F77" i="48"/>
  <c r="F92" i="48"/>
  <c r="F98" i="48"/>
  <c r="E22" i="52" l="1"/>
  <c r="T16" i="51"/>
  <c r="V16" i="51" s="1"/>
  <c r="A12" i="48"/>
  <c r="B12" i="48"/>
  <c r="C63" i="48"/>
  <c r="D62" i="48" s="1"/>
  <c r="C137" i="48"/>
  <c r="D134" i="48" s="1"/>
  <c r="C67" i="48"/>
  <c r="D65" i="48" s="1"/>
  <c r="D67" i="48" s="1"/>
  <c r="A4" i="52"/>
  <c r="D61" i="48"/>
  <c r="D63" i="48" s="1"/>
  <c r="C141" i="48"/>
  <c r="D139" i="48" s="1"/>
  <c r="C130" i="48"/>
  <c r="E137" i="48" s="1"/>
  <c r="C145" i="48"/>
  <c r="D143" i="48" s="1"/>
  <c r="C59" i="48"/>
  <c r="D56" i="48" s="1"/>
  <c r="F117" i="48"/>
  <c r="F121" i="48" s="1"/>
  <c r="F124" i="48" s="1"/>
  <c r="U16" i="51" l="1"/>
  <c r="E24" i="52"/>
  <c r="E19" i="51" s="1"/>
  <c r="D140" i="48"/>
  <c r="D141" i="48" s="1"/>
  <c r="A30" i="3"/>
  <c r="D135" i="48"/>
  <c r="E135" i="48" s="1"/>
  <c r="E145" i="48" s="1"/>
  <c r="E143" i="48" s="1"/>
  <c r="D136" i="48"/>
  <c r="E136" i="48" s="1"/>
  <c r="D66" i="48"/>
  <c r="D145" i="48"/>
  <c r="E56" i="48"/>
  <c r="E63" i="48" s="1"/>
  <c r="D144" i="48"/>
  <c r="D58" i="48"/>
  <c r="E58" i="48" s="1"/>
  <c r="D57" i="48"/>
  <c r="E57" i="48" s="1"/>
  <c r="E67" i="48" s="1"/>
  <c r="E134" i="48"/>
  <c r="E141" i="48" s="1"/>
  <c r="A20" i="3" l="1"/>
  <c r="A21" i="48" s="1"/>
  <c r="D137" i="48"/>
  <c r="E144" i="48"/>
  <c r="E65" i="48"/>
  <c r="E66" i="48"/>
  <c r="E62" i="48"/>
  <c r="E61" i="48"/>
  <c r="D59" i="48"/>
  <c r="E139" i="48"/>
  <c r="E140" i="48"/>
  <c r="E18" i="3" l="1"/>
  <c r="F19" i="48" s="1"/>
  <c r="G19" i="48" s="1"/>
  <c r="A21" i="3"/>
  <c r="A22" i="48" s="1"/>
  <c r="E17" i="3"/>
  <c r="F18" i="48" s="1"/>
  <c r="G18" i="48" s="1"/>
  <c r="E21" i="3"/>
  <c r="F22" i="48" s="1"/>
  <c r="G22" i="48" s="1"/>
  <c r="E30" i="3"/>
  <c r="E28" i="3"/>
  <c r="F29" i="48" s="1"/>
  <c r="G29" i="48" s="1"/>
  <c r="E14" i="3"/>
  <c r="F15" i="48" s="1"/>
  <c r="G15" i="48" s="1"/>
  <c r="E29" i="3" l="1"/>
  <c r="F30" i="48" s="1"/>
  <c r="E23" i="3"/>
  <c r="F24" i="48" s="1"/>
  <c r="G24" i="48" s="1"/>
  <c r="E16" i="3"/>
  <c r="F17" i="48" s="1"/>
  <c r="G17" i="48" s="1"/>
  <c r="E20" i="3"/>
  <c r="F21" i="48" s="1"/>
  <c r="G21" i="48" s="1"/>
  <c r="E26" i="3"/>
  <c r="F27" i="48" s="1"/>
  <c r="G27" i="48" s="1"/>
  <c r="E19" i="3"/>
  <c r="F20" i="48" s="1"/>
  <c r="G20" i="48" s="1"/>
  <c r="E27" i="3"/>
  <c r="F28" i="48" s="1"/>
  <c r="G28" i="48" s="1"/>
  <c r="A22" i="3"/>
  <c r="A23" i="48" s="1"/>
  <c r="E22" i="3"/>
  <c r="F23" i="48" s="1"/>
  <c r="G23" i="48" s="1"/>
  <c r="E11" i="3"/>
  <c r="F12" i="48" s="1"/>
  <c r="G30" i="48" l="1"/>
  <c r="G12" i="48"/>
  <c r="A23" i="3"/>
  <c r="A24" i="48" s="1"/>
  <c r="F32" i="48" l="1"/>
  <c r="A28" i="3" l="1"/>
  <c r="A29" i="48" s="1"/>
  <c r="M12" i="51" l="1"/>
  <c r="R20" i="51"/>
  <c r="T20" i="51" s="1"/>
  <c r="K14" i="51"/>
  <c r="M14" i="51" l="1"/>
  <c r="E11" i="51" s="1"/>
  <c r="E13" i="51" s="1"/>
  <c r="I51" i="1" l="1"/>
  <c r="I51" i="113" s="1"/>
  <c r="F51" i="1"/>
  <c r="F51" i="113" s="1"/>
  <c r="G51" i="1"/>
  <c r="G51" i="113" s="1"/>
  <c r="K51" i="113"/>
  <c r="R51" i="1"/>
  <c r="R51" i="113" s="1"/>
  <c r="J51" i="1"/>
  <c r="J51" i="113" s="1"/>
  <c r="P51" i="1"/>
  <c r="P51" i="113" s="1"/>
  <c r="M51" i="1"/>
  <c r="M51" i="113" s="1"/>
  <c r="Q51" i="1"/>
  <c r="Q51" i="113" s="1"/>
  <c r="O51" i="1"/>
  <c r="O51" i="113" s="1"/>
  <c r="L51" i="1"/>
  <c r="L51" i="113" s="1"/>
  <c r="U51" i="1"/>
  <c r="U51" i="113" s="1"/>
  <c r="X51" i="1"/>
  <c r="X51" i="113" s="1"/>
  <c r="Y51" i="1"/>
  <c r="H51" i="1"/>
  <c r="H51" i="113" s="1"/>
  <c r="V51" i="1"/>
  <c r="V51" i="113" s="1"/>
  <c r="E36" i="48"/>
  <c r="I30" i="48" s="1"/>
  <c r="N55" i="1"/>
  <c r="N55" i="113" s="1"/>
  <c r="I15" i="48" l="1"/>
  <c r="I19" i="48"/>
  <c r="I24" i="48"/>
  <c r="I20" i="48"/>
  <c r="I16" i="48"/>
  <c r="I17" i="48"/>
  <c r="I13" i="48"/>
  <c r="I27" i="48"/>
  <c r="I29" i="48"/>
  <c r="I26" i="48"/>
  <c r="I22" i="48"/>
  <c r="I18" i="48"/>
  <c r="I14" i="48"/>
  <c r="I28" i="48"/>
  <c r="I23" i="48"/>
  <c r="I25" i="48"/>
  <c r="I21" i="48"/>
  <c r="I55" i="1"/>
  <c r="I55" i="113" s="1"/>
  <c r="R55" i="1"/>
  <c r="R55" i="113" s="1"/>
  <c r="K55" i="113"/>
  <c r="O55" i="1"/>
  <c r="O55" i="113" s="1"/>
  <c r="Y55" i="1"/>
  <c r="V55" i="1"/>
  <c r="V55" i="113" s="1"/>
  <c r="J55" i="1"/>
  <c r="J55" i="113" s="1"/>
  <c r="X55" i="1"/>
  <c r="X55" i="113" s="1"/>
  <c r="L55" i="1"/>
  <c r="L55" i="113" s="1"/>
  <c r="P55" i="1"/>
  <c r="P55" i="113" s="1"/>
  <c r="M55" i="1"/>
  <c r="M55" i="113" s="1"/>
  <c r="Q55" i="1"/>
  <c r="Q55" i="113" s="1"/>
  <c r="H55" i="1"/>
  <c r="H55" i="113" s="1"/>
  <c r="Z51" i="1"/>
  <c r="F55" i="1"/>
  <c r="G55" i="1"/>
  <c r="G55" i="113" s="1"/>
  <c r="U55" i="1"/>
  <c r="U55" i="113" s="1"/>
  <c r="I12" i="48"/>
  <c r="F36" i="48"/>
  <c r="F38" i="48" s="1"/>
  <c r="F42" i="48" s="1"/>
  <c r="F45" i="48" s="1"/>
  <c r="D19" i="3"/>
  <c r="E38" i="51"/>
  <c r="F55" i="113" l="1"/>
  <c r="D14" i="3"/>
  <c r="D16" i="3"/>
  <c r="D27" i="3"/>
  <c r="D13" i="3"/>
  <c r="D23" i="3"/>
  <c r="D12" i="3"/>
  <c r="D20" i="3"/>
  <c r="D18" i="3"/>
  <c r="D11" i="3"/>
  <c r="D30" i="3"/>
  <c r="D22" i="3"/>
  <c r="D21" i="3"/>
  <c r="D15" i="3"/>
  <c r="D17" i="3"/>
  <c r="D29" i="3"/>
  <c r="D26" i="3"/>
  <c r="AD51" i="1" l="1"/>
  <c r="AD23" i="1" l="1"/>
  <c r="AD28" i="1" l="1"/>
  <c r="AD45" i="1" l="1"/>
  <c r="AD47" i="1" l="1"/>
  <c r="AD50" i="1" l="1"/>
  <c r="AD55" i="1" l="1"/>
  <c r="AD80" i="1" l="1"/>
  <c r="E17" i="51"/>
  <c r="E21" i="51" s="1"/>
  <c r="E25" i="51" l="1"/>
  <c r="F111" i="111" l="1"/>
  <c r="F130" i="111"/>
  <c r="F146" i="111"/>
  <c r="F172" i="111"/>
  <c r="F125" i="111"/>
  <c r="F108" i="111"/>
  <c r="F136" i="111"/>
  <c r="F120" i="111"/>
  <c r="F99" i="111"/>
  <c r="F115" i="111"/>
  <c r="F127" i="111"/>
  <c r="F143" i="111"/>
  <c r="F159" i="111"/>
  <c r="F178" i="111"/>
  <c r="F110" i="111"/>
  <c r="F126" i="111"/>
  <c r="F134" i="111"/>
  <c r="F138" i="111"/>
  <c r="F150" i="111"/>
  <c r="F168" i="111"/>
  <c r="F176" i="111"/>
  <c r="F96" i="111"/>
  <c r="F101" i="111"/>
  <c r="F117" i="111"/>
  <c r="F129" i="111"/>
  <c r="F137" i="111"/>
  <c r="F149" i="111"/>
  <c r="F142" i="111"/>
  <c r="F153" i="111"/>
  <c r="F166" i="111"/>
  <c r="F175" i="111"/>
  <c r="F100" i="111"/>
  <c r="F112" i="111"/>
  <c r="F128" i="111"/>
  <c r="F144" i="111"/>
  <c r="F165" i="111"/>
  <c r="F179" i="111"/>
  <c r="F164" i="111"/>
  <c r="F183" i="111"/>
  <c r="F25" i="111" s="1"/>
  <c r="F156" i="111"/>
  <c r="F24" i="111" s="1"/>
  <c r="F93" i="111"/>
  <c r="F169" i="111"/>
  <c r="F98" i="111"/>
  <c r="F118" i="111"/>
  <c r="F124" i="111"/>
  <c r="F145" i="111"/>
  <c r="F157" i="111"/>
  <c r="F180" i="111"/>
  <c r="F152" i="111"/>
  <c r="F15" i="111"/>
  <c r="F97" i="111"/>
  <c r="F107" i="111"/>
  <c r="F160" i="111"/>
  <c r="F119" i="111"/>
  <c r="F135" i="111"/>
  <c r="F151" i="111"/>
  <c r="F182" i="111"/>
  <c r="F158" i="111"/>
  <c r="F181" i="111"/>
  <c r="F109" i="111"/>
  <c r="F133" i="111"/>
  <c r="F171" i="111"/>
  <c r="F116" i="111"/>
  <c r="F170" i="111"/>
  <c r="F18" i="111" l="1"/>
  <c r="E18" i="111" s="1"/>
  <c r="H18" i="111" s="1"/>
  <c r="F23" i="111"/>
  <c r="E23" i="1" s="1"/>
  <c r="Z23" i="1" s="1"/>
  <c r="F14" i="111"/>
  <c r="E14" i="111" s="1"/>
  <c r="E25" i="111"/>
  <c r="H25" i="111" s="1"/>
  <c r="E25" i="1"/>
  <c r="E14" i="1"/>
  <c r="Z14" i="1" s="1"/>
  <c r="E24" i="111"/>
  <c r="H24" i="111" s="1"/>
  <c r="E24" i="1"/>
  <c r="E15" i="1"/>
  <c r="E15" i="111"/>
  <c r="H15" i="111" s="1"/>
  <c r="E18" i="1" l="1"/>
  <c r="E18" i="113" s="1"/>
  <c r="E23" i="111"/>
  <c r="E28" i="111" s="1"/>
  <c r="E23" i="113"/>
  <c r="F28" i="111"/>
  <c r="F45" i="111" s="1"/>
  <c r="E28" i="1"/>
  <c r="E45" i="1" s="1"/>
  <c r="E45" i="113" s="1"/>
  <c r="Z25" i="1"/>
  <c r="E25" i="113"/>
  <c r="Z15" i="1"/>
  <c r="E15" i="113"/>
  <c r="Z24" i="1"/>
  <c r="E24" i="113"/>
  <c r="H14" i="111"/>
  <c r="E14" i="113"/>
  <c r="Z18" i="1" l="1"/>
  <c r="H23" i="111"/>
  <c r="E28" i="113"/>
  <c r="Z28" i="1"/>
  <c r="Z45" i="1" s="1"/>
  <c r="H28" i="111"/>
  <c r="E45" i="111"/>
  <c r="H45" i="111" s="1"/>
  <c r="E60" i="111"/>
  <c r="H60" i="111" s="1"/>
  <c r="E60" i="1"/>
  <c r="E60" i="113" s="1"/>
  <c r="E67" i="1"/>
  <c r="E67" i="113" s="1"/>
  <c r="E74" i="111"/>
  <c r="H74" i="111" s="1"/>
  <c r="E74" i="1"/>
  <c r="Z74" i="1" s="1"/>
  <c r="E68" i="1"/>
  <c r="E63" i="111"/>
  <c r="H63" i="111" s="1"/>
  <c r="E63" i="1"/>
  <c r="E63" i="113" s="1"/>
  <c r="E76" i="1"/>
  <c r="Z76" i="1" s="1"/>
  <c r="E77" i="111"/>
  <c r="E77" i="1"/>
  <c r="E77" i="113" s="1"/>
  <c r="E69" i="1"/>
  <c r="E69" i="113" s="1"/>
  <c r="E67" i="111"/>
  <c r="E66" i="111"/>
  <c r="E66" i="1"/>
  <c r="E66" i="113" s="1"/>
  <c r="E68" i="111"/>
  <c r="E61" i="111"/>
  <c r="H61" i="111" s="1"/>
  <c r="E61" i="1"/>
  <c r="E61" i="113" s="1"/>
  <c r="E62" i="111"/>
  <c r="H62" i="111" s="1"/>
  <c r="E62" i="1"/>
  <c r="Z62" i="1" s="1"/>
  <c r="E76" i="111"/>
  <c r="E70" i="111"/>
  <c r="E70" i="1"/>
  <c r="E70" i="113" s="1"/>
  <c r="E69" i="111"/>
  <c r="F16" i="111"/>
  <c r="F17" i="111" s="1"/>
  <c r="F19" i="111" s="1"/>
  <c r="F47" i="111" s="1"/>
  <c r="F55" i="111" s="1"/>
  <c r="F80" i="111" s="1"/>
  <c r="E59" i="111"/>
  <c r="E64" i="111" s="1"/>
  <c r="E59" i="1"/>
  <c r="Z59" i="1" s="1"/>
  <c r="E16" i="111" l="1"/>
  <c r="H16" i="111" s="1"/>
  <c r="E16" i="1"/>
  <c r="E16" i="113" s="1"/>
  <c r="H59" i="111"/>
  <c r="E71" i="111"/>
  <c r="Z66" i="1"/>
  <c r="Z69" i="1"/>
  <c r="E74" i="113"/>
  <c r="Z70" i="1"/>
  <c r="Z60" i="1"/>
  <c r="Z67" i="1"/>
  <c r="Z16" i="1"/>
  <c r="Z17" i="1" s="1"/>
  <c r="Z19" i="1" s="1"/>
  <c r="Z47" i="1" s="1"/>
  <c r="E71" i="1"/>
  <c r="E71" i="113" s="1"/>
  <c r="E72" i="111"/>
  <c r="E75" i="111" s="1"/>
  <c r="E79" i="111" s="1"/>
  <c r="H79" i="111" s="1"/>
  <c r="H64" i="111"/>
  <c r="E17" i="111"/>
  <c r="E62" i="113"/>
  <c r="Z61" i="1"/>
  <c r="Z77" i="1"/>
  <c r="Z63" i="1"/>
  <c r="E76" i="113"/>
  <c r="E68" i="113"/>
  <c r="E59" i="113"/>
  <c r="E64" i="1"/>
  <c r="Z68" i="1"/>
  <c r="E17" i="1"/>
  <c r="Z71" i="1" l="1"/>
  <c r="Z64" i="1"/>
  <c r="Z72" i="1" s="1"/>
  <c r="Z75" i="1" s="1"/>
  <c r="Z79" i="1" s="1"/>
  <c r="E64" i="113"/>
  <c r="E72" i="1"/>
  <c r="H17" i="111"/>
  <c r="E19" i="111"/>
  <c r="E17" i="113"/>
  <c r="E19" i="1"/>
  <c r="H19" i="111" l="1"/>
  <c r="E47" i="111"/>
  <c r="E75" i="1"/>
  <c r="E72" i="113"/>
  <c r="E19" i="113"/>
  <c r="E47" i="1"/>
  <c r="E75" i="113" l="1"/>
  <c r="E79" i="1"/>
  <c r="H47" i="111"/>
  <c r="E55" i="111"/>
  <c r="E47" i="113"/>
  <c r="E55" i="1"/>
  <c r="F80" i="1" l="1"/>
  <c r="D10" i="3"/>
  <c r="E55" i="113"/>
  <c r="E80" i="1"/>
  <c r="E79" i="113"/>
  <c r="E10" i="3"/>
  <c r="E80" i="111"/>
  <c r="H55" i="111"/>
  <c r="F10" i="3" l="1"/>
  <c r="E11" i="48"/>
  <c r="E32" i="3"/>
  <c r="I11" i="48" l="1"/>
  <c r="I38" i="48" s="1"/>
  <c r="I45" i="48" s="1"/>
  <c r="G11" i="48"/>
  <c r="G32" i="48" s="1"/>
  <c r="K32" i="48" s="1"/>
  <c r="E32" i="48"/>
  <c r="E38" i="48" s="1"/>
  <c r="E42" i="48" l="1"/>
  <c r="G38" i="48"/>
  <c r="E39" i="51" s="1"/>
  <c r="E40" i="51" s="1"/>
  <c r="E41" i="51" s="1"/>
  <c r="E45" i="48" l="1"/>
  <c r="G42" i="48"/>
  <c r="G45" i="48" l="1"/>
  <c r="W50" i="1"/>
  <c r="W50" i="113" l="1"/>
  <c r="W55" i="1"/>
  <c r="Z50" i="1"/>
  <c r="Z55" i="1" s="1"/>
  <c r="Z80" i="1" l="1"/>
  <c r="W55" i="113"/>
  <c r="D28" i="3"/>
  <c r="D32" i="3" s="1"/>
  <c r="F32" i="3" l="1"/>
</calcChain>
</file>

<file path=xl/comments1.xml><?xml version="1.0" encoding="utf-8"?>
<comments xmlns="http://schemas.openxmlformats.org/spreadsheetml/2006/main">
  <authors>
    <author>Liz Andrews</author>
  </authors>
  <commentList>
    <comment ref="G50" authorId="0" shapeId="0">
      <text>
        <r>
          <rPr>
            <b/>
            <sz val="8"/>
            <color indexed="81"/>
            <rFont val="Tahoma"/>
            <family val="2"/>
          </rPr>
          <t>Liz Andrews:</t>
        </r>
        <r>
          <rPr>
            <sz val="8"/>
            <color indexed="81"/>
            <rFont val="Tahoma"/>
            <family val="2"/>
          </rPr>
          <t xml:space="preserve">
No tax on Colstrip elimination ($67k). Historical treatment of this adjustment.</t>
        </r>
      </text>
    </comment>
    <comment ref="N50" authorId="0" shapeId="0">
      <text>
        <r>
          <rPr>
            <b/>
            <sz val="8"/>
            <color indexed="81"/>
            <rFont val="Tahoma"/>
            <family val="2"/>
          </rPr>
          <t>Liz Andrews:</t>
        </r>
        <r>
          <rPr>
            <sz val="8"/>
            <color indexed="81"/>
            <rFont val="Tahoma"/>
            <family val="2"/>
          </rPr>
          <t xml:space="preserve">
Per adjustment, no formula in this column.</t>
        </r>
      </text>
    </comment>
    <comment ref="U50" authorId="0" shapeId="0">
      <text>
        <r>
          <rPr>
            <b/>
            <sz val="8"/>
            <color indexed="81"/>
            <rFont val="Tahoma"/>
            <family val="2"/>
          </rPr>
          <t>Liz Andrews:</t>
        </r>
        <r>
          <rPr>
            <sz val="8"/>
            <color indexed="81"/>
            <rFont val="Tahoma"/>
            <family val="2"/>
          </rPr>
          <t xml:space="preserve">
adjustment to DFIT - no current tax formula in this column. Check annually to adjustment.</t>
        </r>
      </text>
    </comment>
    <comment ref="W50" authorId="0" shapeId="0">
      <text>
        <r>
          <rPr>
            <b/>
            <sz val="8"/>
            <color indexed="81"/>
            <rFont val="Tahoma"/>
            <family val="2"/>
          </rPr>
          <t>Liz Andrews:</t>
        </r>
        <r>
          <rPr>
            <sz val="8"/>
            <color indexed="81"/>
            <rFont val="Tahoma"/>
            <family val="2"/>
          </rPr>
          <t xml:space="preserve">
per Debt calc.</t>
        </r>
      </text>
    </comment>
  </commentList>
</comments>
</file>

<file path=xl/comments2.xml><?xml version="1.0" encoding="utf-8"?>
<comments xmlns="http://schemas.openxmlformats.org/spreadsheetml/2006/main">
  <authors>
    <author>kznwdg</author>
  </authors>
  <commentList>
    <comment ref="C37" authorId="0" shapeId="0">
      <text>
        <r>
          <rPr>
            <b/>
            <sz val="8"/>
            <color indexed="81"/>
            <rFont val="Tahoma"/>
            <family val="2"/>
          </rPr>
          <t>kznwdg:</t>
        </r>
        <r>
          <rPr>
            <sz val="8"/>
            <color indexed="81"/>
            <rFont val="Tahoma"/>
            <family val="2"/>
          </rPr>
          <t xml:space="preserve">
After Taxes (FIT Calc = Taxable Income x .35)</t>
        </r>
      </text>
    </comment>
  </commentList>
</comments>
</file>

<file path=xl/comments3.xml><?xml version="1.0" encoding="utf-8"?>
<comments xmlns="http://schemas.openxmlformats.org/spreadsheetml/2006/main">
  <authors>
    <author>Avista Corp Employee</author>
    <author>rzs589</author>
    <author>A satisfied Microsoft Office user</author>
  </authors>
  <commentList>
    <comment ref="B84" authorId="0" shapeId="0">
      <text>
        <r>
          <rPr>
            <b/>
            <sz val="10"/>
            <color indexed="81"/>
            <rFont val="Tahoma"/>
            <family val="2"/>
          </rPr>
          <t>revenue from Montana Noxon customers is included in Idaho.  Is reversed out for Commission Basis reports</t>
        </r>
      </text>
    </comment>
    <comment ref="B100" authorId="0" shapeId="0">
      <text>
        <r>
          <rPr>
            <b/>
            <sz val="8"/>
            <color indexed="81"/>
            <rFont val="Tahoma"/>
            <family val="2"/>
          </rPr>
          <t>This includes acct 456.15, revenue from sale of excess turbine gas.  This is netted against the cost in 557.15 and is part of the elec deferral entry.  Any gain or loss from the sales are recorded to accounts 557.28 or 557.38.</t>
        </r>
      </text>
    </comment>
    <comment ref="B417" authorId="1" shapeId="0">
      <text>
        <r>
          <rPr>
            <b/>
            <sz val="8"/>
            <color indexed="81"/>
            <rFont val="Tahoma"/>
            <family val="2"/>
          </rPr>
          <t>2/6/04 Account 182.31 is fully offset by 283.17</t>
        </r>
        <r>
          <rPr>
            <sz val="8"/>
            <color indexed="81"/>
            <rFont val="Tahoma"/>
            <family val="2"/>
          </rPr>
          <t xml:space="preserve">
</t>
        </r>
      </text>
    </comment>
    <comment ref="M417" authorId="1" shapeId="0">
      <text>
        <r>
          <rPr>
            <b/>
            <sz val="8"/>
            <color indexed="81"/>
            <rFont val="Tahoma"/>
            <family val="2"/>
          </rPr>
          <t>2/6/04 Account 182.31 is fully offset by 283.17</t>
        </r>
        <r>
          <rPr>
            <sz val="8"/>
            <color indexed="81"/>
            <rFont val="Tahoma"/>
            <family val="2"/>
          </rPr>
          <t xml:space="preserve">
</t>
        </r>
      </text>
    </comment>
    <comment ref="A436" authorId="2" shapeId="0">
      <text>
        <r>
          <rPr>
            <sz val="9"/>
            <color indexed="81"/>
            <rFont val="Tahoma"/>
            <family val="2"/>
          </rPr>
          <t>Acct 0108.02  System amount is from input matrix.  WA and ID amounts are hard coded, and do not change.</t>
        </r>
      </text>
    </comment>
    <comment ref="B440" authorId="1" shapeId="0">
      <text>
        <r>
          <rPr>
            <sz val="8"/>
            <color indexed="81"/>
            <rFont val="Tahoma"/>
            <family val="2"/>
          </rPr>
          <t xml:space="preserve">Write-off recorded 9/04 as the results of the Idaho General Rate Case
</t>
        </r>
      </text>
    </comment>
    <comment ref="M440" authorId="1" shapeId="0">
      <text>
        <r>
          <rPr>
            <sz val="8"/>
            <color indexed="81"/>
            <rFont val="Tahoma"/>
            <family val="2"/>
          </rPr>
          <t xml:space="preserve">Write-off recorded 9/04 as the results of the Idaho General Rate Case
</t>
        </r>
      </text>
    </comment>
    <comment ref="B441" authorId="1" shapeId="0">
      <text>
        <r>
          <rPr>
            <sz val="8"/>
            <color indexed="81"/>
            <rFont val="Tahoma"/>
            <family val="2"/>
          </rPr>
          <t xml:space="preserve">Write-off recorded 9/04 as the results of the Idaho General Rate Case
</t>
        </r>
      </text>
    </comment>
    <comment ref="M441" authorId="1" shapeId="0">
      <text>
        <r>
          <rPr>
            <sz val="8"/>
            <color indexed="81"/>
            <rFont val="Tahoma"/>
            <family val="2"/>
          </rPr>
          <t xml:space="preserve">Write-off recorded 9/04 as the results of the Idaho General Rate Case
</t>
        </r>
      </text>
    </comment>
    <comment ref="B442" authorId="1" shapeId="0">
      <text>
        <r>
          <rPr>
            <sz val="8"/>
            <color indexed="81"/>
            <rFont val="Tahoma"/>
            <family val="2"/>
          </rPr>
          <t xml:space="preserve">Write-off recorded 9/04 as the results of the Idaho General Rate Case
</t>
        </r>
      </text>
    </comment>
    <comment ref="M442" authorId="1" shapeId="0">
      <text>
        <r>
          <rPr>
            <sz val="8"/>
            <color indexed="81"/>
            <rFont val="Tahoma"/>
            <family val="2"/>
          </rPr>
          <t xml:space="preserve">Write-off recorded 9/04 as the results of the Idaho General Rate Case
</t>
        </r>
      </text>
    </comment>
  </commentList>
</comments>
</file>

<file path=xl/comments4.xml><?xml version="1.0" encoding="utf-8"?>
<comments xmlns="http://schemas.openxmlformats.org/spreadsheetml/2006/main">
  <authors>
    <author>rzk7kq</author>
  </authors>
  <commentList>
    <comment ref="B49" authorId="0" shapeId="0">
      <text>
        <r>
          <rPr>
            <b/>
            <sz val="8"/>
            <color indexed="81"/>
            <rFont val="Tahoma"/>
            <family val="2"/>
          </rPr>
          <t xml:space="preserve">rzk7kq: </t>
        </r>
        <r>
          <rPr>
            <sz val="8"/>
            <color indexed="81"/>
            <rFont val="Tahoma"/>
            <family val="2"/>
          </rPr>
          <t xml:space="preserve">
AFUDC Equity - all 419100 accounts
AFUDC Debt - all 432000 accounts</t>
        </r>
      </text>
    </comment>
    <comment ref="F115" authorId="0" shape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sharedStrings.xml><?xml version="1.0" encoding="utf-8"?>
<sst xmlns="http://schemas.openxmlformats.org/spreadsheetml/2006/main" count="1004" uniqueCount="616">
  <si>
    <t>(000'S OF DOLLARS)</t>
  </si>
  <si>
    <t xml:space="preserve">Deferred </t>
  </si>
  <si>
    <t>Settlement</t>
  </si>
  <si>
    <t>Eliminate</t>
  </si>
  <si>
    <t>Injuries</t>
  </si>
  <si>
    <t>Restate</t>
  </si>
  <si>
    <t>Office Space</t>
  </si>
  <si>
    <t>Line</t>
  </si>
  <si>
    <t>FIT</t>
  </si>
  <si>
    <t>Common</t>
  </si>
  <si>
    <t>Power</t>
  </si>
  <si>
    <t>B &amp; O</t>
  </si>
  <si>
    <t>Property</t>
  </si>
  <si>
    <t>Regulatory</t>
  </si>
  <si>
    <t xml:space="preserve">and </t>
  </si>
  <si>
    <t>Debt</t>
  </si>
  <si>
    <t>Charges to</t>
  </si>
  <si>
    <t>Restated</t>
  </si>
  <si>
    <t>No.</t>
  </si>
  <si>
    <t>DESCRIPTION</t>
  </si>
  <si>
    <t>Rate Base</t>
  </si>
  <si>
    <t>Adjustment</t>
  </si>
  <si>
    <t>Supply</t>
  </si>
  <si>
    <t>Taxes</t>
  </si>
  <si>
    <t>Tax</t>
  </si>
  <si>
    <t>Expense</t>
  </si>
  <si>
    <t>Damages</t>
  </si>
  <si>
    <t>Interest</t>
  </si>
  <si>
    <t>Revenues</t>
  </si>
  <si>
    <t>TOTAL</t>
  </si>
  <si>
    <t>REVENUES</t>
  </si>
  <si>
    <t>Total General Business</t>
  </si>
  <si>
    <t>Interdepartmental Sales</t>
  </si>
  <si>
    <t>Sales for Resale</t>
  </si>
  <si>
    <t>Other Revenue</t>
  </si>
  <si>
    <t>EXPENSES</t>
  </si>
  <si>
    <t>Production and Transmission</t>
  </si>
  <si>
    <t>Purchased Power</t>
  </si>
  <si>
    <t>Distribution</t>
  </si>
  <si>
    <t>Customer Accounting</t>
  </si>
  <si>
    <t>Customer Service &amp; Information</t>
  </si>
  <si>
    <t>Sales Expenses</t>
  </si>
  <si>
    <t>Administrative &amp; General</t>
  </si>
  <si>
    <t>Total Electric Expenses</t>
  </si>
  <si>
    <t>NET OPERATING INCOME</t>
  </si>
  <si>
    <t>RATE BASE</t>
  </si>
  <si>
    <t>PLANT IN SERVICE</t>
  </si>
  <si>
    <t>ACCUMULATED DEPRECIATION</t>
  </si>
  <si>
    <t>TOTAL RATE BASE</t>
  </si>
  <si>
    <t>Idaho</t>
  </si>
  <si>
    <t>Restatement Summary</t>
  </si>
  <si>
    <t>Washington Electric</t>
  </si>
  <si>
    <t>Column</t>
  </si>
  <si>
    <t>Description</t>
  </si>
  <si>
    <t xml:space="preserve">NOI   </t>
  </si>
  <si>
    <t>ROR</t>
  </si>
  <si>
    <t>ELECTRIC ADJUSTMENT SUMMARY</t>
  </si>
  <si>
    <t>PER RESULTS OF</t>
  </si>
  <si>
    <t>OPERATIONS REPORTS</t>
  </si>
  <si>
    <t>ELECTRIC</t>
  </si>
  <si>
    <t xml:space="preserve"> No.</t>
  </si>
  <si>
    <t>System</t>
  </si>
  <si>
    <t>Washington</t>
  </si>
  <si>
    <t>Check</t>
  </si>
  <si>
    <t>Sales For Resale</t>
  </si>
  <si>
    <t xml:space="preserve">   Total Sales of Electricity</t>
  </si>
  <si>
    <t xml:space="preserve">   Total Electric Revenue</t>
  </si>
  <si>
    <t xml:space="preserve">   Operating Expenses</t>
  </si>
  <si>
    <t xml:space="preserve">   Purchased Power</t>
  </si>
  <si>
    <t xml:space="preserve">   Taxes</t>
  </si>
  <si>
    <t xml:space="preserve">      Total Production &amp; Transmission</t>
  </si>
  <si>
    <t xml:space="preserve">      Total Distribution</t>
  </si>
  <si>
    <t xml:space="preserve">      Total Admin. &amp; General</t>
  </si>
  <si>
    <t>Operating Income before FIT</t>
  </si>
  <si>
    <t>Federal Income Taxes</t>
  </si>
  <si>
    <t xml:space="preserve">   Current Accrual </t>
  </si>
  <si>
    <t xml:space="preserve">   Deferred Income Taxes</t>
  </si>
  <si>
    <t xml:space="preserve">   Amortized ITC</t>
  </si>
  <si>
    <t xml:space="preserve">   Intangible</t>
  </si>
  <si>
    <t xml:space="preserve">   Production</t>
  </si>
  <si>
    <t xml:space="preserve">   Transmission</t>
  </si>
  <si>
    <t xml:space="preserve">   Distribution</t>
  </si>
  <si>
    <t xml:space="preserve">   General</t>
  </si>
  <si>
    <t xml:space="preserve">      Total Plant in Service</t>
  </si>
  <si>
    <t>INPUTS</t>
  </si>
  <si>
    <t>ACCUMULATED AMORTIZATION</t>
  </si>
  <si>
    <t>AVISTA UTILITIES</t>
  </si>
  <si>
    <t>WA Power</t>
  </si>
  <si>
    <t>Cost Defer</t>
  </si>
  <si>
    <t>Nez Perce</t>
  </si>
  <si>
    <t xml:space="preserve">Line </t>
  </si>
  <si>
    <t>(000's of</t>
  </si>
  <si>
    <t>Capital</t>
  </si>
  <si>
    <t>Weighted</t>
  </si>
  <si>
    <t>Dollars)</t>
  </si>
  <si>
    <t>Component</t>
  </si>
  <si>
    <t>Amount</t>
  </si>
  <si>
    <t>Structure</t>
  </si>
  <si>
    <t>Cost</t>
  </si>
  <si>
    <t>L/T Debt</t>
  </si>
  <si>
    <t>Proposed Rate of Return</t>
  </si>
  <si>
    <t>Net Operating Income Requirement</t>
  </si>
  <si>
    <t>S/T Debt</t>
  </si>
  <si>
    <t>Pref Trust</t>
  </si>
  <si>
    <t>Pref Stock</t>
  </si>
  <si>
    <t>Pro Forma Net Operating Income</t>
  </si>
  <si>
    <t>Net Operating Income Deficiency</t>
  </si>
  <si>
    <t>Total</t>
  </si>
  <si>
    <t>Conversion Factor</t>
  </si>
  <si>
    <t>Revenue Requirement</t>
  </si>
  <si>
    <t>Total General Business Revenues</t>
  </si>
  <si>
    <t>Percentage Revenue Increase</t>
  </si>
  <si>
    <t>AUTHORIZED 1998 TEST YEAR</t>
  </si>
  <si>
    <t>RESULTS OF OPERATIONS</t>
  </si>
  <si>
    <t>Description of Adjustment</t>
  </si>
  <si>
    <t>ProForma</t>
  </si>
  <si>
    <t>Theoretical</t>
  </si>
  <si>
    <t>(000's)</t>
  </si>
  <si>
    <t>Adjustment Description</t>
  </si>
  <si>
    <t>Adjustments</t>
  </si>
  <si>
    <t>Restated Debt Interest</t>
  </si>
  <si>
    <t>Capitalized Interest</t>
  </si>
  <si>
    <t>Increase (Decrease) in Interest Expense</t>
  </si>
  <si>
    <t>FIT Rate</t>
  </si>
  <si>
    <t>Increase (Decrease) in FIT</t>
  </si>
  <si>
    <t>Equity AFUDC</t>
  </si>
  <si>
    <t>Borrowed AFUDC</t>
  </si>
  <si>
    <t xml:space="preserve">   Capitalized Interest</t>
  </si>
  <si>
    <t>Allocated</t>
  </si>
  <si>
    <t>Percentage</t>
  </si>
  <si>
    <t>Electric CWIP</t>
  </si>
  <si>
    <t>Gas CWIP</t>
  </si>
  <si>
    <t>WPNG CWIP</t>
  </si>
  <si>
    <t xml:space="preserve">   Total</t>
  </si>
  <si>
    <t>WA Electric CWIP</t>
  </si>
  <si>
    <t>ID Electric CWIP</t>
  </si>
  <si>
    <t>WA Gas CWIP</t>
  </si>
  <si>
    <t>ID Gas CWIP</t>
  </si>
  <si>
    <t>Washington - Electric</t>
  </si>
  <si>
    <t>Weighted Average Cost of Debt</t>
  </si>
  <si>
    <t>Idaho - Electric</t>
  </si>
  <si>
    <t>Washington - Electric System</t>
  </si>
  <si>
    <t>Revenue Conversion Factor</t>
  </si>
  <si>
    <t>Factor</t>
  </si>
  <si>
    <t>Expense:</t>
  </si>
  <si>
    <t xml:space="preserve">  Uncollectibles</t>
  </si>
  <si>
    <t xml:space="preserve">  Commission Fees</t>
  </si>
  <si>
    <t xml:space="preserve">  Washington Excise Tax</t>
  </si>
  <si>
    <t xml:space="preserve">    Total Expense</t>
  </si>
  <si>
    <t>Net Operating Income Before FIT</t>
  </si>
  <si>
    <t xml:space="preserve">  Federal Income Tax @ 35%</t>
  </si>
  <si>
    <t>REVENUE CONVERSION FACTOR</t>
  </si>
  <si>
    <t>Pro Forma Rate Base</t>
  </si>
  <si>
    <t>Normalization</t>
  </si>
  <si>
    <t>Restated Rate Base</t>
  </si>
  <si>
    <t xml:space="preserve">AVISTA UTILITIES  </t>
  </si>
  <si>
    <t xml:space="preserve">(000'S OF DOLLARS)  </t>
  </si>
  <si>
    <t xml:space="preserve">REVENUES  </t>
  </si>
  <si>
    <t xml:space="preserve">Total General Business  </t>
  </si>
  <si>
    <t xml:space="preserve">Interdepartmental Sales  </t>
  </si>
  <si>
    <t xml:space="preserve">Sales for Resale  </t>
  </si>
  <si>
    <t xml:space="preserve">Total Sales of Electricity  </t>
  </si>
  <si>
    <t xml:space="preserve">Other Revenue  </t>
  </si>
  <si>
    <t xml:space="preserve">Total Electric Revenue  </t>
  </si>
  <si>
    <t xml:space="preserve">EXPENSES  </t>
  </si>
  <si>
    <t xml:space="preserve">Production and Transmission  </t>
  </si>
  <si>
    <t xml:space="preserve">Operating Expenses  </t>
  </si>
  <si>
    <t xml:space="preserve">Purchased Power  </t>
  </si>
  <si>
    <t xml:space="preserve">Taxes  </t>
  </si>
  <si>
    <t xml:space="preserve">Total Production &amp; Transmission  </t>
  </si>
  <si>
    <t xml:space="preserve">Distribution  </t>
  </si>
  <si>
    <t xml:space="preserve">Total Distribution  </t>
  </si>
  <si>
    <t xml:space="preserve">Customer Accounting  </t>
  </si>
  <si>
    <t xml:space="preserve">Customer Service &amp; Information  </t>
  </si>
  <si>
    <t xml:space="preserve">Sales Expenses  </t>
  </si>
  <si>
    <t xml:space="preserve">Administrative &amp; General  </t>
  </si>
  <si>
    <t xml:space="preserve">Total Admin. &amp; General  </t>
  </si>
  <si>
    <t xml:space="preserve">Total Electric Expenses  </t>
  </si>
  <si>
    <t xml:space="preserve">OPERATING INCOME BEFORE FIT  </t>
  </si>
  <si>
    <t xml:space="preserve">FEDERAL INCOME TAX  </t>
  </si>
  <si>
    <t xml:space="preserve">Deferred Income Taxes  </t>
  </si>
  <si>
    <t xml:space="preserve">NET OPERATING INCOME  </t>
  </si>
  <si>
    <t xml:space="preserve">RATE BASE  </t>
  </si>
  <si>
    <t xml:space="preserve">PLANT IN SERVICE  </t>
  </si>
  <si>
    <t xml:space="preserve">Intangible  </t>
  </si>
  <si>
    <t xml:space="preserve">Production  </t>
  </si>
  <si>
    <t xml:space="preserve">Transmission  </t>
  </si>
  <si>
    <t xml:space="preserve">General  </t>
  </si>
  <si>
    <t xml:space="preserve">Total Plant in Service  </t>
  </si>
  <si>
    <t xml:space="preserve">DEFERRED TAXES  </t>
  </si>
  <si>
    <t xml:space="preserve">TOTAL RATE BASE  </t>
  </si>
  <si>
    <t>Net</t>
  </si>
  <si>
    <t>Excise</t>
  </si>
  <si>
    <t>updated for 2006</t>
  </si>
  <si>
    <t>WA wtd debt</t>
  </si>
  <si>
    <t>ID wtd debt</t>
  </si>
  <si>
    <t>ID excludes STD</t>
  </si>
  <si>
    <t>Not Necessary - this calcuation should not be removed from above to determine adj. - LMA</t>
  </si>
  <si>
    <t>Below</t>
  </si>
  <si>
    <t xml:space="preserve"> Interest Per Results (E-FIT-12A)</t>
  </si>
  <si>
    <t xml:space="preserve">(Breakdown </t>
  </si>
  <si>
    <t>b/w LTD &amp; STD)</t>
  </si>
  <si>
    <t>Restating</t>
  </si>
  <si>
    <t>updated for 2007 LMA</t>
  </si>
  <si>
    <t>Subsidiaries</t>
  </si>
  <si>
    <t>Done</t>
  </si>
  <si>
    <t>Not Done</t>
  </si>
  <si>
    <t>Jeanne</t>
  </si>
  <si>
    <t>Liz</t>
  </si>
  <si>
    <t>Jen</t>
  </si>
  <si>
    <t>Amortized ITC - Noxon</t>
  </si>
  <si>
    <t xml:space="preserve">WORKING CAPITAL </t>
  </si>
  <si>
    <t>Working</t>
  </si>
  <si>
    <t>Calculation of General Revenue Requirement</t>
  </si>
  <si>
    <t xml:space="preserve">Gains / </t>
  </si>
  <si>
    <t>Losses</t>
  </si>
  <si>
    <t xml:space="preserve">Debits and </t>
  </si>
  <si>
    <t>Credits</t>
  </si>
  <si>
    <t xml:space="preserve">Results of </t>
  </si>
  <si>
    <t xml:space="preserve">Operations </t>
  </si>
  <si>
    <t>Restating adjustments</t>
  </si>
  <si>
    <t>Debt Interest</t>
  </si>
  <si>
    <t>ROO</t>
  </si>
  <si>
    <t xml:space="preserve">Jen </t>
  </si>
  <si>
    <t xml:space="preserve">Blue = Input </t>
  </si>
  <si>
    <t>Total Accumulated Depreciation</t>
  </si>
  <si>
    <t xml:space="preserve">NET PLANT </t>
  </si>
  <si>
    <t xml:space="preserve">DEFERRED DEBITS AND CREDITS </t>
  </si>
  <si>
    <t>DEFERRED DEBITS AND CREDITS</t>
  </si>
  <si>
    <t xml:space="preserve">      Total Accumulated Depreciation</t>
  </si>
  <si>
    <t>Black = Formula/Text</t>
  </si>
  <si>
    <t>REVENUE</t>
  </si>
  <si>
    <t>SALES OF ELECTRICITY:</t>
  </si>
  <si>
    <t>Residential</t>
  </si>
  <si>
    <t>Commercial - Firm &amp; Int.</t>
  </si>
  <si>
    <t>Industrial</t>
  </si>
  <si>
    <t>Public Street &amp; Highway Lighting</t>
  </si>
  <si>
    <t>499XXX</t>
  </si>
  <si>
    <t>Unbilled Revenue</t>
  </si>
  <si>
    <t>Interdepartmental Revenue</t>
  </si>
  <si>
    <t>TOTAL SALES TO ULTIMATE CUSTOMERS</t>
  </si>
  <si>
    <t>447XXX</t>
  </si>
  <si>
    <t>TOTAL SALES OF ELECTRICITY</t>
  </si>
  <si>
    <t>OTHER OPERATING REVENUE:</t>
  </si>
  <si>
    <t>Miscellaneous Service Revenue</t>
  </si>
  <si>
    <t>Sales of Water &amp; Water Power</t>
  </si>
  <si>
    <t>Rent from Electric Property</t>
  </si>
  <si>
    <t>456XXX</t>
  </si>
  <si>
    <t>Other Electric Revenues</t>
  </si>
  <si>
    <t>TOTAL OTHER OPERATING REVENUE</t>
  </si>
  <si>
    <t>TOTAL ELECTRIC REVENUE</t>
  </si>
  <si>
    <t>EXPENSE</t>
  </si>
  <si>
    <t>STEAM POWER GENERATION EXPENSE:</t>
  </si>
  <si>
    <t xml:space="preserve">  OPERATION</t>
  </si>
  <si>
    <t>Supervision &amp; Engineering</t>
  </si>
  <si>
    <t>Fuel</t>
  </si>
  <si>
    <t>Steam Expense</t>
  </si>
  <si>
    <t>Electric Expense</t>
  </si>
  <si>
    <t>Miscellaneous Steam Power Generation Expense</t>
  </si>
  <si>
    <t>Rent</t>
  </si>
  <si>
    <t xml:space="preserve">  MAINTENANCE</t>
  </si>
  <si>
    <t>Structures</t>
  </si>
  <si>
    <t>Boiler Plant</t>
  </si>
  <si>
    <t>Electric Plant</t>
  </si>
  <si>
    <t>Miscellaneous Steam Plant</t>
  </si>
  <si>
    <t>TOTAL STEAM POWER GENERATION EXP</t>
  </si>
  <si>
    <t>HYDRAULIC POWER GENERATION EXP:</t>
  </si>
  <si>
    <t>Water for Power</t>
  </si>
  <si>
    <t>Hydraulic Expense</t>
  </si>
  <si>
    <t>Miscellaneous Hydraulic Power Generation Exp</t>
  </si>
  <si>
    <t>MT Trust Funds Land Settlement Rents</t>
  </si>
  <si>
    <t>Reservoirs, Dams, &amp; Waterways</t>
  </si>
  <si>
    <t>Miscellaneous Hydraulic Plant</t>
  </si>
  <si>
    <t>TOTAL HYDRO POWER GENERATION EXP</t>
  </si>
  <si>
    <t>OTHER POWER GENERATION EXPENSE:</t>
  </si>
  <si>
    <t>Generation Expense</t>
  </si>
  <si>
    <t>Miscellaneous Other Power Generation Expense</t>
  </si>
  <si>
    <t>Generating &amp; Electric Equipment</t>
  </si>
  <si>
    <t>Miscellaneous Other Power Generation Plant</t>
  </si>
  <si>
    <t>TOTAL OTHER POWER GENERATION EXP</t>
  </si>
  <si>
    <t>OTHER POWER SUPPLY EXPENSE:</t>
  </si>
  <si>
    <t>555XXX</t>
  </si>
  <si>
    <t>System Control &amp; Load Dispatching</t>
  </si>
  <si>
    <t>557XXX</t>
  </si>
  <si>
    <t>Other Expense</t>
  </si>
  <si>
    <t>TOTAL OTHER POWER SUPPLY EXPENSE</t>
  </si>
  <si>
    <t>TOTAL PRODUCTION OPERATING EXP</t>
  </si>
  <si>
    <t>TRANSMISSION OPERATING EXPENSE:</t>
  </si>
  <si>
    <t>Load Dispatching</t>
  </si>
  <si>
    <t>Station Expense</t>
  </si>
  <si>
    <t>Overhead Line Expense</t>
  </si>
  <si>
    <t>Transmission of Electricity by Others</t>
  </si>
  <si>
    <t>Miscellaneous Transmission Expense</t>
  </si>
  <si>
    <t>Station Equipment</t>
  </si>
  <si>
    <t>Overhead Lines</t>
  </si>
  <si>
    <t>Underground Lines</t>
  </si>
  <si>
    <t>Service Miscellaneous</t>
  </si>
  <si>
    <t>TOTAL TRANSMISSION OPERATING EXP</t>
  </si>
  <si>
    <t>Depreciation Expense-Production</t>
  </si>
  <si>
    <t>Depreciation Expense-Transmission</t>
  </si>
  <si>
    <t>Amortization Expense-Franchises/Misc Intangibles</t>
  </si>
  <si>
    <t>Amortization of Investment in WNP3 Exch Power</t>
  </si>
  <si>
    <t>Amort of Acq Adj--Colstrip Common AFUDC</t>
  </si>
  <si>
    <t>Amortization of Lancaster Generation</t>
  </si>
  <si>
    <t>Amortization of Spokane River Relicense</t>
  </si>
  <si>
    <t>Amortization of CDA CDR Fund</t>
  </si>
  <si>
    <t>Amortization of ID DSIT</t>
  </si>
  <si>
    <t>Amortization of CNC Transmission</t>
  </si>
  <si>
    <t>Amortization of Wartsila Generators</t>
  </si>
  <si>
    <t>Amortization of CDA Settlement - Allocated</t>
  </si>
  <si>
    <t>Amortization of CDA Settlement - Direct</t>
  </si>
  <si>
    <t>Optional Renewable Power Revenue Offset</t>
  </si>
  <si>
    <t>Amortization of Dissallowed K.F. Plant</t>
  </si>
  <si>
    <t>Amortization of Boulder Park Write Off - Idaho</t>
  </si>
  <si>
    <t>Amortization of CS2 Levelized Return</t>
  </si>
  <si>
    <t>407450/407499</t>
  </si>
  <si>
    <t>Amortization of BPA Residential Exchange Credit</t>
  </si>
  <si>
    <t>Amortization of Deferred CS2 &amp; COLSTRIP O&amp;M</t>
  </si>
  <si>
    <t>Taxes Other Than FIT--Prod &amp; Trans</t>
  </si>
  <si>
    <t>TOTAL P/T DEPR/AMRT/NON-FIT TAXES</t>
  </si>
  <si>
    <t>TOTAL PRODUCTION &amp; TRANSMISSION EXPENSE</t>
  </si>
  <si>
    <t>DISTRIBUTION EXPENSES:</t>
  </si>
  <si>
    <t>OPERATION:</t>
  </si>
  <si>
    <t>Underground Line Expense</t>
  </si>
  <si>
    <t>Street Light &amp; Signal System Operation Expense</t>
  </si>
  <si>
    <t>Meter Expense</t>
  </si>
  <si>
    <t>Customer Installations Expense</t>
  </si>
  <si>
    <t>Miscellaneous Distribution Expense</t>
  </si>
  <si>
    <t>MAINTENANCE:</t>
  </si>
  <si>
    <t>Line Transformers</t>
  </si>
  <si>
    <t>Street Light &amp; Signal System Maintenance Exp</t>
  </si>
  <si>
    <t>Meters</t>
  </si>
  <si>
    <t>TOTAL DISTRIBUTION OPERATING EXP</t>
  </si>
  <si>
    <t>Depreciation Expense-Distribution</t>
  </si>
  <si>
    <t>Taxes Other Than FIT--Distribution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</si>
  <si>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</si>
  <si>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</si>
  <si>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</si>
  <si>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</si>
  <si>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</si>
  <si>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</si>
  <si>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</si>
  <si>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</si>
  <si>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</si>
  <si>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</si>
  <si>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</si>
  <si>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</si>
  <si>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</si>
  <si>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</si>
  <si>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</si>
  <si>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</si>
  <si>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</si>
  <si>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</si>
  <si>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</si>
  <si>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</si>
  <si>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</si>
  <si>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</si>
  <si>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</si>
  <si>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 Transferred--Credit</t>
  </si>
  <si>
    <t>Outside Services Employed</t>
  </si>
  <si>
    <t>Property Insurance Premium</t>
  </si>
  <si>
    <t>925XXX</t>
  </si>
  <si>
    <t>Injuries and Damages</t>
  </si>
  <si>
    <t>926XXX</t>
  </si>
  <si>
    <t>Employee Pensions and Benefits</t>
  </si>
  <si>
    <t>Franchise Requirements</t>
  </si>
  <si>
    <t>Regulatory Commission Expenses</t>
  </si>
  <si>
    <t>Miscellaneous General Expenses</t>
  </si>
  <si>
    <t>Rents</t>
  </si>
  <si>
    <t>Maintenance of General Plant</t>
  </si>
  <si>
    <t>TOTAL ADMIN &amp; GEN OPERATING EXP</t>
  </si>
  <si>
    <t>Depreciation Expense-General</t>
  </si>
  <si>
    <t>Amortization Expense-General Plant - 303000</t>
  </si>
  <si>
    <t>Amortization Expense-Miscellaneous IT Intangible</t>
  </si>
  <si>
    <t>Amortization Expense-General Plant - 390200, 396200</t>
  </si>
  <si>
    <t>TOTAL A&amp;G DEPR/AMRT/NON-FIT TAXES</t>
  </si>
  <si>
    <t>TOTAL ADMIN &amp; GENERAL EXPENSES</t>
  </si>
  <si>
    <t>TOTAL EXPENSES BEFORE FIT</t>
  </si>
  <si>
    <t>NET OPERATING INCOME BEFORE FIT</t>
  </si>
  <si>
    <t>FEDERAL INCOME TAX--Normal Accrual</t>
  </si>
  <si>
    <t>DEFERRED FEDERAL INCOME TAX</t>
  </si>
  <si>
    <t>AMORTIZED ITC - NOXON</t>
  </si>
  <si>
    <t>ELECTRIC NET OPERATING INCOME</t>
  </si>
  <si>
    <t>INTANGIBLE PLANT:</t>
  </si>
  <si>
    <t>Franchises &amp; Consents</t>
  </si>
  <si>
    <t>Misc Intangible Plt- (303000)</t>
  </si>
  <si>
    <t>Misc Intangible Plt-Mainframe Software (303100)</t>
  </si>
  <si>
    <t>Misc Intangible Plant-PC Software (303110)</t>
  </si>
  <si>
    <t xml:space="preserve">  TOTAL INTANGIBLE PLANT</t>
  </si>
  <si>
    <t>STEAM PRODUCTION PLANT:</t>
  </si>
  <si>
    <t>310XXX</t>
  </si>
  <si>
    <t>Land &amp; Land Rights</t>
  </si>
  <si>
    <t>311XXX</t>
  </si>
  <si>
    <t>Structures &amp; Improvements</t>
  </si>
  <si>
    <t>Generators</t>
  </si>
  <si>
    <t>Turbogenerator Units</t>
  </si>
  <si>
    <t>Accessory Electric Equipment</t>
  </si>
  <si>
    <t>Miscellaneous Power Plant Equipment</t>
  </si>
  <si>
    <t>TOTAL STEAM PRODUCTION PLANT</t>
  </si>
  <si>
    <t>HYDRAULIC PRODUCTION PLANT:</t>
  </si>
  <si>
    <t>330XXX</t>
  </si>
  <si>
    <t>331XXX</t>
  </si>
  <si>
    <t>332XXX</t>
  </si>
  <si>
    <t>Waterwheels, Turbines, &amp; Generators</t>
  </si>
  <si>
    <t>335XXX</t>
  </si>
  <si>
    <t>Roads, Railroads, &amp; Bridges</t>
  </si>
  <si>
    <t>TOTAL HYDRAULIC PRODUCTION PLANT</t>
  </si>
  <si>
    <t>OTHER PRODUCTION PLANT:</t>
  </si>
  <si>
    <t>Fuel Holders, Producers, &amp; Accessories</t>
  </si>
  <si>
    <t>Prime Movers</t>
  </si>
  <si>
    <t>TOTAL OTHER PRODUCTION PLANT</t>
  </si>
  <si>
    <t>TOTAL PRODUCTION PLANT</t>
  </si>
  <si>
    <t>TRANSMISSION PLANT:</t>
  </si>
  <si>
    <t>350XXX</t>
  </si>
  <si>
    <t>352XXX</t>
  </si>
  <si>
    <t>Towers &amp; Fixtures</t>
  </si>
  <si>
    <t>Poles &amp; Fixtures</t>
  </si>
  <si>
    <t>Overhead Conductors &amp; Devices</t>
  </si>
  <si>
    <t>Underground Conduit</t>
  </si>
  <si>
    <t>Underground Conductors &amp; Devices</t>
  </si>
  <si>
    <t>Roads &amp; Trails</t>
  </si>
  <si>
    <t>TOTAL TRANSMISSION PLANT</t>
  </si>
  <si>
    <t>DISTRIBUTION PLANT:</t>
  </si>
  <si>
    <t>Land Easements</t>
  </si>
  <si>
    <t>Poles, Towers, &amp; Fixtures</t>
  </si>
  <si>
    <t>369XXX</t>
  </si>
  <si>
    <t>Services</t>
  </si>
  <si>
    <t>373XXX</t>
  </si>
  <si>
    <t>Street Light &amp; Signal Systems</t>
  </si>
  <si>
    <t>TOTAL DISTRIBUTION PLANT</t>
  </si>
  <si>
    <t>GENERAL PLANT: (From Report C-GPL)</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</si>
  <si>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</si>
  <si>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</si>
  <si>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</si>
  <si>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</si>
  <si>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</si>
  <si>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</si>
  <si>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</si>
  <si>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</si>
  <si>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</si>
  <si>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</si>
  <si>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</si>
  <si>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</si>
  <si>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</si>
  <si>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</si>
  <si>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</si>
  <si>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TOTAL PLANT IN SERVICE</t>
  </si>
  <si>
    <t>Steam Production Plant</t>
  </si>
  <si>
    <t>Hydro Production Plant</t>
  </si>
  <si>
    <t>Other Production Plant</t>
  </si>
  <si>
    <t>Transmission Plant</t>
  </si>
  <si>
    <t>Distribution Plant</t>
  </si>
  <si>
    <t>General Plant</t>
  </si>
  <si>
    <t xml:space="preserve">  TOTAL ACCUMULATED DEPRECIATION</t>
  </si>
  <si>
    <t>Production/Transmission-Franchises/Misc Intangibles</t>
  </si>
  <si>
    <t>Distribution-Franchises/Misc Intangibles</t>
  </si>
  <si>
    <t>General Plant - 303000</t>
  </si>
  <si>
    <t>Miscellaneous IT Intangible Plant -3031XX</t>
  </si>
  <si>
    <t>General Plant - 390200, 396200</t>
  </si>
  <si>
    <t xml:space="preserve">  TOTAL ACCUMULATED AMORTIZATION</t>
  </si>
  <si>
    <t>TOTAL ACCUMULATED DEPR/AMORT</t>
  </si>
  <si>
    <t>NET ELECTRIC UTILITY PLANT before DFIT</t>
  </si>
  <si>
    <t>ACCUMULATED DFIT</t>
  </si>
  <si>
    <t>ADFIT - FAS 109 Electric Plant (182310, 283170)</t>
  </si>
  <si>
    <t>ADFIT - Colstrip PCB  (283200)</t>
  </si>
  <si>
    <t>ADFIT - Electric Plant In Service  (282900)</t>
  </si>
  <si>
    <t>ADFIT - Common Plant (282900 from C-DTX)</t>
  </si>
  <si>
    <t>ADFIT - Lake CDA CDR Fund - Allocated (283324)</t>
  </si>
  <si>
    <t>ADFIT - CDA IPA Fund Deposit (283325)</t>
  </si>
  <si>
    <t>ADFIT - CDA Lake Settlement - Allocated (283382)</t>
  </si>
  <si>
    <t>ADFIT - Electric portion of Bond Redemptions (283850)</t>
  </si>
  <si>
    <t xml:space="preserve">  TOTAL ACCUMULATED DFIT</t>
  </si>
  <si>
    <t>NET ELECTRIC UTILITY PLANT</t>
  </si>
  <si>
    <t>OTHER ADJUSTMENTS</t>
  </si>
  <si>
    <t>Gain on Sale of General Office Bldg  (253850)</t>
  </si>
  <si>
    <t>ADFIT - Gain on Sale of General Office Bldg  (190850)</t>
  </si>
  <si>
    <t>Colstrip 3 AFUDC Reallocation</t>
  </si>
  <si>
    <t>Colstrip Common AFUDC  (186100)</t>
  </si>
  <si>
    <t>Colstrip Disallowed AFUDC  (111100)</t>
  </si>
  <si>
    <t>Kettle Falls Disallowed Accumulated Depr  (108030)</t>
  </si>
  <si>
    <t>ADFIT - Kettle Falls Disallowed (190420)</t>
  </si>
  <si>
    <t>Boulder Park Disallowed Plant (101050)</t>
  </si>
  <si>
    <t>Boulder Park Disallowed Accumulated Depr (108050)</t>
  </si>
  <si>
    <t>ADFIT - Boulder Park Disallowed (190040)</t>
  </si>
  <si>
    <t>Investment in WNP3 Exchange Power  (124900, 124930)</t>
  </si>
  <si>
    <t>ADFIT - WNP3 Exchange Power (283120)</t>
  </si>
  <si>
    <t>CDA Lake Settlement - WA (182382)</t>
  </si>
  <si>
    <t>CDA Lake Settlement - ID (186382)</t>
  </si>
  <si>
    <t>ADFIT - CDA Lake Settlement - Direct (283382)</t>
  </si>
  <si>
    <t>ADFIT - CDA CDR Fund - Direct (283324)</t>
  </si>
  <si>
    <t>Spokane River Relicensing (182322)</t>
  </si>
  <si>
    <t>ADFIT - Spokane River Relicensing (283322)</t>
  </si>
  <si>
    <t>Spokane River PM&amp;Es (182323)</t>
  </si>
  <si>
    <t>ADFIT - Spokane River PM&amp;Es (283323)</t>
  </si>
  <si>
    <t>Montana Riverbed Settlement (186360)</t>
  </si>
  <si>
    <t>ADFIT - Montana Riverbed Settlement (283365)</t>
  </si>
  <si>
    <t>Lancaster Generation (182312)</t>
  </si>
  <si>
    <t>ADFIT - Lancaster Generation (283312)</t>
  </si>
  <si>
    <t>Weatherization Loans - Sandpoint (124350)</t>
  </si>
  <si>
    <t>Customer Advances (252000)</t>
  </si>
  <si>
    <t>Customer Deposits (235199)</t>
  </si>
  <si>
    <t>Working Capital</t>
  </si>
  <si>
    <t>DSM Programs (186710)</t>
  </si>
  <si>
    <t>TOTAL OTHER ADJUSTMENTS</t>
  </si>
  <si>
    <t>NET RATE BASE</t>
  </si>
  <si>
    <t>Regulatory Amortization</t>
  </si>
  <si>
    <t xml:space="preserve">   Regulatory Amortization</t>
  </si>
  <si>
    <t xml:space="preserve">   Depreciation/Amortization</t>
  </si>
  <si>
    <t>Depreciation/Amortization</t>
  </si>
  <si>
    <t xml:space="preserve">Depreciation/Amortization  </t>
  </si>
  <si>
    <t>ACCUMULATED DEPRECIATION/AMORTIZATION</t>
  </si>
  <si>
    <t>DFIT</t>
  </si>
  <si>
    <t>NET PLANT AFTER DFIT</t>
  </si>
  <si>
    <t>NET PLANT BEFORE DFIT</t>
  </si>
  <si>
    <t>ACCUMULATED DEPRECIATION/AMORT</t>
  </si>
  <si>
    <t>Net Plant After DFIT</t>
  </si>
  <si>
    <t xml:space="preserve">    Debt Interest</t>
  </si>
  <si>
    <t>Interest Per Results (E-FIT-12A)</t>
  </si>
  <si>
    <t>Restate Debt Interest</t>
  </si>
  <si>
    <t>Reconciliation</t>
  </si>
  <si>
    <t>FIT Expense</t>
  </si>
  <si>
    <t>Line No. 27</t>
  </si>
  <si>
    <t>WP Ref</t>
  </si>
  <si>
    <t xml:space="preserve">Adjustment Number </t>
  </si>
  <si>
    <t>Workpaper Reference</t>
  </si>
  <si>
    <t>E-ROO</t>
  </si>
  <si>
    <t>E-DFIT</t>
  </si>
  <si>
    <t>E-DDC</t>
  </si>
  <si>
    <t xml:space="preserve">E-WC </t>
  </si>
  <si>
    <t>E-EBO</t>
  </si>
  <si>
    <t>E-ID</t>
  </si>
  <si>
    <t xml:space="preserve">E-FIT </t>
  </si>
  <si>
    <t>E-EWPC</t>
  </si>
  <si>
    <t>E-NPS</t>
  </si>
  <si>
    <t>E-RET</t>
  </si>
  <si>
    <t>E-NGL</t>
  </si>
  <si>
    <t>E-MR</t>
  </si>
  <si>
    <t>E-RDI</t>
  </si>
  <si>
    <t xml:space="preserve">Current Accrual </t>
  </si>
  <si>
    <t>Reviewed</t>
  </si>
  <si>
    <t>Other</t>
  </si>
  <si>
    <t>CF WA Elec</t>
  </si>
  <si>
    <t xml:space="preserve">All other </t>
  </si>
  <si>
    <t>R-Ttl</t>
  </si>
  <si>
    <t>Total Debt</t>
  </si>
  <si>
    <t>Totals</t>
  </si>
  <si>
    <t>FINAL</t>
  </si>
  <si>
    <t>F-Ttl</t>
  </si>
  <si>
    <t>Electric</t>
  </si>
  <si>
    <t xml:space="preserve">Adj. Net Op. Income </t>
  </si>
  <si>
    <t>Less: Interest Charges (X-FIT-12A)</t>
  </si>
  <si>
    <t>Avista Utilities</t>
  </si>
  <si>
    <t>Return on Equity</t>
  </si>
  <si>
    <t>For Rate Period 2013</t>
  </si>
  <si>
    <t>Net Utility Ratebase (AMA Basis)</t>
  </si>
  <si>
    <t>Equity Percentage</t>
  </si>
  <si>
    <t>Equity Portion of Net Ratebase</t>
  </si>
  <si>
    <t>Utility Earnings</t>
  </si>
  <si>
    <t>Utility Earnings Available for Common</t>
  </si>
  <si>
    <t>OPEN</t>
  </si>
  <si>
    <t>Ryan</t>
  </si>
  <si>
    <t>E-OSC</t>
  </si>
  <si>
    <t>Colstrip 3 AFUDC Reallocation Adj</t>
  </si>
  <si>
    <t>Amortization of BPA Parallel Capacity Support</t>
  </si>
  <si>
    <t>Amortization of CDA Settlement Costs</t>
  </si>
  <si>
    <t>Amortization of WA Renewable Energy Credits</t>
  </si>
  <si>
    <t>Amortization of CS2 &amp; COLSTRIP O&amp;M</t>
  </si>
  <si>
    <t>Amortization of LiDAR O&amp;M</t>
  </si>
  <si>
    <t>Amortization of Wind Generation</t>
  </si>
  <si>
    <t>Amortization of Deferred LiDAR O&amp;M</t>
  </si>
  <si>
    <t>Optional Renew Solar Project Offset</t>
  </si>
  <si>
    <t>Def Palouse Wind &amp; Thornton Sw St</t>
  </si>
  <si>
    <t>CDA Lake CDR Fund - Allocated</t>
  </si>
  <si>
    <t>CDA Lake IPA Fund</t>
  </si>
  <si>
    <t>CDA Settlement Costs</t>
  </si>
  <si>
    <t>CDA Settlement Past Storage</t>
  </si>
  <si>
    <t>Generators - Solar</t>
  </si>
  <si>
    <t>Accessory Electric Equipment - Solar</t>
  </si>
  <si>
    <t>ADFIT - Common Plant (283750 from C-DTX)</t>
  </si>
  <si>
    <t>ADFIT - CDA Settlement Costs (283333)</t>
  </si>
  <si>
    <t>Kettle Falls Disallowed Plant  (101030)</t>
  </si>
  <si>
    <t>CDA CDR Fund - Direct (182324)</t>
  </si>
  <si>
    <t>CB</t>
  </si>
  <si>
    <t>FIT/DFIT</t>
  </si>
  <si>
    <t xml:space="preserve">Weather </t>
  </si>
  <si>
    <t>E-CBPS</t>
  </si>
  <si>
    <t xml:space="preserve">    CB Restated Total</t>
  </si>
  <si>
    <t>Actual Cost of Capital AMA 6/30/2013</t>
  </si>
  <si>
    <t>Cap Structure</t>
  </si>
  <si>
    <t>WASHINGTON ELECTRIC RESULTS  -CBR</t>
  </si>
  <si>
    <t>Uncollectible</t>
  </si>
  <si>
    <t>Miscellaneous</t>
  </si>
  <si>
    <t>Amortization of Colstrip Outage Return</t>
  </si>
  <si>
    <t>E-UE</t>
  </si>
  <si>
    <t>E-RE</t>
  </si>
  <si>
    <t>Tara</t>
  </si>
  <si>
    <t>Adder</t>
  </si>
  <si>
    <t>Schedules</t>
  </si>
  <si>
    <t>E-EAS</t>
  </si>
  <si>
    <t>E-WN</t>
  </si>
  <si>
    <t>(Total Restate Debt)</t>
  </si>
  <si>
    <t xml:space="preserve">RATE OF RETURN </t>
  </si>
  <si>
    <t>E-PT</t>
  </si>
  <si>
    <t>Provision for Rate Refund</t>
  </si>
  <si>
    <t>Energy Storage Equipment</t>
  </si>
  <si>
    <t>Amortization of BPA Settlement</t>
  </si>
  <si>
    <t>Idaho Earnings Test Amortization</t>
  </si>
  <si>
    <t>Misc Intangible Plant- (C-IPL)</t>
  </si>
  <si>
    <t>Misc Intangible Plant-Mainframe Software (C-IPL)</t>
  </si>
  <si>
    <t>Misc Intangible Plant-PC Software (C-IPL)</t>
  </si>
  <si>
    <t>Energy Storage Eq/Computer Software</t>
  </si>
  <si>
    <t xml:space="preserve"> </t>
  </si>
  <si>
    <t>TWELVE MONTHS ENDED DECEMBER 31, 2014</t>
  </si>
  <si>
    <t>CB AMA 12/31/2014</t>
  </si>
  <si>
    <t>Actual Cost of Capital AMA 12/31/2014</t>
  </si>
  <si>
    <t>Annette</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</si>
</sst>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numFmt numFmtId="167" formatCode="_(&quot;$&quot;#,###_);_(&quot;$&quot;\ \(#,###\);_(* _);_(@_)"/>
    <numFmt numFmtId="168" formatCode="0.000000"/>
    <numFmt numFmtId="169" formatCode="0.000%"/>
    <numFmt numFmtId="170" formatCode="_(* #,##0_);_(* \(#,##0\);_(* &quot;-&quot;??_);_(@_)"/>
    <numFmt numFmtId="171" formatCode="&quot;x &quot;0.00"/>
    <numFmt numFmtId="172" formatCode="&quot;x &quot;0.000"/>
    <numFmt numFmtId="173" formatCode="0.00000"/>
    <numFmt numFmtId="174" formatCode="#,###.0_);\(#,###.0\)"/>
    <numFmt numFmtId="175" formatCode="0000.00"/>
    <numFmt numFmtId="176" formatCode="0000"/>
    <numFmt numFmtId="178" formatCode="_(&quot;$&quot;* #,##0_);_(&quot;$&quot;* \(#,##0\);_(&quot;$&quot;* &quot;-&quot;??_);_(@_)"/>
  </numFmts>
  <fonts count="57">
    <font>
      <sz val="10"/>
      <name val="Arial"/>
    </font>
    <font>
      <sz val="10"/>
      <name val="Arial"/>
      <family val="2"/>
    </font>
    <font>
      <sz val="10"/>
      <name val="Geneva"/>
      <family val="2"/>
    </font>
    <font>
      <sz val="9"/>
      <name val="Times New Roman"/>
      <family val="1"/>
    </font>
    <font>
      <b/>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name val="Courier New"/>
      <family val="3"/>
    </font>
    <font>
      <b/>
      <sz val="9"/>
      <color indexed="20"/>
      <name val="Times New Roman"/>
      <family val="1"/>
    </font>
    <font>
      <sz val="9"/>
      <color indexed="20"/>
      <name val="Times New Roman"/>
      <family val="1"/>
    </font>
    <font>
      <i/>
      <sz val="10"/>
      <name val="Times New Roman"/>
      <family val="1"/>
    </font>
    <font>
      <b/>
      <sz val="10"/>
      <color indexed="12"/>
      <name val="Times New Roman"/>
      <family val="1"/>
    </font>
    <font>
      <sz val="10"/>
      <color indexed="57"/>
      <name val="Times New Roman"/>
      <family val="1"/>
    </font>
    <font>
      <sz val="10"/>
      <color indexed="12"/>
      <name val="Times New Roman"/>
      <family val="1"/>
    </font>
    <font>
      <b/>
      <sz val="9"/>
      <name val="Courier New"/>
      <family val="3"/>
    </font>
    <font>
      <sz val="10"/>
      <color indexed="21"/>
      <name val="Times New Roman"/>
      <family val="1"/>
    </font>
    <font>
      <sz val="10"/>
      <color indexed="10"/>
      <name val="Times New Roman"/>
      <family val="1"/>
    </font>
    <font>
      <b/>
      <u/>
      <sz val="10"/>
      <name val="Times New Roman"/>
      <family val="1"/>
    </font>
    <font>
      <b/>
      <i/>
      <sz val="10"/>
      <name val="Times New Roman"/>
      <family val="1"/>
    </font>
    <font>
      <sz val="10"/>
      <color indexed="48"/>
      <name val="Times New Roman"/>
      <family val="1"/>
    </font>
    <font>
      <sz val="10"/>
      <color indexed="17"/>
      <name val="Times New Roman"/>
      <family val="1"/>
    </font>
    <font>
      <sz val="8"/>
      <color indexed="81"/>
      <name val="Tahoma"/>
      <family val="2"/>
    </font>
    <font>
      <b/>
      <sz val="8"/>
      <color indexed="81"/>
      <name val="Tahoma"/>
      <family val="2"/>
    </font>
    <font>
      <b/>
      <sz val="8"/>
      <color indexed="10"/>
      <name val="Times New Roman"/>
      <family val="1"/>
    </font>
    <font>
      <b/>
      <sz val="10"/>
      <color indexed="10"/>
      <name val="Times New Roman"/>
      <family val="1"/>
    </font>
    <font>
      <u/>
      <sz val="10"/>
      <color indexed="12"/>
      <name val="Times New Roman"/>
      <family val="1"/>
    </font>
    <font>
      <sz val="12"/>
      <name val="Times New Roman"/>
      <family val="1"/>
    </font>
    <font>
      <b/>
      <sz val="10"/>
      <color indexed="81"/>
      <name val="Tahoma"/>
      <family val="2"/>
    </font>
    <font>
      <u/>
      <sz val="10"/>
      <color indexed="10"/>
      <name val="Times New Roman"/>
      <family val="1"/>
    </font>
    <font>
      <sz val="10"/>
      <color indexed="10"/>
      <name val="Times New Roman"/>
      <family val="1"/>
    </font>
    <font>
      <i/>
      <sz val="10"/>
      <color indexed="10"/>
      <name val="Times New Roman"/>
      <family val="1"/>
    </font>
    <font>
      <u/>
      <sz val="7.5"/>
      <color theme="0"/>
      <name val="Arial"/>
      <family val="2"/>
    </font>
    <font>
      <sz val="10"/>
      <color rgb="FFFF0000"/>
      <name val="Times New Roman"/>
      <family val="1"/>
    </font>
    <font>
      <b/>
      <sz val="9"/>
      <color rgb="FFC00000"/>
      <name val="Times New Roman"/>
      <family val="1"/>
    </font>
    <font>
      <sz val="12"/>
      <color indexed="10"/>
      <name val="Times New Roman"/>
      <family val="1"/>
    </font>
    <font>
      <b/>
      <sz val="9"/>
      <color rgb="FF0033CC"/>
      <name val="Times New Roman"/>
      <family val="1"/>
    </font>
    <font>
      <sz val="9"/>
      <color rgb="FF0033CC"/>
      <name val="Times New Roman"/>
      <family val="1"/>
    </font>
    <font>
      <sz val="11"/>
      <name val="Tms Rmn"/>
    </font>
    <font>
      <sz val="9"/>
      <color indexed="81"/>
      <name val="Tahoma"/>
      <family val="2"/>
    </font>
    <font>
      <i/>
      <sz val="10"/>
      <color rgb="FFFF0000"/>
      <name val="Times New Roman"/>
      <family val="1"/>
    </font>
    <font>
      <sz val="10"/>
      <color rgb="FFC00000"/>
      <name val="Times New Roman"/>
      <family val="1"/>
    </font>
    <font>
      <i/>
      <sz val="8"/>
      <name val="Times New Roman"/>
      <family val="1"/>
    </font>
    <font>
      <b/>
      <sz val="14"/>
      <name val="Times New Roman"/>
      <family val="1"/>
    </font>
    <font>
      <sz val="10"/>
      <color indexed="12"/>
      <name val="Arial"/>
      <family val="2"/>
    </font>
    <font>
      <sz val="9"/>
      <color rgb="FFC00000"/>
      <name val="Times New Roman"/>
      <family val="1"/>
    </font>
    <font>
      <sz val="10"/>
      <name val="Tahoma"/>
      <family val="2"/>
    </font>
    <font>
      <b/>
      <i/>
      <sz val="10"/>
      <color rgb="FFFF0000"/>
      <name val="Times New Roman"/>
      <family val="1"/>
    </font>
    <font>
      <u/>
      <sz val="10"/>
      <color rgb="FFFF0000"/>
      <name val="Times New Roman"/>
      <family val="1"/>
    </font>
    <font>
      <b/>
      <sz val="11"/>
      <name val="Times New Roman"/>
      <family val="1"/>
    </font>
    <font>
      <sz val="9"/>
      <color rgb="FFFF0000"/>
      <name val="Times New Roman"/>
      <family val="1"/>
    </font>
    <font>
      <b/>
      <sz val="9"/>
      <color rgb="FFFF0000"/>
      <name val="Times New Roman"/>
      <family val="1"/>
    </font>
    <font>
      <sz val="12"/>
      <name val="Tms Rmn"/>
    </font>
    <font>
      <sz val="9"/>
      <color theme="3"/>
      <name val="Times New Roman"/>
      <family val="1"/>
    </font>
    <font>
      <b/>
      <sz val="9"/>
      <color theme="3"/>
      <name val="Times New Roman"/>
      <family val="1"/>
    </font>
    <font>
      <b/>
      <u/>
      <sz val="10"/>
      <color indexed="62"/>
      <name val="Times New Roman"/>
      <family val="1"/>
    </font>
  </fonts>
  <fills count="10">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1" fillId="0" borderId="0" applyFont="0" applyFill="0" applyBorder="0" applyAlignment="0" applyProtection="0"/>
    <xf numFmtId="0" fontId="28" fillId="0" borderId="0"/>
    <xf numFmtId="0" fontId="36" fillId="4" borderId="0"/>
    <xf numFmtId="37" fontId="28" fillId="0" borderId="0"/>
    <xf numFmtId="43" fontId="47" fillId="0" borderId="0" applyFont="0" applyFill="0" applyBorder="0" applyAlignment="0" applyProtection="0"/>
  </cellStyleXfs>
  <cellXfs count="537">
    <xf numFmtId="0" fontId="0" fillId="0" borderId="0" xfId="0"/>
    <xf numFmtId="0" fontId="3" fillId="0" borderId="0" xfId="12" applyNumberFormat="1" applyFont="1" applyAlignment="1">
      <alignment horizontal="left"/>
    </xf>
    <xf numFmtId="0" fontId="3" fillId="0" borderId="0" xfId="12" applyFont="1"/>
    <xf numFmtId="0" fontId="3" fillId="0" borderId="0" xfId="12" applyNumberFormat="1" applyFont="1" applyAlignment="1">
      <alignment horizontal="center"/>
    </xf>
    <xf numFmtId="0" fontId="4" fillId="0" borderId="0" xfId="12" applyNumberFormat="1" applyFont="1" applyAlignment="1">
      <alignment horizontal="center"/>
    </xf>
    <xf numFmtId="0" fontId="4" fillId="0" borderId="0" xfId="12" applyFont="1" applyAlignment="1">
      <alignment horizontal="center"/>
    </xf>
    <xf numFmtId="3" fontId="4" fillId="0" borderId="0" xfId="12" applyNumberFormat="1" applyFont="1" applyFill="1" applyBorder="1" applyAlignment="1">
      <alignment horizontal="center"/>
    </xf>
    <xf numFmtId="0" fontId="4" fillId="0" borderId="1" xfId="12" applyNumberFormat="1" applyFont="1" applyBorder="1" applyAlignment="1">
      <alignment horizontal="center"/>
    </xf>
    <xf numFmtId="0" fontId="4" fillId="0" borderId="2" xfId="12" applyFont="1" applyBorder="1" applyAlignment="1">
      <alignment horizontal="center"/>
    </xf>
    <xf numFmtId="0" fontId="4" fillId="0" borderId="3" xfId="12" applyFont="1" applyBorder="1" applyAlignment="1">
      <alignment horizontal="center"/>
    </xf>
    <xf numFmtId="0" fontId="4" fillId="0" borderId="5" xfId="12" applyNumberFormat="1" applyFont="1" applyBorder="1" applyAlignment="1">
      <alignment horizontal="center"/>
    </xf>
    <xf numFmtId="0" fontId="4" fillId="0" borderId="6" xfId="12" applyFont="1" applyBorder="1" applyAlignment="1">
      <alignment horizontal="center"/>
    </xf>
    <xf numFmtId="0" fontId="4" fillId="0" borderId="0" xfId="12" applyFont="1" applyBorder="1" applyAlignment="1">
      <alignment horizontal="center"/>
    </xf>
    <xf numFmtId="0" fontId="4" fillId="0" borderId="8" xfId="12" applyNumberFormat="1" applyFont="1" applyBorder="1" applyAlignment="1">
      <alignment horizontal="center"/>
    </xf>
    <xf numFmtId="0" fontId="4" fillId="0" borderId="9" xfId="12" applyFont="1" applyBorder="1" applyAlignment="1">
      <alignment horizontal="center"/>
    </xf>
    <xf numFmtId="0" fontId="4" fillId="0" borderId="10" xfId="12" applyFont="1" applyBorder="1" applyAlignment="1">
      <alignment horizontal="center"/>
    </xf>
    <xf numFmtId="37" fontId="3" fillId="0" borderId="0" xfId="12" applyNumberFormat="1" applyFont="1" applyAlignment="1">
      <alignment horizontal="center"/>
    </xf>
    <xf numFmtId="5" fontId="3" fillId="0" borderId="0" xfId="12" applyNumberFormat="1" applyFont="1"/>
    <xf numFmtId="37" fontId="3" fillId="0" borderId="0" xfId="12" applyNumberFormat="1" applyFont="1"/>
    <xf numFmtId="167" fontId="3" fillId="0" borderId="0" xfId="10" applyNumberFormat="1" applyFont="1" applyFill="1" applyBorder="1"/>
    <xf numFmtId="3" fontId="3" fillId="0" borderId="0" xfId="9" applyNumberFormat="1" applyFont="1" applyAlignment="1">
      <alignment horizontal="center"/>
    </xf>
    <xf numFmtId="1" fontId="3" fillId="0" borderId="0" xfId="9" applyNumberFormat="1" applyFont="1" applyAlignment="1">
      <alignment horizontal="center"/>
    </xf>
    <xf numFmtId="0" fontId="6" fillId="0" borderId="0" xfId="0" applyFont="1"/>
    <xf numFmtId="0" fontId="7" fillId="0" borderId="0" xfId="0" applyFont="1" applyAlignment="1">
      <alignment horizontal="center"/>
    </xf>
    <xf numFmtId="0" fontId="6" fillId="0" borderId="0" xfId="0" applyFont="1" applyBorder="1"/>
    <xf numFmtId="0" fontId="7" fillId="0" borderId="0" xfId="0" applyFont="1" applyBorder="1" applyAlignment="1">
      <alignment horizontal="center"/>
    </xf>
    <xf numFmtId="0" fontId="6" fillId="0" borderId="0" xfId="0" applyFont="1" applyAlignment="1">
      <alignment horizontal="center"/>
    </xf>
    <xf numFmtId="0" fontId="6" fillId="0" borderId="10" xfId="0" applyFont="1" applyBorder="1" applyAlignment="1">
      <alignment horizontal="center"/>
    </xf>
    <xf numFmtId="5" fontId="6" fillId="0" borderId="0" xfId="0" applyNumberFormat="1" applyFont="1" applyBorder="1"/>
    <xf numFmtId="3" fontId="6" fillId="0" borderId="0" xfId="0" applyNumberFormat="1" applyFont="1"/>
    <xf numFmtId="5" fontId="6" fillId="0" borderId="0" xfId="0" applyNumberFormat="1" applyFont="1"/>
    <xf numFmtId="0" fontId="6" fillId="0" borderId="0" xfId="0" applyFont="1" applyFill="1" applyAlignment="1">
      <alignment horizontal="center"/>
    </xf>
    <xf numFmtId="0" fontId="8" fillId="0" borderId="0" xfId="0" applyFont="1" applyAlignment="1">
      <alignment horizontal="center"/>
    </xf>
    <xf numFmtId="0" fontId="14" fillId="0" borderId="0" xfId="0" applyFont="1"/>
    <xf numFmtId="0" fontId="15" fillId="0" borderId="0" xfId="0" applyFont="1"/>
    <xf numFmtId="0" fontId="16" fillId="0" borderId="0" xfId="0" applyFont="1" applyAlignment="1">
      <alignment horizontal="centerContinuous"/>
    </xf>
    <xf numFmtId="0" fontId="6" fillId="0" borderId="0" xfId="0" applyFont="1" applyAlignment="1">
      <alignment horizontal="left"/>
    </xf>
    <xf numFmtId="0" fontId="6" fillId="0" borderId="10" xfId="0" applyFont="1" applyBorder="1" applyAlignment="1">
      <alignment horizontal="left"/>
    </xf>
    <xf numFmtId="9" fontId="6" fillId="0" borderId="0" xfId="0" applyNumberFormat="1" applyFont="1" applyAlignment="1">
      <alignment horizontal="left"/>
    </xf>
    <xf numFmtId="0" fontId="6" fillId="0" borderId="0" xfId="0" applyFont="1" applyBorder="1" applyAlignment="1">
      <alignment horizontal="left"/>
    </xf>
    <xf numFmtId="3" fontId="6" fillId="0" borderId="0" xfId="11" applyNumberFormat="1" applyFont="1" applyAlignment="1">
      <alignment horizontal="centerContinuous"/>
    </xf>
    <xf numFmtId="0" fontId="6" fillId="0" borderId="0" xfId="11" applyFont="1" applyAlignment="1">
      <alignment horizontal="centerContinuous"/>
    </xf>
    <xf numFmtId="3" fontId="6" fillId="0" borderId="0" xfId="11" applyNumberFormat="1" applyFont="1"/>
    <xf numFmtId="3" fontId="6" fillId="0" borderId="0" xfId="11" applyNumberFormat="1" applyFont="1" applyBorder="1" applyAlignment="1">
      <alignment horizontal="centerContinuous"/>
    </xf>
    <xf numFmtId="0" fontId="6" fillId="0" borderId="0" xfId="11" applyFont="1" applyBorder="1" applyAlignment="1">
      <alignment horizontal="centerContinuous"/>
    </xf>
    <xf numFmtId="0" fontId="6" fillId="0" borderId="0" xfId="11" applyFont="1"/>
    <xf numFmtId="3" fontId="6" fillId="0" borderId="0" xfId="11" applyNumberFormat="1" applyFont="1" applyAlignment="1">
      <alignment horizontal="center"/>
    </xf>
    <xf numFmtId="0" fontId="6" fillId="0" borderId="0" xfId="11" applyFont="1" applyAlignment="1">
      <alignment horizontal="center"/>
    </xf>
    <xf numFmtId="3" fontId="6" fillId="0" borderId="10" xfId="11" applyNumberFormat="1" applyFont="1" applyBorder="1" applyAlignment="1">
      <alignment horizontal="center"/>
    </xf>
    <xf numFmtId="164" fontId="6" fillId="0" borderId="0" xfId="11" applyNumberFormat="1" applyFont="1"/>
    <xf numFmtId="164" fontId="6" fillId="0" borderId="3" xfId="11" applyNumberFormat="1" applyFont="1" applyBorder="1"/>
    <xf numFmtId="10" fontId="6" fillId="0" borderId="0" xfId="11" applyNumberFormat="1" applyFont="1"/>
    <xf numFmtId="171" fontId="6" fillId="0" borderId="0" xfId="11" applyNumberFormat="1" applyFont="1"/>
    <xf numFmtId="172" fontId="6" fillId="0" borderId="10" xfId="11" applyNumberFormat="1" applyFont="1" applyBorder="1"/>
    <xf numFmtId="164" fontId="6" fillId="0" borderId="0" xfId="11" applyNumberFormat="1" applyFont="1" applyAlignment="1">
      <alignment horizontal="center"/>
    </xf>
    <xf numFmtId="3" fontId="6" fillId="0" borderId="0" xfId="11" applyNumberFormat="1" applyFont="1" applyBorder="1"/>
    <xf numFmtId="10" fontId="6" fillId="0" borderId="3" xfId="11" applyNumberFormat="1" applyFont="1" applyBorder="1"/>
    <xf numFmtId="169" fontId="6" fillId="0" borderId="0" xfId="14" applyNumberFormat="1" applyFont="1"/>
    <xf numFmtId="169" fontId="6" fillId="0" borderId="0" xfId="11" applyNumberFormat="1" applyFont="1"/>
    <xf numFmtId="169" fontId="6" fillId="0" borderId="3" xfId="11" applyNumberFormat="1" applyFont="1" applyBorder="1"/>
    <xf numFmtId="10" fontId="6" fillId="0" borderId="0" xfId="11" applyNumberFormat="1" applyFont="1" applyBorder="1"/>
    <xf numFmtId="3" fontId="18" fillId="0" borderId="0" xfId="11" applyNumberFormat="1" applyFont="1"/>
    <xf numFmtId="0" fontId="12" fillId="0" borderId="0" xfId="11" applyFont="1"/>
    <xf numFmtId="10" fontId="12" fillId="0" borderId="0" xfId="11" applyNumberFormat="1" applyFont="1"/>
    <xf numFmtId="164" fontId="6" fillId="0" borderId="17" xfId="11" applyNumberFormat="1" applyFont="1" applyBorder="1"/>
    <xf numFmtId="3" fontId="6" fillId="0" borderId="0" xfId="11" applyNumberFormat="1" applyFont="1" applyAlignment="1">
      <alignment horizontal="left"/>
    </xf>
    <xf numFmtId="164" fontId="6" fillId="0" borderId="0" xfId="11" applyNumberFormat="1" applyFont="1" applyFill="1"/>
    <xf numFmtId="10" fontId="6" fillId="0" borderId="0" xfId="11" applyNumberFormat="1" applyFont="1" applyFill="1"/>
    <xf numFmtId="3" fontId="6" fillId="0" borderId="0" xfId="11" applyNumberFormat="1" applyFont="1" applyFill="1" applyBorder="1"/>
    <xf numFmtId="164" fontId="6" fillId="0" borderId="3" xfId="11" applyNumberFormat="1" applyFont="1" applyFill="1" applyBorder="1"/>
    <xf numFmtId="10" fontId="6" fillId="0" borderId="3" xfId="11" applyNumberFormat="1" applyFont="1" applyFill="1" applyBorder="1"/>
    <xf numFmtId="3" fontId="6" fillId="0" borderId="0" xfId="11" applyNumberFormat="1" applyFont="1" applyFill="1"/>
    <xf numFmtId="169" fontId="6" fillId="0" borderId="0" xfId="14" applyNumberFormat="1" applyFont="1" applyFill="1"/>
    <xf numFmtId="169" fontId="6" fillId="0" borderId="0" xfId="11" applyNumberFormat="1" applyFont="1" applyFill="1"/>
    <xf numFmtId="169" fontId="6" fillId="0" borderId="3" xfId="11" applyNumberFormat="1" applyFont="1" applyFill="1" applyBorder="1"/>
    <xf numFmtId="37" fontId="3" fillId="0" borderId="0" xfId="12" applyNumberFormat="1" applyFont="1" applyBorder="1"/>
    <xf numFmtId="0" fontId="12" fillId="0" borderId="0" xfId="0" applyFont="1"/>
    <xf numFmtId="168" fontId="7" fillId="0" borderId="0" xfId="0" applyNumberFormat="1" applyFont="1"/>
    <xf numFmtId="168" fontId="6" fillId="0" borderId="0" xfId="0" applyNumberFormat="1" applyFont="1"/>
    <xf numFmtId="10" fontId="21" fillId="0" borderId="0" xfId="0" applyNumberFormat="1" applyFont="1"/>
    <xf numFmtId="0" fontId="7" fillId="0" borderId="0" xfId="0" applyFont="1" applyAlignment="1">
      <alignment horizontal="centerContinuous"/>
    </xf>
    <xf numFmtId="170" fontId="6" fillId="0" borderId="0" xfId="1" applyNumberFormat="1" applyFont="1"/>
    <xf numFmtId="170" fontId="7" fillId="0" borderId="0" xfId="1" applyNumberFormat="1" applyFont="1" applyAlignment="1">
      <alignment horizontal="center"/>
    </xf>
    <xf numFmtId="0" fontId="7" fillId="0" borderId="10" xfId="0" applyFont="1" applyBorder="1" applyAlignment="1">
      <alignment horizontal="center"/>
    </xf>
    <xf numFmtId="0" fontId="7" fillId="0" borderId="0" xfId="0" applyFont="1"/>
    <xf numFmtId="170" fontId="6" fillId="0" borderId="0" xfId="1" applyNumberFormat="1" applyFont="1" applyBorder="1"/>
    <xf numFmtId="170" fontId="6" fillId="0" borderId="10" xfId="1" applyNumberFormat="1" applyFont="1" applyBorder="1"/>
    <xf numFmtId="0" fontId="22" fillId="0" borderId="0" xfId="0" applyFont="1"/>
    <xf numFmtId="0" fontId="20" fillId="0" borderId="0" xfId="0" applyFont="1" applyAlignment="1">
      <alignment horizontal="centerContinuous"/>
    </xf>
    <xf numFmtId="0" fontId="20" fillId="0" borderId="0" xfId="0" applyFont="1" applyBorder="1" applyAlignment="1">
      <alignment horizontal="center"/>
    </xf>
    <xf numFmtId="0" fontId="20" fillId="0" borderId="10" xfId="0" applyFont="1" applyBorder="1" applyAlignment="1">
      <alignment horizontal="center"/>
    </xf>
    <xf numFmtId="168" fontId="12" fillId="0" borderId="0" xfId="0" applyNumberFormat="1" applyFont="1"/>
    <xf numFmtId="168" fontId="12" fillId="0" borderId="0" xfId="0" applyNumberFormat="1" applyFont="1" applyBorder="1"/>
    <xf numFmtId="168" fontId="12" fillId="0" borderId="12" xfId="0" applyNumberFormat="1" applyFont="1" applyBorder="1"/>
    <xf numFmtId="168" fontId="12" fillId="0" borderId="10" xfId="0" applyNumberFormat="1" applyFont="1" applyBorder="1"/>
    <xf numFmtId="3" fontId="15" fillId="0" borderId="0" xfId="11" applyNumberFormat="1" applyFont="1"/>
    <xf numFmtId="164" fontId="15" fillId="0" borderId="0" xfId="11" applyNumberFormat="1" applyFont="1"/>
    <xf numFmtId="10" fontId="7" fillId="0" borderId="0" xfId="0" applyNumberFormat="1" applyFont="1" applyBorder="1" applyAlignment="1">
      <alignment horizontal="left"/>
    </xf>
    <xf numFmtId="37" fontId="6" fillId="0" borderId="0" xfId="11" applyNumberFormat="1" applyFont="1" applyAlignment="1">
      <alignment horizontal="right"/>
    </xf>
    <xf numFmtId="37" fontId="3" fillId="0" borderId="0" xfId="12" applyNumberFormat="1" applyFont="1" applyFill="1"/>
    <xf numFmtId="10" fontId="3" fillId="0" borderId="0" xfId="14" applyNumberFormat="1" applyFont="1" applyFill="1"/>
    <xf numFmtId="3" fontId="3" fillId="0" borderId="0" xfId="12" applyNumberFormat="1" applyFont="1" applyFill="1" applyBorder="1"/>
    <xf numFmtId="0" fontId="26" fillId="0" borderId="0" xfId="11" applyFont="1"/>
    <xf numFmtId="0" fontId="18" fillId="0" borderId="0" xfId="0" applyFont="1"/>
    <xf numFmtId="0" fontId="18" fillId="0" borderId="0" xfId="0" applyFont="1" applyAlignment="1">
      <alignment horizontal="left"/>
    </xf>
    <xf numFmtId="0" fontId="15" fillId="0" borderId="0" xfId="0" applyFont="1" applyAlignment="1">
      <alignment horizontal="left"/>
    </xf>
    <xf numFmtId="0" fontId="15" fillId="0" borderId="0" xfId="0" applyFont="1" applyBorder="1"/>
    <xf numFmtId="0" fontId="13" fillId="0" borderId="0" xfId="0" applyFont="1" applyAlignment="1">
      <alignment horizontal="center"/>
    </xf>
    <xf numFmtId="170" fontId="6" fillId="0" borderId="13" xfId="1" applyNumberFormat="1" applyFont="1" applyBorder="1"/>
    <xf numFmtId="3" fontId="25" fillId="0" borderId="0" xfId="11" applyNumberFormat="1" applyFont="1"/>
    <xf numFmtId="0" fontId="6" fillId="0" borderId="0" xfId="0" applyFont="1" applyFill="1" applyBorder="1"/>
    <xf numFmtId="3" fontId="15" fillId="0" borderId="10" xfId="11" applyNumberFormat="1" applyFont="1" applyBorder="1"/>
    <xf numFmtId="0" fontId="7" fillId="0" borderId="0" xfId="0" applyFont="1" applyFill="1"/>
    <xf numFmtId="10" fontId="18" fillId="0" borderId="0" xfId="0" applyNumberFormat="1" applyFont="1" applyFill="1"/>
    <xf numFmtId="10" fontId="6" fillId="0" borderId="0" xfId="0" applyNumberFormat="1" applyFont="1"/>
    <xf numFmtId="3" fontId="7" fillId="0" borderId="0" xfId="11" applyNumberFormat="1" applyFont="1"/>
    <xf numFmtId="0" fontId="6" fillId="0" borderId="0" xfId="0" applyFont="1" applyFill="1"/>
    <xf numFmtId="10" fontId="6" fillId="0" borderId="0" xfId="14" applyNumberFormat="1" applyFont="1"/>
    <xf numFmtId="3" fontId="15" fillId="0" borderId="0" xfId="0" applyNumberFormat="1" applyFont="1" applyFill="1"/>
    <xf numFmtId="0" fontId="18" fillId="0" borderId="0" xfId="0" applyFont="1" applyFill="1"/>
    <xf numFmtId="0" fontId="18" fillId="0" borderId="0" xfId="0" applyFont="1" applyFill="1" applyAlignment="1">
      <alignment horizontal="left"/>
    </xf>
    <xf numFmtId="0" fontId="6" fillId="0" borderId="0" xfId="0" applyFont="1" applyFill="1" applyAlignment="1">
      <alignment horizontal="left"/>
    </xf>
    <xf numFmtId="10" fontId="26" fillId="0" borderId="10" xfId="11" applyNumberFormat="1" applyFont="1" applyFill="1" applyBorder="1"/>
    <xf numFmtId="3" fontId="25" fillId="0" borderId="0" xfId="11" applyNumberFormat="1" applyFont="1" applyFill="1"/>
    <xf numFmtId="0" fontId="14" fillId="0" borderId="0" xfId="0" applyFont="1" applyFill="1"/>
    <xf numFmtId="170" fontId="6" fillId="0" borderId="0" xfId="1" applyNumberFormat="1" applyFont="1" applyFill="1" applyBorder="1"/>
    <xf numFmtId="7" fontId="6" fillId="0" borderId="0" xfId="0" applyNumberFormat="1" applyFont="1"/>
    <xf numFmtId="0" fontId="3" fillId="0" borderId="0" xfId="12" applyFont="1" applyBorder="1"/>
    <xf numFmtId="5" fontId="3" fillId="0" borderId="0" xfId="12" applyNumberFormat="1" applyFont="1" applyBorder="1"/>
    <xf numFmtId="5" fontId="6" fillId="0" borderId="18" xfId="0" applyNumberFormat="1" applyFont="1" applyBorder="1"/>
    <xf numFmtId="0" fontId="12" fillId="0" borderId="0" xfId="0" applyFont="1" applyBorder="1"/>
    <xf numFmtId="168" fontId="6" fillId="0" borderId="0" xfId="0" applyNumberFormat="1" applyFont="1" applyBorder="1"/>
    <xf numFmtId="0" fontId="15" fillId="0" borderId="0" xfId="0" applyFont="1" applyFill="1" applyBorder="1"/>
    <xf numFmtId="169" fontId="6" fillId="0" borderId="0" xfId="14" applyNumberFormat="1" applyFont="1" applyBorder="1"/>
    <xf numFmtId="37" fontId="3" fillId="0" borderId="0" xfId="12" applyNumberFormat="1" applyFont="1" applyFill="1" applyBorder="1"/>
    <xf numFmtId="0" fontId="16" fillId="0" borderId="0" xfId="0" applyFont="1" applyBorder="1" applyAlignment="1">
      <alignment horizontal="centerContinuous"/>
    </xf>
    <xf numFmtId="5" fontId="6" fillId="0" borderId="0" xfId="0" applyNumberFormat="1" applyFont="1" applyFill="1"/>
    <xf numFmtId="0" fontId="9" fillId="0" borderId="0" xfId="0" applyFont="1"/>
    <xf numFmtId="37" fontId="6" fillId="0" borderId="0" xfId="12" applyNumberFormat="1" applyFont="1" applyFill="1"/>
    <xf numFmtId="0" fontId="9" fillId="0" borderId="0" xfId="0" applyFont="1" applyBorder="1" applyAlignment="1">
      <alignment horizontal="center"/>
    </xf>
    <xf numFmtId="0" fontId="30" fillId="0" borderId="0" xfId="0" applyFont="1" applyAlignment="1">
      <alignment horizontal="center"/>
    </xf>
    <xf numFmtId="0" fontId="7" fillId="0" borderId="0" xfId="0" applyFont="1" applyBorder="1" applyAlignment="1">
      <alignment horizontal="left"/>
    </xf>
    <xf numFmtId="0" fontId="7" fillId="0" borderId="0" xfId="0" applyFont="1" applyFill="1" applyAlignment="1">
      <alignment horizontal="left"/>
    </xf>
    <xf numFmtId="0" fontId="31" fillId="0" borderId="0" xfId="0" applyFont="1" applyAlignment="1">
      <alignment horizontal="center"/>
    </xf>
    <xf numFmtId="0" fontId="32" fillId="0" borderId="0" xfId="0" applyFont="1" applyAlignment="1">
      <alignment horizontal="left"/>
    </xf>
    <xf numFmtId="0" fontId="34" fillId="0" borderId="0" xfId="0" applyFont="1" applyAlignment="1">
      <alignment horizontal="center"/>
    </xf>
    <xf numFmtId="3" fontId="6" fillId="0" borderId="0" xfId="0" applyNumberFormat="1" applyFont="1" applyFill="1"/>
    <xf numFmtId="3" fontId="17" fillId="0" borderId="0" xfId="0" applyNumberFormat="1" applyFont="1" applyFill="1" applyAlignment="1">
      <alignment horizontal="center"/>
    </xf>
    <xf numFmtId="5" fontId="6" fillId="0" borderId="0" xfId="0" applyNumberFormat="1" applyFont="1" applyFill="1" applyBorder="1"/>
    <xf numFmtId="10" fontId="6" fillId="0" borderId="0" xfId="0" applyNumberFormat="1" applyFont="1" applyFill="1" applyBorder="1" applyAlignment="1">
      <alignment horizontal="left"/>
    </xf>
    <xf numFmtId="174" fontId="6" fillId="0" borderId="0" xfId="0" applyNumberFormat="1" applyFont="1"/>
    <xf numFmtId="166" fontId="6" fillId="0" borderId="0" xfId="0" applyNumberFormat="1" applyFont="1"/>
    <xf numFmtId="166" fontId="6" fillId="0" borderId="0" xfId="0" applyNumberFormat="1" applyFont="1" applyBorder="1"/>
    <xf numFmtId="170" fontId="18" fillId="0" borderId="0" xfId="1" applyNumberFormat="1" applyFont="1"/>
    <xf numFmtId="170" fontId="6" fillId="0" borderId="0" xfId="0" applyNumberFormat="1" applyFont="1" applyFill="1" applyBorder="1"/>
    <xf numFmtId="10" fontId="6" fillId="0" borderId="0" xfId="0" applyNumberFormat="1" applyFont="1" applyFill="1" applyBorder="1"/>
    <xf numFmtId="167" fontId="4" fillId="0" borderId="0" xfId="10" applyNumberFormat="1" applyFont="1" applyFill="1" applyBorder="1" applyAlignment="1">
      <alignment horizontal="center"/>
    </xf>
    <xf numFmtId="166" fontId="3" fillId="0" borderId="0" xfId="12" applyNumberFormat="1" applyFont="1" applyFill="1" applyBorder="1"/>
    <xf numFmtId="5" fontId="3" fillId="0" borderId="0" xfId="12" applyNumberFormat="1" applyFont="1" applyFill="1" applyBorder="1"/>
    <xf numFmtId="167" fontId="3" fillId="0" borderId="0" xfId="12" applyNumberFormat="1" applyFont="1" applyFill="1" applyBorder="1"/>
    <xf numFmtId="41" fontId="4" fillId="0" borderId="0" xfId="12" applyNumberFormat="1" applyFont="1" applyFill="1"/>
    <xf numFmtId="41" fontId="3" fillId="0" borderId="0" xfId="12" applyNumberFormat="1" applyFont="1"/>
    <xf numFmtId="41" fontId="3" fillId="0" borderId="0" xfId="12" applyNumberFormat="1" applyFont="1" applyFill="1"/>
    <xf numFmtId="41" fontId="4" fillId="0" borderId="0" xfId="12" applyNumberFormat="1" applyFont="1"/>
    <xf numFmtId="41" fontId="35" fillId="0" borderId="0" xfId="12" applyNumberFormat="1" applyFont="1"/>
    <xf numFmtId="41" fontId="4" fillId="0" borderId="0" xfId="12" applyNumberFormat="1" applyFont="1" applyFill="1" applyAlignment="1">
      <alignment horizontal="center"/>
    </xf>
    <xf numFmtId="41" fontId="3" fillId="0" borderId="0" xfId="13" applyNumberFormat="1" applyFont="1" applyAlignment="1">
      <alignment horizontal="center"/>
    </xf>
    <xf numFmtId="41" fontId="4" fillId="0" borderId="1" xfId="12" applyNumberFormat="1" applyFont="1" applyBorder="1" applyAlignment="1">
      <alignment horizontal="center"/>
    </xf>
    <xf numFmtId="41" fontId="4" fillId="0" borderId="1" xfId="10" applyNumberFormat="1" applyFont="1" applyFill="1" applyBorder="1" applyAlignment="1">
      <alignment horizontal="center"/>
    </xf>
    <xf numFmtId="41" fontId="4" fillId="0" borderId="1" xfId="13" applyNumberFormat="1" applyFont="1" applyFill="1" applyBorder="1" applyAlignment="1">
      <alignment horizontal="center"/>
    </xf>
    <xf numFmtId="41" fontId="4" fillId="0" borderId="5" xfId="12" applyNumberFormat="1" applyFont="1" applyBorder="1" applyAlignment="1">
      <alignment horizontal="center"/>
    </xf>
    <xf numFmtId="41" fontId="4" fillId="0" borderId="5" xfId="10" applyNumberFormat="1" applyFont="1" applyFill="1" applyBorder="1" applyAlignment="1">
      <alignment horizontal="center"/>
    </xf>
    <xf numFmtId="41" fontId="4" fillId="0" borderId="8" xfId="12" applyNumberFormat="1" applyFont="1" applyFill="1" applyBorder="1" applyAlignment="1">
      <alignment horizontal="center"/>
    </xf>
    <xf numFmtId="41" fontId="4" fillId="0" borderId="8" xfId="12" applyNumberFormat="1" applyFont="1" applyBorder="1" applyAlignment="1">
      <alignment horizontal="center"/>
    </xf>
    <xf numFmtId="41" fontId="4" fillId="0" borderId="8" xfId="13" applyNumberFormat="1" applyFont="1" applyFill="1" applyBorder="1" applyAlignment="1">
      <alignment horizontal="center"/>
    </xf>
    <xf numFmtId="41" fontId="3" fillId="0" borderId="0" xfId="12" applyNumberFormat="1" applyFont="1" applyFill="1" applyBorder="1"/>
    <xf numFmtId="41" fontId="3" fillId="0" borderId="10" xfId="12" applyNumberFormat="1" applyFont="1" applyFill="1" applyBorder="1"/>
    <xf numFmtId="41" fontId="3" fillId="0" borderId="10" xfId="12" applyNumberFormat="1" applyFont="1" applyBorder="1"/>
    <xf numFmtId="41" fontId="4" fillId="0" borderId="10" xfId="12" applyNumberFormat="1" applyFont="1" applyBorder="1"/>
    <xf numFmtId="41" fontId="4" fillId="0" borderId="0" xfId="12" applyNumberFormat="1" applyFont="1" applyFill="1" applyBorder="1"/>
    <xf numFmtId="41" fontId="4" fillId="0" borderId="0" xfId="12" applyNumberFormat="1" applyFont="1" applyBorder="1"/>
    <xf numFmtId="37" fontId="3" fillId="0" borderId="0" xfId="12" applyNumberFormat="1" applyFont="1" applyFill="1" applyAlignment="1">
      <alignment horizontal="center"/>
    </xf>
    <xf numFmtId="5" fontId="3" fillId="0" borderId="0" xfId="12" applyNumberFormat="1" applyFont="1" applyFill="1"/>
    <xf numFmtId="4" fontId="6" fillId="0" borderId="0" xfId="0" applyNumberFormat="1" applyFont="1" applyAlignment="1">
      <alignment horizontal="center"/>
    </xf>
    <xf numFmtId="4" fontId="6" fillId="0" borderId="0" xfId="0" applyNumberFormat="1" applyFont="1" applyFill="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6" fillId="0" borderId="0" xfId="0" applyFont="1" applyAlignment="1">
      <alignment horizontal="center"/>
    </xf>
    <xf numFmtId="10" fontId="4" fillId="0" borderId="0" xfId="14" applyNumberFormat="1" applyFont="1"/>
    <xf numFmtId="41" fontId="6" fillId="0" borderId="0" xfId="0" applyNumberFormat="1" applyFont="1"/>
    <xf numFmtId="41" fontId="6" fillId="0" borderId="10" xfId="0" applyNumberFormat="1" applyFont="1" applyBorder="1"/>
    <xf numFmtId="41" fontId="6" fillId="0" borderId="10" xfId="0" applyNumberFormat="1" applyFont="1" applyBorder="1" applyAlignment="1">
      <alignment horizontal="center"/>
    </xf>
    <xf numFmtId="41" fontId="6" fillId="0" borderId="0" xfId="0" applyNumberFormat="1" applyFont="1" applyBorder="1" applyAlignment="1">
      <alignment horizontal="center"/>
    </xf>
    <xf numFmtId="41" fontId="15" fillId="0" borderId="10" xfId="0" applyNumberFormat="1" applyFont="1" applyFill="1" applyBorder="1"/>
    <xf numFmtId="41" fontId="6" fillId="0" borderId="0" xfId="0" applyNumberFormat="1" applyFont="1" applyFill="1" applyBorder="1"/>
    <xf numFmtId="41" fontId="6" fillId="0" borderId="0" xfId="2" applyNumberFormat="1" applyFont="1" applyBorder="1"/>
    <xf numFmtId="37" fontId="26" fillId="0" borderId="0" xfId="12" applyNumberFormat="1" applyFont="1" applyAlignment="1">
      <alignment horizontal="left"/>
    </xf>
    <xf numFmtId="37" fontId="6" fillId="0" borderId="0" xfId="12" applyNumberFormat="1" applyFont="1" applyBorder="1"/>
    <xf numFmtId="37" fontId="7" fillId="0" borderId="0" xfId="12" applyNumberFormat="1" applyFont="1"/>
    <xf numFmtId="37" fontId="6" fillId="0" borderId="0" xfId="12" applyNumberFormat="1" applyFont="1"/>
    <xf numFmtId="10" fontId="6" fillId="0" borderId="10" xfId="14" applyNumberFormat="1" applyFont="1" applyBorder="1"/>
    <xf numFmtId="37" fontId="7" fillId="2" borderId="0" xfId="12" applyNumberFormat="1" applyFont="1" applyFill="1"/>
    <xf numFmtId="10" fontId="26" fillId="2" borderId="0" xfId="14" applyNumberFormat="1" applyFont="1" applyFill="1"/>
    <xf numFmtId="173" fontId="6" fillId="0" borderId="0" xfId="0" applyNumberFormat="1" applyFont="1"/>
    <xf numFmtId="10" fontId="6" fillId="0" borderId="16" xfId="14" applyNumberFormat="1" applyFont="1" applyBorder="1"/>
    <xf numFmtId="10" fontId="6" fillId="0" borderId="0" xfId="14" applyNumberFormat="1" applyFont="1" applyBorder="1"/>
    <xf numFmtId="0" fontId="6" fillId="0" borderId="0" xfId="12" applyFont="1"/>
    <xf numFmtId="0" fontId="6" fillId="0" borderId="0" xfId="12" applyFont="1" applyBorder="1"/>
    <xf numFmtId="5" fontId="6" fillId="0" borderId="0" xfId="12" applyNumberFormat="1" applyFont="1" applyBorder="1"/>
    <xf numFmtId="0" fontId="26" fillId="0" borderId="0" xfId="0" applyFont="1" applyAlignment="1">
      <alignment horizontal="left"/>
    </xf>
    <xf numFmtId="0" fontId="26" fillId="0" borderId="0" xfId="0" applyFont="1"/>
    <xf numFmtId="170" fontId="26" fillId="0" borderId="0" xfId="1" applyNumberFormat="1" applyFont="1" applyBorder="1"/>
    <xf numFmtId="10" fontId="26" fillId="0" borderId="0" xfId="14" applyNumberFormat="1" applyFont="1"/>
    <xf numFmtId="10" fontId="3" fillId="0" borderId="0" xfId="14" applyNumberFormat="1" applyFont="1"/>
    <xf numFmtId="41" fontId="38" fillId="0" borderId="0" xfId="12" applyNumberFormat="1" applyFont="1"/>
    <xf numFmtId="41" fontId="38" fillId="0" borderId="0" xfId="12" applyNumberFormat="1" applyFont="1" applyFill="1"/>
    <xf numFmtId="41" fontId="38" fillId="0" borderId="10" xfId="12" applyNumberFormat="1" applyFont="1" applyBorder="1"/>
    <xf numFmtId="3" fontId="3" fillId="0" borderId="0" xfId="6" applyNumberFormat="1" applyFont="1"/>
    <xf numFmtId="3" fontId="3" fillId="0" borderId="0" xfId="6" applyNumberFormat="1" applyFont="1" applyAlignment="1">
      <alignment horizontal="center"/>
    </xf>
    <xf numFmtId="0" fontId="3" fillId="0" borderId="0" xfId="6" applyFont="1"/>
    <xf numFmtId="3" fontId="3" fillId="0" borderId="0" xfId="6" applyNumberFormat="1" applyFont="1" applyAlignment="1">
      <alignment horizontal="left"/>
    </xf>
    <xf numFmtId="3" fontId="11" fillId="0" borderId="15" xfId="6" applyNumberFormat="1" applyFont="1" applyBorder="1" applyAlignment="1">
      <alignment horizontal="centerContinuous"/>
    </xf>
    <xf numFmtId="3" fontId="11" fillId="0" borderId="12" xfId="6" applyNumberFormat="1" applyFont="1" applyBorder="1" applyAlignment="1">
      <alignment horizontal="centerContinuous"/>
    </xf>
    <xf numFmtId="3" fontId="10" fillId="0" borderId="14" xfId="6" applyNumberFormat="1" applyFont="1" applyBorder="1" applyAlignment="1">
      <alignment horizontal="centerContinuous"/>
    </xf>
    <xf numFmtId="164" fontId="3" fillId="0" borderId="0" xfId="6" applyNumberFormat="1" applyFont="1"/>
    <xf numFmtId="5" fontId="3" fillId="0" borderId="13" xfId="6" applyNumberFormat="1" applyFont="1" applyBorder="1"/>
    <xf numFmtId="164" fontId="3" fillId="0" borderId="0" xfId="6" applyNumberFormat="1" applyFont="1" applyAlignment="1">
      <alignment horizontal="left"/>
    </xf>
    <xf numFmtId="1" fontId="3" fillId="0" borderId="0" xfId="6" applyNumberFormat="1" applyFont="1" applyAlignment="1">
      <alignment horizontal="center"/>
    </xf>
    <xf numFmtId="37" fontId="3" fillId="0" borderId="10" xfId="6" applyNumberFormat="1" applyFont="1" applyBorder="1" applyProtection="1">
      <protection locked="0"/>
    </xf>
    <xf numFmtId="37" fontId="3" fillId="0" borderId="0" xfId="6" applyNumberFormat="1" applyFont="1" applyProtection="1">
      <protection locked="0"/>
    </xf>
    <xf numFmtId="37" fontId="3" fillId="0" borderId="0" xfId="6" applyNumberFormat="1" applyFont="1" applyBorder="1" applyProtection="1">
      <protection locked="0"/>
    </xf>
    <xf numFmtId="37" fontId="3" fillId="0" borderId="0" xfId="6" applyNumberFormat="1" applyFont="1"/>
    <xf numFmtId="5" fontId="3" fillId="0" borderId="10" xfId="6" applyNumberFormat="1" applyFont="1" applyBorder="1" applyProtection="1">
      <protection locked="0"/>
    </xf>
    <xf numFmtId="5" fontId="3" fillId="0" borderId="0" xfId="6" applyNumberFormat="1" applyFont="1" applyProtection="1">
      <protection locked="0"/>
    </xf>
    <xf numFmtId="165" fontId="3" fillId="0" borderId="0" xfId="6" applyNumberFormat="1" applyFont="1"/>
    <xf numFmtId="37" fontId="3" fillId="0" borderId="10" xfId="6" applyNumberFormat="1" applyFont="1" applyBorder="1"/>
    <xf numFmtId="37" fontId="3" fillId="0" borderId="12" xfId="6" applyNumberFormat="1" applyFont="1" applyBorder="1"/>
    <xf numFmtId="37" fontId="3" fillId="0" borderId="3" xfId="6" applyNumberFormat="1" applyFont="1" applyBorder="1"/>
    <xf numFmtId="37" fontId="3" fillId="0" borderId="0" xfId="6" applyNumberFormat="1" applyFont="1" applyBorder="1"/>
    <xf numFmtId="3" fontId="5" fillId="0" borderId="0" xfId="6" applyNumberFormat="1" applyFont="1" applyAlignment="1">
      <alignment horizontal="center"/>
    </xf>
    <xf numFmtId="3" fontId="3" fillId="0" borderId="10" xfId="6" applyNumberFormat="1" applyFont="1" applyBorder="1" applyAlignment="1">
      <alignment horizontal="center"/>
    </xf>
    <xf numFmtId="3" fontId="3" fillId="0" borderId="0" xfId="6" applyNumberFormat="1" applyFont="1" applyBorder="1" applyAlignment="1">
      <alignment horizontal="centerContinuous"/>
    </xf>
    <xf numFmtId="3" fontId="4" fillId="0" borderId="0" xfId="6" applyNumberFormat="1" applyFont="1" applyBorder="1" applyAlignment="1">
      <alignment horizontal="centerContinuous"/>
    </xf>
    <xf numFmtId="3" fontId="3" fillId="0" borderId="10" xfId="6" applyNumberFormat="1" applyFont="1" applyBorder="1" applyAlignment="1">
      <alignment horizontal="centerContinuous"/>
    </xf>
    <xf numFmtId="3" fontId="4" fillId="0" borderId="10" xfId="6" applyNumberFormat="1" applyFont="1" applyBorder="1" applyAlignment="1">
      <alignment horizontal="centerContinuous"/>
    </xf>
    <xf numFmtId="3" fontId="3" fillId="0" borderId="0" xfId="6" applyNumberFormat="1" applyFont="1" applyAlignment="1">
      <alignment horizontal="centerContinuous"/>
    </xf>
    <xf numFmtId="0" fontId="3" fillId="0" borderId="0" xfId="6" applyFont="1" applyAlignment="1">
      <alignment horizontal="centerContinuous"/>
    </xf>
    <xf numFmtId="5" fontId="4" fillId="0" borderId="0" xfId="12" applyNumberFormat="1" applyFont="1" applyFill="1"/>
    <xf numFmtId="3" fontId="3" fillId="0" borderId="0" xfId="9" applyNumberFormat="1" applyFont="1" applyFill="1" applyAlignment="1">
      <alignment horizontal="center"/>
    </xf>
    <xf numFmtId="175" fontId="39" fillId="0" borderId="0" xfId="0" applyNumberFormat="1" applyFont="1" applyAlignment="1">
      <alignment horizontal="left"/>
    </xf>
    <xf numFmtId="0" fontId="39" fillId="0" borderId="0" xfId="0" applyFont="1"/>
    <xf numFmtId="3" fontId="39" fillId="0" borderId="0" xfId="0" applyNumberFormat="1" applyFont="1"/>
    <xf numFmtId="176" fontId="39" fillId="0" borderId="0" xfId="0" applyNumberFormat="1" applyFont="1" applyAlignment="1">
      <alignment horizontal="left"/>
    </xf>
    <xf numFmtId="176" fontId="39" fillId="0" borderId="0" xfId="0" applyNumberFormat="1" applyFont="1" applyFill="1" applyAlignment="1">
      <alignment horizontal="left"/>
    </xf>
    <xf numFmtId="3" fontId="39" fillId="0" borderId="0" xfId="0" applyNumberFormat="1" applyFont="1" applyFill="1"/>
    <xf numFmtId="0" fontId="39" fillId="0" borderId="0" xfId="0" applyFont="1" applyFill="1"/>
    <xf numFmtId="175" fontId="39" fillId="0" borderId="0" xfId="0" applyNumberFormat="1" applyFont="1" applyFill="1" applyAlignment="1">
      <alignment horizontal="left"/>
    </xf>
    <xf numFmtId="3" fontId="39" fillId="0" borderId="0" xfId="0" applyNumberFormat="1" applyFont="1" applyAlignment="1">
      <alignment horizontal="left"/>
    </xf>
    <xf numFmtId="175" fontId="39" fillId="0" borderId="0" xfId="0" applyNumberFormat="1" applyFont="1"/>
    <xf numFmtId="176" fontId="39" fillId="0" borderId="0" xfId="0" applyNumberFormat="1" applyFont="1" applyFill="1" applyAlignment="1">
      <alignment horizontal="center"/>
    </xf>
    <xf numFmtId="176" fontId="39" fillId="0" borderId="0" xfId="0" applyNumberFormat="1" applyFont="1" applyAlignment="1">
      <alignment horizontal="center"/>
    </xf>
    <xf numFmtId="0" fontId="39" fillId="0" borderId="0" xfId="0" applyNumberFormat="1" applyFont="1"/>
    <xf numFmtId="0" fontId="39" fillId="0" borderId="0" xfId="0" applyNumberFormat="1" applyFont="1" applyAlignment="1">
      <alignment horizontal="center"/>
    </xf>
    <xf numFmtId="175" fontId="39" fillId="0" borderId="0" xfId="0" applyNumberFormat="1" applyFont="1" applyAlignment="1">
      <alignment horizontal="center"/>
    </xf>
    <xf numFmtId="176" fontId="39" fillId="0" borderId="0" xfId="0" applyNumberFormat="1" applyFont="1"/>
    <xf numFmtId="175" fontId="39" fillId="5" borderId="0" xfId="0" applyNumberFormat="1" applyFont="1" applyFill="1"/>
    <xf numFmtId="3" fontId="39" fillId="5" borderId="0" xfId="0" applyNumberFormat="1" applyFont="1" applyFill="1"/>
    <xf numFmtId="0" fontId="39" fillId="5" borderId="0" xfId="0" applyFont="1" applyFill="1"/>
    <xf numFmtId="3" fontId="39" fillId="0" borderId="0" xfId="0" applyNumberFormat="1" applyFont="1" applyAlignment="1">
      <alignment horizontal="center"/>
    </xf>
    <xf numFmtId="3" fontId="39" fillId="0" borderId="0" xfId="0" applyNumberFormat="1" applyFont="1" applyFill="1" applyAlignment="1">
      <alignment horizontal="center"/>
    </xf>
    <xf numFmtId="3" fontId="39" fillId="5" borderId="0" xfId="0" applyNumberFormat="1" applyFont="1" applyFill="1" applyAlignment="1">
      <alignment horizontal="center"/>
    </xf>
    <xf numFmtId="175" fontId="39" fillId="0" borderId="0" xfId="0" applyNumberFormat="1" applyFont="1" applyFill="1"/>
    <xf numFmtId="3" fontId="3" fillId="0" borderId="0" xfId="6" applyNumberFormat="1" applyFont="1" applyFill="1" applyAlignment="1">
      <alignment horizontal="center"/>
    </xf>
    <xf numFmtId="41" fontId="3" fillId="0" borderId="3" xfId="12" applyNumberFormat="1" applyFont="1" applyFill="1" applyBorder="1"/>
    <xf numFmtId="41" fontId="4" fillId="0" borderId="3" xfId="12" applyNumberFormat="1" applyFont="1" applyFill="1" applyBorder="1"/>
    <xf numFmtId="3" fontId="3" fillId="0" borderId="3" xfId="6" applyNumberFormat="1" applyFont="1" applyBorder="1"/>
    <xf numFmtId="37" fontId="3" fillId="0" borderId="10" xfId="12" applyNumberFormat="1" applyFont="1" applyFill="1" applyBorder="1"/>
    <xf numFmtId="5" fontId="3" fillId="0" borderId="13" xfId="12" applyNumberFormat="1" applyFont="1" applyFill="1" applyBorder="1"/>
    <xf numFmtId="5" fontId="38" fillId="0" borderId="0" xfId="12" applyNumberFormat="1" applyFont="1"/>
    <xf numFmtId="5" fontId="4" fillId="0" borderId="0" xfId="12" applyNumberFormat="1" applyFont="1"/>
    <xf numFmtId="5" fontId="3" fillId="0" borderId="13" xfId="12" applyNumberFormat="1" applyFont="1" applyBorder="1"/>
    <xf numFmtId="5" fontId="4" fillId="0" borderId="13" xfId="12" applyNumberFormat="1" applyFont="1" applyBorder="1"/>
    <xf numFmtId="5" fontId="38" fillId="0" borderId="0" xfId="10" applyNumberFormat="1" applyFont="1" applyFill="1" applyBorder="1"/>
    <xf numFmtId="2" fontId="4" fillId="0" borderId="0" xfId="12" applyNumberFormat="1" applyFont="1" applyAlignment="1">
      <alignment horizontal="center"/>
    </xf>
    <xf numFmtId="2" fontId="4" fillId="0" borderId="0" xfId="4" applyNumberFormat="1" applyFont="1" applyAlignment="1" applyProtection="1">
      <alignment horizontal="center"/>
    </xf>
    <xf numFmtId="2" fontId="37" fillId="0" borderId="0" xfId="4" applyNumberFormat="1" applyFont="1" applyAlignment="1" applyProtection="1">
      <alignment horizontal="center"/>
    </xf>
    <xf numFmtId="2" fontId="4" fillId="0" borderId="0" xfId="4" applyNumberFormat="1" applyFont="1" applyFill="1" applyAlignment="1" applyProtection="1">
      <alignment horizontal="center"/>
    </xf>
    <xf numFmtId="2" fontId="4" fillId="0" borderId="0" xfId="12" applyNumberFormat="1" applyFont="1" applyFill="1" applyBorder="1" applyAlignment="1">
      <alignment horizontal="center"/>
    </xf>
    <xf numFmtId="2" fontId="4" fillId="0" borderId="0" xfId="4" applyNumberFormat="1" applyFont="1" applyFill="1" applyBorder="1" applyAlignment="1" applyProtection="1">
      <alignment horizontal="center"/>
    </xf>
    <xf numFmtId="2" fontId="4" fillId="0" borderId="0" xfId="12" applyNumberFormat="1" applyFont="1" applyBorder="1" applyAlignment="1">
      <alignment horizontal="center"/>
    </xf>
    <xf numFmtId="5" fontId="6" fillId="0" borderId="0" xfId="11" applyNumberFormat="1" applyFont="1" applyAlignment="1">
      <alignment horizontal="right"/>
    </xf>
    <xf numFmtId="4" fontId="6" fillId="0" borderId="0" xfId="11" applyNumberFormat="1" applyFont="1" applyBorder="1" applyAlignment="1">
      <alignment horizontal="centerContinuous"/>
    </xf>
    <xf numFmtId="4" fontId="6" fillId="0" borderId="0" xfId="11" applyNumberFormat="1" applyFont="1" applyAlignment="1">
      <alignment horizontal="center"/>
    </xf>
    <xf numFmtId="4" fontId="26" fillId="0" borderId="0" xfId="11" applyNumberFormat="1" applyFont="1" applyAlignment="1">
      <alignment horizontal="center"/>
    </xf>
    <xf numFmtId="4" fontId="7" fillId="0" borderId="0" xfId="11" applyNumberFormat="1" applyFont="1" applyAlignment="1">
      <alignment horizontal="centerContinuous"/>
    </xf>
    <xf numFmtId="4" fontId="19" fillId="0" borderId="0" xfId="11" applyNumberFormat="1" applyFont="1" applyBorder="1" applyAlignment="1">
      <alignment horizontal="centerContinuous"/>
    </xf>
    <xf numFmtId="4" fontId="6" fillId="0" borderId="0" xfId="11" applyNumberFormat="1" applyFont="1" applyAlignment="1">
      <alignment horizontal="centerContinuous"/>
    </xf>
    <xf numFmtId="4" fontId="6" fillId="0" borderId="0" xfId="11" applyNumberFormat="1" applyFont="1"/>
    <xf numFmtId="3" fontId="6" fillId="0" borderId="0" xfId="11" applyNumberFormat="1" applyFont="1" applyBorder="1" applyAlignment="1">
      <alignment horizontal="left"/>
    </xf>
    <xf numFmtId="3" fontId="6" fillId="0" borderId="10" xfId="11" applyNumberFormat="1" applyFont="1" applyBorder="1" applyAlignment="1">
      <alignment horizontal="left"/>
    </xf>
    <xf numFmtId="4" fontId="6" fillId="0" borderId="0" xfId="11" applyNumberFormat="1" applyFont="1" applyAlignment="1">
      <alignment horizontal="left"/>
    </xf>
    <xf numFmtId="3" fontId="26" fillId="0" borderId="0" xfId="11" applyNumberFormat="1" applyFont="1" applyAlignment="1">
      <alignment horizontal="left"/>
    </xf>
    <xf numFmtId="41" fontId="6" fillId="0" borderId="0" xfId="11" applyNumberFormat="1" applyFont="1" applyAlignment="1">
      <alignment horizontal="right"/>
    </xf>
    <xf numFmtId="0" fontId="6" fillId="0" borderId="10" xfId="11" applyFont="1" applyBorder="1" applyAlignment="1">
      <alignment horizontal="center"/>
    </xf>
    <xf numFmtId="170" fontId="6" fillId="0" borderId="0" xfId="1" applyNumberFormat="1" applyFont="1" applyAlignment="1">
      <alignment horizontal="right"/>
    </xf>
    <xf numFmtId="170" fontId="15" fillId="0" borderId="10" xfId="1" applyNumberFormat="1" applyFont="1" applyFill="1" applyBorder="1"/>
    <xf numFmtId="0" fontId="6" fillId="0" borderId="0" xfId="11" applyFont="1" applyBorder="1"/>
    <xf numFmtId="43" fontId="6" fillId="0" borderId="10" xfId="1" applyNumberFormat="1" applyFont="1" applyBorder="1"/>
    <xf numFmtId="0" fontId="6" fillId="0" borderId="10" xfId="0" applyFont="1" applyBorder="1" applyAlignment="1">
      <alignment horizontal="center"/>
    </xf>
    <xf numFmtId="0" fontId="6" fillId="0" borderId="0" xfId="0" applyFont="1" applyAlignment="1">
      <alignment horizontal="center"/>
    </xf>
    <xf numFmtId="3" fontId="3" fillId="0" borderId="0" xfId="6" applyNumberFormat="1" applyFont="1" applyBorder="1" applyAlignment="1">
      <alignment horizontal="center"/>
    </xf>
    <xf numFmtId="2" fontId="3" fillId="0" borderId="0" xfId="12" applyNumberFormat="1" applyFont="1" applyAlignment="1">
      <alignment horizontal="left"/>
    </xf>
    <xf numFmtId="0" fontId="4" fillId="0" borderId="0" xfId="12" applyNumberFormat="1" applyFont="1" applyBorder="1" applyAlignment="1">
      <alignment horizontal="center"/>
    </xf>
    <xf numFmtId="41" fontId="4" fillId="0" borderId="0" xfId="12" applyNumberFormat="1" applyFont="1" applyFill="1" applyBorder="1" applyAlignment="1">
      <alignment horizontal="center"/>
    </xf>
    <xf numFmtId="41" fontId="4" fillId="0" borderId="0" xfId="12" applyNumberFormat="1" applyFont="1" applyBorder="1" applyAlignment="1">
      <alignment horizontal="center"/>
    </xf>
    <xf numFmtId="41" fontId="4" fillId="0" borderId="10" xfId="12" applyNumberFormat="1" applyFont="1" applyFill="1" applyBorder="1" applyAlignment="1">
      <alignment horizontal="center"/>
    </xf>
    <xf numFmtId="41" fontId="4" fillId="0" borderId="10" xfId="12" applyNumberFormat="1" applyFont="1" applyBorder="1" applyAlignment="1">
      <alignment horizontal="center"/>
    </xf>
    <xf numFmtId="2" fontId="4" fillId="0" borderId="10" xfId="12" applyNumberFormat="1" applyFont="1" applyBorder="1" applyAlignment="1">
      <alignment horizontal="center"/>
    </xf>
    <xf numFmtId="2" fontId="3" fillId="0" borderId="10" xfId="12" applyNumberFormat="1" applyFont="1" applyBorder="1" applyAlignment="1">
      <alignment horizontal="left"/>
    </xf>
    <xf numFmtId="2" fontId="4" fillId="0" borderId="10" xfId="4" applyNumberFormat="1" applyFont="1" applyBorder="1" applyAlignment="1" applyProtection="1">
      <alignment horizontal="center"/>
    </xf>
    <xf numFmtId="0" fontId="4" fillId="0" borderId="10" xfId="12" applyNumberFormat="1" applyFont="1" applyBorder="1" applyAlignment="1">
      <alignment horizontal="center"/>
    </xf>
    <xf numFmtId="0" fontId="4" fillId="0" borderId="10" xfId="12" applyFont="1" applyBorder="1" applyAlignment="1">
      <alignment horizontal="left"/>
    </xf>
    <xf numFmtId="4" fontId="6" fillId="0" borderId="0" xfId="0" applyNumberFormat="1" applyFont="1" applyAlignment="1">
      <alignment horizontal="left"/>
    </xf>
    <xf numFmtId="9" fontId="3" fillId="0" borderId="0" xfId="14" applyFont="1"/>
    <xf numFmtId="0" fontId="6" fillId="0" borderId="0" xfId="0" applyFont="1" applyAlignment="1">
      <alignment horizontal="center"/>
    </xf>
    <xf numFmtId="0" fontId="8" fillId="0" borderId="0" xfId="0" applyFont="1" applyAlignment="1">
      <alignment horizontal="center"/>
    </xf>
    <xf numFmtId="43" fontId="41" fillId="6" borderId="0" xfId="1" applyNumberFormat="1" applyFont="1" applyFill="1"/>
    <xf numFmtId="0" fontId="6" fillId="0" borderId="0" xfId="0" applyFont="1" applyAlignment="1">
      <alignment horizontal="right"/>
    </xf>
    <xf numFmtId="41" fontId="3" fillId="0" borderId="13" xfId="12" applyNumberFormat="1" applyFont="1" applyFill="1" applyBorder="1"/>
    <xf numFmtId="41" fontId="4" fillId="0" borderId="13" xfId="12" applyNumberFormat="1" applyFont="1" applyFill="1" applyBorder="1"/>
    <xf numFmtId="0" fontId="6" fillId="0" borderId="0" xfId="11" applyFont="1" applyBorder="1" applyAlignment="1">
      <alignment horizontal="center"/>
    </xf>
    <xf numFmtId="41" fontId="42" fillId="0" borderId="0" xfId="11" applyNumberFormat="1" applyFont="1" applyAlignment="1">
      <alignment horizontal="right"/>
    </xf>
    <xf numFmtId="3" fontId="43" fillId="0" borderId="0" xfId="11" applyNumberFormat="1" applyFont="1"/>
    <xf numFmtId="170" fontId="6" fillId="3" borderId="30" xfId="1" applyNumberFormat="1" applyFont="1" applyFill="1" applyBorder="1"/>
    <xf numFmtId="4" fontId="6" fillId="3" borderId="31" xfId="11" applyNumberFormat="1" applyFont="1" applyFill="1" applyBorder="1" applyAlignment="1">
      <alignment horizontal="center"/>
    </xf>
    <xf numFmtId="0" fontId="6" fillId="3" borderId="32" xfId="11" applyFont="1" applyFill="1" applyBorder="1" applyAlignment="1">
      <alignment horizontal="center"/>
    </xf>
    <xf numFmtId="41" fontId="4" fillId="0" borderId="4" xfId="13" applyNumberFormat="1" applyFont="1" applyFill="1" applyBorder="1" applyAlignment="1">
      <alignment horizontal="center"/>
    </xf>
    <xf numFmtId="41" fontId="4" fillId="0" borderId="7" xfId="13" applyNumberFormat="1" applyFont="1" applyFill="1" applyBorder="1" applyAlignment="1">
      <alignment horizontal="center"/>
    </xf>
    <xf numFmtId="41" fontId="4" fillId="0" borderId="11" xfId="13" applyNumberFormat="1" applyFont="1" applyFill="1" applyBorder="1" applyAlignment="1">
      <alignment horizontal="center"/>
    </xf>
    <xf numFmtId="0" fontId="7" fillId="7" borderId="19" xfId="0" applyFont="1" applyFill="1" applyBorder="1" applyAlignment="1">
      <alignment horizontal="left"/>
    </xf>
    <xf numFmtId="0" fontId="7" fillId="7" borderId="20" xfId="0" applyFont="1" applyFill="1" applyBorder="1" applyAlignment="1">
      <alignment horizontal="center"/>
    </xf>
    <xf numFmtId="0" fontId="7" fillId="7" borderId="21" xfId="0" applyFont="1" applyFill="1" applyBorder="1" applyAlignment="1">
      <alignment horizontal="center"/>
    </xf>
    <xf numFmtId="37" fontId="6" fillId="7" borderId="22" xfId="12" applyNumberFormat="1" applyFont="1" applyFill="1" applyBorder="1"/>
    <xf numFmtId="37" fontId="6" fillId="7" borderId="0" xfId="12" applyNumberFormat="1" applyFont="1" applyFill="1" applyBorder="1"/>
    <xf numFmtId="0" fontId="7" fillId="7" borderId="0" xfId="0" applyFont="1" applyFill="1" applyBorder="1" applyAlignment="1">
      <alignment horizontal="center"/>
    </xf>
    <xf numFmtId="37" fontId="15" fillId="7" borderId="0" xfId="12" applyNumberFormat="1" applyFont="1" applyFill="1" applyBorder="1"/>
    <xf numFmtId="37" fontId="6" fillId="7" borderId="23" xfId="12" applyNumberFormat="1" applyFont="1" applyFill="1" applyBorder="1"/>
    <xf numFmtId="0" fontId="6" fillId="7" borderId="0" xfId="0" applyFont="1" applyFill="1" applyBorder="1"/>
    <xf numFmtId="0" fontId="7" fillId="7" borderId="10" xfId="0" applyFont="1" applyFill="1" applyBorder="1" applyAlignment="1">
      <alignment horizontal="center"/>
    </xf>
    <xf numFmtId="0" fontId="6" fillId="7" borderId="23" xfId="0" applyFont="1" applyFill="1" applyBorder="1"/>
    <xf numFmtId="5" fontId="6" fillId="7" borderId="0" xfId="0" applyNumberFormat="1" applyFont="1" applyFill="1" applyBorder="1"/>
    <xf numFmtId="10" fontId="6" fillId="7" borderId="0" xfId="14" applyNumberFormat="1" applyFont="1" applyFill="1" applyBorder="1"/>
    <xf numFmtId="10" fontId="15" fillId="7" borderId="0" xfId="14" applyNumberFormat="1" applyFont="1" applyFill="1" applyBorder="1"/>
    <xf numFmtId="37" fontId="7" fillId="7" borderId="23" xfId="12" applyNumberFormat="1" applyFont="1" applyFill="1" applyBorder="1"/>
    <xf numFmtId="170" fontId="6" fillId="7" borderId="0" xfId="1" applyNumberFormat="1" applyFont="1" applyFill="1" applyBorder="1"/>
    <xf numFmtId="169" fontId="6" fillId="7" borderId="0" xfId="14" applyNumberFormat="1" applyFont="1" applyFill="1" applyBorder="1"/>
    <xf numFmtId="169" fontId="15" fillId="7" borderId="0" xfId="14" applyNumberFormat="1" applyFont="1" applyFill="1" applyBorder="1"/>
    <xf numFmtId="10" fontId="6" fillId="7" borderId="16" xfId="14" applyNumberFormat="1" applyFont="1" applyFill="1" applyBorder="1"/>
    <xf numFmtId="37" fontId="6" fillId="7" borderId="24" xfId="12" applyNumberFormat="1" applyFont="1" applyFill="1" applyBorder="1"/>
    <xf numFmtId="0" fontId="6" fillId="7" borderId="25" xfId="0" applyFont="1" applyFill="1" applyBorder="1"/>
    <xf numFmtId="170" fontId="6" fillId="7" borderId="25" xfId="1" applyNumberFormat="1" applyFont="1" applyFill="1" applyBorder="1"/>
    <xf numFmtId="10" fontId="6" fillId="7" borderId="25" xfId="14" applyNumberFormat="1" applyFont="1" applyFill="1" applyBorder="1"/>
    <xf numFmtId="10" fontId="15" fillId="7" borderId="25" xfId="14" applyNumberFormat="1" applyFont="1" applyFill="1" applyBorder="1"/>
    <xf numFmtId="37" fontId="6" fillId="7" borderId="26" xfId="12" applyNumberFormat="1" applyFont="1" applyFill="1" applyBorder="1"/>
    <xf numFmtId="41" fontId="4" fillId="0" borderId="0" xfId="12" applyNumberFormat="1" applyFont="1" applyFill="1" applyBorder="1" applyAlignment="1"/>
    <xf numFmtId="169" fontId="6" fillId="0" borderId="0" xfId="14" applyNumberFormat="1" applyFont="1" applyFill="1" applyBorder="1"/>
    <xf numFmtId="10" fontId="6" fillId="0" borderId="0" xfId="14" applyNumberFormat="1" applyFont="1" applyFill="1" applyBorder="1"/>
    <xf numFmtId="0" fontId="44" fillId="0" borderId="0" xfId="0" applyFont="1" applyFill="1" applyBorder="1"/>
    <xf numFmtId="0" fontId="7" fillId="0" borderId="0" xfId="0" applyFont="1" applyFill="1" applyBorder="1" applyAlignment="1">
      <alignment horizontal="left"/>
    </xf>
    <xf numFmtId="37" fontId="6" fillId="0" borderId="0" xfId="12" applyNumberFormat="1" applyFont="1" applyFill="1" applyBorder="1"/>
    <xf numFmtId="0" fontId="6" fillId="0" borderId="0" xfId="0" applyFont="1" applyFill="1" applyBorder="1" applyAlignment="1">
      <alignment horizontal="right"/>
    </xf>
    <xf numFmtId="178" fontId="6" fillId="0" borderId="0" xfId="2" applyNumberFormat="1" applyFont="1" applyFill="1" applyBorder="1"/>
    <xf numFmtId="173" fontId="6" fillId="0" borderId="0" xfId="0" applyNumberFormat="1" applyFont="1" applyFill="1" applyBorder="1"/>
    <xf numFmtId="178" fontId="6" fillId="0" borderId="0" xfId="0" applyNumberFormat="1" applyFont="1" applyFill="1" applyBorder="1"/>
    <xf numFmtId="3" fontId="6" fillId="0" borderId="0" xfId="11" applyNumberFormat="1" applyFont="1" applyFill="1" applyBorder="1" applyAlignment="1">
      <alignment horizontal="left"/>
    </xf>
    <xf numFmtId="1" fontId="6" fillId="0" borderId="0" xfId="0" applyNumberFormat="1" applyFont="1" applyFill="1" applyBorder="1"/>
    <xf numFmtId="0" fontId="6" fillId="0" borderId="33" xfId="0" applyFont="1" applyBorder="1"/>
    <xf numFmtId="0" fontId="6" fillId="0" borderId="34" xfId="0" applyFont="1" applyBorder="1"/>
    <xf numFmtId="0" fontId="6" fillId="0" borderId="35" xfId="0" applyFont="1" applyBorder="1"/>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12" fillId="0" borderId="0" xfId="0" applyFont="1" applyFill="1"/>
    <xf numFmtId="0" fontId="6" fillId="0" borderId="0" xfId="12" applyFont="1" applyFill="1"/>
    <xf numFmtId="0" fontId="1" fillId="0" borderId="0" xfId="0" applyFont="1"/>
    <xf numFmtId="0" fontId="1" fillId="0" borderId="0" xfId="0" applyFont="1" applyFill="1" applyBorder="1" applyAlignment="1">
      <alignment horizontal="center"/>
    </xf>
    <xf numFmtId="37" fontId="1" fillId="0" borderId="0" xfId="18" applyFont="1" applyFill="1"/>
    <xf numFmtId="37" fontId="1" fillId="0" borderId="0" xfId="0" applyNumberFormat="1" applyFont="1" applyFill="1" applyBorder="1" applyAlignment="1">
      <alignment horizontal="right"/>
    </xf>
    <xf numFmtId="10" fontId="1" fillId="0" borderId="0" xfId="0" applyNumberFormat="1" applyFont="1" applyFill="1" applyBorder="1" applyAlignment="1">
      <alignment horizontal="right"/>
    </xf>
    <xf numFmtId="37" fontId="1" fillId="0" borderId="3" xfId="0" applyNumberFormat="1" applyFont="1" applyFill="1" applyBorder="1" applyAlignment="1">
      <alignment horizontal="right"/>
    </xf>
    <xf numFmtId="0" fontId="1" fillId="0" borderId="0" xfId="0" applyFont="1" applyFill="1" applyBorder="1"/>
    <xf numFmtId="37" fontId="1" fillId="0" borderId="3" xfId="0" applyNumberFormat="1" applyFont="1" applyFill="1" applyBorder="1"/>
    <xf numFmtId="0" fontId="45" fillId="0" borderId="0" xfId="0" applyFont="1"/>
    <xf numFmtId="165" fontId="1" fillId="0" borderId="16" xfId="14" applyNumberFormat="1" applyFont="1" applyBorder="1"/>
    <xf numFmtId="37" fontId="45" fillId="0" borderId="0" xfId="0" applyNumberFormat="1" applyFont="1" applyFill="1" applyBorder="1" applyAlignment="1">
      <alignment horizontal="right"/>
    </xf>
    <xf numFmtId="3" fontId="46" fillId="0" borderId="0" xfId="6" applyNumberFormat="1" applyFont="1" applyFill="1"/>
    <xf numFmtId="0" fontId="42" fillId="0" borderId="0" xfId="0" applyFont="1" applyAlignment="1">
      <alignment horizontal="center"/>
    </xf>
    <xf numFmtId="168" fontId="6" fillId="0" borderId="0" xfId="0" applyNumberFormat="1" applyFont="1"/>
    <xf numFmtId="170" fontId="3" fillId="0" borderId="0" xfId="1" applyNumberFormat="1" applyFont="1"/>
    <xf numFmtId="169" fontId="7" fillId="7" borderId="23" xfId="14" applyNumberFormat="1" applyFont="1" applyFill="1" applyBorder="1" applyAlignment="1">
      <alignment horizontal="center"/>
    </xf>
    <xf numFmtId="169" fontId="6" fillId="0" borderId="10" xfId="14" applyNumberFormat="1" applyFont="1" applyBorder="1"/>
    <xf numFmtId="3" fontId="48" fillId="0" borderId="0" xfId="11" applyNumberFormat="1" applyFont="1" applyFill="1"/>
    <xf numFmtId="0" fontId="34" fillId="0" borderId="0" xfId="0" applyFont="1"/>
    <xf numFmtId="0" fontId="49" fillId="0" borderId="0" xfId="0" applyFont="1" applyAlignment="1">
      <alignment horizontal="center"/>
    </xf>
    <xf numFmtId="0" fontId="50" fillId="0" borderId="0" xfId="0" applyFont="1" applyFill="1" applyAlignment="1"/>
    <xf numFmtId="0" fontId="50" fillId="8" borderId="0" xfId="0" applyFont="1" applyFill="1" applyAlignment="1"/>
    <xf numFmtId="41" fontId="6" fillId="0" borderId="10" xfId="2" applyNumberFormat="1" applyFont="1" applyFill="1" applyBorder="1"/>
    <xf numFmtId="10" fontId="6" fillId="0" borderId="10" xfId="0" applyNumberFormat="1" applyFont="1" applyFill="1" applyBorder="1" applyAlignment="1">
      <alignment horizontal="left"/>
    </xf>
    <xf numFmtId="9" fontId="6" fillId="0" borderId="10" xfId="0" applyNumberFormat="1" applyFont="1" applyFill="1" applyBorder="1" applyAlignment="1">
      <alignment horizontal="left"/>
    </xf>
    <xf numFmtId="41" fontId="4" fillId="0" borderId="0" xfId="10" applyNumberFormat="1" applyFont="1" applyFill="1" applyBorder="1" applyAlignment="1">
      <alignment horizontal="center"/>
    </xf>
    <xf numFmtId="41" fontId="4" fillId="0" borderId="0" xfId="12" quotePrefix="1" applyNumberFormat="1" applyFont="1" applyFill="1" applyBorder="1" applyAlignment="1">
      <alignment horizontal="center"/>
    </xf>
    <xf numFmtId="41" fontId="4" fillId="9" borderId="1" xfId="12" applyNumberFormat="1" applyFont="1" applyFill="1" applyBorder="1" applyAlignment="1">
      <alignment horizontal="center"/>
    </xf>
    <xf numFmtId="41" fontId="4" fillId="9" borderId="5" xfId="12" applyNumberFormat="1" applyFont="1" applyFill="1" applyBorder="1" applyAlignment="1">
      <alignment horizontal="center"/>
    </xf>
    <xf numFmtId="41" fontId="4" fillId="9" borderId="8" xfId="12" applyNumberFormat="1" applyFont="1" applyFill="1" applyBorder="1" applyAlignment="1">
      <alignment horizontal="center"/>
    </xf>
    <xf numFmtId="2" fontId="4" fillId="9" borderId="0" xfId="4" applyNumberFormat="1" applyFont="1" applyFill="1" applyAlignment="1" applyProtection="1">
      <alignment horizontal="center"/>
    </xf>
    <xf numFmtId="41" fontId="4" fillId="9" borderId="0" xfId="12" applyNumberFormat="1" applyFont="1" applyFill="1"/>
    <xf numFmtId="5" fontId="4" fillId="9" borderId="0" xfId="12" applyNumberFormat="1" applyFont="1" applyFill="1"/>
    <xf numFmtId="41" fontId="4" fillId="9" borderId="10" xfId="12" applyNumberFormat="1" applyFont="1" applyFill="1" applyBorder="1"/>
    <xf numFmtId="41" fontId="4" fillId="9" borderId="13" xfId="12" applyNumberFormat="1" applyFont="1" applyFill="1" applyBorder="1"/>
    <xf numFmtId="37" fontId="4" fillId="9" borderId="0" xfId="12" applyNumberFormat="1" applyFont="1" applyFill="1"/>
    <xf numFmtId="37" fontId="4" fillId="9" borderId="10" xfId="12" applyNumberFormat="1" applyFont="1" applyFill="1" applyBorder="1"/>
    <xf numFmtId="37" fontId="4" fillId="9" borderId="3" xfId="12" applyNumberFormat="1" applyFont="1" applyFill="1" applyBorder="1"/>
    <xf numFmtId="37" fontId="4" fillId="9" borderId="0" xfId="12" applyNumberFormat="1" applyFont="1" applyFill="1" applyBorder="1"/>
    <xf numFmtId="5" fontId="4" fillId="9" borderId="13" xfId="12" applyNumberFormat="1" applyFont="1" applyFill="1" applyBorder="1"/>
    <xf numFmtId="10" fontId="4" fillId="9" borderId="0" xfId="14" applyNumberFormat="1" applyFont="1" applyFill="1"/>
    <xf numFmtId="0" fontId="6" fillId="9" borderId="0" xfId="0" applyFont="1" applyFill="1"/>
    <xf numFmtId="0" fontId="50" fillId="0" borderId="0" xfId="0" applyFont="1" applyFill="1"/>
    <xf numFmtId="0" fontId="6" fillId="7" borderId="22" xfId="0" applyFont="1" applyFill="1" applyBorder="1"/>
    <xf numFmtId="0" fontId="34" fillId="0" borderId="0" xfId="0" applyFont="1" applyBorder="1"/>
    <xf numFmtId="3" fontId="4" fillId="0" borderId="0" xfId="13" applyNumberFormat="1" applyFont="1" applyAlignment="1">
      <alignment horizontal="center"/>
    </xf>
    <xf numFmtId="5" fontId="3" fillId="0" borderId="0" xfId="10" applyNumberFormat="1" applyFont="1" applyFill="1" applyBorder="1"/>
    <xf numFmtId="0" fontId="6"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41" fontId="51" fillId="0" borderId="0" xfId="12" applyNumberFormat="1" applyFont="1" applyFill="1" applyBorder="1"/>
    <xf numFmtId="5" fontId="51" fillId="0" borderId="0" xfId="10" applyNumberFormat="1" applyFont="1" applyFill="1" applyBorder="1"/>
    <xf numFmtId="0" fontId="6" fillId="0" borderId="0" xfId="0" applyFont="1" applyFill="1" applyBorder="1" applyAlignment="1">
      <alignment horizontal="center"/>
    </xf>
    <xf numFmtId="3" fontId="53" fillId="0" borderId="0" xfId="0" applyNumberFormat="1" applyFont="1"/>
    <xf numFmtId="0" fontId="53" fillId="0" borderId="0" xfId="0" applyFont="1"/>
    <xf numFmtId="3" fontId="53" fillId="0" borderId="0" xfId="0" applyNumberFormat="1" applyFont="1" applyFill="1"/>
    <xf numFmtId="0" fontId="53" fillId="0" borderId="0" xfId="0" applyFont="1" applyFill="1"/>
    <xf numFmtId="3" fontId="53" fillId="5" borderId="0" xfId="0" applyNumberFormat="1" applyFont="1" applyFill="1"/>
    <xf numFmtId="175" fontId="53" fillId="5" borderId="0" xfId="0" applyNumberFormat="1" applyFont="1" applyFill="1"/>
    <xf numFmtId="175" fontId="53" fillId="0" borderId="0" xfId="0" applyNumberFormat="1" applyFont="1"/>
    <xf numFmtId="175" fontId="53" fillId="0" borderId="0" xfId="0" applyNumberFormat="1" applyFont="1" applyFill="1"/>
    <xf numFmtId="41" fontId="54" fillId="0" borderId="0" xfId="12" applyNumberFormat="1" applyFont="1" applyFill="1"/>
    <xf numFmtId="41" fontId="55" fillId="0" borderId="0" xfId="12" applyNumberFormat="1" applyFont="1" applyFill="1"/>
    <xf numFmtId="41" fontId="55" fillId="0" borderId="0" xfId="12" applyNumberFormat="1" applyFont="1" applyFill="1" applyAlignment="1">
      <alignment horizontal="center"/>
    </xf>
    <xf numFmtId="0" fontId="55" fillId="0" borderId="1" xfId="12" applyFont="1" applyBorder="1" applyAlignment="1">
      <alignment horizontal="center"/>
    </xf>
    <xf numFmtId="41" fontId="55" fillId="0" borderId="5" xfId="12" applyNumberFormat="1" applyFont="1" applyFill="1" applyBorder="1" applyAlignment="1">
      <alignment horizontal="center"/>
    </xf>
    <xf numFmtId="41" fontId="55" fillId="0" borderId="8" xfId="12" applyNumberFormat="1" applyFont="1" applyFill="1" applyBorder="1" applyAlignment="1">
      <alignment horizontal="center"/>
    </xf>
    <xf numFmtId="2" fontId="55" fillId="0" borderId="0" xfId="4" applyNumberFormat="1" applyFont="1" applyAlignment="1" applyProtection="1">
      <alignment horizontal="center"/>
    </xf>
    <xf numFmtId="5" fontId="54" fillId="0" borderId="0" xfId="12" applyNumberFormat="1" applyFont="1" applyFill="1"/>
    <xf numFmtId="37" fontId="54" fillId="0" borderId="0" xfId="12" applyNumberFormat="1" applyFont="1" applyFill="1"/>
    <xf numFmtId="37" fontId="54" fillId="0" borderId="10" xfId="12" applyNumberFormat="1" applyFont="1" applyFill="1" applyBorder="1"/>
    <xf numFmtId="37" fontId="54" fillId="0" borderId="0" xfId="12" applyNumberFormat="1" applyFont="1" applyFill="1" applyBorder="1"/>
    <xf numFmtId="5" fontId="54" fillId="0" borderId="13" xfId="12" applyNumberFormat="1" applyFont="1" applyFill="1" applyBorder="1"/>
    <xf numFmtId="5" fontId="54" fillId="0" borderId="0" xfId="12" applyNumberFormat="1" applyFont="1" applyFill="1" applyBorder="1"/>
    <xf numFmtId="41" fontId="54" fillId="0" borderId="3" xfId="12" applyNumberFormat="1" applyFont="1" applyFill="1" applyBorder="1"/>
    <xf numFmtId="41" fontId="54" fillId="0" borderId="0" xfId="12" applyNumberFormat="1" applyFont="1" applyFill="1" applyBorder="1"/>
    <xf numFmtId="41" fontId="54" fillId="0" borderId="10" xfId="12" applyNumberFormat="1" applyFont="1" applyFill="1" applyBorder="1"/>
    <xf numFmtId="41" fontId="54" fillId="0" borderId="13" xfId="12" applyNumberFormat="1" applyFont="1" applyFill="1" applyBorder="1"/>
    <xf numFmtId="10" fontId="55" fillId="0" borderId="0" xfId="14" applyNumberFormat="1" applyFont="1" applyFill="1"/>
    <xf numFmtId="173" fontId="12" fillId="0" borderId="16" xfId="0" applyNumberFormat="1" applyFont="1" applyBorder="1"/>
    <xf numFmtId="0" fontId="54" fillId="0" borderId="0" xfId="12" applyFont="1" applyAlignment="1">
      <alignment horizontal="center"/>
    </xf>
    <xf numFmtId="0" fontId="6" fillId="3" borderId="0" xfId="0" applyFont="1" applyFill="1" applyAlignment="1">
      <alignment horizontal="center"/>
    </xf>
    <xf numFmtId="0" fontId="6" fillId="3" borderId="0" xfId="0" applyFont="1" applyFill="1" applyBorder="1"/>
    <xf numFmtId="4" fontId="6" fillId="3" borderId="0" xfId="0" applyNumberFormat="1" applyFont="1" applyFill="1" applyAlignment="1">
      <alignment horizontal="center"/>
    </xf>
    <xf numFmtId="4" fontId="6" fillId="3" borderId="0" xfId="0" applyNumberFormat="1" applyFont="1" applyFill="1" applyAlignment="1">
      <alignment horizontal="left"/>
    </xf>
    <xf numFmtId="3" fontId="6" fillId="3" borderId="0" xfId="0" applyNumberFormat="1" applyFont="1" applyFill="1"/>
    <xf numFmtId="3" fontId="56" fillId="3" borderId="0" xfId="0" applyNumberFormat="1" applyFont="1" applyFill="1" applyAlignment="1">
      <alignment horizontal="left"/>
    </xf>
    <xf numFmtId="0" fontId="6" fillId="0" borderId="0" xfId="0" applyFont="1" applyAlignment="1">
      <alignment horizontal="center"/>
    </xf>
    <xf numFmtId="41" fontId="4" fillId="0" borderId="2" xfId="12" applyNumberFormat="1" applyFont="1" applyBorder="1" applyAlignment="1">
      <alignment horizontal="center"/>
    </xf>
    <xf numFmtId="41" fontId="4" fillId="0" borderId="6" xfId="12" applyNumberFormat="1" applyFont="1" applyBorder="1" applyAlignment="1">
      <alignment horizontal="center"/>
    </xf>
    <xf numFmtId="41" fontId="4" fillId="0" borderId="9" xfId="12" applyNumberFormat="1" applyFont="1" applyBorder="1" applyAlignment="1">
      <alignment horizontal="center"/>
    </xf>
    <xf numFmtId="41" fontId="4" fillId="0" borderId="0" xfId="13" applyNumberFormat="1" applyFont="1" applyFill="1" applyBorder="1" applyAlignment="1">
      <alignment horizontal="center"/>
    </xf>
    <xf numFmtId="2" fontId="52" fillId="0" borderId="0" xfId="4" applyNumberFormat="1" applyFont="1" applyBorder="1" applyAlignment="1" applyProtection="1">
      <alignment horizontal="center"/>
    </xf>
    <xf numFmtId="2" fontId="52" fillId="0" borderId="0" xfId="4" applyNumberFormat="1" applyFont="1" applyFill="1" applyBorder="1" applyAlignment="1" applyProtection="1">
      <alignment horizontal="center"/>
    </xf>
    <xf numFmtId="5" fontId="4" fillId="0" borderId="0" xfId="12" applyNumberFormat="1" applyFont="1" applyBorder="1"/>
    <xf numFmtId="41" fontId="51" fillId="0" borderId="0" xfId="12" applyNumberFormat="1" applyFont="1" applyBorder="1"/>
    <xf numFmtId="5" fontId="51" fillId="0" borderId="0" xfId="12" applyNumberFormat="1" applyFont="1" applyFill="1" applyBorder="1"/>
    <xf numFmtId="5" fontId="4" fillId="0" borderId="0" xfId="12" applyNumberFormat="1" applyFont="1" applyFill="1" applyBorder="1"/>
    <xf numFmtId="10" fontId="4" fillId="0" borderId="0" xfId="14" applyNumberFormat="1" applyFont="1" applyBorder="1"/>
    <xf numFmtId="0" fontId="6" fillId="0" borderId="0" xfId="0" applyFont="1" applyAlignment="1">
      <alignment horizontal="center"/>
    </xf>
    <xf numFmtId="176" fontId="53" fillId="0" borderId="0" xfId="0" applyNumberFormat="1" applyFont="1" applyAlignment="1">
      <alignment horizontal="left"/>
    </xf>
    <xf numFmtId="176" fontId="53" fillId="0" borderId="0" xfId="0" applyNumberFormat="1" applyFont="1" applyFill="1" applyAlignment="1">
      <alignment horizontal="left"/>
    </xf>
    <xf numFmtId="175" fontId="53" fillId="0" borderId="0" xfId="0" applyNumberFormat="1" applyFont="1" applyAlignment="1">
      <alignment horizontal="left"/>
    </xf>
    <xf numFmtId="0" fontId="6"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41" fontId="54" fillId="0" borderId="0" xfId="12" applyNumberFormat="1" applyFont="1"/>
    <xf numFmtId="3" fontId="55" fillId="0" borderId="0" xfId="13" applyNumberFormat="1" applyFont="1" applyAlignment="1">
      <alignment horizontal="center"/>
    </xf>
    <xf numFmtId="41" fontId="54" fillId="0" borderId="0" xfId="13" applyNumberFormat="1" applyFont="1" applyAlignment="1">
      <alignment horizontal="center"/>
    </xf>
    <xf numFmtId="41" fontId="55" fillId="0" borderId="1" xfId="12" applyNumberFormat="1" applyFont="1" applyBorder="1" applyAlignment="1">
      <alignment horizontal="center"/>
    </xf>
    <xf numFmtId="41" fontId="55" fillId="0" borderId="5" xfId="12" applyNumberFormat="1" applyFont="1" applyBorder="1" applyAlignment="1">
      <alignment horizontal="center"/>
    </xf>
    <xf numFmtId="41" fontId="55" fillId="0" borderId="8" xfId="12" applyNumberFormat="1" applyFont="1" applyBorder="1" applyAlignment="1">
      <alignment horizontal="center"/>
    </xf>
    <xf numFmtId="5" fontId="54" fillId="0" borderId="0" xfId="10" applyNumberFormat="1" applyFont="1" applyFill="1" applyBorder="1"/>
    <xf numFmtId="41" fontId="54" fillId="0" borderId="10" xfId="12" applyNumberFormat="1" applyFont="1" applyBorder="1"/>
    <xf numFmtId="5" fontId="54" fillId="0" borderId="13" xfId="12" applyNumberFormat="1" applyFont="1" applyBorder="1"/>
    <xf numFmtId="5" fontId="54" fillId="0" borderId="0" xfId="12" applyNumberFormat="1" applyFont="1"/>
    <xf numFmtId="41" fontId="54" fillId="0" borderId="0" xfId="12" applyNumberFormat="1" applyFont="1" applyBorder="1"/>
    <xf numFmtId="0" fontId="6"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41" fontId="6" fillId="0" borderId="0" xfId="0" applyNumberFormat="1" applyFont="1" applyBorder="1"/>
    <xf numFmtId="9" fontId="6" fillId="0" borderId="0" xfId="0" applyNumberFormat="1" applyFont="1" applyFill="1" applyBorder="1" applyAlignment="1">
      <alignment horizontal="left"/>
    </xf>
    <xf numFmtId="41" fontId="54" fillId="0" borderId="0" xfId="13" applyNumberFormat="1" applyFont="1" applyFill="1" applyAlignment="1">
      <alignment horizontal="center"/>
    </xf>
    <xf numFmtId="41" fontId="55" fillId="0" borderId="4" xfId="12" applyNumberFormat="1" applyFont="1" applyBorder="1" applyAlignment="1">
      <alignment horizontal="center"/>
    </xf>
    <xf numFmtId="0" fontId="55" fillId="0" borderId="1" xfId="12" applyFont="1" applyFill="1" applyBorder="1" applyAlignment="1">
      <alignment horizontal="center"/>
    </xf>
    <xf numFmtId="41" fontId="55" fillId="0" borderId="1" xfId="12" applyNumberFormat="1" applyFont="1" applyFill="1" applyBorder="1" applyAlignment="1">
      <alignment horizontal="center"/>
    </xf>
    <xf numFmtId="41" fontId="55" fillId="0" borderId="7" xfId="12" applyNumberFormat="1" applyFont="1" applyBorder="1" applyAlignment="1">
      <alignment horizontal="center"/>
    </xf>
    <xf numFmtId="41" fontId="55" fillId="0" borderId="11" xfId="12" applyNumberFormat="1" applyFont="1" applyBorder="1" applyAlignment="1">
      <alignment horizontal="center"/>
    </xf>
    <xf numFmtId="2" fontId="55" fillId="0" borderId="0" xfId="4" applyNumberFormat="1" applyFont="1" applyFill="1" applyAlignment="1" applyProtection="1">
      <alignment horizontal="center"/>
    </xf>
    <xf numFmtId="41" fontId="54" fillId="0" borderId="0" xfId="14" applyNumberFormat="1" applyFont="1"/>
    <xf numFmtId="0" fontId="6" fillId="0" borderId="0" xfId="0" applyFont="1" applyAlignment="1">
      <alignment horizontal="center"/>
    </xf>
    <xf numFmtId="41" fontId="55" fillId="0" borderId="1" xfId="10" applyNumberFormat="1" applyFont="1" applyFill="1" applyBorder="1" applyAlignment="1">
      <alignment horizontal="center"/>
    </xf>
    <xf numFmtId="41" fontId="55" fillId="0" borderId="5" xfId="10" applyNumberFormat="1" applyFont="1" applyFill="1" applyBorder="1" applyAlignment="1">
      <alignment horizontal="center"/>
    </xf>
    <xf numFmtId="41" fontId="51" fillId="0" borderId="0" xfId="12" applyNumberFormat="1" applyFont="1" applyFill="1" applyBorder="1" applyAlignment="1">
      <alignment horizontal="left" wrapText="1"/>
    </xf>
    <xf numFmtId="0" fontId="6" fillId="0" borderId="0" xfId="0" applyFont="1" applyFill="1" applyBorder="1" applyAlignment="1">
      <alignment horizontal="left" wrapText="1"/>
    </xf>
    <xf numFmtId="0" fontId="7" fillId="0" borderId="0" xfId="0" applyFont="1" applyAlignment="1">
      <alignment horizontal="center"/>
    </xf>
    <xf numFmtId="0" fontId="50" fillId="9" borderId="0" xfId="0" applyFont="1" applyFill="1" applyAlignment="1">
      <alignment horizontal="center"/>
    </xf>
    <xf numFmtId="0" fontId="50" fillId="3" borderId="0" xfId="0" applyFont="1" applyFill="1" applyAlignment="1">
      <alignment horizontal="center"/>
    </xf>
    <xf numFmtId="0" fontId="7" fillId="0" borderId="0" xfId="0" applyFont="1" applyBorder="1" applyAlignment="1">
      <alignment horizontal="center"/>
    </xf>
    <xf numFmtId="0" fontId="6" fillId="0" borderId="0" xfId="0" applyFont="1" applyAlignment="1">
      <alignment horizontal="center"/>
    </xf>
    <xf numFmtId="0" fontId="8" fillId="0" borderId="0" xfId="0" applyFont="1" applyAlignment="1">
      <alignment horizontal="center"/>
    </xf>
    <xf numFmtId="0" fontId="6" fillId="0" borderId="27" xfId="11" applyFont="1" applyBorder="1" applyAlignment="1">
      <alignment horizontal="center"/>
    </xf>
    <xf numFmtId="0" fontId="6" fillId="0" borderId="28" xfId="11" applyFont="1" applyBorder="1" applyAlignment="1">
      <alignment horizontal="center"/>
    </xf>
    <xf numFmtId="0" fontId="6" fillId="0" borderId="29" xfId="11" applyFont="1" applyBorder="1" applyAlignment="1">
      <alignment horizontal="center"/>
    </xf>
    <xf numFmtId="4" fontId="13" fillId="0" borderId="0" xfId="11" applyNumberFormat="1" applyFont="1" applyBorder="1" applyAlignment="1">
      <alignment horizontal="center"/>
    </xf>
    <xf numFmtId="4" fontId="7" fillId="0" borderId="0" xfId="11" applyNumberFormat="1" applyFont="1" applyBorder="1" applyAlignment="1">
      <alignment horizontal="center"/>
    </xf>
    <xf numFmtId="4" fontId="27" fillId="0" borderId="0" xfId="11" applyNumberFormat="1" applyFont="1" applyBorder="1" applyAlignment="1">
      <alignment horizontal="center"/>
    </xf>
    <xf numFmtId="4" fontId="6" fillId="0" borderId="0" xfId="11" applyNumberFormat="1" applyFont="1" applyBorder="1" applyAlignment="1">
      <alignment horizontal="center"/>
    </xf>
  </cellXfs>
  <cellStyles count="20">
    <cellStyle name="Comma" xfId="1" builtinId="3"/>
    <cellStyle name="Comma 2" xfId="19"/>
    <cellStyle name="Currency" xfId="2" builtinId="4"/>
    <cellStyle name="Currency 2" xfId="3"/>
    <cellStyle name="Followed Hyperlink" xfId="4" builtinId="9" customBuiltin="1"/>
    <cellStyle name="Hyperlink" xfId="5" builtinId="8" customBuiltin="1"/>
    <cellStyle name="Manual-Input" xfId="17"/>
    <cellStyle name="Normal" xfId="0" builtinId="0"/>
    <cellStyle name="Normal 2" xfId="16"/>
    <cellStyle name="Normal 2 2" xfId="6"/>
    <cellStyle name="Normal 2 3" xfId="7"/>
    <cellStyle name="Normal 6" xfId="8"/>
    <cellStyle name="Normal_Avista WA ELEC TY2006 Staff Rebuttal 05 capstruc" xfId="18"/>
    <cellStyle name="Normal_DFIT-WaEle_SUM" xfId="9"/>
    <cellStyle name="Normal_IDGas6_97" xfId="10"/>
    <cellStyle name="Normal_RestateDebtInt1200case" xfId="11"/>
    <cellStyle name="Normal_WAElec6_97" xfId="12"/>
    <cellStyle name="Normal_WAGas6_97"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2\2012%20WA%20GRC\Adjustment%20Information\Draft-Avista%20Electric%202012%20GRC-WA%20ELECsumm2011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WA"/>
      <sheetName val="RevReq_Exh_WA"/>
      <sheetName val="ConverFac_Exh-WA"/>
      <sheetName val="Retail Revenue Credit"/>
      <sheetName val="PFRstmtSheet"/>
      <sheetName val="WAElec_Summary"/>
      <sheetName val="1.01-DFIT"/>
      <sheetName val="1.02-Deferred Dr. and CR."/>
      <sheetName val="1.03-Res_Capital"/>
      <sheetName val="1.04-WrkgCap"/>
      <sheetName val="2.01-BandO"/>
      <sheetName val="2.02-PropTax"/>
      <sheetName val="2.03-UncollExp"/>
      <sheetName val="2.04-RegExp"/>
      <sheetName val="2.05-InjDam"/>
      <sheetName val="2.06-FIT"/>
      <sheetName val="2.07-ElimPowerCost"/>
      <sheetName val="2.08-NezPerce"/>
      <sheetName val="2.09-ElimAR"/>
      <sheetName val="2.10-SubSpace"/>
      <sheetName val="2.11-ExciseTax"/>
      <sheetName val="2.12-GainsLoss"/>
      <sheetName val="2.13-RevNormalztn"/>
      <sheetName val="2.14-MiscRestate"/>
      <sheetName val="2.15-Res_Incen"/>
      <sheetName val="2.16-BCKaBlck"/>
      <sheetName val="2.17-Depr. Study"/>
      <sheetName val="2.18-CS2 Colstrip"/>
      <sheetName val="2.19-Attrition"/>
      <sheetName val="2.20-DebtInt"/>
      <sheetName val="2.20a-DebtCalc"/>
      <sheetName val="PF1-PSWA"/>
      <sheetName val="PF2-Trans"/>
      <sheetName val="PF3-Labor"/>
      <sheetName val="PF4-Exec"/>
      <sheetName val="PF5-EmpBen"/>
      <sheetName val="PF6-Insur"/>
      <sheetName val="PF7-Capx2012"/>
      <sheetName val="PF8-Smart Grid"/>
      <sheetName val="PF9-Aldyl A"/>
      <sheetName val="PF10-First Wind"/>
      <sheetName val="PF11-Noxon Gen"/>
      <sheetName val="PF12-VegMgmt"/>
      <sheetName val="PF13-Perf.Exel."/>
      <sheetName val="PF14-IT Expenses"/>
      <sheetName val="PF15-Compass "/>
      <sheetName val="Revised Comparison-For sttlmnt"/>
      <sheetName val="Inputs"/>
      <sheetName val="PFProdFctr-WA-not used-formula"/>
      <sheetName val="PFProdFctr-WA calc"/>
      <sheetName val="Sheet"/>
    </sheetNames>
    <sheetDataSet>
      <sheetData sheetId="0" refreshError="1"/>
      <sheetData sheetId="1" refreshError="1"/>
      <sheetData sheetId="2" refreshError="1"/>
      <sheetData sheetId="3" refreshError="1"/>
      <sheetData sheetId="4">
        <row r="1">
          <cell r="A1" t="str">
            <v xml:space="preserve"> </v>
          </cell>
        </row>
      </sheetData>
      <sheetData sheetId="5">
        <row r="4">
          <cell r="A4" t="str">
            <v>TWELVE MONTHS ENDED DECEMBER 31, 2011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6">
          <cell r="D6" t="str">
            <v>AVISTA UTILITIES</v>
          </cell>
        </row>
      </sheetData>
      <sheetData sheetId="48" refreshError="1"/>
      <sheetData sheetId="49" refreshError="1"/>
      <sheetData sheetId="5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81"/>
  <sheetViews>
    <sheetView tabSelected="1" view="pageBreakPreview" zoomScale="115" zoomScaleNormal="130" zoomScaleSheetLayoutView="115" workbookViewId="0">
      <pane xSplit="5" ySplit="11" topLeftCell="Q12" activePane="bottomRight" state="frozen"/>
      <selection activeCell="T42" sqref="T42"/>
      <selection pane="topRight" activeCell="T42" sqref="T42"/>
      <selection pane="bottomLeft" activeCell="T42" sqref="T42"/>
      <selection pane="bottomRight" activeCell="Z5" sqref="Z5"/>
    </sheetView>
  </sheetViews>
  <sheetFormatPr defaultColWidth="10.7109375" defaultRowHeight="12.75"/>
  <cols>
    <col min="1" max="1" width="59.85546875" style="3" hidden="1" customWidth="1"/>
    <col min="2" max="3" width="1.7109375" style="2" customWidth="1"/>
    <col min="4" max="4" width="32" style="2" bestFit="1" customWidth="1"/>
    <col min="5" max="5" width="14.7109375" style="448" customWidth="1"/>
    <col min="6" max="6" width="14.7109375" style="494" customWidth="1"/>
    <col min="7" max="13" width="14.7109375" style="448" customWidth="1"/>
    <col min="14" max="14" width="13.85546875" style="494" customWidth="1"/>
    <col min="15" max="17" width="14.7109375" style="448" customWidth="1"/>
    <col min="18" max="19" width="14.7109375" style="494" customWidth="1"/>
    <col min="20" max="20" width="14.7109375" style="448" customWidth="1"/>
    <col min="21" max="21" width="14.7109375" style="494" customWidth="1"/>
    <col min="22" max="22" width="14.7109375" style="448" customWidth="1"/>
    <col min="23" max="23" width="12.28515625" style="448" customWidth="1"/>
    <col min="24" max="24" width="13.42578125" style="448" customWidth="1"/>
    <col min="25" max="25" width="7.28515625" style="161" hidden="1" customWidth="1"/>
    <col min="26" max="26" width="17.7109375" style="160" customWidth="1"/>
    <col min="27" max="27" width="0.5703125" style="162" hidden="1" customWidth="1"/>
    <col min="28" max="29" width="12.42578125" style="162" hidden="1" customWidth="1"/>
    <col min="30" max="30" width="7.5703125" style="163" hidden="1" customWidth="1"/>
    <col min="31" max="31" width="6.28515625" style="180" customWidth="1"/>
    <col min="32" max="32" width="16.42578125" style="437" customWidth="1"/>
    <col min="33" max="33" width="14.7109375" style="101" customWidth="1"/>
    <col min="34" max="34" width="15.28515625" style="127" customWidth="1"/>
    <col min="35" max="37" width="15.28515625" style="2" customWidth="1"/>
    <col min="38" max="38" width="15.28515625" style="101" customWidth="1"/>
    <col min="39" max="45" width="10.7109375" style="384"/>
    <col min="46" max="16384" width="10.7109375" style="2"/>
  </cols>
  <sheetData>
    <row r="1" spans="1:38">
      <c r="F1" s="448"/>
    </row>
    <row r="2" spans="1:38">
      <c r="A2" s="1" t="s">
        <v>155</v>
      </c>
      <c r="D2" s="3"/>
      <c r="E2" s="449"/>
      <c r="F2" s="450"/>
      <c r="G2" s="449"/>
      <c r="H2" s="449"/>
      <c r="I2" s="449"/>
      <c r="J2" s="449"/>
      <c r="K2" s="449"/>
      <c r="L2" s="449"/>
      <c r="M2" s="449"/>
      <c r="N2" s="448"/>
      <c r="O2" s="449"/>
      <c r="P2" s="449"/>
      <c r="Q2" s="449"/>
      <c r="R2" s="448"/>
      <c r="S2" s="448"/>
      <c r="T2" s="449"/>
      <c r="V2" s="449"/>
    </row>
    <row r="3" spans="1:38" ht="12.75" customHeight="1">
      <c r="A3" s="1" t="s">
        <v>589</v>
      </c>
      <c r="D3" s="3"/>
      <c r="E3" s="450"/>
      <c r="F3" s="450"/>
      <c r="G3" s="450"/>
      <c r="H3" s="450"/>
      <c r="I3" s="450"/>
      <c r="J3" s="450"/>
      <c r="K3" s="450"/>
      <c r="L3" s="450"/>
      <c r="M3" s="450"/>
      <c r="N3" s="448"/>
      <c r="O3" s="450"/>
      <c r="P3" s="450"/>
      <c r="Q3" s="450"/>
      <c r="R3" s="448"/>
      <c r="S3" s="448"/>
      <c r="T3" s="450"/>
      <c r="V3" s="450"/>
      <c r="AF3" s="522"/>
    </row>
    <row r="4" spans="1:38">
      <c r="A4" s="1" t="s">
        <v>612</v>
      </c>
      <c r="D4" s="3"/>
      <c r="F4" s="448"/>
      <c r="N4" s="448"/>
      <c r="R4" s="450"/>
      <c r="S4" s="450"/>
      <c r="U4" s="450"/>
      <c r="W4" s="450"/>
      <c r="X4" s="450"/>
      <c r="Y4" s="162"/>
      <c r="AF4" s="522"/>
    </row>
    <row r="5" spans="1:38" ht="12.75" customHeight="1">
      <c r="A5" s="1" t="s">
        <v>156</v>
      </c>
      <c r="D5" s="3"/>
      <c r="F5" s="495"/>
      <c r="N5" s="495"/>
      <c r="R5" s="495"/>
      <c r="S5" s="495"/>
      <c r="U5" s="495"/>
      <c r="W5" s="495"/>
      <c r="X5" s="495"/>
      <c r="AA5" s="364"/>
      <c r="AF5" s="522"/>
      <c r="AL5" s="6"/>
    </row>
    <row r="6" spans="1:38" s="5" customFormat="1" ht="12.75" customHeight="1">
      <c r="A6" s="4"/>
      <c r="D6" s="4"/>
      <c r="E6" s="467"/>
      <c r="F6" s="467"/>
      <c r="G6" s="467"/>
      <c r="H6" s="467"/>
      <c r="I6" s="467"/>
      <c r="J6" s="467"/>
      <c r="K6" s="467"/>
      <c r="L6" s="467"/>
      <c r="M6" s="467"/>
      <c r="N6" s="467"/>
      <c r="O6" s="467"/>
      <c r="P6" s="467"/>
      <c r="Q6" s="467"/>
      <c r="R6" s="496"/>
      <c r="S6" s="496"/>
      <c r="T6" s="511"/>
      <c r="U6" s="511"/>
      <c r="V6" s="467"/>
      <c r="W6" s="496"/>
      <c r="X6" s="511"/>
      <c r="Y6" s="429"/>
      <c r="Z6" s="165"/>
      <c r="AA6" s="364"/>
      <c r="AB6" s="165"/>
      <c r="AC6" s="165"/>
      <c r="AD6" s="165"/>
      <c r="AE6" s="313"/>
      <c r="AF6" s="522"/>
      <c r="AG6" s="6"/>
      <c r="AH6" s="12"/>
      <c r="AL6" s="6"/>
    </row>
    <row r="7" spans="1:38" s="5" customFormat="1" ht="12" customHeight="1">
      <c r="A7" s="7"/>
      <c r="B7" s="8"/>
      <c r="C7" s="9"/>
      <c r="D7" s="9"/>
      <c r="E7" s="451"/>
      <c r="F7" s="512" t="s">
        <v>1</v>
      </c>
      <c r="G7" s="451" t="s">
        <v>1</v>
      </c>
      <c r="H7" s="513" t="s">
        <v>212</v>
      </c>
      <c r="I7" s="451" t="s">
        <v>3</v>
      </c>
      <c r="J7" s="451" t="s">
        <v>5</v>
      </c>
      <c r="K7" s="451" t="s">
        <v>590</v>
      </c>
      <c r="L7" s="451" t="s">
        <v>13</v>
      </c>
      <c r="M7" s="451" t="s">
        <v>4</v>
      </c>
      <c r="N7" s="513" t="s">
        <v>583</v>
      </c>
      <c r="O7" s="451" t="s">
        <v>6</v>
      </c>
      <c r="P7" s="451" t="s">
        <v>5</v>
      </c>
      <c r="Q7" s="451" t="s">
        <v>191</v>
      </c>
      <c r="R7" s="497" t="s">
        <v>584</v>
      </c>
      <c r="S7" s="497" t="s">
        <v>3</v>
      </c>
      <c r="T7" s="513" t="s">
        <v>591</v>
      </c>
      <c r="U7" s="514" t="s">
        <v>3</v>
      </c>
      <c r="V7" s="451" t="s">
        <v>89</v>
      </c>
      <c r="W7" s="514" t="s">
        <v>5</v>
      </c>
      <c r="X7" s="520" t="s">
        <v>582</v>
      </c>
      <c r="Y7" s="167" t="s">
        <v>559</v>
      </c>
      <c r="Z7" s="411" t="s">
        <v>613</v>
      </c>
      <c r="AA7" s="168"/>
      <c r="AB7" s="336"/>
      <c r="AC7" s="169"/>
      <c r="AD7" s="475"/>
      <c r="AE7" s="314"/>
      <c r="AF7" s="478"/>
      <c r="AG7" s="156"/>
      <c r="AH7" s="409"/>
      <c r="AL7" s="156"/>
    </row>
    <row r="8" spans="1:38" s="5" customFormat="1" ht="12">
      <c r="A8" s="10" t="s">
        <v>7</v>
      </c>
      <c r="B8" s="11"/>
      <c r="C8" s="12"/>
      <c r="D8" s="12"/>
      <c r="E8" s="452" t="s">
        <v>218</v>
      </c>
      <c r="F8" s="515" t="s">
        <v>8</v>
      </c>
      <c r="G8" s="452" t="s">
        <v>216</v>
      </c>
      <c r="H8" s="452" t="s">
        <v>92</v>
      </c>
      <c r="I8" s="452" t="s">
        <v>11</v>
      </c>
      <c r="J8" s="452" t="s">
        <v>12</v>
      </c>
      <c r="K8" s="452" t="s">
        <v>25</v>
      </c>
      <c r="L8" s="452" t="s">
        <v>25</v>
      </c>
      <c r="M8" s="452" t="s">
        <v>14</v>
      </c>
      <c r="N8" s="452" t="s">
        <v>25</v>
      </c>
      <c r="O8" s="452" t="s">
        <v>16</v>
      </c>
      <c r="P8" s="452" t="s">
        <v>192</v>
      </c>
      <c r="Q8" s="452" t="s">
        <v>214</v>
      </c>
      <c r="R8" s="498" t="s">
        <v>153</v>
      </c>
      <c r="S8" s="498" t="s">
        <v>596</v>
      </c>
      <c r="T8" s="452" t="s">
        <v>202</v>
      </c>
      <c r="U8" s="452" t="s">
        <v>87</v>
      </c>
      <c r="V8" s="452" t="s">
        <v>2</v>
      </c>
      <c r="W8" s="452" t="s">
        <v>15</v>
      </c>
      <c r="X8" s="521" t="s">
        <v>10</v>
      </c>
      <c r="Y8" s="170"/>
      <c r="Z8" s="412" t="s">
        <v>17</v>
      </c>
      <c r="AA8" s="171"/>
      <c r="AB8" s="337"/>
      <c r="AC8" s="337"/>
      <c r="AD8" s="476" t="s">
        <v>546</v>
      </c>
      <c r="AE8" s="314"/>
      <c r="AF8" s="478"/>
      <c r="AG8" s="6"/>
      <c r="AH8" s="410"/>
      <c r="AL8" s="6"/>
    </row>
    <row r="9" spans="1:38" s="5" customFormat="1" ht="12">
      <c r="A9" s="13" t="s">
        <v>18</v>
      </c>
      <c r="B9" s="14"/>
      <c r="C9" s="15"/>
      <c r="D9" s="15" t="s">
        <v>19</v>
      </c>
      <c r="E9" s="453" t="s">
        <v>219</v>
      </c>
      <c r="F9" s="516" t="s">
        <v>20</v>
      </c>
      <c r="G9" s="453" t="s">
        <v>217</v>
      </c>
      <c r="H9" s="453" t="s">
        <v>611</v>
      </c>
      <c r="I9" s="453" t="s">
        <v>23</v>
      </c>
      <c r="J9" s="453" t="s">
        <v>24</v>
      </c>
      <c r="K9" s="453" t="s">
        <v>611</v>
      </c>
      <c r="L9" s="453" t="s">
        <v>611</v>
      </c>
      <c r="M9" s="453" t="s">
        <v>26</v>
      </c>
      <c r="N9" s="453" t="s">
        <v>611</v>
      </c>
      <c r="O9" s="453" t="s">
        <v>204</v>
      </c>
      <c r="P9" s="453" t="s">
        <v>23</v>
      </c>
      <c r="Q9" s="453" t="s">
        <v>215</v>
      </c>
      <c r="R9" s="499" t="s">
        <v>611</v>
      </c>
      <c r="S9" s="499" t="s">
        <v>597</v>
      </c>
      <c r="T9" s="453" t="s">
        <v>611</v>
      </c>
      <c r="U9" s="453" t="s">
        <v>88</v>
      </c>
      <c r="V9" s="453" t="s">
        <v>21</v>
      </c>
      <c r="W9" s="453" t="s">
        <v>27</v>
      </c>
      <c r="X9" s="453" t="s">
        <v>22</v>
      </c>
      <c r="Y9" s="173"/>
      <c r="Z9" s="413" t="s">
        <v>29</v>
      </c>
      <c r="AA9" s="172"/>
      <c r="AB9" s="338"/>
      <c r="AC9" s="174"/>
      <c r="AD9" s="477" t="s">
        <v>29</v>
      </c>
      <c r="AE9" s="314"/>
      <c r="AF9" s="478"/>
      <c r="AG9" s="6"/>
      <c r="AH9" s="313"/>
      <c r="AL9" s="6"/>
    </row>
    <row r="10" spans="1:38" s="283" customFormat="1" ht="12">
      <c r="B10" s="311" t="s">
        <v>523</v>
      </c>
      <c r="E10" s="454">
        <v>1</v>
      </c>
      <c r="F10" s="454">
        <f>1+0.01</f>
        <v>1.01</v>
      </c>
      <c r="G10" s="454">
        <f>F10+0.01</f>
        <v>1.02</v>
      </c>
      <c r="H10" s="517">
        <f>G10+0.01</f>
        <v>1.03</v>
      </c>
      <c r="I10" s="454">
        <v>2.0099999999999998</v>
      </c>
      <c r="J10" s="454">
        <f>I10+0.01</f>
        <v>2.0199999999999996</v>
      </c>
      <c r="K10" s="454">
        <f>J10+0.01</f>
        <v>2.0299999999999994</v>
      </c>
      <c r="L10" s="454">
        <f>K10+0.01</f>
        <v>2.0399999999999991</v>
      </c>
      <c r="M10" s="454">
        <f t="shared" ref="M10:Q10" si="0">L10+0.01</f>
        <v>2.0499999999999989</v>
      </c>
      <c r="N10" s="517">
        <f t="shared" si="0"/>
        <v>2.0599999999999987</v>
      </c>
      <c r="O10" s="454">
        <f t="shared" si="0"/>
        <v>2.0699999999999985</v>
      </c>
      <c r="P10" s="454">
        <f t="shared" si="0"/>
        <v>2.0799999999999983</v>
      </c>
      <c r="Q10" s="454">
        <f t="shared" si="0"/>
        <v>2.0899999999999981</v>
      </c>
      <c r="R10" s="454">
        <f t="shared" ref="R10" si="1">Q10+0.01</f>
        <v>2.0999999999999979</v>
      </c>
      <c r="S10" s="454">
        <f t="shared" ref="S10" si="2">R10+0.01</f>
        <v>2.1099999999999977</v>
      </c>
      <c r="T10" s="454">
        <f t="shared" ref="T10" si="3">S10+0.01</f>
        <v>2.1199999999999974</v>
      </c>
      <c r="U10" s="454">
        <f t="shared" ref="U10" si="4">T10+0.01</f>
        <v>2.1299999999999972</v>
      </c>
      <c r="V10" s="454">
        <f t="shared" ref="V10" si="5">U10+0.01</f>
        <v>2.139999999999997</v>
      </c>
      <c r="W10" s="454">
        <f t="shared" ref="W10" si="6">V10+0.01</f>
        <v>2.1499999999999968</v>
      </c>
      <c r="X10" s="517">
        <f t="shared" ref="X10" si="7">W10+0.01</f>
        <v>2.1599999999999966</v>
      </c>
      <c r="Y10" s="286"/>
      <c r="Z10" s="414" t="s">
        <v>543</v>
      </c>
      <c r="AA10" s="286"/>
      <c r="AB10" s="286"/>
      <c r="AC10" s="286"/>
      <c r="AD10" s="283" t="s">
        <v>547</v>
      </c>
      <c r="AE10" s="289"/>
      <c r="AF10" s="479"/>
      <c r="AG10" s="288"/>
      <c r="AH10" s="288"/>
      <c r="AL10" s="287"/>
    </row>
    <row r="11" spans="1:38" s="283" customFormat="1" ht="12">
      <c r="B11" s="311" t="s">
        <v>524</v>
      </c>
      <c r="E11" s="454" t="s">
        <v>525</v>
      </c>
      <c r="F11" s="454" t="s">
        <v>526</v>
      </c>
      <c r="G11" s="454" t="s">
        <v>527</v>
      </c>
      <c r="H11" s="517" t="s">
        <v>528</v>
      </c>
      <c r="I11" s="454" t="s">
        <v>529</v>
      </c>
      <c r="J11" s="454" t="s">
        <v>602</v>
      </c>
      <c r="K11" s="454" t="s">
        <v>593</v>
      </c>
      <c r="L11" s="454" t="s">
        <v>594</v>
      </c>
      <c r="M11" s="454" t="s">
        <v>530</v>
      </c>
      <c r="N11" s="517" t="s">
        <v>531</v>
      </c>
      <c r="O11" s="454" t="s">
        <v>561</v>
      </c>
      <c r="P11" s="454" t="s">
        <v>534</v>
      </c>
      <c r="Q11" s="454" t="s">
        <v>535</v>
      </c>
      <c r="R11" s="454" t="s">
        <v>599</v>
      </c>
      <c r="S11" s="454" t="s">
        <v>598</v>
      </c>
      <c r="T11" s="454" t="s">
        <v>536</v>
      </c>
      <c r="U11" s="454" t="s">
        <v>532</v>
      </c>
      <c r="V11" s="454" t="s">
        <v>533</v>
      </c>
      <c r="W11" s="454" t="s">
        <v>537</v>
      </c>
      <c r="X11" s="517" t="s">
        <v>585</v>
      </c>
      <c r="Y11" s="284" t="s">
        <v>559</v>
      </c>
      <c r="Z11" s="414"/>
      <c r="AA11" s="286"/>
      <c r="AB11" s="284"/>
      <c r="AC11" s="286"/>
      <c r="AE11" s="289"/>
      <c r="AF11" s="480"/>
      <c r="AG11" s="288"/>
      <c r="AH11" s="288"/>
      <c r="AL11" s="287"/>
    </row>
    <row r="12" spans="1:38" s="283" customFormat="1" ht="12">
      <c r="B12" s="311"/>
      <c r="E12" s="454"/>
      <c r="F12" s="454"/>
      <c r="G12" s="454"/>
      <c r="H12" s="454"/>
      <c r="I12" s="454"/>
      <c r="J12" s="454"/>
      <c r="K12" s="454"/>
      <c r="L12" s="454"/>
      <c r="M12" s="454"/>
      <c r="N12" s="517"/>
      <c r="O12" s="454"/>
      <c r="P12" s="454"/>
      <c r="Q12" s="454"/>
      <c r="R12" s="454"/>
      <c r="S12" s="454"/>
      <c r="T12" s="454"/>
      <c r="U12" s="454"/>
      <c r="V12" s="454"/>
      <c r="W12" s="454"/>
      <c r="X12" s="517"/>
      <c r="Y12" s="284"/>
      <c r="Z12" s="414"/>
      <c r="AA12" s="286"/>
      <c r="AB12" s="284"/>
      <c r="AC12" s="286"/>
      <c r="AE12" s="289"/>
      <c r="AF12" s="480"/>
      <c r="AG12" s="288"/>
      <c r="AH12" s="289"/>
      <c r="AL12" s="287"/>
    </row>
    <row r="13" spans="1:38">
      <c r="B13" s="2" t="s">
        <v>157</v>
      </c>
      <c r="N13" s="462"/>
      <c r="W13" s="462"/>
      <c r="X13" s="462"/>
      <c r="Z13" s="415"/>
      <c r="AA13" s="175"/>
    </row>
    <row r="14" spans="1:38" s="17" customFormat="1">
      <c r="A14" s="16">
        <v>1</v>
      </c>
      <c r="B14" s="17" t="s">
        <v>158</v>
      </c>
      <c r="E14" s="455">
        <f>'ROO INPUT'!F14</f>
        <v>508833</v>
      </c>
      <c r="F14" s="500">
        <v>0</v>
      </c>
      <c r="G14" s="455">
        <v>0</v>
      </c>
      <c r="H14" s="455">
        <v>0</v>
      </c>
      <c r="I14" s="455">
        <v>-17685</v>
      </c>
      <c r="J14" s="455">
        <v>0</v>
      </c>
      <c r="K14" s="455">
        <v>0</v>
      </c>
      <c r="L14" s="455">
        <v>0</v>
      </c>
      <c r="M14" s="455">
        <v>0</v>
      </c>
      <c r="N14" s="500">
        <v>0</v>
      </c>
      <c r="O14" s="455">
        <v>0</v>
      </c>
      <c r="P14" s="455">
        <v>0</v>
      </c>
      <c r="Q14" s="455">
        <v>0</v>
      </c>
      <c r="R14" s="500">
        <v>-2345</v>
      </c>
      <c r="S14" s="500">
        <v>-9308</v>
      </c>
      <c r="T14" s="455">
        <v>0</v>
      </c>
      <c r="U14" s="500">
        <v>8877</v>
      </c>
      <c r="V14" s="455">
        <v>0</v>
      </c>
      <c r="W14" s="500">
        <v>0</v>
      </c>
      <c r="X14" s="500">
        <v>0</v>
      </c>
      <c r="Y14" s="430">
        <v>0</v>
      </c>
      <c r="Z14" s="416">
        <f>SUM(E14:Y14)</f>
        <v>488372</v>
      </c>
      <c r="AA14" s="430"/>
      <c r="AB14" s="430"/>
      <c r="AC14" s="430"/>
      <c r="AD14" s="279">
        <f t="shared" ref="AD14:AD19" si="8">SUM(AA14:AC14)</f>
        <v>0</v>
      </c>
      <c r="AE14" s="481"/>
      <c r="AF14" s="438"/>
      <c r="AG14" s="19"/>
      <c r="AH14" s="135"/>
      <c r="AI14" s="35"/>
      <c r="AL14" s="19"/>
    </row>
    <row r="15" spans="1:38" s="18" customFormat="1" ht="12">
      <c r="A15" s="16">
        <v>2</v>
      </c>
      <c r="B15" s="18" t="s">
        <v>159</v>
      </c>
      <c r="E15" s="456">
        <f>'ROO INPUT'!F15</f>
        <v>922</v>
      </c>
      <c r="F15" s="494">
        <v>0</v>
      </c>
      <c r="G15" s="456">
        <v>0</v>
      </c>
      <c r="H15" s="456">
        <v>0</v>
      </c>
      <c r="I15" s="456">
        <v>0</v>
      </c>
      <c r="J15" s="456">
        <v>0</v>
      </c>
      <c r="K15" s="456">
        <v>0</v>
      </c>
      <c r="L15" s="456">
        <v>0</v>
      </c>
      <c r="M15" s="456">
        <v>0</v>
      </c>
      <c r="N15" s="494">
        <v>0</v>
      </c>
      <c r="O15" s="456">
        <v>0</v>
      </c>
      <c r="P15" s="456">
        <v>0</v>
      </c>
      <c r="Q15" s="456">
        <v>0</v>
      </c>
      <c r="R15" s="494">
        <v>0</v>
      </c>
      <c r="S15" s="494">
        <v>0</v>
      </c>
      <c r="T15" s="456">
        <v>0</v>
      </c>
      <c r="U15" s="456">
        <v>0</v>
      </c>
      <c r="V15" s="456">
        <v>0</v>
      </c>
      <c r="W15" s="448">
        <v>0</v>
      </c>
      <c r="X15" s="448">
        <v>0</v>
      </c>
      <c r="Y15" s="161">
        <v>0</v>
      </c>
      <c r="Z15" s="415">
        <f>SUM(E15:Y15)</f>
        <v>922</v>
      </c>
      <c r="AA15" s="162"/>
      <c r="AB15" s="162"/>
      <c r="AC15" s="162"/>
      <c r="AD15" s="163">
        <f t="shared" si="8"/>
        <v>0</v>
      </c>
      <c r="AE15" s="180"/>
      <c r="AF15" s="437"/>
      <c r="AG15" s="157"/>
      <c r="AH15" s="75"/>
      <c r="AL15" s="157"/>
    </row>
    <row r="16" spans="1:38" s="18" customFormat="1" ht="12">
      <c r="A16" s="16">
        <v>3</v>
      </c>
      <c r="B16" s="18" t="s">
        <v>160</v>
      </c>
      <c r="E16" s="457">
        <f>'ROO INPUT'!F16</f>
        <v>97639</v>
      </c>
      <c r="F16" s="501">
        <v>0</v>
      </c>
      <c r="G16" s="457">
        <v>0</v>
      </c>
      <c r="H16" s="457">
        <v>0</v>
      </c>
      <c r="I16" s="457">
        <v>0</v>
      </c>
      <c r="J16" s="457">
        <v>0</v>
      </c>
      <c r="K16" s="457">
        <v>0</v>
      </c>
      <c r="L16" s="457">
        <v>0</v>
      </c>
      <c r="M16" s="457">
        <v>0</v>
      </c>
      <c r="N16" s="501">
        <v>0</v>
      </c>
      <c r="O16" s="457">
        <v>0</v>
      </c>
      <c r="P16" s="457">
        <v>0</v>
      </c>
      <c r="Q16" s="457">
        <v>0</v>
      </c>
      <c r="R16" s="501">
        <v>0</v>
      </c>
      <c r="S16" s="501">
        <v>0</v>
      </c>
      <c r="T16" s="457">
        <v>0</v>
      </c>
      <c r="U16" s="501">
        <v>0</v>
      </c>
      <c r="V16" s="457">
        <v>0</v>
      </c>
      <c r="W16" s="463">
        <v>0</v>
      </c>
      <c r="X16" s="463">
        <v>-36641</v>
      </c>
      <c r="Y16" s="177">
        <v>0</v>
      </c>
      <c r="Z16" s="417">
        <f>SUM(E16:Y16)</f>
        <v>60998</v>
      </c>
      <c r="AA16" s="176"/>
      <c r="AB16" s="176"/>
      <c r="AC16" s="176"/>
      <c r="AD16" s="178">
        <f t="shared" si="8"/>
        <v>0</v>
      </c>
      <c r="AE16" s="180"/>
      <c r="AF16" s="437"/>
      <c r="AG16" s="157"/>
      <c r="AH16" s="75"/>
      <c r="AL16" s="157"/>
    </row>
    <row r="17" spans="1:38" s="18" customFormat="1" ht="12">
      <c r="A17" s="16">
        <v>4</v>
      </c>
      <c r="B17" s="18" t="s">
        <v>161</v>
      </c>
      <c r="E17" s="456">
        <f t="shared" ref="E17:Z17" si="9">SUM(E14:E16)</f>
        <v>607394</v>
      </c>
      <c r="F17" s="494">
        <f t="shared" si="9"/>
        <v>0</v>
      </c>
      <c r="G17" s="456">
        <f t="shared" si="9"/>
        <v>0</v>
      </c>
      <c r="H17" s="456">
        <f t="shared" si="9"/>
        <v>0</v>
      </c>
      <c r="I17" s="456">
        <f t="shared" si="9"/>
        <v>-17685</v>
      </c>
      <c r="J17" s="456">
        <f t="shared" ref="J17" si="10">SUM(J14:J16)</f>
        <v>0</v>
      </c>
      <c r="K17" s="456">
        <f t="shared" si="9"/>
        <v>0</v>
      </c>
      <c r="L17" s="456">
        <f t="shared" si="9"/>
        <v>0</v>
      </c>
      <c r="M17" s="456">
        <f t="shared" si="9"/>
        <v>0</v>
      </c>
      <c r="N17" s="494">
        <f t="shared" si="9"/>
        <v>0</v>
      </c>
      <c r="O17" s="456">
        <f t="shared" si="9"/>
        <v>0</v>
      </c>
      <c r="P17" s="456">
        <f t="shared" si="9"/>
        <v>0</v>
      </c>
      <c r="Q17" s="456">
        <f t="shared" si="9"/>
        <v>0</v>
      </c>
      <c r="R17" s="494">
        <f t="shared" si="9"/>
        <v>-2345</v>
      </c>
      <c r="S17" s="494">
        <f t="shared" ref="S17" si="11">SUM(S14:S16)</f>
        <v>-9308</v>
      </c>
      <c r="T17" s="456">
        <f>SUM(T14:T16)</f>
        <v>0</v>
      </c>
      <c r="U17" s="494">
        <f t="shared" ref="U17:Y17" si="12">SUM(U14:U16)</f>
        <v>8877</v>
      </c>
      <c r="V17" s="456">
        <f t="shared" si="12"/>
        <v>0</v>
      </c>
      <c r="W17" s="448">
        <f t="shared" si="12"/>
        <v>0</v>
      </c>
      <c r="X17" s="448">
        <f>SUM(X14:X16)</f>
        <v>-36641</v>
      </c>
      <c r="Y17" s="161">
        <f t="shared" si="12"/>
        <v>0</v>
      </c>
      <c r="Z17" s="415">
        <f t="shared" si="9"/>
        <v>550292</v>
      </c>
      <c r="AA17" s="162"/>
      <c r="AB17" s="162"/>
      <c r="AC17" s="162"/>
      <c r="AD17" s="163">
        <f t="shared" si="8"/>
        <v>0</v>
      </c>
      <c r="AE17" s="180"/>
      <c r="AF17" s="437"/>
      <c r="AG17" s="134"/>
      <c r="AH17" s="75"/>
      <c r="AL17" s="134"/>
    </row>
    <row r="18" spans="1:38" s="18" customFormat="1" ht="12">
      <c r="A18" s="16">
        <v>5</v>
      </c>
      <c r="B18" s="18" t="s">
        <v>162</v>
      </c>
      <c r="E18" s="457">
        <f>'ROO INPUT'!F18</f>
        <v>73553</v>
      </c>
      <c r="F18" s="501">
        <v>0</v>
      </c>
      <c r="G18" s="457">
        <v>0</v>
      </c>
      <c r="H18" s="457">
        <v>0</v>
      </c>
      <c r="I18" s="457">
        <v>-13</v>
      </c>
      <c r="J18" s="457">
        <v>0</v>
      </c>
      <c r="K18" s="457">
        <v>0</v>
      </c>
      <c r="L18" s="457">
        <v>0</v>
      </c>
      <c r="M18" s="457">
        <v>0</v>
      </c>
      <c r="N18" s="501">
        <v>0</v>
      </c>
      <c r="O18" s="457">
        <v>0</v>
      </c>
      <c r="P18" s="457">
        <v>0</v>
      </c>
      <c r="Q18" s="457">
        <v>0</v>
      </c>
      <c r="R18" s="501">
        <v>0</v>
      </c>
      <c r="S18" s="501">
        <v>0</v>
      </c>
      <c r="T18" s="457">
        <v>0</v>
      </c>
      <c r="U18" s="501">
        <v>0</v>
      </c>
      <c r="V18" s="457">
        <v>0</v>
      </c>
      <c r="W18" s="463">
        <v>0</v>
      </c>
      <c r="X18" s="463">
        <f>-93018-X16</f>
        <v>-56377</v>
      </c>
      <c r="Y18" s="177">
        <v>0</v>
      </c>
      <c r="Z18" s="417">
        <f>SUM(E18:Y18)</f>
        <v>17163</v>
      </c>
      <c r="AA18" s="176"/>
      <c r="AB18" s="176"/>
      <c r="AC18" s="176"/>
      <c r="AD18" s="178">
        <f t="shared" si="8"/>
        <v>0</v>
      </c>
      <c r="AE18" s="180"/>
      <c r="AF18" s="437"/>
      <c r="AG18" s="157"/>
      <c r="AH18" s="75"/>
      <c r="AL18" s="157"/>
    </row>
    <row r="19" spans="1:38" s="18" customFormat="1" ht="12">
      <c r="A19" s="16">
        <v>6</v>
      </c>
      <c r="B19" s="18" t="s">
        <v>163</v>
      </c>
      <c r="E19" s="456">
        <f t="shared" ref="E19:Z19" si="13">SUM(E17:E18)</f>
        <v>680947</v>
      </c>
      <c r="F19" s="494">
        <f t="shared" si="13"/>
        <v>0</v>
      </c>
      <c r="G19" s="456">
        <f t="shared" si="13"/>
        <v>0</v>
      </c>
      <c r="H19" s="456">
        <f t="shared" si="13"/>
        <v>0</v>
      </c>
      <c r="I19" s="456">
        <f t="shared" ref="I19" si="14">SUM(I17:I18)</f>
        <v>-17698</v>
      </c>
      <c r="J19" s="456">
        <f t="shared" ref="J19" si="15">SUM(J17:J18)</f>
        <v>0</v>
      </c>
      <c r="K19" s="456">
        <f t="shared" si="13"/>
        <v>0</v>
      </c>
      <c r="L19" s="456">
        <f t="shared" si="13"/>
        <v>0</v>
      </c>
      <c r="M19" s="456">
        <f t="shared" si="13"/>
        <v>0</v>
      </c>
      <c r="N19" s="494">
        <f t="shared" si="13"/>
        <v>0</v>
      </c>
      <c r="O19" s="456">
        <f t="shared" si="13"/>
        <v>0</v>
      </c>
      <c r="P19" s="456">
        <f t="shared" si="13"/>
        <v>0</v>
      </c>
      <c r="Q19" s="456">
        <f t="shared" si="13"/>
        <v>0</v>
      </c>
      <c r="R19" s="494">
        <f t="shared" si="13"/>
        <v>-2345</v>
      </c>
      <c r="S19" s="494">
        <f t="shared" ref="S19" si="16">SUM(S17:S18)</f>
        <v>-9308</v>
      </c>
      <c r="T19" s="456">
        <f>SUM(T17:T18)</f>
        <v>0</v>
      </c>
      <c r="U19" s="494">
        <f t="shared" ref="U19:Y19" si="17">SUM(U17:U18)</f>
        <v>8877</v>
      </c>
      <c r="V19" s="456">
        <f t="shared" si="17"/>
        <v>0</v>
      </c>
      <c r="W19" s="448">
        <f t="shared" si="17"/>
        <v>0</v>
      </c>
      <c r="X19" s="448">
        <f>SUM(X17:X18)</f>
        <v>-93018</v>
      </c>
      <c r="Y19" s="161">
        <f t="shared" si="17"/>
        <v>0</v>
      </c>
      <c r="Z19" s="415">
        <f t="shared" si="13"/>
        <v>567455</v>
      </c>
      <c r="AA19" s="162"/>
      <c r="AB19" s="162"/>
      <c r="AC19" s="162"/>
      <c r="AD19" s="163">
        <f t="shared" si="8"/>
        <v>0</v>
      </c>
      <c r="AE19" s="180"/>
      <c r="AF19" s="437"/>
      <c r="AG19" s="134"/>
      <c r="AH19" s="75"/>
      <c r="AL19" s="134"/>
    </row>
    <row r="20" spans="1:38" s="18" customFormat="1" ht="12">
      <c r="A20" s="16"/>
      <c r="E20" s="456"/>
      <c r="F20" s="494"/>
      <c r="G20" s="456"/>
      <c r="H20" s="456"/>
      <c r="I20" s="456"/>
      <c r="J20" s="456"/>
      <c r="K20" s="456"/>
      <c r="L20" s="456"/>
      <c r="M20" s="456"/>
      <c r="N20" s="494"/>
      <c r="O20" s="456"/>
      <c r="P20" s="456"/>
      <c r="Q20" s="456"/>
      <c r="R20" s="494"/>
      <c r="S20" s="494"/>
      <c r="T20" s="456"/>
      <c r="U20" s="494"/>
      <c r="V20" s="456"/>
      <c r="W20" s="448"/>
      <c r="X20" s="448"/>
      <c r="Y20" s="161"/>
      <c r="Z20" s="415"/>
      <c r="AA20" s="162"/>
      <c r="AB20" s="162"/>
      <c r="AC20" s="162"/>
      <c r="AD20" s="163"/>
      <c r="AE20" s="180"/>
      <c r="AF20" s="437"/>
      <c r="AG20" s="157"/>
      <c r="AH20" s="75"/>
      <c r="AL20" s="157"/>
    </row>
    <row r="21" spans="1:38" s="18" customFormat="1" ht="12">
      <c r="A21" s="16"/>
      <c r="B21" s="18" t="s">
        <v>164</v>
      </c>
      <c r="E21" s="456"/>
      <c r="F21" s="494"/>
      <c r="G21" s="456"/>
      <c r="H21" s="456"/>
      <c r="I21" s="456"/>
      <c r="J21" s="456"/>
      <c r="K21" s="456"/>
      <c r="L21" s="456"/>
      <c r="M21" s="456"/>
      <c r="N21" s="494"/>
      <c r="O21" s="456"/>
      <c r="P21" s="456"/>
      <c r="Q21" s="456"/>
      <c r="R21" s="494"/>
      <c r="S21" s="494"/>
      <c r="T21" s="456"/>
      <c r="U21" s="494"/>
      <c r="V21" s="456"/>
      <c r="W21" s="448"/>
      <c r="X21" s="448"/>
      <c r="Y21" s="161"/>
      <c r="Z21" s="415"/>
      <c r="AA21" s="162"/>
      <c r="AB21" s="162"/>
      <c r="AC21" s="162"/>
      <c r="AD21" s="163"/>
      <c r="AE21" s="180"/>
      <c r="AF21" s="437"/>
      <c r="AG21" s="157"/>
      <c r="AH21" s="75"/>
      <c r="AL21" s="157"/>
    </row>
    <row r="22" spans="1:38" s="18" customFormat="1" ht="12">
      <c r="A22" s="16"/>
      <c r="B22" s="18" t="s">
        <v>165</v>
      </c>
      <c r="E22" s="456"/>
      <c r="F22" s="494"/>
      <c r="G22" s="456"/>
      <c r="H22" s="456"/>
      <c r="I22" s="456"/>
      <c r="J22" s="456"/>
      <c r="K22" s="456"/>
      <c r="L22" s="456"/>
      <c r="M22" s="456"/>
      <c r="N22" s="494"/>
      <c r="O22" s="456"/>
      <c r="P22" s="456"/>
      <c r="Q22" s="456"/>
      <c r="R22" s="494"/>
      <c r="S22" s="494"/>
      <c r="T22" s="456"/>
      <c r="U22" s="494"/>
      <c r="V22" s="456"/>
      <c r="W22" s="448"/>
      <c r="X22" s="448"/>
      <c r="Y22" s="161"/>
      <c r="Z22" s="415"/>
      <c r="AA22" s="162"/>
      <c r="AB22" s="162"/>
      <c r="AC22" s="162"/>
      <c r="AD22" s="163">
        <f t="shared" ref="AD22:AD28" si="18">SUM(AA22:AC22)</f>
        <v>0</v>
      </c>
      <c r="AE22" s="180"/>
      <c r="AF22" s="437"/>
      <c r="AG22" s="157"/>
      <c r="AH22" s="75"/>
      <c r="AL22" s="157"/>
    </row>
    <row r="23" spans="1:38" s="18" customFormat="1" ht="12">
      <c r="A23" s="16">
        <v>7</v>
      </c>
      <c r="C23" s="18" t="s">
        <v>166</v>
      </c>
      <c r="E23" s="456">
        <f>'ROO INPUT'!F23</f>
        <v>192589</v>
      </c>
      <c r="F23" s="494">
        <v>0</v>
      </c>
      <c r="G23" s="456">
        <v>64</v>
      </c>
      <c r="H23" s="456">
        <v>0</v>
      </c>
      <c r="I23" s="456">
        <v>0</v>
      </c>
      <c r="J23" s="456">
        <v>0</v>
      </c>
      <c r="K23" s="456">
        <v>0</v>
      </c>
      <c r="L23" s="456">
        <v>0</v>
      </c>
      <c r="M23" s="456">
        <v>0</v>
      </c>
      <c r="N23" s="494">
        <v>0</v>
      </c>
      <c r="O23" s="456">
        <v>0</v>
      </c>
      <c r="P23" s="456">
        <v>0</v>
      </c>
      <c r="Q23" s="456">
        <v>0</v>
      </c>
      <c r="R23" s="494">
        <v>0</v>
      </c>
      <c r="S23" s="494">
        <v>321</v>
      </c>
      <c r="T23" s="456">
        <v>0</v>
      </c>
      <c r="U23" s="494">
        <f>4283-U26</f>
        <v>4274</v>
      </c>
      <c r="V23" s="456">
        <v>10</v>
      </c>
      <c r="W23" s="448">
        <v>0</v>
      </c>
      <c r="X23" s="448">
        <f>-88234-X24</f>
        <v>-76951</v>
      </c>
      <c r="Y23" s="161">
        <v>0</v>
      </c>
      <c r="Z23" s="415">
        <f>SUM(E23:Y23)</f>
        <v>120307</v>
      </c>
      <c r="AA23" s="162"/>
      <c r="AB23" s="162"/>
      <c r="AC23" s="162"/>
      <c r="AD23" s="163">
        <f t="shared" si="18"/>
        <v>0</v>
      </c>
      <c r="AE23" s="180"/>
      <c r="AF23" s="437"/>
      <c r="AG23" s="157"/>
      <c r="AH23" s="75"/>
      <c r="AL23" s="157"/>
    </row>
    <row r="24" spans="1:38" s="18" customFormat="1" ht="12">
      <c r="A24" s="16">
        <v>8</v>
      </c>
      <c r="C24" s="18" t="s">
        <v>167</v>
      </c>
      <c r="E24" s="456">
        <f>'ROO INPUT'!F24</f>
        <v>127926</v>
      </c>
      <c r="F24" s="494">
        <v>0</v>
      </c>
      <c r="G24" s="456">
        <v>0</v>
      </c>
      <c r="H24" s="456">
        <v>0</v>
      </c>
      <c r="I24" s="456">
        <v>0</v>
      </c>
      <c r="J24" s="456">
        <v>0</v>
      </c>
      <c r="K24" s="456">
        <v>0</v>
      </c>
      <c r="L24" s="456">
        <v>0</v>
      </c>
      <c r="M24" s="456">
        <v>0</v>
      </c>
      <c r="N24" s="494">
        <v>0</v>
      </c>
      <c r="O24" s="456">
        <v>0</v>
      </c>
      <c r="P24" s="456">
        <v>0</v>
      </c>
      <c r="Q24" s="456">
        <v>0</v>
      </c>
      <c r="R24" s="494">
        <v>0</v>
      </c>
      <c r="S24" s="494">
        <v>0</v>
      </c>
      <c r="T24" s="456">
        <v>0</v>
      </c>
      <c r="U24" s="494">
        <v>0</v>
      </c>
      <c r="V24" s="456">
        <v>0</v>
      </c>
      <c r="W24" s="448">
        <v>0</v>
      </c>
      <c r="X24" s="448">
        <v>-11283</v>
      </c>
      <c r="Y24" s="161">
        <v>0</v>
      </c>
      <c r="Z24" s="415">
        <f>SUM(E24:Y24)</f>
        <v>116643</v>
      </c>
      <c r="AA24" s="162"/>
      <c r="AB24" s="162"/>
      <c r="AC24" s="162"/>
      <c r="AD24" s="163">
        <f t="shared" si="18"/>
        <v>0</v>
      </c>
      <c r="AE24" s="180"/>
      <c r="AF24" s="437"/>
      <c r="AG24" s="157"/>
      <c r="AH24" s="75"/>
      <c r="AL24" s="157"/>
    </row>
    <row r="25" spans="1:38" s="18" customFormat="1" ht="12">
      <c r="A25" s="16">
        <v>9</v>
      </c>
      <c r="C25" s="18" t="s">
        <v>509</v>
      </c>
      <c r="E25" s="456">
        <f>'ROO INPUT'!F25</f>
        <v>23715</v>
      </c>
      <c r="F25" s="494">
        <v>0</v>
      </c>
      <c r="G25" s="456">
        <v>0</v>
      </c>
      <c r="H25" s="456">
        <v>0</v>
      </c>
      <c r="I25" s="456">
        <v>0</v>
      </c>
      <c r="J25" s="456">
        <v>0</v>
      </c>
      <c r="K25" s="456">
        <v>0</v>
      </c>
      <c r="L25" s="456">
        <v>0</v>
      </c>
      <c r="M25" s="456">
        <v>0</v>
      </c>
      <c r="N25" s="494">
        <v>0</v>
      </c>
      <c r="O25" s="456">
        <v>0</v>
      </c>
      <c r="P25" s="456">
        <v>0</v>
      </c>
      <c r="Q25" s="456">
        <v>0</v>
      </c>
      <c r="R25" s="494">
        <v>0</v>
      </c>
      <c r="S25" s="494">
        <v>0</v>
      </c>
      <c r="T25" s="456">
        <v>0</v>
      </c>
      <c r="U25" s="494">
        <v>0</v>
      </c>
      <c r="V25" s="456">
        <v>0</v>
      </c>
      <c r="W25" s="448">
        <v>0</v>
      </c>
      <c r="X25" s="448">
        <v>0</v>
      </c>
      <c r="Y25" s="161">
        <v>0</v>
      </c>
      <c r="Z25" s="415">
        <f>SUM(E25:Y25)</f>
        <v>23715</v>
      </c>
      <c r="AA25" s="162"/>
      <c r="AB25" s="162"/>
      <c r="AC25" s="162"/>
      <c r="AD25" s="163">
        <f t="shared" si="18"/>
        <v>0</v>
      </c>
      <c r="AE25" s="180"/>
      <c r="AF25" s="437"/>
      <c r="AG25" s="157"/>
      <c r="AH25" s="75"/>
      <c r="AL25" s="157"/>
    </row>
    <row r="26" spans="1:38" s="18" customFormat="1" ht="12">
      <c r="A26" s="16">
        <v>10</v>
      </c>
      <c r="C26" s="99" t="s">
        <v>505</v>
      </c>
      <c r="D26" s="99"/>
      <c r="E26" s="456">
        <f>'ROO INPUT'!F26</f>
        <v>-1139</v>
      </c>
      <c r="F26" s="448">
        <v>0</v>
      </c>
      <c r="G26" s="456">
        <v>0</v>
      </c>
      <c r="H26" s="456">
        <v>0</v>
      </c>
      <c r="I26" s="456">
        <v>0</v>
      </c>
      <c r="J26" s="456">
        <v>0</v>
      </c>
      <c r="K26" s="456">
        <v>0</v>
      </c>
      <c r="L26" s="456">
        <v>0</v>
      </c>
      <c r="M26" s="456">
        <v>0</v>
      </c>
      <c r="N26" s="448">
        <v>0</v>
      </c>
      <c r="O26" s="456">
        <v>0</v>
      </c>
      <c r="P26" s="456">
        <v>0</v>
      </c>
      <c r="Q26" s="456">
        <v>0</v>
      </c>
      <c r="R26" s="448">
        <v>0</v>
      </c>
      <c r="S26" s="448">
        <v>9231</v>
      </c>
      <c r="T26" s="456">
        <v>0</v>
      </c>
      <c r="U26" s="448">
        <v>9</v>
      </c>
      <c r="V26" s="456">
        <v>0</v>
      </c>
      <c r="W26" s="448">
        <v>0</v>
      </c>
      <c r="X26" s="448"/>
      <c r="Y26" s="162">
        <v>0</v>
      </c>
      <c r="Z26" s="415">
        <f>SUM(E26:Y26)</f>
        <v>8101</v>
      </c>
      <c r="AA26" s="162"/>
      <c r="AB26" s="162"/>
      <c r="AC26" s="162"/>
      <c r="AD26" s="163">
        <f t="shared" si="18"/>
        <v>0</v>
      </c>
      <c r="AE26" s="180"/>
      <c r="AF26" s="437"/>
      <c r="AG26" s="157"/>
      <c r="AH26" s="75"/>
      <c r="AL26" s="157"/>
    </row>
    <row r="27" spans="1:38" s="18" customFormat="1" ht="12">
      <c r="A27" s="16">
        <v>11</v>
      </c>
      <c r="C27" s="18" t="s">
        <v>168</v>
      </c>
      <c r="E27" s="457">
        <f>'ROO INPUT'!F27</f>
        <v>12844</v>
      </c>
      <c r="F27" s="501">
        <v>0</v>
      </c>
      <c r="G27" s="457">
        <v>0</v>
      </c>
      <c r="H27" s="457">
        <v>0</v>
      </c>
      <c r="I27" s="457">
        <v>0</v>
      </c>
      <c r="J27" s="457">
        <v>-16</v>
      </c>
      <c r="K27" s="457">
        <v>0</v>
      </c>
      <c r="L27" s="457">
        <v>0</v>
      </c>
      <c r="M27" s="457">
        <v>0</v>
      </c>
      <c r="N27" s="501">
        <v>0</v>
      </c>
      <c r="O27" s="457">
        <v>0</v>
      </c>
      <c r="P27" s="457">
        <v>0</v>
      </c>
      <c r="Q27" s="457">
        <v>0</v>
      </c>
      <c r="R27" s="501">
        <v>0</v>
      </c>
      <c r="S27" s="501">
        <v>0</v>
      </c>
      <c r="T27" s="457">
        <v>0</v>
      </c>
      <c r="U27" s="501">
        <v>0</v>
      </c>
      <c r="V27" s="457">
        <v>0</v>
      </c>
      <c r="W27" s="463">
        <v>0</v>
      </c>
      <c r="X27" s="463">
        <v>0</v>
      </c>
      <c r="Y27" s="177">
        <v>0</v>
      </c>
      <c r="Z27" s="417">
        <f>SUM(E27:Y27)</f>
        <v>12828</v>
      </c>
      <c r="AA27" s="176"/>
      <c r="AB27" s="176"/>
      <c r="AC27" s="176"/>
      <c r="AD27" s="178">
        <f t="shared" si="18"/>
        <v>0</v>
      </c>
      <c r="AE27" s="180"/>
      <c r="AF27" s="437"/>
      <c r="AG27" s="157"/>
      <c r="AH27" s="75"/>
      <c r="AL27" s="157"/>
    </row>
    <row r="28" spans="1:38" s="18" customFormat="1" ht="12">
      <c r="A28" s="16">
        <v>12</v>
      </c>
      <c r="B28" s="18" t="s">
        <v>169</v>
      </c>
      <c r="E28" s="456">
        <f t="shared" ref="E28:Z28" si="19">SUM(E23:E27)</f>
        <v>355935</v>
      </c>
      <c r="F28" s="494">
        <f t="shared" si="19"/>
        <v>0</v>
      </c>
      <c r="G28" s="456">
        <f t="shared" si="19"/>
        <v>64</v>
      </c>
      <c r="H28" s="456">
        <f t="shared" si="19"/>
        <v>0</v>
      </c>
      <c r="I28" s="456">
        <f t="shared" si="19"/>
        <v>0</v>
      </c>
      <c r="J28" s="456">
        <f t="shared" ref="J28" si="20">SUM(J23:J27)</f>
        <v>-16</v>
      </c>
      <c r="K28" s="456">
        <f t="shared" si="19"/>
        <v>0</v>
      </c>
      <c r="L28" s="456">
        <f t="shared" si="19"/>
        <v>0</v>
      </c>
      <c r="M28" s="456">
        <f t="shared" si="19"/>
        <v>0</v>
      </c>
      <c r="N28" s="494">
        <f t="shared" si="19"/>
        <v>0</v>
      </c>
      <c r="O28" s="456">
        <f t="shared" si="19"/>
        <v>0</v>
      </c>
      <c r="P28" s="456">
        <f t="shared" si="19"/>
        <v>0</v>
      </c>
      <c r="Q28" s="456">
        <f t="shared" si="19"/>
        <v>0</v>
      </c>
      <c r="R28" s="494">
        <f t="shared" si="19"/>
        <v>0</v>
      </c>
      <c r="S28" s="494">
        <f t="shared" ref="S28" si="21">SUM(S23:S27)</f>
        <v>9552</v>
      </c>
      <c r="T28" s="456">
        <f>SUM(T23:T27)</f>
        <v>0</v>
      </c>
      <c r="U28" s="494">
        <f t="shared" ref="U28:Y28" si="22">SUM(U23:U27)</f>
        <v>4283</v>
      </c>
      <c r="V28" s="456">
        <f t="shared" si="22"/>
        <v>10</v>
      </c>
      <c r="W28" s="448">
        <f t="shared" si="22"/>
        <v>0</v>
      </c>
      <c r="X28" s="448">
        <f>SUM(X23:X27)</f>
        <v>-88234</v>
      </c>
      <c r="Y28" s="161">
        <f t="shared" si="22"/>
        <v>0</v>
      </c>
      <c r="Z28" s="415">
        <f t="shared" si="19"/>
        <v>281594</v>
      </c>
      <c r="AA28" s="162"/>
      <c r="AB28" s="162"/>
      <c r="AC28" s="162"/>
      <c r="AD28" s="163">
        <f t="shared" si="18"/>
        <v>0</v>
      </c>
      <c r="AE28" s="180"/>
      <c r="AF28" s="437"/>
      <c r="AG28" s="134"/>
      <c r="AH28" s="75"/>
      <c r="AL28" s="134"/>
    </row>
    <row r="29" spans="1:38" s="18" customFormat="1" ht="12">
      <c r="A29" s="16"/>
      <c r="E29" s="456"/>
      <c r="F29" s="494"/>
      <c r="G29" s="456"/>
      <c r="H29" s="456"/>
      <c r="I29" s="456"/>
      <c r="J29" s="456"/>
      <c r="K29" s="456"/>
      <c r="L29" s="456"/>
      <c r="M29" s="456"/>
      <c r="N29" s="494"/>
      <c r="O29" s="456"/>
      <c r="P29" s="456"/>
      <c r="Q29" s="456"/>
      <c r="R29" s="494"/>
      <c r="S29" s="494"/>
      <c r="T29" s="456"/>
      <c r="U29" s="494"/>
      <c r="V29" s="456"/>
      <c r="W29" s="448"/>
      <c r="X29" s="448"/>
      <c r="Y29" s="161"/>
      <c r="Z29" s="415"/>
      <c r="AA29" s="162"/>
      <c r="AB29" s="162"/>
      <c r="AC29" s="162"/>
      <c r="AD29" s="163"/>
      <c r="AE29" s="180"/>
      <c r="AF29" s="437"/>
      <c r="AG29" s="157"/>
      <c r="AH29" s="75"/>
      <c r="AL29" s="157"/>
    </row>
    <row r="30" spans="1:38" s="18" customFormat="1" ht="12">
      <c r="A30" s="16"/>
      <c r="B30" s="18" t="s">
        <v>170</v>
      </c>
      <c r="E30" s="456"/>
      <c r="F30" s="494"/>
      <c r="G30" s="456"/>
      <c r="H30" s="456"/>
      <c r="I30" s="456"/>
      <c r="J30" s="456"/>
      <c r="K30" s="456"/>
      <c r="L30" s="456"/>
      <c r="M30" s="456"/>
      <c r="N30" s="494"/>
      <c r="O30" s="456"/>
      <c r="P30" s="456"/>
      <c r="Q30" s="456"/>
      <c r="R30" s="494"/>
      <c r="S30" s="494"/>
      <c r="T30" s="456"/>
      <c r="U30" s="494"/>
      <c r="V30" s="456"/>
      <c r="W30" s="448"/>
      <c r="X30" s="448"/>
      <c r="Y30" s="161"/>
      <c r="Z30" s="415"/>
      <c r="AA30" s="162"/>
      <c r="AB30" s="162"/>
      <c r="AC30" s="162"/>
      <c r="AD30" s="163">
        <f>SUM(AA30:AC30)</f>
        <v>0</v>
      </c>
      <c r="AE30" s="180"/>
      <c r="AF30" s="437"/>
      <c r="AG30" s="157"/>
      <c r="AH30" s="75"/>
      <c r="AL30" s="157"/>
    </row>
    <row r="31" spans="1:38" s="18" customFormat="1" ht="12">
      <c r="A31" s="16">
        <v>13</v>
      </c>
      <c r="C31" s="18" t="s">
        <v>166</v>
      </c>
      <c r="E31" s="458">
        <f>'ROO INPUT'!F31</f>
        <v>21301</v>
      </c>
      <c r="F31" s="494">
        <v>0</v>
      </c>
      <c r="G31" s="458">
        <v>0</v>
      </c>
      <c r="H31" s="458">
        <v>0</v>
      </c>
      <c r="I31" s="458">
        <v>0</v>
      </c>
      <c r="J31" s="458">
        <v>0</v>
      </c>
      <c r="K31" s="458">
        <v>0</v>
      </c>
      <c r="L31" s="458">
        <v>0</v>
      </c>
      <c r="M31" s="458">
        <v>0</v>
      </c>
      <c r="N31" s="494">
        <v>0</v>
      </c>
      <c r="O31" s="458">
        <v>0</v>
      </c>
      <c r="P31" s="458">
        <v>0</v>
      </c>
      <c r="Q31" s="458">
        <v>0</v>
      </c>
      <c r="R31" s="494">
        <v>0</v>
      </c>
      <c r="S31" s="494">
        <v>0</v>
      </c>
      <c r="T31" s="458">
        <v>-2</v>
      </c>
      <c r="U31" s="494">
        <v>0</v>
      </c>
      <c r="V31" s="458">
        <v>0</v>
      </c>
      <c r="W31" s="448">
        <v>0</v>
      </c>
      <c r="X31" s="448">
        <v>0</v>
      </c>
      <c r="Y31" s="161">
        <v>0</v>
      </c>
      <c r="Z31" s="415">
        <f>SUM(E31:Y31)</f>
        <v>21299</v>
      </c>
      <c r="AA31" s="162"/>
      <c r="AB31" s="162"/>
      <c r="AC31" s="162"/>
      <c r="AD31" s="163">
        <f>SUM(AA31:AC31)</f>
        <v>0</v>
      </c>
      <c r="AE31" s="180"/>
      <c r="AF31" s="437"/>
      <c r="AG31" s="157"/>
      <c r="AH31" s="75"/>
      <c r="AL31" s="157"/>
    </row>
    <row r="32" spans="1:38" s="18" customFormat="1" ht="12">
      <c r="A32" s="16">
        <v>14</v>
      </c>
      <c r="C32" s="18" t="s">
        <v>508</v>
      </c>
      <c r="E32" s="458">
        <f>'ROO INPUT'!F32</f>
        <v>23887</v>
      </c>
      <c r="F32" s="494">
        <v>0</v>
      </c>
      <c r="G32" s="458">
        <v>0</v>
      </c>
      <c r="H32" s="458">
        <v>0</v>
      </c>
      <c r="I32" s="458">
        <v>0</v>
      </c>
      <c r="J32" s="458">
        <v>0</v>
      </c>
      <c r="K32" s="458">
        <v>0</v>
      </c>
      <c r="L32" s="458">
        <v>0</v>
      </c>
      <c r="M32" s="458">
        <v>0</v>
      </c>
      <c r="N32" s="494">
        <v>0</v>
      </c>
      <c r="O32" s="458">
        <v>0</v>
      </c>
      <c r="P32" s="458">
        <v>0</v>
      </c>
      <c r="Q32" s="458">
        <v>-93</v>
      </c>
      <c r="R32" s="494">
        <v>0</v>
      </c>
      <c r="S32" s="494">
        <v>0</v>
      </c>
      <c r="T32" s="458">
        <v>0</v>
      </c>
      <c r="U32" s="494">
        <v>0</v>
      </c>
      <c r="V32" s="458">
        <v>0</v>
      </c>
      <c r="W32" s="448">
        <v>0</v>
      </c>
      <c r="X32" s="448">
        <v>0</v>
      </c>
      <c r="Y32" s="161">
        <v>0</v>
      </c>
      <c r="Z32" s="415">
        <f>SUM(E32:Y32)</f>
        <v>23794</v>
      </c>
      <c r="AA32" s="162"/>
      <c r="AB32" s="162"/>
      <c r="AC32" s="162"/>
      <c r="AD32" s="163">
        <f>SUM(AA32:AC32)</f>
        <v>0</v>
      </c>
      <c r="AE32" s="180"/>
      <c r="AF32" s="437"/>
      <c r="AG32" s="157"/>
      <c r="AH32" s="75"/>
      <c r="AL32" s="157"/>
    </row>
    <row r="33" spans="1:38" s="18" customFormat="1" ht="12">
      <c r="A33" s="16">
        <v>15</v>
      </c>
      <c r="C33" s="18" t="s">
        <v>168</v>
      </c>
      <c r="E33" s="457">
        <f>'ROO INPUT'!F33</f>
        <v>43433</v>
      </c>
      <c r="F33" s="501">
        <v>0</v>
      </c>
      <c r="G33" s="457">
        <v>0</v>
      </c>
      <c r="H33" s="457">
        <v>0</v>
      </c>
      <c r="I33" s="457">
        <v>-17602</v>
      </c>
      <c r="J33" s="457">
        <v>124</v>
      </c>
      <c r="K33" s="457">
        <v>0</v>
      </c>
      <c r="L33" s="457">
        <v>0</v>
      </c>
      <c r="M33" s="457">
        <v>0</v>
      </c>
      <c r="N33" s="501">
        <v>0</v>
      </c>
      <c r="O33" s="457">
        <v>0</v>
      </c>
      <c r="P33" s="457">
        <v>-273</v>
      </c>
      <c r="Q33" s="457">
        <v>0</v>
      </c>
      <c r="R33" s="501">
        <f>ROUND(R$14*'CF '!$E$16,0)</f>
        <v>-90</v>
      </c>
      <c r="S33" s="501">
        <f>ROUND(S$14*'CF '!$E$16,0)</f>
        <v>-359</v>
      </c>
      <c r="T33" s="457">
        <v>0</v>
      </c>
      <c r="U33" s="501">
        <f>ROUND(U$14*'CF '!$E$16,0)</f>
        <v>342</v>
      </c>
      <c r="V33" s="457">
        <v>0</v>
      </c>
      <c r="W33" s="463">
        <v>0</v>
      </c>
      <c r="X33" s="463">
        <v>0</v>
      </c>
      <c r="Y33" s="177">
        <v>0</v>
      </c>
      <c r="Z33" s="417">
        <f>SUM(E33:Y33)</f>
        <v>25575</v>
      </c>
      <c r="AA33" s="176"/>
      <c r="AB33" s="176"/>
      <c r="AC33" s="176"/>
      <c r="AD33" s="178">
        <f>SUM(AA33:AC33)</f>
        <v>0</v>
      </c>
      <c r="AE33" s="180"/>
      <c r="AF33" s="437"/>
      <c r="AG33" s="157"/>
      <c r="AH33" s="75"/>
      <c r="AL33" s="157"/>
    </row>
    <row r="34" spans="1:38" s="18" customFormat="1" ht="12">
      <c r="A34" s="16">
        <v>16</v>
      </c>
      <c r="B34" s="18" t="s">
        <v>171</v>
      </c>
      <c r="E34" s="456">
        <f t="shared" ref="E34:Z34" si="23">SUM(E31:E33)</f>
        <v>88621</v>
      </c>
      <c r="F34" s="494">
        <f t="shared" si="23"/>
        <v>0</v>
      </c>
      <c r="G34" s="456">
        <f t="shared" si="23"/>
        <v>0</v>
      </c>
      <c r="H34" s="456">
        <f t="shared" si="23"/>
        <v>0</v>
      </c>
      <c r="I34" s="456">
        <f t="shared" si="23"/>
        <v>-17602</v>
      </c>
      <c r="J34" s="456">
        <f t="shared" ref="J34" si="24">SUM(J31:J33)</f>
        <v>124</v>
      </c>
      <c r="K34" s="456">
        <f t="shared" si="23"/>
        <v>0</v>
      </c>
      <c r="L34" s="456">
        <f t="shared" si="23"/>
        <v>0</v>
      </c>
      <c r="M34" s="456">
        <f t="shared" si="23"/>
        <v>0</v>
      </c>
      <c r="N34" s="494">
        <f t="shared" si="23"/>
        <v>0</v>
      </c>
      <c r="O34" s="456">
        <f t="shared" si="23"/>
        <v>0</v>
      </c>
      <c r="P34" s="456">
        <f t="shared" si="23"/>
        <v>-273</v>
      </c>
      <c r="Q34" s="456">
        <f t="shared" si="23"/>
        <v>-93</v>
      </c>
      <c r="R34" s="494">
        <f t="shared" si="23"/>
        <v>-90</v>
      </c>
      <c r="S34" s="494">
        <f t="shared" ref="S34" si="25">SUM(S31:S33)</f>
        <v>-359</v>
      </c>
      <c r="T34" s="456">
        <f>SUM(T31:T33)</f>
        <v>-2</v>
      </c>
      <c r="U34" s="494">
        <f t="shared" ref="U34:Y34" si="26">SUM(U31:U33)</f>
        <v>342</v>
      </c>
      <c r="V34" s="456">
        <f t="shared" si="26"/>
        <v>0</v>
      </c>
      <c r="W34" s="448">
        <f t="shared" si="26"/>
        <v>0</v>
      </c>
      <c r="X34" s="448">
        <f>SUM(X31:X33)</f>
        <v>0</v>
      </c>
      <c r="Y34" s="161">
        <f t="shared" si="26"/>
        <v>0</v>
      </c>
      <c r="Z34" s="415">
        <f t="shared" si="23"/>
        <v>70668</v>
      </c>
      <c r="AA34" s="162"/>
      <c r="AB34" s="162"/>
      <c r="AC34" s="162"/>
      <c r="AD34" s="163">
        <f>SUM(AA34:AC34)</f>
        <v>0</v>
      </c>
      <c r="AE34" s="180"/>
      <c r="AF34" s="437"/>
      <c r="AG34" s="134"/>
      <c r="AH34" s="75"/>
      <c r="AL34" s="134"/>
    </row>
    <row r="35" spans="1:38" s="18" customFormat="1" ht="12">
      <c r="E35" s="456"/>
      <c r="F35" s="494"/>
      <c r="G35" s="456"/>
      <c r="H35" s="456"/>
      <c r="I35" s="456"/>
      <c r="J35" s="456"/>
      <c r="K35" s="456"/>
      <c r="L35" s="456"/>
      <c r="M35" s="456"/>
      <c r="N35" s="494"/>
      <c r="O35" s="456"/>
      <c r="P35" s="456"/>
      <c r="Q35" s="456"/>
      <c r="R35" s="494"/>
      <c r="S35" s="494"/>
      <c r="T35" s="456"/>
      <c r="U35" s="494"/>
      <c r="V35" s="456"/>
      <c r="W35" s="448"/>
      <c r="X35" s="448"/>
      <c r="Y35" s="161"/>
      <c r="Z35" s="415"/>
      <c r="AA35" s="162"/>
      <c r="AB35" s="162"/>
      <c r="AC35" s="162"/>
      <c r="AD35" s="163"/>
      <c r="AE35" s="180"/>
      <c r="AF35" s="437"/>
      <c r="AG35" s="157"/>
      <c r="AH35" s="75"/>
      <c r="AL35" s="157"/>
    </row>
    <row r="36" spans="1:38" s="18" customFormat="1" ht="12">
      <c r="A36" s="16">
        <v>17</v>
      </c>
      <c r="B36" s="18" t="s">
        <v>172</v>
      </c>
      <c r="E36" s="458">
        <f>'ROO INPUT'!F36</f>
        <v>10257</v>
      </c>
      <c r="F36" s="494">
        <v>0</v>
      </c>
      <c r="G36" s="458">
        <v>2</v>
      </c>
      <c r="H36" s="458">
        <v>0</v>
      </c>
      <c r="I36" s="458">
        <v>0</v>
      </c>
      <c r="J36" s="458">
        <v>0</v>
      </c>
      <c r="K36" s="458">
        <v>922</v>
      </c>
      <c r="L36" s="458">
        <v>0</v>
      </c>
      <c r="M36" s="458">
        <v>0</v>
      </c>
      <c r="N36" s="494">
        <v>0</v>
      </c>
      <c r="O36" s="458">
        <v>0</v>
      </c>
      <c r="P36" s="458">
        <v>0</v>
      </c>
      <c r="Q36" s="458">
        <v>0</v>
      </c>
      <c r="R36" s="494">
        <f>ROUND(R$14*'CF '!$E$12,0)</f>
        <v>-13</v>
      </c>
      <c r="S36" s="494">
        <f>ROUND(S$14*'CF '!$E$12,0)</f>
        <v>-50</v>
      </c>
      <c r="T36" s="458">
        <v>0</v>
      </c>
      <c r="U36" s="504">
        <f>ROUND(U$14*'CF '!$E$12,0)</f>
        <v>48</v>
      </c>
      <c r="V36" s="458">
        <v>0</v>
      </c>
      <c r="W36" s="448">
        <v>0</v>
      </c>
      <c r="X36" s="448">
        <v>0</v>
      </c>
      <c r="Y36" s="161"/>
      <c r="Z36" s="415">
        <f>SUM(E36:Y36)</f>
        <v>11166</v>
      </c>
      <c r="AA36" s="162"/>
      <c r="AB36" s="162"/>
      <c r="AC36" s="162"/>
      <c r="AD36" s="163">
        <f>SUM(AA36:AC36)</f>
        <v>0</v>
      </c>
      <c r="AE36" s="180"/>
      <c r="AF36" s="437"/>
      <c r="AG36" s="157"/>
      <c r="AH36" s="139"/>
      <c r="AI36" s="137"/>
      <c r="AL36" s="157"/>
    </row>
    <row r="37" spans="1:38" s="18" customFormat="1" ht="12">
      <c r="A37" s="16">
        <v>18</v>
      </c>
      <c r="B37" s="18" t="s">
        <v>173</v>
      </c>
      <c r="E37" s="458">
        <f>'ROO INPUT'!F37</f>
        <v>19816</v>
      </c>
      <c r="F37" s="494">
        <v>0</v>
      </c>
      <c r="G37" s="458">
        <v>0</v>
      </c>
      <c r="H37" s="458">
        <v>0</v>
      </c>
      <c r="I37" s="458">
        <v>0</v>
      </c>
      <c r="J37" s="458">
        <v>0</v>
      </c>
      <c r="K37" s="458">
        <v>0</v>
      </c>
      <c r="L37" s="458">
        <v>0</v>
      </c>
      <c r="M37" s="458">
        <v>0</v>
      </c>
      <c r="N37" s="494">
        <v>0</v>
      </c>
      <c r="O37" s="458">
        <v>0</v>
      </c>
      <c r="P37" s="458">
        <v>0</v>
      </c>
      <c r="Q37" s="458">
        <v>0</v>
      </c>
      <c r="R37" s="494">
        <v>0</v>
      </c>
      <c r="S37" s="494">
        <v>-18432</v>
      </c>
      <c r="T37" s="458">
        <v>-1</v>
      </c>
      <c r="U37" s="494">
        <v>0</v>
      </c>
      <c r="V37" s="458">
        <v>0</v>
      </c>
      <c r="W37" s="448">
        <v>0</v>
      </c>
      <c r="X37" s="448">
        <v>0</v>
      </c>
      <c r="Y37" s="161">
        <v>0</v>
      </c>
      <c r="Z37" s="415">
        <f>SUM(E37:Y37)</f>
        <v>1383</v>
      </c>
      <c r="AA37" s="162"/>
      <c r="AB37" s="162"/>
      <c r="AC37" s="162"/>
      <c r="AD37" s="163">
        <f>SUM(AA37:AC37)</f>
        <v>0</v>
      </c>
      <c r="AE37" s="180"/>
      <c r="AF37" s="437"/>
      <c r="AG37" s="157"/>
      <c r="AH37" s="75"/>
      <c r="AL37" s="157"/>
    </row>
    <row r="38" spans="1:38" s="18" customFormat="1" ht="12">
      <c r="A38" s="16">
        <v>19</v>
      </c>
      <c r="B38" s="18" t="s">
        <v>174</v>
      </c>
      <c r="E38" s="458">
        <f>'ROO INPUT'!F38</f>
        <v>0</v>
      </c>
      <c r="F38" s="494">
        <v>0</v>
      </c>
      <c r="G38" s="458">
        <v>0</v>
      </c>
      <c r="H38" s="458">
        <v>0</v>
      </c>
      <c r="I38" s="458">
        <v>0</v>
      </c>
      <c r="J38" s="458">
        <v>0</v>
      </c>
      <c r="K38" s="458">
        <v>0</v>
      </c>
      <c r="L38" s="458">
        <v>0</v>
      </c>
      <c r="M38" s="458">
        <v>0</v>
      </c>
      <c r="N38" s="494">
        <v>0</v>
      </c>
      <c r="O38" s="458">
        <v>0</v>
      </c>
      <c r="P38" s="458">
        <v>0</v>
      </c>
      <c r="Q38" s="458">
        <v>0</v>
      </c>
      <c r="R38" s="494">
        <v>0</v>
      </c>
      <c r="S38" s="494">
        <v>0</v>
      </c>
      <c r="T38" s="458">
        <v>0</v>
      </c>
      <c r="U38" s="494">
        <v>0</v>
      </c>
      <c r="V38" s="458">
        <v>0</v>
      </c>
      <c r="W38" s="448">
        <v>0</v>
      </c>
      <c r="X38" s="448">
        <v>0</v>
      </c>
      <c r="Y38" s="161">
        <v>0</v>
      </c>
      <c r="Z38" s="415">
        <f>SUM(E38:Y38)</f>
        <v>0</v>
      </c>
      <c r="AA38" s="162"/>
      <c r="AB38" s="162"/>
      <c r="AC38" s="162"/>
      <c r="AD38" s="163">
        <f>SUM(AA38:AC38)</f>
        <v>0</v>
      </c>
      <c r="AE38" s="180"/>
      <c r="AF38" s="437"/>
      <c r="AG38" s="157"/>
      <c r="AH38" s="75"/>
      <c r="AL38" s="157"/>
    </row>
    <row r="39" spans="1:38" s="18" customFormat="1" ht="12">
      <c r="A39" s="16"/>
      <c r="E39" s="456"/>
      <c r="F39" s="494"/>
      <c r="G39" s="456"/>
      <c r="H39" s="456"/>
      <c r="I39" s="456"/>
      <c r="J39" s="456"/>
      <c r="K39" s="456"/>
      <c r="L39" s="456"/>
      <c r="M39" s="456"/>
      <c r="N39" s="494"/>
      <c r="O39" s="456"/>
      <c r="P39" s="456"/>
      <c r="Q39" s="456"/>
      <c r="R39" s="494"/>
      <c r="S39" s="494"/>
      <c r="T39" s="456"/>
      <c r="U39" s="494"/>
      <c r="V39" s="456"/>
      <c r="W39" s="448"/>
      <c r="X39" s="448"/>
      <c r="Y39" s="161"/>
      <c r="Z39" s="415"/>
      <c r="AA39" s="162"/>
      <c r="AB39" s="162"/>
      <c r="AC39" s="162"/>
      <c r="AD39" s="163"/>
      <c r="AE39" s="180"/>
      <c r="AF39" s="437"/>
      <c r="AG39" s="157"/>
      <c r="AH39" s="75"/>
      <c r="AL39" s="157"/>
    </row>
    <row r="40" spans="1:38" s="18" customFormat="1" ht="12">
      <c r="B40" s="18" t="s">
        <v>175</v>
      </c>
      <c r="E40" s="456"/>
      <c r="F40" s="494"/>
      <c r="G40" s="456"/>
      <c r="H40" s="456"/>
      <c r="I40" s="456"/>
      <c r="J40" s="456"/>
      <c r="K40" s="456"/>
      <c r="L40" s="456"/>
      <c r="M40" s="456"/>
      <c r="N40" s="494"/>
      <c r="O40" s="456"/>
      <c r="P40" s="456"/>
      <c r="Q40" s="456"/>
      <c r="R40" s="494"/>
      <c r="S40" s="494"/>
      <c r="T40" s="456"/>
      <c r="U40" s="494"/>
      <c r="V40" s="456"/>
      <c r="W40" s="448"/>
      <c r="X40" s="448"/>
      <c r="Y40" s="161"/>
      <c r="Z40" s="415"/>
      <c r="AA40" s="162"/>
      <c r="AB40" s="162"/>
      <c r="AC40" s="162"/>
      <c r="AD40" s="163"/>
      <c r="AE40" s="180"/>
      <c r="AF40" s="437"/>
      <c r="AG40" s="157"/>
      <c r="AH40" s="75"/>
      <c r="AL40" s="157"/>
    </row>
    <row r="41" spans="1:38" s="18" customFormat="1" ht="12">
      <c r="A41" s="16">
        <v>20</v>
      </c>
      <c r="C41" s="18" t="s">
        <v>166</v>
      </c>
      <c r="E41" s="458">
        <f>'ROO INPUT'!F41</f>
        <v>45984</v>
      </c>
      <c r="F41" s="494">
        <v>0</v>
      </c>
      <c r="G41" s="458">
        <v>0</v>
      </c>
      <c r="H41" s="458">
        <v>0</v>
      </c>
      <c r="I41" s="458">
        <v>0</v>
      </c>
      <c r="J41" s="458">
        <v>0</v>
      </c>
      <c r="K41" s="458">
        <v>0</v>
      </c>
      <c r="L41" s="458">
        <v>-79</v>
      </c>
      <c r="M41" s="458">
        <v>153</v>
      </c>
      <c r="N41" s="494">
        <v>0</v>
      </c>
      <c r="O41" s="458">
        <v>-10</v>
      </c>
      <c r="P41" s="458">
        <v>0</v>
      </c>
      <c r="Q41" s="458">
        <v>0</v>
      </c>
      <c r="R41" s="494">
        <f>ROUND(R$14*'CF '!$E$14,0)</f>
        <v>-5</v>
      </c>
      <c r="S41" s="494">
        <f>ROUND(S$14*'CF '!$E$14,0)</f>
        <v>-19</v>
      </c>
      <c r="T41" s="458">
        <v>168</v>
      </c>
      <c r="U41" s="504">
        <f>ROUND(U$14*'CF '!$E$14,0)</f>
        <v>18</v>
      </c>
      <c r="V41" s="458">
        <v>0</v>
      </c>
      <c r="W41" s="448">
        <v>0</v>
      </c>
      <c r="X41" s="448">
        <v>0</v>
      </c>
      <c r="Y41" s="161">
        <v>0</v>
      </c>
      <c r="Z41" s="415">
        <f>SUM(E41:Y41)</f>
        <v>46210</v>
      </c>
      <c r="AA41" s="162"/>
      <c r="AB41" s="162"/>
      <c r="AC41" s="162"/>
      <c r="AD41" s="163">
        <f>SUM(AA41:AC41)</f>
        <v>0</v>
      </c>
      <c r="AE41" s="180"/>
      <c r="AF41" s="437"/>
      <c r="AG41" s="157"/>
      <c r="AH41" s="75"/>
      <c r="AL41" s="157"/>
    </row>
    <row r="42" spans="1:38" s="18" customFormat="1" ht="12">
      <c r="A42" s="16">
        <v>21</v>
      </c>
      <c r="C42" s="18" t="s">
        <v>508</v>
      </c>
      <c r="E42" s="458">
        <f>'ROO INPUT'!F42</f>
        <v>16947</v>
      </c>
      <c r="F42" s="494">
        <v>0</v>
      </c>
      <c r="G42" s="458">
        <v>0</v>
      </c>
      <c r="H42" s="458">
        <v>0</v>
      </c>
      <c r="I42" s="458">
        <v>0</v>
      </c>
      <c r="J42" s="458">
        <v>0</v>
      </c>
      <c r="K42" s="458">
        <v>0</v>
      </c>
      <c r="L42" s="458">
        <v>0</v>
      </c>
      <c r="M42" s="458">
        <v>0</v>
      </c>
      <c r="N42" s="494">
        <v>0</v>
      </c>
      <c r="O42" s="458">
        <v>0</v>
      </c>
      <c r="P42" s="458">
        <v>0</v>
      </c>
      <c r="Q42" s="458">
        <v>0</v>
      </c>
      <c r="R42" s="494">
        <v>0</v>
      </c>
      <c r="S42" s="494">
        <v>0</v>
      </c>
      <c r="T42" s="458">
        <v>0</v>
      </c>
      <c r="U42" s="494">
        <v>0</v>
      </c>
      <c r="V42" s="458">
        <v>0</v>
      </c>
      <c r="W42" s="448">
        <v>0</v>
      </c>
      <c r="X42" s="448">
        <v>0</v>
      </c>
      <c r="Y42" s="161">
        <v>0</v>
      </c>
      <c r="Z42" s="415">
        <f>SUM(E42:Y42)</f>
        <v>16947</v>
      </c>
      <c r="AA42" s="162"/>
      <c r="AB42" s="162"/>
      <c r="AC42" s="162"/>
      <c r="AD42" s="163">
        <f>SUM(AA42:AC42)</f>
        <v>0</v>
      </c>
      <c r="AE42" s="180"/>
      <c r="AF42" s="437"/>
      <c r="AG42" s="157"/>
      <c r="AH42" s="75"/>
      <c r="AL42" s="157"/>
    </row>
    <row r="43" spans="1:38" s="18" customFormat="1" ht="12">
      <c r="A43" s="181">
        <v>22</v>
      </c>
      <c r="C43" s="18" t="s">
        <v>168</v>
      </c>
      <c r="E43" s="457">
        <f>'ROO INPUT'!F43</f>
        <v>0</v>
      </c>
      <c r="F43" s="501">
        <v>0</v>
      </c>
      <c r="G43" s="457">
        <v>0</v>
      </c>
      <c r="H43" s="457">
        <v>0</v>
      </c>
      <c r="I43" s="457">
        <v>0</v>
      </c>
      <c r="J43" s="457">
        <v>0</v>
      </c>
      <c r="K43" s="457">
        <v>0</v>
      </c>
      <c r="L43" s="457">
        <v>0</v>
      </c>
      <c r="M43" s="457">
        <v>0</v>
      </c>
      <c r="N43" s="501">
        <v>0</v>
      </c>
      <c r="O43" s="457">
        <v>0</v>
      </c>
      <c r="P43" s="457">
        <v>0</v>
      </c>
      <c r="Q43" s="457">
        <v>0</v>
      </c>
      <c r="R43" s="501">
        <v>0</v>
      </c>
      <c r="S43" s="501">
        <v>0</v>
      </c>
      <c r="T43" s="457">
        <v>0</v>
      </c>
      <c r="U43" s="501">
        <v>0</v>
      </c>
      <c r="V43" s="457">
        <v>0</v>
      </c>
      <c r="W43" s="463">
        <v>0</v>
      </c>
      <c r="X43" s="463">
        <v>0</v>
      </c>
      <c r="Y43" s="177">
        <v>0</v>
      </c>
      <c r="Z43" s="417">
        <f>SUM(E43:Y43)</f>
        <v>0</v>
      </c>
      <c r="AA43" s="176"/>
      <c r="AB43" s="176"/>
      <c r="AC43" s="176"/>
      <c r="AD43" s="178">
        <f>SUM(AA43:AC43)</f>
        <v>0</v>
      </c>
      <c r="AE43" s="180"/>
      <c r="AF43" s="437"/>
      <c r="AG43" s="157"/>
      <c r="AH43" s="75"/>
      <c r="AL43" s="157"/>
    </row>
    <row r="44" spans="1:38" s="18" customFormat="1" ht="12">
      <c r="A44" s="16">
        <v>23</v>
      </c>
      <c r="B44" s="18" t="s">
        <v>176</v>
      </c>
      <c r="E44" s="457">
        <f t="shared" ref="E44:Z44" si="27">SUM(E41:E43)</f>
        <v>62931</v>
      </c>
      <c r="F44" s="501">
        <f t="shared" si="27"/>
        <v>0</v>
      </c>
      <c r="G44" s="457">
        <f t="shared" si="27"/>
        <v>0</v>
      </c>
      <c r="H44" s="457">
        <f t="shared" si="27"/>
        <v>0</v>
      </c>
      <c r="I44" s="457">
        <f t="shared" si="27"/>
        <v>0</v>
      </c>
      <c r="J44" s="457">
        <f t="shared" ref="J44" si="28">SUM(J41:J43)</f>
        <v>0</v>
      </c>
      <c r="K44" s="457">
        <f t="shared" si="27"/>
        <v>0</v>
      </c>
      <c r="L44" s="457">
        <f t="shared" si="27"/>
        <v>-79</v>
      </c>
      <c r="M44" s="457">
        <f t="shared" si="27"/>
        <v>153</v>
      </c>
      <c r="N44" s="501">
        <f t="shared" si="27"/>
        <v>0</v>
      </c>
      <c r="O44" s="457">
        <f t="shared" si="27"/>
        <v>-10</v>
      </c>
      <c r="P44" s="457">
        <f t="shared" si="27"/>
        <v>0</v>
      </c>
      <c r="Q44" s="457">
        <f t="shared" si="27"/>
        <v>0</v>
      </c>
      <c r="R44" s="501">
        <f t="shared" si="27"/>
        <v>-5</v>
      </c>
      <c r="S44" s="501">
        <f t="shared" ref="S44" si="29">SUM(S41:S43)</f>
        <v>-19</v>
      </c>
      <c r="T44" s="457">
        <f>SUM(T41:T43)</f>
        <v>168</v>
      </c>
      <c r="U44" s="501">
        <f t="shared" ref="U44:Y44" si="30">SUM(U41:U43)</f>
        <v>18</v>
      </c>
      <c r="V44" s="457">
        <f t="shared" si="30"/>
        <v>0</v>
      </c>
      <c r="W44" s="463">
        <f t="shared" si="30"/>
        <v>0</v>
      </c>
      <c r="X44" s="463">
        <f>SUM(X41:X43)</f>
        <v>0</v>
      </c>
      <c r="Y44" s="177">
        <f t="shared" si="30"/>
        <v>0</v>
      </c>
      <c r="Z44" s="417">
        <f t="shared" si="27"/>
        <v>63157</v>
      </c>
      <c r="AA44" s="176"/>
      <c r="AB44" s="176"/>
      <c r="AC44" s="176"/>
      <c r="AD44" s="178">
        <f>SUM(AA44:AC44)</f>
        <v>0</v>
      </c>
      <c r="AE44" s="180"/>
      <c r="AF44" s="437"/>
      <c r="AG44" s="134"/>
      <c r="AH44" s="75"/>
      <c r="AL44" s="134"/>
    </row>
    <row r="45" spans="1:38" s="18" customFormat="1" ht="18" customHeight="1">
      <c r="A45" s="16">
        <v>24</v>
      </c>
      <c r="B45" s="18" t="s">
        <v>177</v>
      </c>
      <c r="E45" s="457">
        <f t="shared" ref="E45:Z45" si="31">E44+E38+E37+E36+E34+E28</f>
        <v>537560</v>
      </c>
      <c r="F45" s="501">
        <f t="shared" si="31"/>
        <v>0</v>
      </c>
      <c r="G45" s="457">
        <f t="shared" si="31"/>
        <v>66</v>
      </c>
      <c r="H45" s="457">
        <f t="shared" si="31"/>
        <v>0</v>
      </c>
      <c r="I45" s="457">
        <f t="shared" si="31"/>
        <v>-17602</v>
      </c>
      <c r="J45" s="457">
        <f t="shared" ref="J45" si="32">J44+J38+J37+J36+J34+J28</f>
        <v>108</v>
      </c>
      <c r="K45" s="457">
        <f t="shared" si="31"/>
        <v>922</v>
      </c>
      <c r="L45" s="457">
        <f t="shared" si="31"/>
        <v>-79</v>
      </c>
      <c r="M45" s="457">
        <f t="shared" si="31"/>
        <v>153</v>
      </c>
      <c r="N45" s="501">
        <f t="shared" si="31"/>
        <v>0</v>
      </c>
      <c r="O45" s="457">
        <f t="shared" si="31"/>
        <v>-10</v>
      </c>
      <c r="P45" s="457">
        <f t="shared" si="31"/>
        <v>-273</v>
      </c>
      <c r="Q45" s="457">
        <f t="shared" si="31"/>
        <v>-93</v>
      </c>
      <c r="R45" s="501">
        <f t="shared" si="31"/>
        <v>-108</v>
      </c>
      <c r="S45" s="501">
        <f t="shared" ref="S45" si="33">S44+S38+S37+S36+S34+S28</f>
        <v>-9308</v>
      </c>
      <c r="T45" s="457">
        <f>T44+T38+T37+T36+T34+T28</f>
        <v>165</v>
      </c>
      <c r="U45" s="501">
        <f t="shared" ref="U45:Y45" si="34">U44+U38+U37+U36+U34+U28</f>
        <v>4691</v>
      </c>
      <c r="V45" s="457">
        <f t="shared" si="34"/>
        <v>10</v>
      </c>
      <c r="W45" s="463">
        <f t="shared" si="34"/>
        <v>0</v>
      </c>
      <c r="X45" s="463">
        <f>X44+X38+X37+X36+X34+X28</f>
        <v>-88234</v>
      </c>
      <c r="Y45" s="177">
        <f t="shared" si="34"/>
        <v>0</v>
      </c>
      <c r="Z45" s="417">
        <f t="shared" si="31"/>
        <v>427968</v>
      </c>
      <c r="AA45" s="176"/>
      <c r="AB45" s="176"/>
      <c r="AC45" s="176"/>
      <c r="AD45" s="178">
        <f>SUM(AA45:AC45)</f>
        <v>0</v>
      </c>
      <c r="AE45" s="180"/>
      <c r="AF45" s="437"/>
      <c r="AG45" s="134"/>
      <c r="AH45" s="75"/>
      <c r="AL45" s="134"/>
    </row>
    <row r="46" spans="1:38" s="18" customFormat="1" ht="12">
      <c r="E46" s="456"/>
      <c r="F46" s="494"/>
      <c r="G46" s="456"/>
      <c r="H46" s="456"/>
      <c r="I46" s="456"/>
      <c r="J46" s="456"/>
      <c r="K46" s="456"/>
      <c r="L46" s="456"/>
      <c r="M46" s="456"/>
      <c r="N46" s="494"/>
      <c r="O46" s="456"/>
      <c r="P46" s="456"/>
      <c r="Q46" s="456"/>
      <c r="R46" s="494"/>
      <c r="S46" s="494"/>
      <c r="T46" s="456"/>
      <c r="U46" s="494"/>
      <c r="V46" s="456"/>
      <c r="W46" s="448"/>
      <c r="X46" s="448"/>
      <c r="Y46" s="161"/>
      <c r="Z46" s="415"/>
      <c r="AA46" s="162"/>
      <c r="AB46" s="162"/>
      <c r="AC46" s="162"/>
      <c r="AD46" s="163"/>
      <c r="AE46" s="180"/>
      <c r="AF46" s="437"/>
      <c r="AG46" s="134"/>
      <c r="AH46" s="75"/>
      <c r="AL46" s="134"/>
    </row>
    <row r="47" spans="1:38" s="18" customFormat="1" ht="12">
      <c r="A47" s="16">
        <v>25</v>
      </c>
      <c r="B47" s="18" t="s">
        <v>178</v>
      </c>
      <c r="E47" s="456">
        <f t="shared" ref="E47:Z47" si="35">E19-E45</f>
        <v>143387</v>
      </c>
      <c r="F47" s="494">
        <f t="shared" si="35"/>
        <v>0</v>
      </c>
      <c r="G47" s="456">
        <f t="shared" si="35"/>
        <v>-66</v>
      </c>
      <c r="H47" s="456">
        <f t="shared" si="35"/>
        <v>0</v>
      </c>
      <c r="I47" s="456">
        <f t="shared" si="35"/>
        <v>-96</v>
      </c>
      <c r="J47" s="456">
        <f t="shared" ref="J47" si="36">J19-J45</f>
        <v>-108</v>
      </c>
      <c r="K47" s="456">
        <f t="shared" si="35"/>
        <v>-922</v>
      </c>
      <c r="L47" s="456">
        <f t="shared" si="35"/>
        <v>79</v>
      </c>
      <c r="M47" s="456">
        <f t="shared" si="35"/>
        <v>-153</v>
      </c>
      <c r="N47" s="494">
        <f t="shared" si="35"/>
        <v>0</v>
      </c>
      <c r="O47" s="456">
        <f t="shared" si="35"/>
        <v>10</v>
      </c>
      <c r="P47" s="456">
        <f t="shared" si="35"/>
        <v>273</v>
      </c>
      <c r="Q47" s="456">
        <f t="shared" si="35"/>
        <v>93</v>
      </c>
      <c r="R47" s="494">
        <f t="shared" si="35"/>
        <v>-2237</v>
      </c>
      <c r="S47" s="494">
        <f t="shared" ref="S47" si="37">S19-S45</f>
        <v>0</v>
      </c>
      <c r="T47" s="456">
        <f>T19-T45</f>
        <v>-165</v>
      </c>
      <c r="U47" s="494">
        <f t="shared" ref="U47:Y47" si="38">U19-U45</f>
        <v>4186</v>
      </c>
      <c r="V47" s="456">
        <f t="shared" si="38"/>
        <v>-10</v>
      </c>
      <c r="W47" s="448">
        <f t="shared" si="38"/>
        <v>0</v>
      </c>
      <c r="X47" s="448">
        <f>X19-X45</f>
        <v>-4784</v>
      </c>
      <c r="Y47" s="161">
        <f t="shared" si="38"/>
        <v>0</v>
      </c>
      <c r="Z47" s="415">
        <f t="shared" si="35"/>
        <v>139487</v>
      </c>
      <c r="AA47" s="162"/>
      <c r="AB47" s="162"/>
      <c r="AC47" s="162"/>
      <c r="AD47" s="163">
        <f>SUM(AA47:AC47)</f>
        <v>0</v>
      </c>
      <c r="AE47" s="180"/>
      <c r="AF47" s="437"/>
      <c r="AG47" s="134"/>
      <c r="AH47" s="75"/>
      <c r="AL47" s="134"/>
    </row>
    <row r="48" spans="1:38" s="18" customFormat="1" ht="12">
      <c r="A48" s="16"/>
      <c r="E48" s="456"/>
      <c r="F48" s="494"/>
      <c r="G48" s="456"/>
      <c r="H48" s="456"/>
      <c r="I48" s="456"/>
      <c r="J48" s="456"/>
      <c r="K48" s="456"/>
      <c r="L48" s="456"/>
      <c r="M48" s="456"/>
      <c r="N48" s="494"/>
      <c r="O48" s="456"/>
      <c r="P48" s="456"/>
      <c r="Q48" s="456"/>
      <c r="R48" s="494"/>
      <c r="S48" s="494"/>
      <c r="T48" s="456"/>
      <c r="U48" s="494"/>
      <c r="V48" s="456"/>
      <c r="W48" s="448"/>
      <c r="X48" s="448"/>
      <c r="Y48" s="161"/>
      <c r="Z48" s="415"/>
      <c r="AA48" s="162"/>
      <c r="AB48" s="162"/>
      <c r="AC48" s="162"/>
      <c r="AD48" s="163"/>
      <c r="AE48" s="180"/>
      <c r="AF48" s="437"/>
      <c r="AG48" s="157"/>
      <c r="AH48" s="75"/>
      <c r="AL48" s="157"/>
    </row>
    <row r="49" spans="1:38" s="18" customFormat="1" ht="12">
      <c r="A49" s="21"/>
      <c r="B49" s="18" t="s">
        <v>179</v>
      </c>
      <c r="E49" s="456"/>
      <c r="F49" s="494"/>
      <c r="G49" s="456"/>
      <c r="H49" s="456"/>
      <c r="I49" s="456"/>
      <c r="J49" s="456"/>
      <c r="K49" s="456"/>
      <c r="L49" s="456"/>
      <c r="M49" s="456"/>
      <c r="N49" s="494"/>
      <c r="O49" s="456"/>
      <c r="P49" s="456"/>
      <c r="Q49" s="456"/>
      <c r="R49" s="494"/>
      <c r="S49" s="494"/>
      <c r="T49" s="456"/>
      <c r="U49" s="494"/>
      <c r="V49" s="456"/>
      <c r="W49" s="448"/>
      <c r="X49" s="448"/>
      <c r="Y49" s="161"/>
      <c r="Z49" s="415"/>
      <c r="AA49" s="162"/>
      <c r="AB49" s="162"/>
      <c r="AC49" s="162"/>
      <c r="AD49" s="163"/>
      <c r="AE49" s="180"/>
      <c r="AF49" s="437"/>
      <c r="AG49" s="157"/>
      <c r="AH49" s="75"/>
      <c r="AL49" s="157"/>
    </row>
    <row r="50" spans="1:38" s="18" customFormat="1" ht="12">
      <c r="A50" s="181">
        <v>26</v>
      </c>
      <c r="B50" s="18" t="s">
        <v>538</v>
      </c>
      <c r="D50" s="323"/>
      <c r="E50" s="458">
        <f>'ROO INPUT'!F50</f>
        <v>-5289</v>
      </c>
      <c r="F50" s="494">
        <f>F47*0.35</f>
        <v>0</v>
      </c>
      <c r="G50" s="458">
        <f>G47*0.35</f>
        <v>-23.099999999999998</v>
      </c>
      <c r="H50" s="458">
        <f>H47*0.35</f>
        <v>0</v>
      </c>
      <c r="I50" s="458">
        <f>I47*0.35</f>
        <v>-33.599999999999994</v>
      </c>
      <c r="J50" s="458">
        <f t="shared" ref="J50" si="39">J47*0.35</f>
        <v>-37.799999999999997</v>
      </c>
      <c r="K50" s="458">
        <f>K47*0.35</f>
        <v>-322.7</v>
      </c>
      <c r="L50" s="458">
        <f>L47*0.35</f>
        <v>27.65</v>
      </c>
      <c r="M50" s="458">
        <f>M47*0.35</f>
        <v>-53.55</v>
      </c>
      <c r="N50" s="448">
        <v>0</v>
      </c>
      <c r="O50" s="458">
        <f t="shared" ref="O50:R50" si="40">O47*0.35</f>
        <v>3.5</v>
      </c>
      <c r="P50" s="458">
        <f t="shared" si="40"/>
        <v>95.55</v>
      </c>
      <c r="Q50" s="458">
        <f t="shared" si="40"/>
        <v>32.549999999999997</v>
      </c>
      <c r="R50" s="494">
        <f t="shared" si="40"/>
        <v>-782.94999999999993</v>
      </c>
      <c r="S50" s="494">
        <f>S47*0.35</f>
        <v>0</v>
      </c>
      <c r="T50" s="458">
        <f>T47*0.35</f>
        <v>-57.749999999999993</v>
      </c>
      <c r="U50" s="448"/>
      <c r="V50" s="458">
        <f>V47*0.35</f>
        <v>-3.5</v>
      </c>
      <c r="W50" s="448">
        <f>'DEBT CALC'!E45</f>
        <v>436</v>
      </c>
      <c r="X50" s="494">
        <f>X47*0.35</f>
        <v>-1674.3999999999999</v>
      </c>
      <c r="Y50" s="161">
        <f>Y47*0.35</f>
        <v>0</v>
      </c>
      <c r="Z50" s="415">
        <f>SUM(E50:Y50)</f>
        <v>-7683.1</v>
      </c>
      <c r="AA50" s="161"/>
      <c r="AB50" s="161"/>
      <c r="AC50" s="161"/>
      <c r="AD50" s="163">
        <f>SUM(AA50:AC50)</f>
        <v>0</v>
      </c>
      <c r="AE50" s="180"/>
      <c r="AF50" s="482"/>
      <c r="AG50" s="157"/>
      <c r="AH50" s="75"/>
      <c r="AJ50" s="17"/>
      <c r="AL50" s="157"/>
    </row>
    <row r="51" spans="1:38" s="99" customFormat="1" ht="12">
      <c r="A51" s="16">
        <v>27</v>
      </c>
      <c r="B51" s="99" t="s">
        <v>221</v>
      </c>
      <c r="E51" s="458">
        <f>'ROO INPUT'!F51</f>
        <v>0</v>
      </c>
      <c r="F51" s="448">
        <f>(F79*'RR SUMMARY'!$N$11)*-0.35</f>
        <v>78.839033000000001</v>
      </c>
      <c r="G51" s="458">
        <f>(G79*'RR SUMMARY'!$N$11)*-0.35</f>
        <v>0</v>
      </c>
      <c r="H51" s="458">
        <f>(H79*'RR SUMMARY'!$N$11)*-0.35</f>
        <v>-215.33445499999996</v>
      </c>
      <c r="I51" s="458">
        <f>(I79*'RR SUMMARY'!$N$11)*-0.35</f>
        <v>0</v>
      </c>
      <c r="J51" s="458">
        <f>(J79*'RR SUMMARY'!$N$11)*-0.35</f>
        <v>0</v>
      </c>
      <c r="K51" s="458">
        <f>(K79*'RR SUMMARY'!$N$11)*-0.35</f>
        <v>0</v>
      </c>
      <c r="L51" s="458">
        <f>(L79*'RR SUMMARY'!$N$11)*-0.35</f>
        <v>0</v>
      </c>
      <c r="M51" s="458">
        <f>(M79*'RR SUMMARY'!$N$11)*-0.35</f>
        <v>0</v>
      </c>
      <c r="N51" s="448"/>
      <c r="O51" s="458">
        <f>(O79*'RR SUMMARY'!$N$11)*-0.35</f>
        <v>0</v>
      </c>
      <c r="P51" s="458">
        <f>(P79*'RR SUMMARY'!$N$11)*-0.35</f>
        <v>0</v>
      </c>
      <c r="Q51" s="458">
        <f>(Q79*'RR SUMMARY'!$N$11)*-0.35</f>
        <v>0</v>
      </c>
      <c r="R51" s="448">
        <f>(R79*'RR SUMMARY'!$N$11)*-0.35</f>
        <v>0</v>
      </c>
      <c r="S51" s="448">
        <f>(S79*'RR SUMMARY'!$N$11)*-0.35</f>
        <v>0</v>
      </c>
      <c r="T51" s="458">
        <f>(T79*'RR SUMMARY'!$N$11)*-0.35</f>
        <v>0</v>
      </c>
      <c r="U51" s="448">
        <f>(U79*'RR SUMMARY'!$N$11)*-0.35</f>
        <v>0</v>
      </c>
      <c r="V51" s="458">
        <f>(V79*'RR SUMMARY'!$N$11)*-0.35</f>
        <v>0</v>
      </c>
      <c r="W51" s="448"/>
      <c r="X51" s="448">
        <f>(X79*'RR SUMMARY'!$N$11)*-0.35</f>
        <v>0</v>
      </c>
      <c r="Y51" s="162">
        <f>(Y79*'RR SUMMARY'!$N$11)*-0.35</f>
        <v>0</v>
      </c>
      <c r="Z51" s="415">
        <f>SUM(E51:Y51)</f>
        <v>-136.49542199999996</v>
      </c>
      <c r="AA51" s="162"/>
      <c r="AB51" s="162"/>
      <c r="AC51" s="162"/>
      <c r="AD51" s="163">
        <f>SUM(AA51:AC51)</f>
        <v>0</v>
      </c>
      <c r="AE51" s="180"/>
      <c r="AF51" s="437"/>
      <c r="AG51" s="157"/>
      <c r="AH51" s="134"/>
      <c r="AJ51" s="182"/>
      <c r="AL51" s="157"/>
    </row>
    <row r="52" spans="1:38" s="18" customFormat="1" ht="12">
      <c r="A52" s="16">
        <v>28</v>
      </c>
      <c r="B52" s="18" t="s">
        <v>180</v>
      </c>
      <c r="E52" s="458">
        <f>'ROO INPUT'!F52</f>
        <v>44620</v>
      </c>
      <c r="F52" s="494">
        <v>0</v>
      </c>
      <c r="G52" s="458">
        <v>0</v>
      </c>
      <c r="H52" s="458">
        <v>0</v>
      </c>
      <c r="I52" s="458">
        <v>0</v>
      </c>
      <c r="J52" s="458">
        <v>0</v>
      </c>
      <c r="K52" s="458">
        <v>0</v>
      </c>
      <c r="L52" s="458">
        <v>0</v>
      </c>
      <c r="M52" s="458">
        <v>0</v>
      </c>
      <c r="N52" s="494">
        <v>0</v>
      </c>
      <c r="O52" s="458">
        <v>0</v>
      </c>
      <c r="P52" s="458">
        <v>0</v>
      </c>
      <c r="Q52" s="458">
        <v>0</v>
      </c>
      <c r="R52" s="494">
        <v>0</v>
      </c>
      <c r="S52" s="494">
        <v>0</v>
      </c>
      <c r="T52" s="458">
        <v>0</v>
      </c>
      <c r="U52" s="448">
        <f>U47*0.35</f>
        <v>1465.1</v>
      </c>
      <c r="V52" s="458">
        <v>0</v>
      </c>
      <c r="W52" s="448">
        <v>0</v>
      </c>
      <c r="X52" s="448">
        <v>0</v>
      </c>
      <c r="Y52" s="161">
        <v>0</v>
      </c>
      <c r="Z52" s="415">
        <f>SUM(E52:Y52)</f>
        <v>46085.1</v>
      </c>
      <c r="AA52" s="162"/>
      <c r="AB52" s="162"/>
      <c r="AC52" s="162"/>
      <c r="AD52" s="163">
        <f>SUM(AA52:AC52)</f>
        <v>0</v>
      </c>
      <c r="AE52" s="180"/>
      <c r="AF52" s="437"/>
      <c r="AG52" s="157"/>
      <c r="AH52" s="75"/>
      <c r="AJ52" s="2"/>
      <c r="AL52" s="157"/>
    </row>
    <row r="53" spans="1:38" s="18" customFormat="1" ht="12">
      <c r="A53" s="21">
        <v>29</v>
      </c>
      <c r="B53" s="18" t="s">
        <v>210</v>
      </c>
      <c r="E53" s="457">
        <f>'ROO INPUT'!F53</f>
        <v>-127</v>
      </c>
      <c r="F53" s="501">
        <v>0</v>
      </c>
      <c r="G53" s="457">
        <v>0</v>
      </c>
      <c r="H53" s="457">
        <v>0</v>
      </c>
      <c r="I53" s="457">
        <v>0</v>
      </c>
      <c r="J53" s="457">
        <v>0</v>
      </c>
      <c r="K53" s="457">
        <v>0</v>
      </c>
      <c r="L53" s="457">
        <v>0</v>
      </c>
      <c r="M53" s="457">
        <v>0</v>
      </c>
      <c r="N53" s="501">
        <v>-1</v>
      </c>
      <c r="O53" s="457">
        <v>0</v>
      </c>
      <c r="P53" s="457">
        <v>0</v>
      </c>
      <c r="Q53" s="457">
        <v>0</v>
      </c>
      <c r="R53" s="501">
        <v>0</v>
      </c>
      <c r="S53" s="501">
        <v>0</v>
      </c>
      <c r="T53" s="457">
        <v>0</v>
      </c>
      <c r="U53" s="501">
        <v>0</v>
      </c>
      <c r="V53" s="457">
        <v>0</v>
      </c>
      <c r="W53" s="463">
        <v>0</v>
      </c>
      <c r="X53" s="463">
        <v>0</v>
      </c>
      <c r="Y53" s="177">
        <v>0</v>
      </c>
      <c r="Z53" s="417">
        <f>SUM(E53:Y53)</f>
        <v>-128</v>
      </c>
      <c r="AA53" s="176"/>
      <c r="AB53" s="176"/>
      <c r="AC53" s="176"/>
      <c r="AD53" s="178">
        <f>SUM(AA53:AC53)</f>
        <v>0</v>
      </c>
      <c r="AE53" s="180"/>
      <c r="AF53" s="437"/>
      <c r="AG53" s="157"/>
      <c r="AH53" s="75"/>
      <c r="AJ53" s="2"/>
      <c r="AL53" s="157"/>
    </row>
    <row r="54" spans="1:38">
      <c r="Z54" s="415"/>
    </row>
    <row r="55" spans="1:38" s="17" customFormat="1" thickBot="1">
      <c r="A55" s="20">
        <v>30</v>
      </c>
      <c r="B55" s="17" t="s">
        <v>181</v>
      </c>
      <c r="E55" s="459">
        <f t="shared" ref="E55:Z55" si="41">E47-SUM(E50:E53)</f>
        <v>104183</v>
      </c>
      <c r="F55" s="502">
        <f t="shared" si="41"/>
        <v>-78.839033000000001</v>
      </c>
      <c r="G55" s="459">
        <f t="shared" si="41"/>
        <v>-42.900000000000006</v>
      </c>
      <c r="H55" s="459">
        <f t="shared" si="41"/>
        <v>215.33445499999996</v>
      </c>
      <c r="I55" s="459">
        <f t="shared" si="41"/>
        <v>-62.400000000000006</v>
      </c>
      <c r="J55" s="459">
        <f t="shared" ref="J55" si="42">J47-SUM(J50:J53)</f>
        <v>-70.2</v>
      </c>
      <c r="K55" s="459">
        <f t="shared" si="41"/>
        <v>-599.29999999999995</v>
      </c>
      <c r="L55" s="459">
        <f t="shared" si="41"/>
        <v>51.35</v>
      </c>
      <c r="M55" s="459">
        <f t="shared" si="41"/>
        <v>-99.45</v>
      </c>
      <c r="N55" s="502">
        <f t="shared" si="41"/>
        <v>1</v>
      </c>
      <c r="O55" s="459">
        <f t="shared" si="41"/>
        <v>6.5</v>
      </c>
      <c r="P55" s="459">
        <f t="shared" si="41"/>
        <v>177.45</v>
      </c>
      <c r="Q55" s="459">
        <f t="shared" si="41"/>
        <v>60.45</v>
      </c>
      <c r="R55" s="502">
        <f t="shared" si="41"/>
        <v>-1454.0500000000002</v>
      </c>
      <c r="S55" s="502">
        <f t="shared" ref="S55" si="43">S47-SUM(S50:S53)</f>
        <v>0</v>
      </c>
      <c r="T55" s="459">
        <f>T47-SUM(T50:T53)</f>
        <v>-107.25</v>
      </c>
      <c r="U55" s="502">
        <f t="shared" ref="U55:Y55" si="44">U47-SUM(U50:U53)</f>
        <v>2720.9</v>
      </c>
      <c r="V55" s="459">
        <f t="shared" si="44"/>
        <v>-6.5</v>
      </c>
      <c r="W55" s="464">
        <f t="shared" si="44"/>
        <v>-436</v>
      </c>
      <c r="X55" s="459">
        <f>X47-SUM(X50:X53)</f>
        <v>-3109.6000000000004</v>
      </c>
      <c r="Y55" s="280">
        <f t="shared" si="44"/>
        <v>0</v>
      </c>
      <c r="Z55" s="418">
        <f t="shared" si="41"/>
        <v>101349.49542200001</v>
      </c>
      <c r="AA55" s="277"/>
      <c r="AB55" s="328"/>
      <c r="AC55" s="328"/>
      <c r="AD55" s="281">
        <f>SUM(AA55:AC55)</f>
        <v>0</v>
      </c>
      <c r="AE55" s="481"/>
      <c r="AF55" s="483"/>
      <c r="AG55" s="158"/>
      <c r="AH55" s="128"/>
      <c r="AJ55" s="2"/>
      <c r="AL55" s="158"/>
    </row>
    <row r="56" spans="1:38" ht="13.5" thickTop="1">
      <c r="A56" s="20"/>
      <c r="Z56" s="415"/>
    </row>
    <row r="57" spans="1:38">
      <c r="A57" s="20"/>
      <c r="B57" s="2" t="s">
        <v>182</v>
      </c>
      <c r="Z57" s="415"/>
    </row>
    <row r="58" spans="1:38">
      <c r="B58" s="2" t="s">
        <v>183</v>
      </c>
      <c r="Z58" s="415"/>
    </row>
    <row r="59" spans="1:38" s="17" customFormat="1" ht="12">
      <c r="A59" s="248">
        <v>31</v>
      </c>
      <c r="C59" s="17" t="s">
        <v>184</v>
      </c>
      <c r="E59" s="460">
        <f>'ROO INPUT'!F59</f>
        <v>102620</v>
      </c>
      <c r="F59" s="503">
        <v>0</v>
      </c>
      <c r="G59" s="460">
        <v>0</v>
      </c>
      <c r="H59" s="460">
        <v>0</v>
      </c>
      <c r="I59" s="460">
        <v>0</v>
      </c>
      <c r="J59" s="460">
        <v>0</v>
      </c>
      <c r="K59" s="460">
        <v>0</v>
      </c>
      <c r="L59" s="460">
        <v>0</v>
      </c>
      <c r="M59" s="460">
        <v>0</v>
      </c>
      <c r="N59" s="503">
        <v>0</v>
      </c>
      <c r="O59" s="460">
        <v>0</v>
      </c>
      <c r="P59" s="460">
        <v>0</v>
      </c>
      <c r="Q59" s="460">
        <v>0</v>
      </c>
      <c r="R59" s="503">
        <v>0</v>
      </c>
      <c r="S59" s="503">
        <v>0</v>
      </c>
      <c r="T59" s="460">
        <v>0</v>
      </c>
      <c r="U59" s="503">
        <v>0</v>
      </c>
      <c r="V59" s="460">
        <v>0</v>
      </c>
      <c r="W59" s="455">
        <v>0</v>
      </c>
      <c r="X59" s="455">
        <v>0</v>
      </c>
      <c r="Y59" s="17">
        <v>0</v>
      </c>
      <c r="Z59" s="416">
        <f>SUM(E59:Y59)</f>
        <v>102620</v>
      </c>
      <c r="AA59" s="182"/>
      <c r="AB59" s="182"/>
      <c r="AC59" s="182"/>
      <c r="AD59" s="279">
        <f t="shared" ref="AD59:AD64" si="45">SUM(AA59:AC59)</f>
        <v>0</v>
      </c>
      <c r="AE59" s="481"/>
      <c r="AF59" s="483"/>
      <c r="AG59" s="159"/>
      <c r="AH59" s="128"/>
      <c r="AJ59" s="2"/>
      <c r="AL59" s="159"/>
    </row>
    <row r="60" spans="1:38" s="18" customFormat="1" ht="12">
      <c r="A60" s="20">
        <v>32</v>
      </c>
      <c r="C60" s="18" t="s">
        <v>185</v>
      </c>
      <c r="E60" s="458">
        <f>'ROO INPUT'!F60</f>
        <v>746101</v>
      </c>
      <c r="F60" s="494">
        <v>0</v>
      </c>
      <c r="G60" s="458">
        <v>0</v>
      </c>
      <c r="H60" s="458">
        <v>0</v>
      </c>
      <c r="I60" s="458">
        <v>0</v>
      </c>
      <c r="J60" s="458">
        <v>0</v>
      </c>
      <c r="K60" s="458">
        <v>0</v>
      </c>
      <c r="L60" s="458">
        <v>0</v>
      </c>
      <c r="M60" s="458">
        <v>0</v>
      </c>
      <c r="N60" s="494">
        <v>0</v>
      </c>
      <c r="O60" s="458">
        <v>0</v>
      </c>
      <c r="P60" s="458">
        <v>0</v>
      </c>
      <c r="Q60" s="458">
        <v>0</v>
      </c>
      <c r="R60" s="494">
        <v>0</v>
      </c>
      <c r="S60" s="494">
        <v>0</v>
      </c>
      <c r="T60" s="458">
        <v>0</v>
      </c>
      <c r="U60" s="494">
        <v>0</v>
      </c>
      <c r="V60" s="458">
        <v>0</v>
      </c>
      <c r="W60" s="448">
        <v>0</v>
      </c>
      <c r="X60" s="448">
        <v>0</v>
      </c>
      <c r="Y60" s="161">
        <v>0</v>
      </c>
      <c r="Z60" s="419">
        <f>SUM(E60:Y60)</f>
        <v>746101</v>
      </c>
      <c r="AA60" s="162"/>
      <c r="AB60" s="162"/>
      <c r="AC60" s="162"/>
      <c r="AD60" s="163">
        <f t="shared" si="45"/>
        <v>0</v>
      </c>
      <c r="AE60" s="180"/>
      <c r="AF60" s="437"/>
      <c r="AG60" s="157"/>
      <c r="AH60" s="75"/>
      <c r="AJ60" s="2"/>
      <c r="AL60" s="157"/>
    </row>
    <row r="61" spans="1:38" s="18" customFormat="1" ht="12">
      <c r="A61" s="20">
        <v>33</v>
      </c>
      <c r="C61" s="18" t="s">
        <v>186</v>
      </c>
      <c r="E61" s="458">
        <f>'ROO INPUT'!F61</f>
        <v>371971</v>
      </c>
      <c r="F61" s="494">
        <v>0</v>
      </c>
      <c r="G61" s="458">
        <v>0</v>
      </c>
      <c r="H61" s="458">
        <v>0</v>
      </c>
      <c r="I61" s="458">
        <v>0</v>
      </c>
      <c r="J61" s="458">
        <v>0</v>
      </c>
      <c r="K61" s="458">
        <v>0</v>
      </c>
      <c r="L61" s="458">
        <v>0</v>
      </c>
      <c r="M61" s="458">
        <v>0</v>
      </c>
      <c r="N61" s="494">
        <v>0</v>
      </c>
      <c r="O61" s="458">
        <v>0</v>
      </c>
      <c r="P61" s="458">
        <v>0</v>
      </c>
      <c r="Q61" s="458">
        <v>0</v>
      </c>
      <c r="R61" s="494">
        <v>0</v>
      </c>
      <c r="S61" s="494">
        <v>0</v>
      </c>
      <c r="T61" s="458">
        <v>0</v>
      </c>
      <c r="U61" s="494">
        <v>0</v>
      </c>
      <c r="V61" s="458">
        <v>0</v>
      </c>
      <c r="W61" s="448">
        <v>0</v>
      </c>
      <c r="X61" s="448">
        <v>0</v>
      </c>
      <c r="Y61" s="161">
        <v>0</v>
      </c>
      <c r="Z61" s="419">
        <f>SUM(E61:Y61)</f>
        <v>371971</v>
      </c>
      <c r="AA61" s="162"/>
      <c r="AB61" s="162"/>
      <c r="AC61" s="162"/>
      <c r="AD61" s="163">
        <f t="shared" si="45"/>
        <v>0</v>
      </c>
      <c r="AE61" s="180"/>
      <c r="AF61" s="437"/>
      <c r="AG61" s="157"/>
      <c r="AH61" s="75"/>
      <c r="AJ61" s="2"/>
      <c r="AL61" s="157"/>
    </row>
    <row r="62" spans="1:38" s="18" customFormat="1" ht="12">
      <c r="A62" s="20">
        <v>34</v>
      </c>
      <c r="C62" s="18" t="s">
        <v>170</v>
      </c>
      <c r="E62" s="458">
        <f>'ROO INPUT'!F62</f>
        <v>842795</v>
      </c>
      <c r="F62" s="494">
        <v>0</v>
      </c>
      <c r="G62" s="458">
        <v>0</v>
      </c>
      <c r="H62" s="458">
        <v>0</v>
      </c>
      <c r="I62" s="458">
        <v>0</v>
      </c>
      <c r="J62" s="458">
        <v>0</v>
      </c>
      <c r="K62" s="458">
        <v>0</v>
      </c>
      <c r="L62" s="458">
        <v>0</v>
      </c>
      <c r="M62" s="458">
        <v>0</v>
      </c>
      <c r="N62" s="494">
        <v>0</v>
      </c>
      <c r="O62" s="458">
        <v>0</v>
      </c>
      <c r="P62" s="458">
        <v>0</v>
      </c>
      <c r="Q62" s="458">
        <v>0</v>
      </c>
      <c r="R62" s="494">
        <v>0</v>
      </c>
      <c r="S62" s="494">
        <v>0</v>
      </c>
      <c r="T62" s="458">
        <v>0</v>
      </c>
      <c r="U62" s="494">
        <v>0</v>
      </c>
      <c r="V62" s="458">
        <v>0</v>
      </c>
      <c r="W62" s="448">
        <v>0</v>
      </c>
      <c r="X62" s="448">
        <v>0</v>
      </c>
      <c r="Y62" s="161">
        <v>0</v>
      </c>
      <c r="Z62" s="419">
        <f>SUM(E62:Y62)</f>
        <v>842795</v>
      </c>
      <c r="AA62" s="162"/>
      <c r="AB62" s="162"/>
      <c r="AC62" s="162"/>
      <c r="AD62" s="163">
        <f t="shared" si="45"/>
        <v>0</v>
      </c>
      <c r="AE62" s="180"/>
      <c r="AF62" s="437"/>
      <c r="AG62" s="157"/>
      <c r="AH62" s="75"/>
      <c r="AJ62" s="2"/>
      <c r="AL62" s="157"/>
    </row>
    <row r="63" spans="1:38" s="18" customFormat="1" ht="12">
      <c r="A63" s="20">
        <v>35</v>
      </c>
      <c r="C63" s="18" t="s">
        <v>187</v>
      </c>
      <c r="E63" s="457">
        <f>'ROO INPUT'!F63</f>
        <v>196867</v>
      </c>
      <c r="F63" s="501">
        <v>0</v>
      </c>
      <c r="G63" s="457">
        <v>0</v>
      </c>
      <c r="H63" s="457">
        <v>0</v>
      </c>
      <c r="I63" s="457">
        <v>0</v>
      </c>
      <c r="J63" s="457">
        <v>0</v>
      </c>
      <c r="K63" s="457">
        <v>0</v>
      </c>
      <c r="L63" s="457">
        <v>0</v>
      </c>
      <c r="M63" s="457">
        <v>0</v>
      </c>
      <c r="N63" s="501">
        <v>0</v>
      </c>
      <c r="O63" s="457">
        <v>0</v>
      </c>
      <c r="P63" s="457">
        <v>0</v>
      </c>
      <c r="Q63" s="457">
        <v>0</v>
      </c>
      <c r="R63" s="501">
        <v>0</v>
      </c>
      <c r="S63" s="501">
        <v>0</v>
      </c>
      <c r="T63" s="457">
        <v>0</v>
      </c>
      <c r="U63" s="501">
        <v>0</v>
      </c>
      <c r="V63" s="457">
        <v>0</v>
      </c>
      <c r="W63" s="463">
        <v>0</v>
      </c>
      <c r="X63" s="463">
        <v>0</v>
      </c>
      <c r="Y63" s="177">
        <v>0</v>
      </c>
      <c r="Z63" s="420">
        <f>SUM(E63:Y63)</f>
        <v>196867</v>
      </c>
      <c r="AA63" s="176"/>
      <c r="AB63" s="176"/>
      <c r="AC63" s="176"/>
      <c r="AD63" s="178">
        <f t="shared" si="45"/>
        <v>0</v>
      </c>
      <c r="AE63" s="180"/>
      <c r="AF63" s="437"/>
      <c r="AG63" s="157"/>
      <c r="AH63" s="75"/>
      <c r="AJ63" s="2"/>
      <c r="AL63" s="157"/>
    </row>
    <row r="64" spans="1:38" s="18" customFormat="1" ht="12">
      <c r="A64" s="20">
        <v>36</v>
      </c>
      <c r="B64" s="18" t="s">
        <v>188</v>
      </c>
      <c r="E64" s="448">
        <f t="shared" ref="E64:Z64" si="46">SUM(E59:E63)</f>
        <v>2260354</v>
      </c>
      <c r="F64" s="494">
        <f t="shared" si="46"/>
        <v>0</v>
      </c>
      <c r="G64" s="448">
        <f t="shared" si="46"/>
        <v>0</v>
      </c>
      <c r="H64" s="448">
        <f t="shared" si="46"/>
        <v>0</v>
      </c>
      <c r="I64" s="448">
        <f t="shared" si="46"/>
        <v>0</v>
      </c>
      <c r="J64" s="448">
        <f t="shared" ref="J64" si="47">SUM(J59:J63)</f>
        <v>0</v>
      </c>
      <c r="K64" s="448">
        <f t="shared" si="46"/>
        <v>0</v>
      </c>
      <c r="L64" s="448">
        <f t="shared" si="46"/>
        <v>0</v>
      </c>
      <c r="M64" s="448">
        <f t="shared" si="46"/>
        <v>0</v>
      </c>
      <c r="N64" s="494">
        <f t="shared" si="46"/>
        <v>0</v>
      </c>
      <c r="O64" s="448">
        <f t="shared" si="46"/>
        <v>0</v>
      </c>
      <c r="P64" s="448">
        <f t="shared" si="46"/>
        <v>0</v>
      </c>
      <c r="Q64" s="448">
        <f t="shared" si="46"/>
        <v>0</v>
      </c>
      <c r="R64" s="494">
        <f t="shared" si="46"/>
        <v>0</v>
      </c>
      <c r="S64" s="494">
        <f t="shared" ref="S64" si="48">SUM(S59:S63)</f>
        <v>0</v>
      </c>
      <c r="T64" s="448">
        <f>SUM(T59:T63)</f>
        <v>0</v>
      </c>
      <c r="U64" s="494">
        <f t="shared" ref="U64:Y64" si="49">SUM(U59:U63)</f>
        <v>0</v>
      </c>
      <c r="V64" s="448">
        <f t="shared" si="49"/>
        <v>0</v>
      </c>
      <c r="W64" s="448">
        <f t="shared" si="49"/>
        <v>0</v>
      </c>
      <c r="X64" s="448">
        <f>SUM(X59:X63)</f>
        <v>0</v>
      </c>
      <c r="Y64" s="161">
        <f t="shared" si="49"/>
        <v>0</v>
      </c>
      <c r="Z64" s="419">
        <f t="shared" si="46"/>
        <v>2260354</v>
      </c>
      <c r="AA64" s="162"/>
      <c r="AB64" s="162"/>
      <c r="AC64" s="162"/>
      <c r="AD64" s="163">
        <f t="shared" si="45"/>
        <v>0</v>
      </c>
      <c r="AE64" s="180"/>
      <c r="AF64" s="437"/>
      <c r="AG64" s="134"/>
      <c r="AH64" s="75"/>
      <c r="AJ64" s="2"/>
      <c r="AL64" s="134"/>
    </row>
    <row r="65" spans="1:38" s="18" customFormat="1" ht="18" customHeight="1">
      <c r="A65" s="20"/>
      <c r="B65" s="18" t="s">
        <v>514</v>
      </c>
      <c r="E65" s="448"/>
      <c r="F65" s="494"/>
      <c r="G65" s="448"/>
      <c r="H65" s="448"/>
      <c r="I65" s="448"/>
      <c r="J65" s="448"/>
      <c r="K65" s="448"/>
      <c r="L65" s="448"/>
      <c r="M65" s="448"/>
      <c r="N65" s="494"/>
      <c r="O65" s="448"/>
      <c r="P65" s="448"/>
      <c r="Q65" s="448"/>
      <c r="R65" s="494"/>
      <c r="S65" s="494"/>
      <c r="T65" s="448"/>
      <c r="U65" s="494"/>
      <c r="V65" s="448"/>
      <c r="W65" s="448"/>
      <c r="X65" s="448">
        <v>0</v>
      </c>
      <c r="Y65" s="161"/>
      <c r="Z65" s="419"/>
      <c r="AA65" s="162"/>
      <c r="AB65" s="162"/>
      <c r="AC65" s="162"/>
      <c r="AD65" s="163"/>
      <c r="AE65" s="180"/>
      <c r="AF65" s="437"/>
      <c r="AG65" s="157"/>
      <c r="AH65" s="75"/>
      <c r="AJ65" s="2"/>
      <c r="AL65" s="157"/>
    </row>
    <row r="66" spans="1:38" s="18" customFormat="1" ht="12">
      <c r="A66" s="20">
        <v>37</v>
      </c>
      <c r="C66" s="17" t="s">
        <v>184</v>
      </c>
      <c r="E66" s="458">
        <f>'ROO INPUT'!F66</f>
        <v>-20242</v>
      </c>
      <c r="F66" s="494">
        <v>0</v>
      </c>
      <c r="G66" s="458">
        <v>0</v>
      </c>
      <c r="H66" s="458">
        <v>0</v>
      </c>
      <c r="I66" s="458">
        <v>0</v>
      </c>
      <c r="J66" s="458">
        <v>0</v>
      </c>
      <c r="K66" s="458">
        <v>0</v>
      </c>
      <c r="L66" s="458">
        <v>0</v>
      </c>
      <c r="M66" s="458">
        <v>0</v>
      </c>
      <c r="N66" s="494">
        <v>0</v>
      </c>
      <c r="O66" s="458">
        <v>0</v>
      </c>
      <c r="P66" s="458">
        <v>0</v>
      </c>
      <c r="Q66" s="458">
        <v>0</v>
      </c>
      <c r="R66" s="494">
        <v>0</v>
      </c>
      <c r="S66" s="494">
        <v>0</v>
      </c>
      <c r="T66" s="458">
        <v>0</v>
      </c>
      <c r="U66" s="494">
        <v>0</v>
      </c>
      <c r="V66" s="458">
        <v>0</v>
      </c>
      <c r="W66" s="494">
        <v>0</v>
      </c>
      <c r="X66" s="494">
        <v>0</v>
      </c>
      <c r="Y66" s="161">
        <v>0</v>
      </c>
      <c r="Z66" s="419">
        <f>SUM(E66:Y66)</f>
        <v>-20242</v>
      </c>
      <c r="AA66" s="161"/>
      <c r="AB66" s="161"/>
      <c r="AC66" s="161"/>
      <c r="AD66" s="163">
        <f t="shared" ref="AD66:AD71" si="50">SUM(AA66:AC66)</f>
        <v>0</v>
      </c>
      <c r="AE66" s="180"/>
      <c r="AF66" s="482"/>
      <c r="AG66" s="157"/>
      <c r="AH66" s="75"/>
      <c r="AJ66" s="2"/>
      <c r="AL66" s="157"/>
    </row>
    <row r="67" spans="1:38" s="18" customFormat="1" ht="12">
      <c r="A67" s="20">
        <v>38</v>
      </c>
      <c r="C67" s="18" t="s">
        <v>185</v>
      </c>
      <c r="E67" s="458">
        <f>'ROO INPUT'!F67</f>
        <v>-325531</v>
      </c>
      <c r="F67" s="494">
        <v>0</v>
      </c>
      <c r="G67" s="458">
        <v>0</v>
      </c>
      <c r="H67" s="458">
        <v>0</v>
      </c>
      <c r="I67" s="458">
        <v>0</v>
      </c>
      <c r="J67" s="458">
        <v>0</v>
      </c>
      <c r="K67" s="458">
        <v>0</v>
      </c>
      <c r="L67" s="458">
        <v>0</v>
      </c>
      <c r="M67" s="458">
        <v>0</v>
      </c>
      <c r="N67" s="494">
        <v>0</v>
      </c>
      <c r="O67" s="458">
        <v>0</v>
      </c>
      <c r="P67" s="458">
        <v>0</v>
      </c>
      <c r="Q67" s="458">
        <v>0</v>
      </c>
      <c r="R67" s="494">
        <v>0</v>
      </c>
      <c r="S67" s="494">
        <v>0</v>
      </c>
      <c r="T67" s="458">
        <v>0</v>
      </c>
      <c r="U67" s="494">
        <v>0</v>
      </c>
      <c r="V67" s="458">
        <v>0</v>
      </c>
      <c r="W67" s="494">
        <v>0</v>
      </c>
      <c r="X67" s="494">
        <v>0</v>
      </c>
      <c r="Y67" s="161">
        <v>0</v>
      </c>
      <c r="Z67" s="419">
        <f>SUM(E67:Y67)</f>
        <v>-325531</v>
      </c>
      <c r="AA67" s="161"/>
      <c r="AB67" s="161"/>
      <c r="AC67" s="161"/>
      <c r="AD67" s="247">
        <f t="shared" si="50"/>
        <v>0</v>
      </c>
      <c r="AE67" s="484"/>
      <c r="AF67" s="482"/>
      <c r="AG67" s="157"/>
      <c r="AH67" s="75"/>
      <c r="AJ67" s="2"/>
      <c r="AL67" s="157"/>
    </row>
    <row r="68" spans="1:38" s="18" customFormat="1" ht="12">
      <c r="A68" s="20">
        <v>39</v>
      </c>
      <c r="C68" s="18" t="s">
        <v>186</v>
      </c>
      <c r="E68" s="458">
        <f>'ROO INPUT'!F68</f>
        <v>-123869</v>
      </c>
      <c r="F68" s="494">
        <v>0</v>
      </c>
      <c r="G68" s="458">
        <v>0</v>
      </c>
      <c r="H68" s="458">
        <v>0</v>
      </c>
      <c r="I68" s="458">
        <v>0</v>
      </c>
      <c r="J68" s="458">
        <v>0</v>
      </c>
      <c r="K68" s="458">
        <v>0</v>
      </c>
      <c r="L68" s="458">
        <v>0</v>
      </c>
      <c r="M68" s="458">
        <v>0</v>
      </c>
      <c r="N68" s="494">
        <v>0</v>
      </c>
      <c r="O68" s="458">
        <v>0</v>
      </c>
      <c r="P68" s="458">
        <v>0</v>
      </c>
      <c r="Q68" s="458">
        <v>0</v>
      </c>
      <c r="R68" s="494">
        <v>0</v>
      </c>
      <c r="S68" s="494">
        <v>0</v>
      </c>
      <c r="T68" s="458">
        <v>0</v>
      </c>
      <c r="U68" s="494">
        <v>0</v>
      </c>
      <c r="V68" s="458">
        <v>0</v>
      </c>
      <c r="W68" s="494">
        <v>0</v>
      </c>
      <c r="X68" s="494">
        <v>0</v>
      </c>
      <c r="Y68" s="161">
        <v>0</v>
      </c>
      <c r="Z68" s="419">
        <f>SUM(E68:Y68)</f>
        <v>-123869</v>
      </c>
      <c r="AA68" s="161"/>
      <c r="AB68" s="161"/>
      <c r="AC68" s="161"/>
      <c r="AD68" s="163">
        <f t="shared" si="50"/>
        <v>0</v>
      </c>
      <c r="AE68" s="180"/>
      <c r="AF68" s="482"/>
      <c r="AG68" s="157"/>
      <c r="AH68" s="75"/>
      <c r="AJ68" s="2"/>
      <c r="AL68" s="157"/>
    </row>
    <row r="69" spans="1:38" s="18" customFormat="1" ht="12">
      <c r="A69" s="20">
        <v>40</v>
      </c>
      <c r="C69" s="18" t="s">
        <v>170</v>
      </c>
      <c r="E69" s="458">
        <f>'ROO INPUT'!F69</f>
        <v>-252722</v>
      </c>
      <c r="F69" s="494">
        <v>0</v>
      </c>
      <c r="G69" s="458">
        <v>0</v>
      </c>
      <c r="H69" s="458">
        <v>0</v>
      </c>
      <c r="I69" s="458">
        <v>0</v>
      </c>
      <c r="J69" s="458">
        <v>0</v>
      </c>
      <c r="K69" s="458">
        <v>0</v>
      </c>
      <c r="L69" s="458">
        <v>0</v>
      </c>
      <c r="M69" s="458">
        <v>0</v>
      </c>
      <c r="N69" s="494">
        <v>0</v>
      </c>
      <c r="O69" s="458">
        <v>0</v>
      </c>
      <c r="P69" s="458">
        <v>0</v>
      </c>
      <c r="Q69" s="458">
        <v>0</v>
      </c>
      <c r="R69" s="494">
        <v>0</v>
      </c>
      <c r="S69" s="494">
        <v>0</v>
      </c>
      <c r="T69" s="458">
        <v>0</v>
      </c>
      <c r="U69" s="494">
        <v>0</v>
      </c>
      <c r="V69" s="458">
        <v>0</v>
      </c>
      <c r="W69" s="494">
        <v>0</v>
      </c>
      <c r="X69" s="494">
        <v>0</v>
      </c>
      <c r="Y69" s="161">
        <v>0</v>
      </c>
      <c r="Z69" s="419">
        <f>SUM(E69:Y69)</f>
        <v>-252722</v>
      </c>
      <c r="AA69" s="161"/>
      <c r="AB69" s="161"/>
      <c r="AC69" s="161"/>
      <c r="AD69" s="163">
        <f t="shared" si="50"/>
        <v>0</v>
      </c>
      <c r="AE69" s="180"/>
      <c r="AF69" s="482"/>
      <c r="AG69" s="157"/>
      <c r="AH69" s="75"/>
      <c r="AJ69" s="2"/>
      <c r="AL69" s="157"/>
    </row>
    <row r="70" spans="1:38" s="18" customFormat="1" ht="12">
      <c r="A70" s="20">
        <v>41</v>
      </c>
      <c r="C70" s="18" t="s">
        <v>187</v>
      </c>
      <c r="E70" s="458">
        <f>'ROO INPUT'!F70</f>
        <v>-65720</v>
      </c>
      <c r="F70" s="494">
        <v>0</v>
      </c>
      <c r="G70" s="458">
        <v>0</v>
      </c>
      <c r="H70" s="458">
        <v>0</v>
      </c>
      <c r="I70" s="458">
        <v>0</v>
      </c>
      <c r="J70" s="458">
        <v>0</v>
      </c>
      <c r="K70" s="458">
        <v>0</v>
      </c>
      <c r="L70" s="458">
        <v>0</v>
      </c>
      <c r="M70" s="458">
        <v>0</v>
      </c>
      <c r="N70" s="494">
        <v>0</v>
      </c>
      <c r="O70" s="458">
        <v>0</v>
      </c>
      <c r="P70" s="458">
        <v>0</v>
      </c>
      <c r="Q70" s="458">
        <v>0</v>
      </c>
      <c r="R70" s="494">
        <v>0</v>
      </c>
      <c r="S70" s="494">
        <v>0</v>
      </c>
      <c r="T70" s="458">
        <v>0</v>
      </c>
      <c r="U70" s="494">
        <v>0</v>
      </c>
      <c r="V70" s="458">
        <v>0</v>
      </c>
      <c r="W70" s="494">
        <v>0</v>
      </c>
      <c r="X70" s="494">
        <v>0</v>
      </c>
      <c r="Y70" s="161">
        <v>0</v>
      </c>
      <c r="Z70" s="419">
        <f>SUM(E70:Y70)</f>
        <v>-65720</v>
      </c>
      <c r="AA70" s="161"/>
      <c r="AB70" s="161"/>
      <c r="AC70" s="161"/>
      <c r="AD70" s="178">
        <f t="shared" si="50"/>
        <v>0</v>
      </c>
      <c r="AE70" s="180"/>
      <c r="AF70" s="482"/>
      <c r="AG70" s="157"/>
      <c r="AH70" s="75"/>
      <c r="AJ70" s="2"/>
      <c r="AL70" s="157"/>
    </row>
    <row r="71" spans="1:38" s="18" customFormat="1" ht="12">
      <c r="A71" s="20">
        <v>42</v>
      </c>
      <c r="B71" s="18" t="s">
        <v>225</v>
      </c>
      <c r="E71" s="461">
        <f t="shared" ref="E71:Z71" si="51">SUM(E66:E70)</f>
        <v>-788084</v>
      </c>
      <c r="F71" s="461">
        <f t="shared" si="51"/>
        <v>0</v>
      </c>
      <c r="G71" s="461">
        <f t="shared" si="51"/>
        <v>0</v>
      </c>
      <c r="H71" s="461">
        <f t="shared" si="51"/>
        <v>0</v>
      </c>
      <c r="I71" s="461">
        <f t="shared" si="51"/>
        <v>0</v>
      </c>
      <c r="J71" s="461">
        <f t="shared" ref="J71" si="52">SUM(J66:J70)</f>
        <v>0</v>
      </c>
      <c r="K71" s="461">
        <f t="shared" si="51"/>
        <v>0</v>
      </c>
      <c r="L71" s="461">
        <f t="shared" si="51"/>
        <v>0</v>
      </c>
      <c r="M71" s="461">
        <f t="shared" si="51"/>
        <v>0</v>
      </c>
      <c r="N71" s="461">
        <f t="shared" si="51"/>
        <v>0</v>
      </c>
      <c r="O71" s="461">
        <f t="shared" si="51"/>
        <v>0</v>
      </c>
      <c r="P71" s="461">
        <f t="shared" si="51"/>
        <v>0</v>
      </c>
      <c r="Q71" s="461">
        <f t="shared" si="51"/>
        <v>0</v>
      </c>
      <c r="R71" s="461">
        <f t="shared" si="51"/>
        <v>0</v>
      </c>
      <c r="S71" s="461">
        <f t="shared" ref="S71" si="53">SUM(S66:S70)</f>
        <v>0</v>
      </c>
      <c r="T71" s="461">
        <f>SUM(T66:T70)</f>
        <v>0</v>
      </c>
      <c r="U71" s="461">
        <f t="shared" ref="U71:Y71" si="54">SUM(U66:U70)</f>
        <v>0</v>
      </c>
      <c r="V71" s="461">
        <f t="shared" si="54"/>
        <v>0</v>
      </c>
      <c r="W71" s="461">
        <f t="shared" si="54"/>
        <v>0</v>
      </c>
      <c r="X71" s="461">
        <f>SUM(X66:X70)</f>
        <v>0</v>
      </c>
      <c r="Y71" s="273">
        <f t="shared" si="54"/>
        <v>0</v>
      </c>
      <c r="Z71" s="421">
        <f t="shared" si="51"/>
        <v>-788084</v>
      </c>
      <c r="AA71" s="273"/>
      <c r="AB71" s="273"/>
      <c r="AC71" s="273"/>
      <c r="AD71" s="163">
        <f t="shared" si="50"/>
        <v>0</v>
      </c>
      <c r="AE71" s="180"/>
      <c r="AF71" s="437"/>
      <c r="AG71" s="157"/>
      <c r="AH71" s="75"/>
      <c r="AJ71" s="2"/>
      <c r="AL71" s="157"/>
    </row>
    <row r="72" spans="1:38" s="18" customFormat="1" ht="12">
      <c r="A72" s="20">
        <v>43</v>
      </c>
      <c r="B72" s="18" t="s">
        <v>226</v>
      </c>
      <c r="E72" s="461">
        <f>E64+E71</f>
        <v>1472270</v>
      </c>
      <c r="F72" s="461">
        <f t="shared" ref="F72:Y72" si="55">F64+F71</f>
        <v>0</v>
      </c>
      <c r="G72" s="461">
        <f t="shared" si="55"/>
        <v>0</v>
      </c>
      <c r="H72" s="461">
        <f t="shared" si="55"/>
        <v>0</v>
      </c>
      <c r="I72" s="461">
        <f t="shared" si="55"/>
        <v>0</v>
      </c>
      <c r="J72" s="461">
        <f t="shared" si="55"/>
        <v>0</v>
      </c>
      <c r="K72" s="461">
        <f t="shared" si="55"/>
        <v>0</v>
      </c>
      <c r="L72" s="461">
        <f t="shared" si="55"/>
        <v>0</v>
      </c>
      <c r="M72" s="461">
        <f t="shared" si="55"/>
        <v>0</v>
      </c>
      <c r="N72" s="461">
        <f t="shared" si="55"/>
        <v>0</v>
      </c>
      <c r="O72" s="461">
        <f t="shared" si="55"/>
        <v>0</v>
      </c>
      <c r="P72" s="461">
        <f t="shared" si="55"/>
        <v>0</v>
      </c>
      <c r="Q72" s="461">
        <f t="shared" si="55"/>
        <v>0</v>
      </c>
      <c r="R72" s="461">
        <f t="shared" si="55"/>
        <v>0</v>
      </c>
      <c r="S72" s="461">
        <f t="shared" ref="S72" si="56">S64+S71</f>
        <v>0</v>
      </c>
      <c r="T72" s="461">
        <f>T64+T71</f>
        <v>0</v>
      </c>
      <c r="U72" s="461">
        <f t="shared" si="55"/>
        <v>0</v>
      </c>
      <c r="V72" s="461">
        <f t="shared" si="55"/>
        <v>0</v>
      </c>
      <c r="W72" s="461">
        <f t="shared" si="55"/>
        <v>0</v>
      </c>
      <c r="X72" s="461">
        <f>X64+X71</f>
        <v>0</v>
      </c>
      <c r="Y72" s="273">
        <f t="shared" si="55"/>
        <v>0</v>
      </c>
      <c r="Z72" s="421">
        <f>Z64+Z71</f>
        <v>1472270</v>
      </c>
      <c r="AA72" s="273"/>
      <c r="AB72" s="273"/>
      <c r="AC72" s="273"/>
      <c r="AD72" s="274">
        <f>AD64+AD71</f>
        <v>0</v>
      </c>
      <c r="AE72" s="179"/>
      <c r="AF72" s="437"/>
      <c r="AG72" s="157"/>
      <c r="AH72" s="75"/>
      <c r="AJ72" s="2"/>
      <c r="AL72" s="157"/>
    </row>
    <row r="73" spans="1:38" s="18" customFormat="1" ht="6.75" customHeight="1">
      <c r="A73" s="20"/>
      <c r="E73" s="462"/>
      <c r="F73" s="462"/>
      <c r="G73" s="462"/>
      <c r="H73" s="462"/>
      <c r="I73" s="462"/>
      <c r="J73" s="462"/>
      <c r="K73" s="462"/>
      <c r="L73" s="462"/>
      <c r="M73" s="462"/>
      <c r="N73" s="462"/>
      <c r="O73" s="462"/>
      <c r="P73" s="462"/>
      <c r="Q73" s="462"/>
      <c r="R73" s="462"/>
      <c r="S73" s="462"/>
      <c r="T73" s="462"/>
      <c r="U73" s="462"/>
      <c r="V73" s="462"/>
      <c r="W73" s="462"/>
      <c r="X73" s="462"/>
      <c r="Y73" s="175"/>
      <c r="Z73" s="422"/>
      <c r="AA73" s="175"/>
      <c r="AB73" s="175"/>
      <c r="AC73" s="175"/>
      <c r="AD73" s="179"/>
      <c r="AE73" s="179"/>
      <c r="AF73" s="437"/>
      <c r="AG73" s="157"/>
      <c r="AH73" s="75"/>
      <c r="AJ73" s="2"/>
      <c r="AL73" s="157"/>
    </row>
    <row r="74" spans="1:38" s="18" customFormat="1" ht="12">
      <c r="A74" s="21">
        <v>44</v>
      </c>
      <c r="B74" s="18" t="s">
        <v>189</v>
      </c>
      <c r="E74" s="463">
        <f>'ROO INPUT'!F74</f>
        <v>-249563</v>
      </c>
      <c r="F74" s="501">
        <v>-8203</v>
      </c>
      <c r="G74" s="463">
        <v>0</v>
      </c>
      <c r="H74" s="463">
        <v>0</v>
      </c>
      <c r="I74" s="463">
        <v>0</v>
      </c>
      <c r="J74" s="463">
        <v>0</v>
      </c>
      <c r="K74" s="463">
        <v>0</v>
      </c>
      <c r="L74" s="463">
        <v>0</v>
      </c>
      <c r="M74" s="463">
        <v>0</v>
      </c>
      <c r="N74" s="501">
        <v>0</v>
      </c>
      <c r="O74" s="463">
        <v>0</v>
      </c>
      <c r="P74" s="463">
        <v>0</v>
      </c>
      <c r="Q74" s="463">
        <v>0</v>
      </c>
      <c r="R74" s="501">
        <v>0</v>
      </c>
      <c r="S74" s="501">
        <v>0</v>
      </c>
      <c r="T74" s="463">
        <v>0</v>
      </c>
      <c r="U74" s="501">
        <v>0</v>
      </c>
      <c r="V74" s="463">
        <v>0</v>
      </c>
      <c r="W74" s="463">
        <v>0</v>
      </c>
      <c r="X74" s="463">
        <v>0</v>
      </c>
      <c r="Y74" s="177">
        <v>0</v>
      </c>
      <c r="Z74" s="420">
        <f>SUM(E74:Y74)</f>
        <v>-257766</v>
      </c>
      <c r="AA74" s="176"/>
      <c r="AB74" s="176"/>
      <c r="AC74" s="176"/>
      <c r="AD74" s="178">
        <f>SUM(AA74:AC74)</f>
        <v>0</v>
      </c>
      <c r="AE74" s="180"/>
      <c r="AF74" s="437"/>
      <c r="AG74" s="157"/>
      <c r="AH74" s="75"/>
      <c r="AJ74" s="2"/>
      <c r="AL74" s="157"/>
    </row>
    <row r="75" spans="1:38" s="18" customFormat="1" ht="12">
      <c r="A75" s="21">
        <v>45</v>
      </c>
      <c r="C75" s="18" t="s">
        <v>515</v>
      </c>
      <c r="E75" s="462">
        <f>SUM(E72:E74)</f>
        <v>1222707</v>
      </c>
      <c r="F75" s="462">
        <f t="shared" ref="F75:AD75" si="57">SUM(F72:F74)</f>
        <v>-8203</v>
      </c>
      <c r="G75" s="462">
        <f t="shared" si="57"/>
        <v>0</v>
      </c>
      <c r="H75" s="462">
        <f t="shared" si="57"/>
        <v>0</v>
      </c>
      <c r="I75" s="462">
        <f t="shared" si="57"/>
        <v>0</v>
      </c>
      <c r="J75" s="462">
        <f t="shared" ref="J75" si="58">SUM(J72:J74)</f>
        <v>0</v>
      </c>
      <c r="K75" s="462">
        <f t="shared" si="57"/>
        <v>0</v>
      </c>
      <c r="L75" s="462">
        <f t="shared" si="57"/>
        <v>0</v>
      </c>
      <c r="M75" s="462">
        <f t="shared" si="57"/>
        <v>0</v>
      </c>
      <c r="N75" s="462">
        <f t="shared" si="57"/>
        <v>0</v>
      </c>
      <c r="O75" s="462">
        <f t="shared" si="57"/>
        <v>0</v>
      </c>
      <c r="P75" s="462">
        <f t="shared" si="57"/>
        <v>0</v>
      </c>
      <c r="Q75" s="462">
        <f t="shared" si="57"/>
        <v>0</v>
      </c>
      <c r="R75" s="462">
        <f t="shared" si="57"/>
        <v>0</v>
      </c>
      <c r="S75" s="462">
        <f t="shared" ref="S75" si="59">SUM(S72:S74)</f>
        <v>0</v>
      </c>
      <c r="T75" s="462">
        <f>SUM(T72:T74)</f>
        <v>0</v>
      </c>
      <c r="U75" s="462">
        <f t="shared" ref="U75:Y75" si="60">SUM(U72:U74)</f>
        <v>0</v>
      </c>
      <c r="V75" s="462">
        <f t="shared" si="60"/>
        <v>0</v>
      </c>
      <c r="W75" s="462">
        <f t="shared" si="60"/>
        <v>0</v>
      </c>
      <c r="X75" s="462">
        <f>SUM(X72:X74)</f>
        <v>0</v>
      </c>
      <c r="Y75" s="175">
        <f t="shared" si="60"/>
        <v>0</v>
      </c>
      <c r="Z75" s="422">
        <f t="shared" si="57"/>
        <v>1214504</v>
      </c>
      <c r="AA75" s="175"/>
      <c r="AB75" s="175"/>
      <c r="AC75" s="175"/>
      <c r="AD75" s="179">
        <f t="shared" si="57"/>
        <v>0</v>
      </c>
      <c r="AE75" s="179"/>
      <c r="AF75" s="437"/>
      <c r="AG75" s="157"/>
      <c r="AH75" s="75"/>
      <c r="AJ75" s="2"/>
      <c r="AL75" s="157"/>
    </row>
    <row r="76" spans="1:38" s="18" customFormat="1" ht="12">
      <c r="A76" s="20">
        <v>46</v>
      </c>
      <c r="B76" s="18" t="s">
        <v>227</v>
      </c>
      <c r="E76" s="462">
        <f>'ROO INPUT'!F76</f>
        <v>10846</v>
      </c>
      <c r="F76" s="494">
        <v>0</v>
      </c>
      <c r="G76" s="462">
        <v>0</v>
      </c>
      <c r="H76" s="462">
        <v>0</v>
      </c>
      <c r="I76" s="462">
        <v>0</v>
      </c>
      <c r="J76" s="462">
        <v>0</v>
      </c>
      <c r="K76" s="462">
        <v>0</v>
      </c>
      <c r="L76" s="462">
        <v>0</v>
      </c>
      <c r="M76" s="462">
        <v>0</v>
      </c>
      <c r="N76" s="494">
        <v>0</v>
      </c>
      <c r="O76" s="462">
        <v>0</v>
      </c>
      <c r="P76" s="462">
        <v>0</v>
      </c>
      <c r="Q76" s="462">
        <v>0</v>
      </c>
      <c r="R76" s="494">
        <v>0</v>
      </c>
      <c r="S76" s="494">
        <v>0</v>
      </c>
      <c r="T76" s="462">
        <v>0</v>
      </c>
      <c r="U76" s="494">
        <v>0</v>
      </c>
      <c r="V76" s="462">
        <v>0</v>
      </c>
      <c r="W76" s="448">
        <v>0</v>
      </c>
      <c r="X76" s="448">
        <v>0</v>
      </c>
      <c r="Y76" s="161">
        <v>0</v>
      </c>
      <c r="Z76" s="419">
        <f>SUM(E76:Y76)</f>
        <v>10846</v>
      </c>
      <c r="AA76" s="162"/>
      <c r="AB76" s="162"/>
      <c r="AC76" s="162"/>
      <c r="AD76" s="163">
        <f>SUM(AA76:AC76)</f>
        <v>0</v>
      </c>
      <c r="AE76" s="180"/>
      <c r="AF76" s="437"/>
      <c r="AG76" s="157"/>
      <c r="AH76" s="75"/>
      <c r="AJ76" s="2"/>
      <c r="AL76" s="157"/>
    </row>
    <row r="77" spans="1:38" s="18" customFormat="1" ht="12">
      <c r="A77" s="20">
        <v>47</v>
      </c>
      <c r="B77" s="18" t="s">
        <v>211</v>
      </c>
      <c r="E77" s="462">
        <f>'ROO INPUT'!F77</f>
        <v>25402</v>
      </c>
      <c r="F77" s="501">
        <v>0</v>
      </c>
      <c r="G77" s="462">
        <v>0</v>
      </c>
      <c r="H77" s="462">
        <v>22405</v>
      </c>
      <c r="I77" s="462">
        <v>0</v>
      </c>
      <c r="J77" s="462">
        <v>0</v>
      </c>
      <c r="K77" s="462">
        <v>0</v>
      </c>
      <c r="L77" s="462">
        <v>0</v>
      </c>
      <c r="M77" s="462">
        <v>0</v>
      </c>
      <c r="N77" s="501">
        <v>0</v>
      </c>
      <c r="O77" s="462">
        <v>0</v>
      </c>
      <c r="P77" s="462">
        <v>0</v>
      </c>
      <c r="Q77" s="462">
        <v>0</v>
      </c>
      <c r="R77" s="501">
        <v>0</v>
      </c>
      <c r="S77" s="501">
        <v>0</v>
      </c>
      <c r="T77" s="462">
        <v>0</v>
      </c>
      <c r="U77" s="501">
        <v>0</v>
      </c>
      <c r="V77" s="462">
        <v>0</v>
      </c>
      <c r="W77" s="463">
        <v>0</v>
      </c>
      <c r="X77" s="463">
        <v>0</v>
      </c>
      <c r="Y77" s="177">
        <v>0</v>
      </c>
      <c r="Z77" s="420">
        <f>SUM(E77:Y77)</f>
        <v>47807</v>
      </c>
      <c r="AA77" s="176"/>
      <c r="AB77" s="176"/>
      <c r="AC77" s="176"/>
      <c r="AD77" s="178">
        <f>SUM(AA77:AC77)</f>
        <v>0</v>
      </c>
      <c r="AE77" s="180"/>
      <c r="AF77" s="437"/>
      <c r="AG77" s="157"/>
      <c r="AH77" s="75"/>
      <c r="AJ77" s="2"/>
      <c r="AL77" s="157"/>
    </row>
    <row r="78" spans="1:38" s="18" customFormat="1" ht="12">
      <c r="A78" s="21"/>
      <c r="E78" s="461"/>
      <c r="F78" s="494"/>
      <c r="G78" s="461"/>
      <c r="H78" s="461"/>
      <c r="I78" s="461"/>
      <c r="J78" s="461"/>
      <c r="K78" s="461"/>
      <c r="L78" s="461"/>
      <c r="M78" s="461"/>
      <c r="N78" s="494"/>
      <c r="O78" s="461"/>
      <c r="P78" s="461"/>
      <c r="Q78" s="461"/>
      <c r="R78" s="494"/>
      <c r="S78" s="494"/>
      <c r="T78" s="461"/>
      <c r="U78" s="494"/>
      <c r="V78" s="461"/>
      <c r="W78" s="448"/>
      <c r="X78" s="448"/>
      <c r="Y78" s="161"/>
      <c r="Z78" s="415"/>
      <c r="AA78" s="162"/>
      <c r="AB78" s="162"/>
      <c r="AC78" s="162"/>
      <c r="AD78" s="163"/>
      <c r="AE78" s="180"/>
      <c r="AF78" s="437"/>
      <c r="AG78" s="134"/>
      <c r="AH78" s="75"/>
      <c r="AJ78" s="2"/>
      <c r="AL78" s="134"/>
    </row>
    <row r="79" spans="1:38" s="17" customFormat="1" thickBot="1">
      <c r="A79" s="16">
        <v>48</v>
      </c>
      <c r="B79" s="17" t="s">
        <v>190</v>
      </c>
      <c r="E79" s="464">
        <f>SUM(E75:E77)</f>
        <v>1258955</v>
      </c>
      <c r="F79" s="459">
        <f t="shared" ref="F79:AD79" si="61">SUM(F75:F77)</f>
        <v>-8203</v>
      </c>
      <c r="G79" s="464">
        <f t="shared" si="61"/>
        <v>0</v>
      </c>
      <c r="H79" s="464">
        <f t="shared" si="61"/>
        <v>22405</v>
      </c>
      <c r="I79" s="464">
        <f t="shared" si="61"/>
        <v>0</v>
      </c>
      <c r="J79" s="464">
        <f t="shared" ref="J79" si="62">SUM(J75:J77)</f>
        <v>0</v>
      </c>
      <c r="K79" s="464">
        <f t="shared" si="61"/>
        <v>0</v>
      </c>
      <c r="L79" s="464">
        <f t="shared" si="61"/>
        <v>0</v>
      </c>
      <c r="M79" s="464">
        <f t="shared" si="61"/>
        <v>0</v>
      </c>
      <c r="N79" s="459">
        <f t="shared" si="61"/>
        <v>0</v>
      </c>
      <c r="O79" s="464">
        <f t="shared" si="61"/>
        <v>0</v>
      </c>
      <c r="P79" s="464">
        <f t="shared" si="61"/>
        <v>0</v>
      </c>
      <c r="Q79" s="464">
        <f t="shared" si="61"/>
        <v>0</v>
      </c>
      <c r="R79" s="459">
        <f t="shared" si="61"/>
        <v>0</v>
      </c>
      <c r="S79" s="459">
        <f t="shared" ref="S79" si="63">SUM(S75:S77)</f>
        <v>0</v>
      </c>
      <c r="T79" s="464">
        <f>SUM(T75:T77)</f>
        <v>0</v>
      </c>
      <c r="U79" s="459">
        <f t="shared" ref="U79:Y79" si="64">SUM(U75:U77)</f>
        <v>0</v>
      </c>
      <c r="V79" s="464">
        <f t="shared" si="64"/>
        <v>0</v>
      </c>
      <c r="W79" s="459">
        <f t="shared" si="64"/>
        <v>0</v>
      </c>
      <c r="X79" s="459">
        <f>SUM(X75:X77)</f>
        <v>0</v>
      </c>
      <c r="Y79" s="277">
        <f t="shared" si="64"/>
        <v>0</v>
      </c>
      <c r="Z79" s="423">
        <f t="shared" si="61"/>
        <v>1273157</v>
      </c>
      <c r="AA79" s="277"/>
      <c r="AB79" s="277"/>
      <c r="AC79" s="277"/>
      <c r="AD79" s="329">
        <f t="shared" si="61"/>
        <v>0</v>
      </c>
      <c r="AE79" s="179"/>
      <c r="AF79" s="483"/>
      <c r="AG79" s="158"/>
      <c r="AH79" s="128"/>
      <c r="AJ79" s="2"/>
      <c r="AL79" s="158"/>
    </row>
    <row r="80" spans="1:38" ht="18" customHeight="1" thickTop="1">
      <c r="A80" s="16">
        <v>49</v>
      </c>
      <c r="B80" s="2" t="s">
        <v>601</v>
      </c>
      <c r="E80" s="465">
        <f>ROUND(E55/E79,4)</f>
        <v>8.2799999999999999E-2</v>
      </c>
      <c r="F80" s="518">
        <f>(E55/(E79+F79))</f>
        <v>8.3296288952566133E-2</v>
      </c>
      <c r="G80" s="465"/>
      <c r="H80" s="465"/>
      <c r="I80" s="465"/>
      <c r="J80" s="465"/>
      <c r="K80" s="465"/>
      <c r="L80" s="465"/>
      <c r="M80" s="465"/>
      <c r="O80" s="465"/>
      <c r="P80" s="465"/>
      <c r="Q80" s="465"/>
      <c r="T80" s="465"/>
      <c r="V80" s="465"/>
      <c r="Z80" s="424">
        <f>ROUND(Z55/Z79,4)</f>
        <v>7.9600000000000004E-2</v>
      </c>
      <c r="AD80" s="188" t="e">
        <f>ROUND(AD55/AD79,4)</f>
        <v>#DIV/0!</v>
      </c>
      <c r="AE80" s="485"/>
    </row>
    <row r="81" spans="1:31" ht="18" customHeight="1">
      <c r="A81" s="16"/>
      <c r="E81" s="465"/>
      <c r="F81" s="518"/>
      <c r="G81" s="465"/>
      <c r="H81" s="465"/>
      <c r="I81" s="465"/>
      <c r="J81" s="465"/>
      <c r="K81" s="465"/>
      <c r="L81" s="465"/>
      <c r="M81" s="465"/>
      <c r="O81" s="465"/>
      <c r="P81" s="465"/>
      <c r="Q81" s="465"/>
      <c r="T81" s="465"/>
      <c r="V81" s="465"/>
      <c r="Z81" s="424"/>
      <c r="AD81" s="188"/>
      <c r="AE81" s="485"/>
    </row>
  </sheetData>
  <customSheetViews>
    <customSheetView guid="{A15D1962-B049-11D2-8670-0000832CEEE8}" scale="75" showPageBreaks="1" showGridLines="0" hiddenColumns="1" showRuler="0" topLeftCell="AF1">
      <selection activeCell="AG1" sqref="AG1:AO65536"/>
      <colBreaks count="5" manualBreakCount="5">
        <brk id="11" max="70" man="1"/>
        <brk id="18" max="70" man="1"/>
        <brk id="25" max="70" man="1"/>
        <brk id="32" max="1048575" man="1"/>
        <brk id="52" max="1048575" man="1"/>
      </colBreaks>
      <pageMargins left="0.75" right="0.51" top="0.75" bottom="0.5" header="0.5" footer="0.5"/>
      <pageSetup scale="76" orientation="portrait" horizontalDpi="300" verticalDpi="300" r:id="rId1"/>
      <headerFooter alignWithMargins="0">
        <oddHeader>&amp;L&amp;"Times,Regular"&amp;9KM  File: &amp;F&amp;R&amp;"Times,Regular"&amp;9Page &amp;P of &amp;N  &amp;D</oddHeader>
      </headerFooter>
    </customSheetView>
    <customSheetView guid="{6E1B8C45-B07F-11D2-B0DC-0000832CDFF0}" scale="75" showPageBreaks="1" showGridLines="0" printArea="1" hiddenColumns="1" showRuler="0">
      <selection sqref="A1:IV65536"/>
      <colBreaks count="5" manualBreakCount="5">
        <brk id="11" max="70" man="1"/>
        <brk id="18" max="70" man="1"/>
        <brk id="25" max="70" man="1"/>
        <brk id="32" max="1048575" man="1"/>
        <brk id="40" max="1048575" man="1"/>
      </colBreaks>
      <pageMargins left="0.75" right="0.51" top="0.75" bottom="0.5" header="0.5" footer="0.5"/>
      <pageSetup scale="76" orientation="portrait" horizontalDpi="300" verticalDpi="300" r:id="rId2"/>
      <headerFooter alignWithMargins="0">
        <oddHeader>&amp;L&amp;"Times,Regular"&amp;9KM  File: &amp;F&amp;R&amp;"Times,Regular"&amp;9Page &amp;P of &amp;N  &amp;D</oddHeader>
      </headerFooter>
    </customSheetView>
  </customSheetViews>
  <mergeCells count="1">
    <mergeCell ref="AF3:AF6"/>
  </mergeCells>
  <phoneticPr fontId="0" type="noConversion"/>
  <hyperlinks>
    <hyperlink ref="I10" location="BandO!A1" display="t"/>
  </hyperlinks>
  <pageMargins left="0.7" right="0.51" top="0.75" bottom="0.5" header="0.5" footer="0.5"/>
  <pageSetup scale="70" firstPageNumber="4" fitToWidth="7" orientation="portrait" r:id="rId3"/>
  <headerFooter scaleWithDoc="0" alignWithMargins="0">
    <oddHeader>&amp;RCBR Electric - 12/2014</oddHeader>
    <oddFooter>&amp;LStaff_DR_130 Revised-Attachment F- Revised 12.2014 WA Electric CBR&amp;C
&amp;RPage &amp;P of &amp;N</oddFooter>
  </headerFooter>
  <colBreaks count="4" manualBreakCount="4">
    <brk id="10" min="1" max="79" man="1"/>
    <brk id="16" min="1" max="79" man="1"/>
    <brk id="22" min="1" max="79" man="1"/>
    <brk id="26" min="1" max="79" man="1"/>
  </col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5">
    <pageSetUpPr fitToPage="1"/>
  </sheetPr>
  <dimension ref="A1:AD84"/>
  <sheetViews>
    <sheetView view="pageBreakPreview" topLeftCell="H1" zoomScale="145" zoomScaleNormal="100" zoomScaleSheetLayoutView="145" workbookViewId="0">
      <selection activeCell="U24" sqref="U24"/>
    </sheetView>
  </sheetViews>
  <sheetFormatPr defaultColWidth="9.140625" defaultRowHeight="14.25" customHeight="1"/>
  <cols>
    <col min="1" max="1" width="59.85546875" style="206" hidden="1" customWidth="1"/>
    <col min="2" max="2" width="2.85546875" style="206" hidden="1" customWidth="1"/>
    <col min="3" max="3" width="48.5703125" style="206" hidden="1" customWidth="1"/>
    <col min="4" max="4" width="4" style="206" hidden="1" customWidth="1"/>
    <col min="5" max="5" width="15.140625" style="206" hidden="1" customWidth="1"/>
    <col min="6" max="6" width="4.7109375" style="206" hidden="1" customWidth="1"/>
    <col min="7" max="7" width="2.140625" style="22" hidden="1" customWidth="1"/>
    <col min="8" max="8" width="6.85546875" style="22" customWidth="1"/>
    <col min="9" max="9" width="14.140625" style="22" customWidth="1"/>
    <col min="10" max="10" width="12.85546875" style="22" hidden="1" customWidth="1"/>
    <col min="11" max="11" width="12.85546875" style="22" customWidth="1"/>
    <col min="12" max="12" width="18.85546875" style="34" customWidth="1"/>
    <col min="13" max="13" width="14.140625" style="22" customWidth="1"/>
    <col min="14" max="14" width="14" style="22" customWidth="1"/>
    <col min="15" max="15" width="8.7109375" style="22" customWidth="1"/>
    <col min="16" max="23" width="9.140625" style="22" hidden="1" customWidth="1"/>
    <col min="24" max="28" width="9.140625" style="22"/>
    <col min="29" max="29" width="14.7109375" style="22" customWidth="1"/>
    <col min="30" max="34" width="9.140625" style="22"/>
    <col min="35" max="35" width="11.42578125" style="22" customWidth="1"/>
    <col min="36" max="16384" width="9.140625" style="22"/>
  </cols>
  <sheetData>
    <row r="1" spans="1:30" ht="14.25" customHeight="1">
      <c r="A1" s="80" t="s">
        <v>86</v>
      </c>
      <c r="B1" s="80"/>
      <c r="C1" s="80"/>
      <c r="D1" s="80"/>
      <c r="E1" s="80"/>
      <c r="F1" s="80"/>
      <c r="H1" s="524" t="s">
        <v>86</v>
      </c>
      <c r="I1" s="524"/>
      <c r="J1" s="524"/>
      <c r="K1" s="524"/>
      <c r="L1" s="524"/>
      <c r="M1" s="524"/>
      <c r="N1" s="524"/>
    </row>
    <row r="2" spans="1:30" ht="14.25" customHeight="1">
      <c r="A2" s="80" t="s">
        <v>213</v>
      </c>
      <c r="B2" s="80"/>
      <c r="C2" s="80"/>
      <c r="D2" s="80"/>
      <c r="E2" s="80"/>
      <c r="F2" s="80"/>
      <c r="H2" s="525" t="s">
        <v>614</v>
      </c>
      <c r="I2" s="525"/>
      <c r="J2" s="525"/>
      <c r="K2" s="525"/>
      <c r="L2" s="525"/>
      <c r="M2" s="525"/>
      <c r="N2" s="525"/>
    </row>
    <row r="3" spans="1:30" ht="14.25" customHeight="1">
      <c r="A3" s="80" t="s">
        <v>141</v>
      </c>
      <c r="B3" s="80"/>
      <c r="C3" s="80"/>
      <c r="D3" s="80"/>
      <c r="E3" s="80"/>
      <c r="F3" s="80"/>
      <c r="H3" s="524" t="s">
        <v>141</v>
      </c>
      <c r="I3" s="524"/>
      <c r="J3" s="524"/>
      <c r="K3" s="524"/>
      <c r="L3" s="524"/>
      <c r="M3" s="524"/>
      <c r="N3" s="524"/>
    </row>
    <row r="4" spans="1:30" ht="14.25" customHeight="1" thickBot="1">
      <c r="A4" s="80" t="str">
        <f>'ADJ DETAIL-INPUT'!A4</f>
        <v>TWELVE MONTHS ENDED DECEMBER 31, 2014</v>
      </c>
      <c r="B4" s="80"/>
      <c r="C4" s="80"/>
      <c r="D4" s="80"/>
      <c r="E4" s="80"/>
      <c r="F4" s="80"/>
      <c r="H4" s="524"/>
      <c r="I4" s="524"/>
      <c r="J4" s="524"/>
      <c r="K4" s="524"/>
      <c r="L4" s="524"/>
      <c r="M4" s="524"/>
      <c r="N4" s="524"/>
    </row>
    <row r="5" spans="1:30" ht="14.25" customHeight="1">
      <c r="A5" s="524"/>
      <c r="B5" s="524"/>
      <c r="C5" s="524"/>
      <c r="D5" s="524"/>
      <c r="E5" s="524"/>
      <c r="F5" s="186"/>
      <c r="H5" s="339" t="s">
        <v>588</v>
      </c>
      <c r="I5" s="340"/>
      <c r="J5" s="340"/>
      <c r="K5" s="340"/>
      <c r="L5" s="340"/>
      <c r="M5" s="340"/>
      <c r="N5" s="341"/>
    </row>
    <row r="6" spans="1:30" ht="14.25" customHeight="1">
      <c r="A6" s="185" t="s">
        <v>90</v>
      </c>
      <c r="B6" s="185"/>
      <c r="C6" s="185"/>
      <c r="D6" s="185"/>
      <c r="E6" s="185" t="s">
        <v>91</v>
      </c>
      <c r="F6" s="185"/>
      <c r="H6" s="342"/>
      <c r="I6" s="343"/>
      <c r="J6" s="343"/>
      <c r="K6" s="344"/>
      <c r="L6" s="345"/>
      <c r="M6" s="344"/>
      <c r="N6" s="346"/>
    </row>
    <row r="7" spans="1:30" ht="14.25" customHeight="1">
      <c r="A7" s="83" t="s">
        <v>18</v>
      </c>
      <c r="B7" s="185"/>
      <c r="C7" s="83" t="s">
        <v>53</v>
      </c>
      <c r="D7" s="186"/>
      <c r="E7" s="83" t="s">
        <v>94</v>
      </c>
      <c r="F7" s="186"/>
      <c r="H7" s="342"/>
      <c r="I7" s="347"/>
      <c r="J7" s="344"/>
      <c r="K7" s="344" t="s">
        <v>92</v>
      </c>
      <c r="L7" s="344"/>
      <c r="M7" s="344" t="s">
        <v>93</v>
      </c>
      <c r="N7" s="346"/>
    </row>
    <row r="8" spans="1:30" ht="14.25" customHeight="1">
      <c r="A8" s="22"/>
      <c r="B8" s="22"/>
      <c r="C8" s="22"/>
      <c r="D8" s="22"/>
      <c r="E8" s="22"/>
      <c r="F8" s="22"/>
      <c r="H8" s="342"/>
      <c r="I8" s="348" t="s">
        <v>95</v>
      </c>
      <c r="J8" s="344"/>
      <c r="K8" s="348" t="s">
        <v>97</v>
      </c>
      <c r="L8" s="348" t="s">
        <v>98</v>
      </c>
      <c r="M8" s="348" t="s">
        <v>98</v>
      </c>
      <c r="N8" s="346"/>
      <c r="P8" s="196" t="s">
        <v>200</v>
      </c>
      <c r="Q8" s="197"/>
      <c r="R8" s="198" t="s">
        <v>116</v>
      </c>
      <c r="S8" s="199"/>
      <c r="T8" s="185" t="s">
        <v>115</v>
      </c>
    </row>
    <row r="9" spans="1:30" ht="14.25" customHeight="1">
      <c r="A9" s="187">
        <v>1</v>
      </c>
      <c r="B9" s="22"/>
      <c r="C9" s="22" t="s">
        <v>152</v>
      </c>
      <c r="D9" s="22"/>
      <c r="E9" s="189"/>
      <c r="F9" s="30"/>
      <c r="H9" s="342"/>
      <c r="I9" s="343"/>
      <c r="J9" s="343"/>
      <c r="K9" s="343"/>
      <c r="L9" s="345"/>
      <c r="M9" s="343"/>
      <c r="N9" s="349"/>
      <c r="P9" s="209" t="s">
        <v>201</v>
      </c>
      <c r="Q9" s="186"/>
      <c r="R9" s="185" t="s">
        <v>92</v>
      </c>
      <c r="S9" s="185" t="s">
        <v>115</v>
      </c>
      <c r="T9" s="185" t="s">
        <v>93</v>
      </c>
    </row>
    <row r="10" spans="1:30" ht="14.25" customHeight="1">
      <c r="A10" s="187"/>
      <c r="B10" s="22"/>
      <c r="C10" s="22"/>
      <c r="D10" s="22"/>
      <c r="E10" s="30"/>
      <c r="F10" s="30"/>
      <c r="H10" s="342"/>
      <c r="I10" s="347" t="s">
        <v>544</v>
      </c>
      <c r="J10" s="350"/>
      <c r="K10" s="351">
        <v>0.51070000000000004</v>
      </c>
      <c r="L10" s="352">
        <v>5.3769999999999998E-2</v>
      </c>
      <c r="M10" s="355">
        <f>ROUND(K10*L10,5)</f>
        <v>2.7459999999999998E-2</v>
      </c>
      <c r="N10" s="353" t="s">
        <v>194</v>
      </c>
      <c r="P10" s="83" t="s">
        <v>95</v>
      </c>
      <c r="Q10" s="186"/>
      <c r="R10" s="83" t="s">
        <v>97</v>
      </c>
      <c r="S10" s="83" t="s">
        <v>98</v>
      </c>
      <c r="T10" s="83" t="s">
        <v>98</v>
      </c>
    </row>
    <row r="11" spans="1:30" ht="14.25" customHeight="1">
      <c r="A11" s="187">
        <v>2</v>
      </c>
      <c r="B11" s="22"/>
      <c r="C11" s="22" t="s">
        <v>100</v>
      </c>
      <c r="D11" s="22"/>
      <c r="E11" s="200">
        <f>M14</f>
        <v>7.5459999999999999E-2</v>
      </c>
      <c r="F11" s="133"/>
      <c r="H11" s="342"/>
      <c r="I11" s="347"/>
      <c r="J11" s="354"/>
      <c r="K11" s="351"/>
      <c r="L11" s="352"/>
      <c r="M11" s="351"/>
      <c r="N11" s="399">
        <f>SUM(M10:M11)</f>
        <v>2.7459999999999998E-2</v>
      </c>
      <c r="P11" s="199"/>
      <c r="Q11" s="197"/>
      <c r="R11" s="199"/>
      <c r="S11" s="199"/>
      <c r="T11" s="199"/>
    </row>
    <row r="12" spans="1:30" ht="14.25" customHeight="1">
      <c r="A12" s="187"/>
      <c r="B12" s="22"/>
      <c r="C12" s="22"/>
      <c r="D12" s="22"/>
      <c r="E12" s="133"/>
      <c r="F12" s="133"/>
      <c r="H12" s="342"/>
      <c r="I12" s="347" t="s">
        <v>9</v>
      </c>
      <c r="J12" s="354"/>
      <c r="K12" s="351">
        <f>100%-K10</f>
        <v>0.48929999999999996</v>
      </c>
      <c r="L12" s="352">
        <v>9.8000000000000004E-2</v>
      </c>
      <c r="M12" s="351">
        <f>ROUND(K12*L12,4)</f>
        <v>4.8000000000000001E-2</v>
      </c>
      <c r="N12" s="349"/>
      <c r="P12" s="22" t="s">
        <v>99</v>
      </c>
      <c r="Q12" s="28"/>
      <c r="R12" s="117">
        <v>0.4415</v>
      </c>
      <c r="S12" s="117">
        <v>7.7499999999999999E-2</v>
      </c>
      <c r="T12" s="117">
        <f>ROUND(R12*S12,4)</f>
        <v>3.4200000000000001E-2</v>
      </c>
    </row>
    <row r="13" spans="1:30" ht="14.25" customHeight="1">
      <c r="A13" s="187">
        <v>3</v>
      </c>
      <c r="B13" s="22"/>
      <c r="C13" s="22" t="s">
        <v>101</v>
      </c>
      <c r="D13" s="22"/>
      <c r="E13" s="136">
        <f>ROUND(E9*E11,0)</f>
        <v>0</v>
      </c>
      <c r="F13" s="30"/>
      <c r="H13" s="342"/>
      <c r="I13" s="347"/>
      <c r="J13" s="354"/>
      <c r="K13" s="355"/>
      <c r="L13" s="356"/>
      <c r="M13" s="351"/>
      <c r="N13" s="346"/>
      <c r="Q13" s="85"/>
      <c r="R13" s="117"/>
      <c r="S13" s="117"/>
      <c r="T13" s="117"/>
    </row>
    <row r="14" spans="1:30" ht="14.25" customHeight="1" thickBot="1">
      <c r="A14" s="187"/>
      <c r="B14" s="22"/>
      <c r="C14" s="22"/>
      <c r="D14" s="22"/>
      <c r="E14" s="30"/>
      <c r="F14" s="30"/>
      <c r="H14" s="342"/>
      <c r="I14" s="347" t="s">
        <v>107</v>
      </c>
      <c r="J14" s="350"/>
      <c r="K14" s="357">
        <f>SUM(K10:K12)</f>
        <v>1</v>
      </c>
      <c r="L14" s="356"/>
      <c r="M14" s="357">
        <f>SUM(M10:M12)</f>
        <v>7.5459999999999999E-2</v>
      </c>
      <c r="N14" s="346"/>
      <c r="P14" s="210" t="s">
        <v>102</v>
      </c>
      <c r="Q14" s="211"/>
      <c r="R14" s="212">
        <v>3.39E-2</v>
      </c>
      <c r="S14" s="212">
        <v>7.0800000000000002E-2</v>
      </c>
      <c r="T14" s="212">
        <f>ROUND(R14*S14,4)</f>
        <v>2.3999999999999998E-3</v>
      </c>
    </row>
    <row r="15" spans="1:30" ht="14.25" customHeight="1" thickTop="1" thickBot="1">
      <c r="A15" s="187">
        <v>4</v>
      </c>
      <c r="B15" s="22"/>
      <c r="C15" s="22" t="s">
        <v>105</v>
      </c>
      <c r="D15" s="22"/>
      <c r="E15" s="190"/>
      <c r="F15" s="28"/>
      <c r="G15" s="126"/>
      <c r="H15" s="358"/>
      <c r="I15" s="359"/>
      <c r="J15" s="360"/>
      <c r="K15" s="361"/>
      <c r="L15" s="362"/>
      <c r="M15" s="361"/>
      <c r="N15" s="363"/>
      <c r="O15" s="112"/>
      <c r="Q15" s="85"/>
      <c r="R15" s="117"/>
      <c r="S15" s="117"/>
      <c r="T15" s="117"/>
      <c r="U15" s="201" t="s">
        <v>194</v>
      </c>
      <c r="V15" s="201" t="s">
        <v>195</v>
      </c>
      <c r="AD15" s="151"/>
    </row>
    <row r="16" spans="1:30" ht="14.25" customHeight="1">
      <c r="A16" s="187"/>
      <c r="B16" s="22"/>
      <c r="C16" s="22"/>
      <c r="D16" s="22"/>
      <c r="E16" s="22"/>
      <c r="F16" s="22"/>
      <c r="H16" s="138"/>
      <c r="N16" s="138"/>
      <c r="O16" s="113"/>
      <c r="P16" s="22" t="s">
        <v>103</v>
      </c>
      <c r="Q16" s="85"/>
      <c r="R16" s="117" t="e">
        <f>#REF!</f>
        <v>#REF!</v>
      </c>
      <c r="S16" s="117" t="e">
        <f>#REF!</f>
        <v>#REF!</v>
      </c>
      <c r="T16" s="117" t="e">
        <f>ROUND(R16*S16,4)</f>
        <v>#REF!</v>
      </c>
      <c r="U16" s="202" t="e">
        <f>SUM(T12:T16)</f>
        <v>#REF!</v>
      </c>
      <c r="V16" s="202" t="e">
        <f>T12+T16</f>
        <v>#REF!</v>
      </c>
    </row>
    <row r="17" spans="1:30" ht="14.25" customHeight="1">
      <c r="A17" s="187">
        <v>5</v>
      </c>
      <c r="B17" s="22"/>
      <c r="C17" s="22" t="s">
        <v>106</v>
      </c>
      <c r="D17" s="22"/>
      <c r="E17" s="30">
        <f>E13-E15</f>
        <v>0</v>
      </c>
      <c r="F17" s="30"/>
      <c r="G17" s="30"/>
      <c r="J17" s="405"/>
      <c r="K17" s="404"/>
      <c r="L17" s="404"/>
      <c r="M17" s="404"/>
      <c r="N17" s="404"/>
      <c r="O17" s="404"/>
      <c r="Q17" s="85"/>
      <c r="R17" s="117"/>
      <c r="S17" s="117"/>
      <c r="T17" s="117"/>
      <c r="V17" s="114"/>
    </row>
    <row r="18" spans="1:30" ht="14.25" customHeight="1">
      <c r="A18" s="187"/>
      <c r="B18" s="22"/>
      <c r="C18" s="22"/>
      <c r="D18" s="22"/>
      <c r="E18" s="22"/>
      <c r="F18" s="22"/>
      <c r="P18" s="22" t="s">
        <v>104</v>
      </c>
      <c r="Q18" s="85"/>
      <c r="R18" s="117"/>
      <c r="S18" s="117"/>
      <c r="T18" s="117">
        <v>0</v>
      </c>
    </row>
    <row r="19" spans="1:30" ht="14.25" customHeight="1">
      <c r="A19" s="187">
        <v>6</v>
      </c>
      <c r="B19" s="22"/>
      <c r="C19" s="22" t="s">
        <v>108</v>
      </c>
      <c r="D19" s="22"/>
      <c r="E19" s="203">
        <f>'CF '!E24</f>
        <v>0.62017999999999995</v>
      </c>
      <c r="F19" s="22"/>
      <c r="Q19" s="85"/>
      <c r="R19" s="117"/>
      <c r="S19" s="117"/>
      <c r="T19" s="117"/>
    </row>
    <row r="20" spans="1:30" ht="14.25" customHeight="1" thickBot="1">
      <c r="A20" s="187"/>
      <c r="B20" s="22"/>
      <c r="C20" s="22"/>
      <c r="D20" s="22"/>
      <c r="E20" s="22"/>
      <c r="F20" s="22"/>
      <c r="P20" s="22" t="s">
        <v>9</v>
      </c>
      <c r="Q20" s="85"/>
      <c r="R20" s="117">
        <f>K12</f>
        <v>0.48929999999999996</v>
      </c>
      <c r="S20" s="117">
        <f>L12</f>
        <v>9.8000000000000004E-2</v>
      </c>
      <c r="T20" s="117">
        <f>ROUND(R20*S20,4)</f>
        <v>4.8000000000000001E-2</v>
      </c>
    </row>
    <row r="21" spans="1:30" ht="14.25" customHeight="1" thickBot="1">
      <c r="A21" s="187">
        <v>7</v>
      </c>
      <c r="B21" s="22"/>
      <c r="C21" s="22" t="s">
        <v>109</v>
      </c>
      <c r="D21" s="22"/>
      <c r="E21" s="129">
        <f>ROUND(E17/E19,0)</f>
        <v>0</v>
      </c>
      <c r="F21" s="28"/>
      <c r="G21" s="30"/>
      <c r="Q21" s="85"/>
      <c r="R21" s="57"/>
      <c r="S21" s="57"/>
      <c r="T21" s="117"/>
    </row>
    <row r="22" spans="1:30" ht="14.25" customHeight="1">
      <c r="A22" s="187"/>
      <c r="B22" s="199"/>
      <c r="C22" s="22"/>
      <c r="D22" s="22"/>
      <c r="E22" s="22"/>
      <c r="F22" s="22"/>
      <c r="H22" s="110"/>
      <c r="P22" s="110"/>
      <c r="Q22" s="125"/>
      <c r="R22" s="365"/>
      <c r="S22" s="365"/>
      <c r="T22" s="366"/>
      <c r="U22" s="110"/>
      <c r="V22" s="110"/>
      <c r="W22" s="110"/>
      <c r="AD22" s="151"/>
    </row>
    <row r="23" spans="1:30" ht="14.25" customHeight="1">
      <c r="A23" s="187">
        <v>8</v>
      </c>
      <c r="B23" s="199"/>
      <c r="C23" s="22" t="s">
        <v>110</v>
      </c>
      <c r="D23" s="22"/>
      <c r="E23" s="28"/>
      <c r="F23" s="28"/>
      <c r="H23" s="110"/>
      <c r="P23" s="110"/>
      <c r="Q23" s="125"/>
      <c r="R23" s="365"/>
      <c r="S23" s="365"/>
      <c r="T23" s="366"/>
      <c r="U23" s="110"/>
      <c r="V23" s="110"/>
      <c r="W23" s="110"/>
    </row>
    <row r="24" spans="1:30" ht="14.25" customHeight="1">
      <c r="A24" s="187"/>
      <c r="B24" s="199"/>
      <c r="C24" s="22"/>
      <c r="D24" s="22"/>
      <c r="E24" s="22"/>
      <c r="F24" s="22"/>
      <c r="H24" s="367"/>
      <c r="P24" s="110"/>
      <c r="Q24" s="125"/>
      <c r="R24" s="365"/>
      <c r="S24" s="365"/>
      <c r="T24" s="366"/>
      <c r="U24" s="110"/>
      <c r="V24" s="110"/>
      <c r="W24" s="110"/>
    </row>
    <row r="25" spans="1:30" ht="14.25" customHeight="1" thickBot="1">
      <c r="A25" s="187">
        <v>9</v>
      </c>
      <c r="B25" s="199"/>
      <c r="C25" s="22" t="s">
        <v>111</v>
      </c>
      <c r="D25" s="22"/>
      <c r="E25" s="204" t="e">
        <f>ROUND(E21/E23,4)</f>
        <v>#DIV/0!</v>
      </c>
      <c r="F25" s="205"/>
      <c r="H25" s="110"/>
      <c r="P25" s="110"/>
      <c r="Q25" s="148"/>
      <c r="R25" s="366"/>
      <c r="S25" s="365"/>
      <c r="T25" s="366"/>
      <c r="U25" s="110"/>
      <c r="V25" s="110"/>
      <c r="W25" s="110"/>
    </row>
    <row r="26" spans="1:30" ht="14.25" customHeight="1" thickTop="1">
      <c r="E26" s="207"/>
      <c r="H26" s="368"/>
      <c r="P26" s="110"/>
      <c r="Q26" s="110"/>
      <c r="R26" s="110"/>
      <c r="S26" s="110"/>
      <c r="T26" s="110"/>
      <c r="U26" s="110"/>
      <c r="V26" s="110"/>
      <c r="W26" s="110"/>
    </row>
    <row r="27" spans="1:30" ht="14.25" customHeight="1">
      <c r="A27" s="207"/>
      <c r="B27" s="207"/>
      <c r="C27" s="207"/>
      <c r="D27" s="207"/>
      <c r="E27" s="207"/>
      <c r="F27" s="207"/>
      <c r="G27" s="24"/>
      <c r="H27" s="369"/>
      <c r="I27" s="404" t="s">
        <v>587</v>
      </c>
      <c r="P27" s="110"/>
      <c r="Q27" s="110"/>
      <c r="R27" s="110"/>
      <c r="S27" s="110"/>
      <c r="T27" s="110"/>
      <c r="U27" s="110"/>
      <c r="V27" s="110"/>
      <c r="W27" s="110"/>
    </row>
    <row r="28" spans="1:30" ht="14.25" customHeight="1">
      <c r="A28" s="207"/>
      <c r="B28" s="207"/>
      <c r="C28" s="207"/>
      <c r="D28" s="207"/>
      <c r="E28" s="28"/>
      <c r="F28" s="207"/>
      <c r="G28" s="24"/>
      <c r="H28" s="369"/>
      <c r="I28" s="524" t="s">
        <v>86</v>
      </c>
      <c r="J28" s="524"/>
      <c r="K28" s="524"/>
      <c r="L28" s="524"/>
      <c r="M28" s="524"/>
      <c r="N28" s="524"/>
      <c r="O28" s="524"/>
      <c r="P28" s="110"/>
      <c r="Q28" s="110"/>
      <c r="R28" s="110"/>
      <c r="S28" s="110"/>
      <c r="T28" s="110"/>
      <c r="U28" s="110"/>
      <c r="V28" s="110"/>
      <c r="W28" s="110"/>
    </row>
    <row r="29" spans="1:30" ht="14.25" customHeight="1">
      <c r="A29" s="207"/>
      <c r="B29" s="207"/>
      <c r="C29" s="207"/>
      <c r="D29" s="207"/>
      <c r="E29" s="208"/>
      <c r="F29" s="207"/>
      <c r="G29" s="24"/>
      <c r="H29" s="369"/>
      <c r="I29" s="526" t="s">
        <v>587</v>
      </c>
      <c r="J29" s="526"/>
      <c r="K29" s="526"/>
      <c r="L29" s="526"/>
      <c r="M29" s="526"/>
      <c r="N29" s="526"/>
      <c r="O29" s="526"/>
      <c r="P29" s="110"/>
      <c r="Q29" s="110"/>
      <c r="R29" s="110"/>
      <c r="S29" s="110"/>
      <c r="T29" s="110"/>
      <c r="U29" s="110"/>
      <c r="V29" s="110"/>
      <c r="W29" s="110"/>
    </row>
    <row r="30" spans="1:30" ht="14.25" customHeight="1" thickBot="1">
      <c r="A30" s="207"/>
      <c r="B30" s="207"/>
      <c r="C30" s="207"/>
      <c r="D30" s="207"/>
      <c r="E30" s="208"/>
      <c r="F30" s="207"/>
      <c r="G30" s="24"/>
      <c r="H30" s="369"/>
      <c r="I30" s="524" t="s">
        <v>141</v>
      </c>
      <c r="J30" s="524"/>
      <c r="K30" s="524"/>
      <c r="L30" s="524"/>
      <c r="M30" s="524"/>
      <c r="N30" s="524"/>
      <c r="O30" s="524"/>
      <c r="P30" s="110"/>
      <c r="Q30" s="110"/>
      <c r="R30" s="110"/>
      <c r="S30" s="110"/>
      <c r="T30" s="110"/>
      <c r="U30" s="110"/>
      <c r="V30" s="110"/>
      <c r="W30" s="110"/>
    </row>
    <row r="31" spans="1:30" ht="14.25" customHeight="1">
      <c r="A31" s="207"/>
      <c r="B31" s="384" t="s">
        <v>551</v>
      </c>
      <c r="C31" s="384"/>
      <c r="E31" s="385" t="s">
        <v>62</v>
      </c>
      <c r="F31" s="207"/>
      <c r="G31" s="24"/>
      <c r="H31" s="369"/>
      <c r="I31" s="339" t="s">
        <v>588</v>
      </c>
      <c r="J31" s="340"/>
      <c r="K31" s="340"/>
      <c r="L31" s="340"/>
      <c r="M31" s="340"/>
      <c r="N31" s="340"/>
      <c r="O31" s="341"/>
      <c r="P31" s="110"/>
      <c r="Q31" s="110"/>
      <c r="R31" s="110"/>
      <c r="S31" s="110"/>
      <c r="T31" s="110"/>
      <c r="U31" s="110"/>
      <c r="V31" s="110"/>
      <c r="W31" s="110"/>
    </row>
    <row r="32" spans="1:30" ht="14.25" customHeight="1">
      <c r="A32" s="207"/>
      <c r="B32" s="384" t="s">
        <v>552</v>
      </c>
      <c r="C32" s="384"/>
      <c r="E32" s="385" t="s">
        <v>548</v>
      </c>
      <c r="F32" s="207"/>
      <c r="G32" s="24"/>
      <c r="H32" s="369"/>
      <c r="I32" s="342"/>
      <c r="J32" s="343"/>
      <c r="K32" s="343"/>
      <c r="L32" s="344"/>
      <c r="M32" s="345"/>
      <c r="N32" s="344" t="s">
        <v>115</v>
      </c>
      <c r="O32" s="346"/>
      <c r="P32" s="110"/>
      <c r="Q32" s="110"/>
      <c r="R32" s="110"/>
      <c r="S32" s="110"/>
      <c r="T32" s="110"/>
      <c r="U32" s="110"/>
      <c r="V32" s="110"/>
      <c r="W32" s="110"/>
    </row>
    <row r="33" spans="1:23" ht="14.25" customHeight="1">
      <c r="A33" s="207"/>
      <c r="B33" s="392" t="s">
        <v>553</v>
      </c>
      <c r="C33" s="384"/>
      <c r="E33" s="386"/>
      <c r="F33" s="207"/>
      <c r="G33" s="24"/>
      <c r="H33" s="369"/>
      <c r="I33" s="342"/>
      <c r="J33" s="347"/>
      <c r="K33" s="344"/>
      <c r="L33" s="344" t="s">
        <v>92</v>
      </c>
      <c r="M33" s="344" t="s">
        <v>115</v>
      </c>
      <c r="N33" s="344" t="s">
        <v>93</v>
      </c>
      <c r="O33" s="346"/>
      <c r="P33" s="110"/>
      <c r="Q33" s="110"/>
      <c r="R33" s="110"/>
      <c r="S33" s="110"/>
      <c r="T33" s="110"/>
      <c r="U33" s="110"/>
      <c r="V33" s="110"/>
      <c r="W33" s="110"/>
    </row>
    <row r="34" spans="1:23" ht="14.25" customHeight="1">
      <c r="A34" s="207"/>
      <c r="B34" s="384" t="s">
        <v>554</v>
      </c>
      <c r="C34" s="384"/>
      <c r="E34" s="387">
        <f>E9</f>
        <v>0</v>
      </c>
      <c r="F34" s="207"/>
      <c r="G34" s="24"/>
      <c r="H34" s="369"/>
      <c r="I34" s="342"/>
      <c r="J34" s="348" t="s">
        <v>95</v>
      </c>
      <c r="K34" s="344"/>
      <c r="L34" s="348" t="s">
        <v>97</v>
      </c>
      <c r="M34" s="348" t="s">
        <v>98</v>
      </c>
      <c r="N34" s="348" t="s">
        <v>98</v>
      </c>
      <c r="O34" s="346"/>
      <c r="P34" s="110"/>
      <c r="Q34" s="110"/>
      <c r="R34" s="110"/>
      <c r="S34" s="110"/>
      <c r="T34" s="110"/>
      <c r="U34" s="110"/>
      <c r="V34" s="110"/>
      <c r="W34" s="110"/>
    </row>
    <row r="35" spans="1:23" ht="14.25" customHeight="1">
      <c r="A35" s="207"/>
      <c r="B35" s="384" t="s">
        <v>555</v>
      </c>
      <c r="C35" s="384"/>
      <c r="E35" s="388">
        <f>K12</f>
        <v>0.48929999999999996</v>
      </c>
      <c r="F35" s="207"/>
      <c r="G35" s="24"/>
      <c r="H35" s="369"/>
      <c r="I35" s="342"/>
      <c r="J35" s="343"/>
      <c r="K35" s="343"/>
      <c r="L35" s="343"/>
      <c r="M35" s="345"/>
      <c r="N35" s="343"/>
      <c r="O35" s="349"/>
      <c r="P35" s="110"/>
      <c r="Q35" s="110"/>
      <c r="R35" s="110"/>
      <c r="S35" s="110"/>
      <c r="T35" s="110"/>
      <c r="U35" s="110"/>
      <c r="V35" s="110"/>
      <c r="W35" s="110"/>
    </row>
    <row r="36" spans="1:23" ht="14.25" customHeight="1">
      <c r="A36" s="207"/>
      <c r="B36" s="384" t="s">
        <v>556</v>
      </c>
      <c r="C36" s="384"/>
      <c r="E36" s="389">
        <f>ROUND(E34*E35,0)</f>
        <v>0</v>
      </c>
      <c r="F36" s="207"/>
      <c r="G36" s="24"/>
      <c r="H36" s="369"/>
      <c r="I36" s="427" t="s">
        <v>544</v>
      </c>
      <c r="J36" s="347" t="s">
        <v>544</v>
      </c>
      <c r="K36" s="350"/>
      <c r="L36" s="351">
        <v>0.53410000000000002</v>
      </c>
      <c r="M36" s="356">
        <v>5.706E-2</v>
      </c>
      <c r="N36" s="355">
        <f>ROUND(L36*M36,5)</f>
        <v>3.048E-2</v>
      </c>
      <c r="O36" s="353" t="s">
        <v>194</v>
      </c>
      <c r="P36" s="110"/>
      <c r="Q36" s="110"/>
      <c r="R36" s="110"/>
      <c r="S36" s="110"/>
      <c r="T36" s="110"/>
      <c r="U36" s="110"/>
      <c r="V36" s="110"/>
      <c r="W36" s="110"/>
    </row>
    <row r="37" spans="1:23" ht="14.25" customHeight="1">
      <c r="A37" s="207"/>
      <c r="B37" s="384" t="s">
        <v>557</v>
      </c>
      <c r="C37" s="384"/>
      <c r="E37" s="390"/>
      <c r="F37" s="207"/>
      <c r="G37" s="24"/>
      <c r="H37" s="110"/>
      <c r="I37" s="427"/>
      <c r="J37" s="347"/>
      <c r="K37" s="354"/>
      <c r="L37" s="351"/>
      <c r="M37" s="352"/>
      <c r="N37" s="351"/>
      <c r="O37" s="399">
        <f>SUM(N36:N37)</f>
        <v>3.048E-2</v>
      </c>
      <c r="P37" s="110"/>
      <c r="Q37" s="110"/>
      <c r="R37" s="110"/>
      <c r="S37" s="110"/>
      <c r="T37" s="110"/>
      <c r="U37" s="110"/>
      <c r="V37" s="110"/>
      <c r="W37" s="110"/>
    </row>
    <row r="38" spans="1:23" ht="14.25" customHeight="1">
      <c r="A38" s="207"/>
      <c r="B38" s="384"/>
      <c r="C38" s="384" t="s">
        <v>549</v>
      </c>
      <c r="E38" s="387">
        <f>E13</f>
        <v>0</v>
      </c>
      <c r="F38" s="207"/>
      <c r="G38" s="24"/>
      <c r="H38" s="110"/>
      <c r="I38" s="427" t="s">
        <v>9</v>
      </c>
      <c r="J38" s="347" t="s">
        <v>9</v>
      </c>
      <c r="K38" s="354"/>
      <c r="L38" s="351">
        <f>100%-L36</f>
        <v>0.46589999999999998</v>
      </c>
      <c r="M38" s="352">
        <v>9.8000000000000004E-2</v>
      </c>
      <c r="N38" s="351">
        <f>ROUND(L38*M38,4)</f>
        <v>4.5699999999999998E-2</v>
      </c>
      <c r="O38" s="349"/>
      <c r="P38" s="110"/>
      <c r="Q38" s="110"/>
      <c r="R38" s="110"/>
      <c r="S38" s="110"/>
      <c r="T38" s="110"/>
      <c r="U38" s="110"/>
      <c r="V38" s="110"/>
      <c r="W38" s="110"/>
    </row>
    <row r="39" spans="1:23" ht="14.25" customHeight="1">
      <c r="A39" s="207"/>
      <c r="B39" s="384"/>
      <c r="C39" s="384" t="s">
        <v>550</v>
      </c>
      <c r="E39" s="394">
        <f>'DEBT CALC'!G38*-1</f>
        <v>-34960.891219999998</v>
      </c>
      <c r="F39" s="207"/>
      <c r="G39" s="24"/>
      <c r="H39" s="110"/>
      <c r="I39" s="427"/>
      <c r="J39" s="347"/>
      <c r="K39" s="354"/>
      <c r="L39" s="355"/>
      <c r="M39" s="356"/>
      <c r="N39" s="351"/>
      <c r="O39" s="346"/>
      <c r="P39" s="110"/>
      <c r="Q39" s="110"/>
      <c r="R39" s="110"/>
      <c r="S39" s="110"/>
      <c r="T39" s="110"/>
      <c r="U39" s="110"/>
      <c r="V39" s="110"/>
      <c r="W39" s="110"/>
    </row>
    <row r="40" spans="1:23" ht="14.25" customHeight="1" thickBot="1">
      <c r="A40" s="207"/>
      <c r="B40" s="384" t="s">
        <v>558</v>
      </c>
      <c r="C40" s="384"/>
      <c r="E40" s="391">
        <f>SUM(E38:E39)</f>
        <v>-34960.891219999998</v>
      </c>
      <c r="F40" s="207"/>
      <c r="G40" s="24"/>
      <c r="H40" s="110"/>
      <c r="I40" s="427" t="s">
        <v>107</v>
      </c>
      <c r="J40" s="347" t="s">
        <v>107</v>
      </c>
      <c r="K40" s="350"/>
      <c r="L40" s="357">
        <f>SUM(L36:L38)</f>
        <v>1</v>
      </c>
      <c r="M40" s="356"/>
      <c r="N40" s="357">
        <f>SUM(N36:N38)</f>
        <v>7.6179999999999998E-2</v>
      </c>
      <c r="O40" s="346"/>
      <c r="P40" s="110"/>
      <c r="Q40" s="110"/>
      <c r="R40" s="110"/>
      <c r="S40" s="110"/>
      <c r="T40" s="110"/>
      <c r="U40" s="110"/>
      <c r="V40" s="110"/>
      <c r="W40" s="110"/>
    </row>
    <row r="41" spans="1:23" ht="14.25" customHeight="1" thickTop="1" thickBot="1">
      <c r="A41" s="207"/>
      <c r="B41" s="384" t="s">
        <v>552</v>
      </c>
      <c r="C41" s="384"/>
      <c r="E41" s="393" t="e">
        <f>ROUND(E40/E36,5)</f>
        <v>#DIV/0!</v>
      </c>
      <c r="F41" s="207"/>
      <c r="G41" s="24"/>
      <c r="H41" s="110"/>
      <c r="I41" s="358"/>
      <c r="J41" s="359"/>
      <c r="K41" s="360"/>
      <c r="L41" s="361"/>
      <c r="M41" s="362"/>
      <c r="N41" s="361"/>
      <c r="O41" s="363"/>
      <c r="P41" s="110"/>
      <c r="Q41" s="110"/>
      <c r="R41" s="110"/>
      <c r="S41" s="110"/>
      <c r="T41" s="110"/>
      <c r="U41" s="110"/>
      <c r="V41" s="110"/>
      <c r="W41" s="110"/>
    </row>
    <row r="42" spans="1:23" ht="14.25" customHeight="1" thickTop="1">
      <c r="A42" s="207"/>
      <c r="B42" s="207"/>
      <c r="C42" s="207"/>
      <c r="D42" s="207"/>
      <c r="E42" s="207"/>
      <c r="F42" s="207"/>
      <c r="G42" s="24"/>
      <c r="H42" s="370"/>
      <c r="I42" s="110"/>
      <c r="J42" s="110"/>
      <c r="K42" s="110"/>
      <c r="L42" s="132"/>
      <c r="M42" s="155"/>
      <c r="N42" s="110"/>
      <c r="O42" s="110"/>
      <c r="P42" s="110"/>
      <c r="Q42" s="110"/>
      <c r="R42" s="110"/>
      <c r="S42" s="110"/>
      <c r="T42" s="110"/>
      <c r="U42" s="110"/>
      <c r="V42" s="110"/>
      <c r="W42" s="110"/>
    </row>
    <row r="43" spans="1:23" ht="14.25" customHeight="1">
      <c r="H43" s="370"/>
      <c r="I43" s="110"/>
      <c r="J43" s="110"/>
      <c r="K43" s="110"/>
      <c r="L43" s="132"/>
      <c r="M43" s="155"/>
      <c r="N43" s="110"/>
      <c r="O43" s="110"/>
      <c r="P43" s="110"/>
      <c r="Q43" s="110"/>
      <c r="R43" s="110"/>
      <c r="S43" s="110"/>
      <c r="T43" s="110"/>
      <c r="U43" s="110"/>
      <c r="V43" s="110"/>
      <c r="W43" s="110"/>
    </row>
    <row r="44" spans="1:23" ht="14.25" customHeight="1">
      <c r="H44" s="110"/>
      <c r="I44" s="110"/>
      <c r="J44" s="110"/>
      <c r="K44" s="110"/>
      <c r="L44" s="132"/>
      <c r="M44" s="110"/>
      <c r="N44" s="110"/>
      <c r="O44" s="110"/>
      <c r="P44" s="110"/>
      <c r="Q44" s="110"/>
      <c r="R44" s="110"/>
      <c r="S44" s="110"/>
      <c r="T44" s="110"/>
      <c r="U44" s="110"/>
      <c r="V44" s="110"/>
      <c r="W44" s="110"/>
    </row>
    <row r="45" spans="1:23" ht="14.25" customHeight="1">
      <c r="H45" s="110"/>
      <c r="I45" s="110"/>
      <c r="J45" s="110"/>
      <c r="K45" s="110"/>
      <c r="L45" s="132"/>
      <c r="M45" s="155"/>
      <c r="N45" s="110"/>
      <c r="O45" s="110"/>
      <c r="P45" s="110"/>
      <c r="Q45" s="110"/>
      <c r="R45" s="110"/>
      <c r="S45" s="110"/>
      <c r="T45" s="110"/>
      <c r="U45" s="110"/>
      <c r="V45" s="110"/>
      <c r="W45" s="110"/>
    </row>
    <row r="46" spans="1:23" ht="14.25" customHeight="1">
      <c r="H46" s="110"/>
      <c r="I46" s="110"/>
      <c r="J46" s="110"/>
      <c r="K46" s="110"/>
      <c r="L46" s="132"/>
      <c r="M46" s="155"/>
      <c r="N46" s="110"/>
      <c r="O46" s="110"/>
      <c r="P46" s="110"/>
      <c r="Q46" s="110"/>
      <c r="R46" s="110"/>
      <c r="S46" s="110"/>
      <c r="T46" s="110"/>
      <c r="U46" s="110"/>
      <c r="V46" s="110"/>
      <c r="W46" s="110"/>
    </row>
    <row r="47" spans="1:23" ht="14.25" customHeight="1">
      <c r="H47" s="110"/>
      <c r="I47" s="110"/>
      <c r="J47" s="110"/>
      <c r="K47" s="110"/>
      <c r="L47" s="132"/>
      <c r="M47" s="110"/>
      <c r="N47" s="110"/>
      <c r="O47" s="110"/>
      <c r="P47" s="110"/>
      <c r="Q47" s="110"/>
      <c r="R47" s="110"/>
      <c r="S47" s="110"/>
      <c r="T47" s="110"/>
      <c r="U47" s="110"/>
      <c r="V47" s="110"/>
      <c r="W47" s="110"/>
    </row>
    <row r="48" spans="1:23" ht="14.25" customHeight="1">
      <c r="H48" s="110"/>
      <c r="I48" s="110"/>
      <c r="J48" s="110"/>
      <c r="K48" s="110"/>
      <c r="L48" s="132"/>
      <c r="M48" s="110"/>
      <c r="N48" s="110"/>
      <c r="O48" s="110"/>
      <c r="P48" s="110"/>
      <c r="Q48" s="110"/>
      <c r="R48" s="110"/>
      <c r="S48" s="110"/>
      <c r="T48" s="110"/>
      <c r="U48" s="110"/>
      <c r="V48" s="110"/>
      <c r="W48" s="110"/>
    </row>
    <row r="49" spans="7:23" ht="14.25" customHeight="1">
      <c r="H49" s="110"/>
      <c r="I49" s="110"/>
      <c r="J49" s="110"/>
      <c r="K49" s="110"/>
      <c r="L49" s="132"/>
      <c r="M49" s="110"/>
      <c r="N49" s="110"/>
      <c r="O49" s="110"/>
      <c r="P49" s="110"/>
      <c r="Q49" s="110"/>
      <c r="R49" s="110"/>
      <c r="S49" s="110"/>
      <c r="T49" s="110"/>
      <c r="U49" s="110"/>
      <c r="V49" s="110"/>
      <c r="W49" s="110"/>
    </row>
    <row r="50" spans="7:23" ht="14.25" customHeight="1">
      <c r="G50" s="116"/>
      <c r="H50" s="110"/>
      <c r="I50" s="132"/>
      <c r="J50" s="110"/>
      <c r="K50" s="110"/>
      <c r="L50" s="132"/>
      <c r="M50" s="194"/>
      <c r="N50" s="110"/>
      <c r="O50" s="110"/>
      <c r="P50" s="110"/>
      <c r="Q50" s="194"/>
      <c r="R50" s="110"/>
      <c r="S50" s="110"/>
      <c r="T50" s="110"/>
      <c r="U50" s="110"/>
      <c r="V50" s="110"/>
      <c r="W50" s="110"/>
    </row>
    <row r="51" spans="7:23" ht="14.25" customHeight="1">
      <c r="H51" s="110"/>
      <c r="I51" s="110"/>
      <c r="J51" s="110"/>
      <c r="K51" s="110"/>
      <c r="L51" s="132"/>
      <c r="M51" s="155"/>
      <c r="N51" s="110"/>
      <c r="O51" s="110"/>
      <c r="P51" s="110"/>
      <c r="Q51" s="148"/>
      <c r="R51" s="110"/>
      <c r="S51" s="110"/>
      <c r="T51" s="110"/>
      <c r="U51" s="110"/>
      <c r="V51" s="110"/>
      <c r="W51" s="110"/>
    </row>
    <row r="52" spans="7:23" ht="29.25" customHeight="1">
      <c r="H52" s="110"/>
      <c r="I52" s="523"/>
      <c r="J52" s="523"/>
      <c r="K52" s="523"/>
      <c r="L52" s="523"/>
      <c r="M52" s="371"/>
      <c r="N52" s="110"/>
      <c r="O52" s="110"/>
      <c r="P52" s="110"/>
      <c r="Q52" s="366"/>
      <c r="R52" s="110"/>
      <c r="S52" s="110"/>
      <c r="T52" s="110"/>
      <c r="U52" s="110"/>
      <c r="V52" s="110"/>
      <c r="W52" s="110"/>
    </row>
    <row r="53" spans="7:23" ht="14.25" customHeight="1">
      <c r="H53" s="110"/>
      <c r="I53" s="110"/>
      <c r="J53" s="110"/>
      <c r="K53" s="110"/>
      <c r="L53" s="132"/>
      <c r="M53" s="110"/>
      <c r="N53" s="110"/>
      <c r="O53" s="110"/>
      <c r="P53" s="110"/>
      <c r="Q53" s="365"/>
      <c r="R53" s="110"/>
      <c r="S53" s="110"/>
      <c r="T53" s="110"/>
      <c r="U53" s="110"/>
      <c r="V53" s="110"/>
      <c r="W53" s="110"/>
    </row>
    <row r="54" spans="7:23" ht="14.25" customHeight="1">
      <c r="H54" s="110"/>
      <c r="I54" s="110"/>
      <c r="J54" s="110"/>
      <c r="K54" s="110"/>
      <c r="L54" s="132"/>
      <c r="M54" s="372"/>
      <c r="N54" s="110"/>
      <c r="O54" s="110"/>
      <c r="P54" s="110"/>
      <c r="Q54" s="148"/>
      <c r="R54" s="110"/>
      <c r="S54" s="110"/>
      <c r="T54" s="110"/>
      <c r="U54" s="110"/>
      <c r="V54" s="110"/>
      <c r="W54" s="110"/>
    </row>
    <row r="55" spans="7:23" ht="14.25" customHeight="1">
      <c r="H55" s="110"/>
      <c r="I55" s="110"/>
      <c r="J55" s="110"/>
      <c r="K55" s="110"/>
      <c r="L55" s="132"/>
      <c r="M55" s="110"/>
      <c r="N55" s="110"/>
      <c r="O55" s="110"/>
      <c r="P55" s="110"/>
      <c r="Q55" s="148"/>
      <c r="R55" s="110"/>
      <c r="S55" s="110"/>
      <c r="T55" s="110"/>
      <c r="U55" s="110"/>
      <c r="V55" s="110"/>
      <c r="W55" s="110"/>
    </row>
    <row r="56" spans="7:23" ht="14.25" customHeight="1">
      <c r="H56" s="110"/>
      <c r="I56" s="110"/>
      <c r="J56" s="110"/>
      <c r="K56" s="110"/>
      <c r="L56" s="132"/>
      <c r="M56" s="373"/>
      <c r="N56" s="110"/>
      <c r="O56" s="110"/>
      <c r="P56" s="110"/>
      <c r="Q56" s="148"/>
      <c r="R56" s="110"/>
      <c r="S56" s="110"/>
      <c r="T56" s="110"/>
      <c r="U56" s="110"/>
      <c r="V56" s="110"/>
      <c r="W56" s="110"/>
    </row>
    <row r="57" spans="7:23" ht="14.25" customHeight="1">
      <c r="H57" s="110"/>
      <c r="I57" s="110"/>
      <c r="J57" s="110"/>
      <c r="K57" s="110"/>
      <c r="L57" s="132"/>
      <c r="M57" s="110"/>
      <c r="N57" s="110"/>
      <c r="O57" s="110"/>
      <c r="P57" s="110"/>
      <c r="Q57" s="110"/>
      <c r="R57" s="110"/>
      <c r="S57" s="110"/>
      <c r="T57" s="110"/>
      <c r="U57" s="110"/>
      <c r="V57" s="110"/>
      <c r="W57" s="110"/>
    </row>
    <row r="58" spans="7:23" ht="14.25" customHeight="1">
      <c r="H58" s="110"/>
      <c r="I58" s="110"/>
      <c r="J58" s="110"/>
      <c r="K58" s="110"/>
      <c r="L58" s="132"/>
      <c r="M58" s="110"/>
      <c r="N58" s="110"/>
      <c r="O58" s="110"/>
      <c r="P58" s="110"/>
      <c r="Q58" s="148"/>
      <c r="R58" s="110"/>
      <c r="S58" s="110"/>
      <c r="T58" s="110"/>
      <c r="U58" s="110"/>
      <c r="V58" s="110"/>
      <c r="W58" s="110"/>
    </row>
    <row r="59" spans="7:23" ht="14.25" customHeight="1">
      <c r="H59" s="110"/>
      <c r="I59" s="132"/>
      <c r="J59" s="110"/>
      <c r="K59" s="110"/>
      <c r="L59" s="132"/>
      <c r="M59" s="194"/>
      <c r="N59" s="110"/>
      <c r="O59" s="110"/>
      <c r="P59" s="110"/>
      <c r="Q59" s="110"/>
      <c r="R59" s="110"/>
      <c r="S59" s="110"/>
      <c r="T59" s="110"/>
      <c r="U59" s="110"/>
      <c r="V59" s="110"/>
      <c r="W59" s="110"/>
    </row>
    <row r="60" spans="7:23" ht="14.25" customHeight="1">
      <c r="H60" s="110"/>
      <c r="I60" s="374"/>
      <c r="J60" s="110"/>
      <c r="K60" s="110"/>
      <c r="L60" s="132"/>
      <c r="M60" s="155"/>
      <c r="N60" s="110"/>
      <c r="O60" s="110"/>
      <c r="P60" s="110"/>
      <c r="Q60" s="372"/>
      <c r="R60" s="110"/>
      <c r="S60" s="110"/>
      <c r="T60" s="110"/>
      <c r="U60" s="110"/>
      <c r="V60" s="110"/>
      <c r="W60" s="110"/>
    </row>
    <row r="61" spans="7:23" ht="14.25" customHeight="1">
      <c r="H61" s="110"/>
      <c r="I61" s="110"/>
      <c r="J61" s="110"/>
      <c r="K61" s="110"/>
      <c r="L61" s="132"/>
      <c r="M61" s="110"/>
      <c r="N61" s="110"/>
      <c r="O61" s="110"/>
      <c r="P61" s="110"/>
      <c r="Q61" s="110"/>
      <c r="R61" s="110"/>
      <c r="S61" s="110"/>
      <c r="T61" s="110"/>
      <c r="U61" s="110"/>
      <c r="V61" s="110"/>
      <c r="W61" s="110"/>
    </row>
    <row r="62" spans="7:23" ht="14.25" customHeight="1">
      <c r="H62" s="110"/>
      <c r="I62" s="110"/>
      <c r="J62" s="110"/>
      <c r="K62" s="110"/>
      <c r="L62" s="132"/>
      <c r="M62" s="154"/>
      <c r="N62" s="110"/>
      <c r="O62" s="110"/>
      <c r="P62" s="110"/>
      <c r="Q62" s="148"/>
      <c r="R62" s="110"/>
      <c r="S62" s="110"/>
      <c r="T62" s="110"/>
      <c r="U62" s="110"/>
      <c r="V62" s="110"/>
      <c r="W62" s="110"/>
    </row>
    <row r="63" spans="7:23" ht="14.25" customHeight="1">
      <c r="H63" s="110"/>
      <c r="I63" s="110"/>
      <c r="J63" s="110"/>
      <c r="K63" s="110"/>
      <c r="L63" s="132"/>
      <c r="M63" s="110"/>
      <c r="N63" s="110"/>
      <c r="O63" s="110"/>
      <c r="P63" s="110"/>
      <c r="Q63" s="110"/>
      <c r="R63" s="110"/>
      <c r="S63" s="110"/>
      <c r="T63" s="110"/>
      <c r="U63" s="110"/>
      <c r="V63" s="110"/>
      <c r="W63" s="110"/>
    </row>
    <row r="64" spans="7:23" ht="14.25" customHeight="1">
      <c r="H64" s="110"/>
      <c r="I64" s="374"/>
      <c r="J64" s="110"/>
      <c r="K64" s="110"/>
      <c r="L64" s="132"/>
      <c r="M64" s="154"/>
      <c r="N64" s="110"/>
      <c r="O64" s="110"/>
      <c r="P64" s="110"/>
      <c r="Q64" s="148"/>
      <c r="R64" s="110"/>
      <c r="S64" s="110"/>
      <c r="T64" s="110"/>
      <c r="U64" s="110"/>
      <c r="V64" s="110"/>
      <c r="W64" s="110"/>
    </row>
    <row r="65" spans="8:23" ht="14.25" customHeight="1">
      <c r="H65" s="110"/>
      <c r="I65" s="374"/>
      <c r="J65" s="110"/>
      <c r="K65" s="110"/>
      <c r="L65" s="132"/>
      <c r="M65" s="110"/>
      <c r="N65" s="110"/>
      <c r="O65" s="110"/>
      <c r="P65" s="110"/>
      <c r="Q65" s="110"/>
      <c r="R65" s="110"/>
      <c r="S65" s="110"/>
      <c r="T65" s="110"/>
      <c r="U65" s="110"/>
      <c r="V65" s="110"/>
      <c r="W65" s="110"/>
    </row>
    <row r="66" spans="8:23" ht="14.25" customHeight="1">
      <c r="H66" s="110"/>
      <c r="I66" s="110"/>
      <c r="J66" s="110"/>
      <c r="K66" s="110"/>
      <c r="L66" s="132"/>
      <c r="M66" s="110"/>
      <c r="N66" s="110"/>
      <c r="O66" s="110"/>
      <c r="P66" s="110"/>
      <c r="Q66" s="366"/>
      <c r="R66" s="110"/>
      <c r="S66" s="110"/>
      <c r="T66" s="110"/>
      <c r="U66" s="110"/>
      <c r="V66" s="110"/>
      <c r="W66" s="110"/>
    </row>
    <row r="67" spans="8:23" ht="14.25" customHeight="1">
      <c r="H67" s="110"/>
      <c r="I67" s="374"/>
      <c r="J67" s="110"/>
      <c r="K67" s="110"/>
      <c r="L67" s="132"/>
      <c r="M67" s="375"/>
      <c r="N67" s="110"/>
      <c r="O67" s="110"/>
      <c r="P67" s="110"/>
      <c r="Q67" s="110"/>
      <c r="R67" s="110"/>
      <c r="S67" s="110"/>
      <c r="T67" s="110"/>
      <c r="U67" s="110"/>
      <c r="V67" s="110"/>
      <c r="W67" s="110"/>
    </row>
    <row r="68" spans="8:23" ht="14.25" customHeight="1">
      <c r="H68" s="110"/>
      <c r="I68" s="110"/>
      <c r="J68" s="110"/>
      <c r="K68" s="110"/>
      <c r="L68" s="132"/>
      <c r="M68" s="110"/>
      <c r="N68" s="110"/>
      <c r="O68" s="110"/>
      <c r="P68" s="110"/>
      <c r="Q68" s="110"/>
      <c r="R68" s="110"/>
      <c r="S68" s="110"/>
      <c r="T68" s="110"/>
      <c r="U68" s="110"/>
      <c r="V68" s="110"/>
      <c r="W68" s="110"/>
    </row>
    <row r="69" spans="8:23" ht="14.25" customHeight="1">
      <c r="H69" s="110"/>
      <c r="I69" s="110"/>
      <c r="J69" s="110"/>
      <c r="K69" s="110"/>
      <c r="L69" s="132"/>
      <c r="M69" s="110"/>
      <c r="N69" s="110"/>
      <c r="O69" s="374"/>
      <c r="P69" s="110"/>
      <c r="Q69" s="110"/>
      <c r="R69" s="110"/>
      <c r="S69" s="110"/>
      <c r="T69" s="110"/>
      <c r="U69" s="110"/>
      <c r="V69" s="110"/>
      <c r="W69" s="110"/>
    </row>
    <row r="70" spans="8:23" ht="14.25" customHeight="1">
      <c r="H70" s="110"/>
      <c r="I70" s="110"/>
      <c r="J70" s="110"/>
      <c r="K70" s="110"/>
      <c r="L70" s="132"/>
      <c r="M70" s="110"/>
      <c r="N70" s="110"/>
      <c r="O70" s="374"/>
      <c r="P70" s="110"/>
      <c r="Q70" s="110"/>
      <c r="R70" s="110"/>
      <c r="S70" s="110"/>
      <c r="T70" s="110"/>
      <c r="U70" s="110"/>
      <c r="V70" s="110"/>
      <c r="W70" s="110"/>
    </row>
    <row r="71" spans="8:23" ht="14.25" customHeight="1">
      <c r="H71" s="110"/>
      <c r="I71" s="110"/>
      <c r="J71" s="110"/>
      <c r="K71" s="110"/>
      <c r="L71" s="132"/>
      <c r="M71" s="110"/>
      <c r="N71" s="110"/>
      <c r="O71" s="374"/>
      <c r="P71" s="110"/>
      <c r="Q71" s="110"/>
      <c r="R71" s="110"/>
      <c r="S71" s="110"/>
      <c r="T71" s="110"/>
      <c r="U71" s="110"/>
      <c r="V71" s="110"/>
      <c r="W71" s="110"/>
    </row>
    <row r="72" spans="8:23" ht="14.25" customHeight="1">
      <c r="H72" s="110"/>
      <c r="I72" s="110"/>
      <c r="J72" s="110"/>
      <c r="K72" s="110"/>
      <c r="L72" s="132"/>
      <c r="M72" s="110"/>
      <c r="N72" s="110"/>
      <c r="O72" s="374"/>
      <c r="P72" s="110"/>
      <c r="Q72" s="110"/>
      <c r="R72" s="110"/>
      <c r="S72" s="110"/>
      <c r="T72" s="110"/>
      <c r="U72" s="110"/>
      <c r="V72" s="110"/>
      <c r="W72" s="110"/>
    </row>
    <row r="73" spans="8:23" ht="14.25" customHeight="1">
      <c r="H73" s="110"/>
      <c r="I73" s="110"/>
      <c r="J73" s="110"/>
      <c r="K73" s="110"/>
      <c r="L73" s="132"/>
      <c r="M73" s="110"/>
      <c r="N73" s="110"/>
      <c r="O73" s="374"/>
      <c r="P73" s="110"/>
      <c r="Q73" s="110"/>
      <c r="R73" s="110"/>
      <c r="S73" s="110"/>
      <c r="T73" s="110"/>
      <c r="U73" s="110"/>
      <c r="V73" s="110"/>
      <c r="W73" s="110"/>
    </row>
    <row r="74" spans="8:23" ht="14.25" customHeight="1">
      <c r="H74" s="110"/>
      <c r="I74" s="110"/>
      <c r="J74" s="110"/>
      <c r="K74" s="110"/>
      <c r="L74" s="132"/>
      <c r="M74" s="110"/>
      <c r="N74" s="110"/>
      <c r="O74" s="374"/>
      <c r="P74" s="110"/>
      <c r="Q74" s="110"/>
      <c r="R74" s="110"/>
      <c r="S74" s="110"/>
      <c r="T74" s="110"/>
      <c r="U74" s="110"/>
      <c r="V74" s="110"/>
      <c r="W74" s="110"/>
    </row>
    <row r="75" spans="8:23" ht="14.25" customHeight="1">
      <c r="H75" s="110"/>
      <c r="I75" s="110"/>
      <c r="J75" s="110"/>
      <c r="K75" s="110"/>
      <c r="L75" s="132"/>
      <c r="M75" s="110"/>
      <c r="N75" s="110"/>
      <c r="O75" s="374"/>
      <c r="P75" s="110"/>
      <c r="Q75" s="110"/>
      <c r="R75" s="110"/>
      <c r="S75" s="110"/>
      <c r="T75" s="110"/>
      <c r="U75" s="110"/>
      <c r="V75" s="110"/>
      <c r="W75" s="110"/>
    </row>
    <row r="76" spans="8:23" ht="14.25" customHeight="1">
      <c r="H76" s="110"/>
      <c r="I76" s="110"/>
      <c r="J76" s="110"/>
      <c r="K76" s="110"/>
      <c r="L76" s="132"/>
      <c r="M76" s="110"/>
      <c r="N76" s="110"/>
      <c r="O76" s="374"/>
      <c r="P76" s="110"/>
      <c r="Q76" s="110"/>
      <c r="R76" s="110"/>
      <c r="S76" s="110"/>
      <c r="T76" s="110"/>
      <c r="U76" s="110"/>
      <c r="V76" s="110"/>
      <c r="W76" s="110"/>
    </row>
    <row r="77" spans="8:23" ht="14.25" customHeight="1">
      <c r="H77" s="110"/>
      <c r="I77" s="110"/>
      <c r="J77" s="110"/>
      <c r="K77" s="110"/>
      <c r="L77" s="132"/>
      <c r="M77" s="110"/>
      <c r="N77" s="110"/>
      <c r="O77" s="374"/>
      <c r="P77" s="110"/>
      <c r="Q77" s="110"/>
      <c r="R77" s="110"/>
      <c r="S77" s="110"/>
      <c r="T77" s="110"/>
      <c r="U77" s="110"/>
      <c r="V77" s="110"/>
      <c r="W77" s="110"/>
    </row>
    <row r="78" spans="8:23" ht="14.25" customHeight="1">
      <c r="H78" s="110"/>
      <c r="I78" s="110"/>
      <c r="J78" s="110"/>
      <c r="K78" s="110"/>
      <c r="L78" s="132"/>
      <c r="M78" s="110"/>
      <c r="N78" s="110"/>
      <c r="O78" s="374"/>
      <c r="P78" s="110"/>
      <c r="Q78" s="110"/>
      <c r="R78" s="110"/>
      <c r="S78" s="110"/>
      <c r="T78" s="110"/>
      <c r="U78" s="110"/>
      <c r="V78" s="110"/>
      <c r="W78" s="110"/>
    </row>
    <row r="79" spans="8:23" ht="14.25" customHeight="1">
      <c r="H79" s="110"/>
      <c r="I79" s="110"/>
      <c r="J79" s="110"/>
      <c r="K79" s="110"/>
      <c r="L79" s="132"/>
      <c r="M79" s="110"/>
      <c r="N79" s="110"/>
      <c r="O79" s="110"/>
      <c r="P79" s="110"/>
      <c r="Q79" s="110"/>
      <c r="R79" s="110"/>
      <c r="S79" s="110"/>
      <c r="T79" s="110"/>
      <c r="U79" s="110"/>
      <c r="V79" s="110"/>
      <c r="W79" s="110"/>
    </row>
    <row r="80" spans="8:23" ht="14.25" customHeight="1">
      <c r="H80" s="110"/>
      <c r="I80" s="110"/>
      <c r="J80" s="110"/>
      <c r="K80" s="110"/>
      <c r="L80" s="132"/>
      <c r="M80" s="110"/>
      <c r="N80" s="110"/>
      <c r="O80" s="110"/>
      <c r="P80" s="110"/>
      <c r="Q80" s="110"/>
      <c r="R80" s="110"/>
      <c r="S80" s="110"/>
      <c r="T80" s="110"/>
      <c r="U80" s="110"/>
      <c r="V80" s="110"/>
      <c r="W80" s="110"/>
    </row>
    <row r="81" spans="5:23" ht="14.25" customHeight="1">
      <c r="H81" s="110"/>
      <c r="I81" s="110"/>
      <c r="J81" s="110"/>
      <c r="K81" s="110"/>
      <c r="L81" s="132"/>
      <c r="M81" s="110"/>
      <c r="N81" s="110"/>
      <c r="O81" s="110"/>
      <c r="P81" s="110"/>
      <c r="Q81" s="110"/>
      <c r="R81" s="110"/>
      <c r="S81" s="110"/>
      <c r="T81" s="110"/>
      <c r="U81" s="110"/>
      <c r="V81" s="110"/>
      <c r="W81" s="110"/>
    </row>
    <row r="82" spans="5:23" ht="14.25" customHeight="1">
      <c r="H82" s="110"/>
      <c r="I82" s="110"/>
      <c r="J82" s="110"/>
      <c r="K82" s="110"/>
      <c r="L82" s="132"/>
      <c r="M82" s="110"/>
      <c r="N82" s="110"/>
      <c r="O82" s="110"/>
      <c r="P82" s="110"/>
      <c r="Q82" s="110"/>
      <c r="R82" s="110"/>
      <c r="S82" s="110"/>
      <c r="T82" s="110"/>
      <c r="U82" s="110"/>
      <c r="V82" s="110"/>
      <c r="W82" s="110"/>
    </row>
    <row r="83" spans="5:23" ht="14.25" customHeight="1">
      <c r="E83" s="383"/>
    </row>
    <row r="84" spans="5:23" ht="14.25" customHeight="1">
      <c r="E84" s="383"/>
    </row>
  </sheetData>
  <mergeCells count="9">
    <mergeCell ref="I52:L52"/>
    <mergeCell ref="A5:E5"/>
    <mergeCell ref="H1:N1"/>
    <mergeCell ref="H2:N2"/>
    <mergeCell ref="H3:N3"/>
    <mergeCell ref="H4:N4"/>
    <mergeCell ref="I28:O28"/>
    <mergeCell ref="I29:O29"/>
    <mergeCell ref="I30:O30"/>
  </mergeCells>
  <phoneticPr fontId="0" type="noConversion"/>
  <pageMargins left="1.25" right="0.51" top="1.25" bottom="0.5" header="0.5" footer="0.5"/>
  <pageSetup firstPageNumber="4" orientation="portrait" r:id="rId1"/>
  <headerFooter scaleWithDoc="0" alignWithMargins="0">
    <oddHeader>&amp;RCBR Electric -12/2014</oddHeader>
    <oddFooter>&amp;RPage &amp;P of &amp;N</oddFooter>
  </headerFooter>
  <colBreaks count="1" manualBreakCount="1">
    <brk id="5" max="28"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AM82"/>
  <sheetViews>
    <sheetView view="pageBreakPreview" topLeftCell="B1" zoomScale="145" zoomScaleNormal="85" zoomScaleSheetLayoutView="145" workbookViewId="0">
      <selection activeCell="F18" sqref="F18"/>
    </sheetView>
  </sheetViews>
  <sheetFormatPr defaultColWidth="9.140625" defaultRowHeight="12.75"/>
  <cols>
    <col min="1" max="1" width="59.85546875" style="22" hidden="1" customWidth="1"/>
    <col min="2" max="2" width="2.42578125" style="22" customWidth="1"/>
    <col min="3" max="3" width="42" style="22" customWidth="1"/>
    <col min="4" max="4" width="5.85546875" style="22" customWidth="1"/>
    <col min="5" max="5" width="20.140625" style="76" customWidth="1"/>
    <col min="6" max="6" width="19.85546875" style="22" bestFit="1" customWidth="1"/>
    <col min="7" max="13" width="9.140625" style="22"/>
    <col min="14" max="14" width="9.140625" style="34"/>
    <col min="15" max="21" width="9.140625" style="22"/>
    <col min="22" max="22" width="14.7109375" style="22" customWidth="1"/>
    <col min="23" max="23" width="0" style="22" hidden="1" customWidth="1"/>
    <col min="24" max="33" width="9.140625" style="22"/>
    <col min="34" max="34" width="14.7109375" style="22" customWidth="1"/>
    <col min="35" max="35" width="17" style="22" customWidth="1"/>
    <col min="36" max="36" width="18" style="22" customWidth="1"/>
    <col min="37" max="37" width="17" style="22" customWidth="1"/>
    <col min="38" max="38" width="15.85546875" style="22" customWidth="1"/>
    <col min="39" max="48" width="9.140625" style="22"/>
    <col min="49" max="49" width="11.42578125" style="22" customWidth="1"/>
    <col min="50" max="16384" width="9.140625" style="22"/>
  </cols>
  <sheetData>
    <row r="1" spans="1:39" ht="13.5">
      <c r="A1" s="80" t="s">
        <v>86</v>
      </c>
      <c r="B1" s="80"/>
      <c r="C1" s="80"/>
      <c r="D1" s="80"/>
      <c r="E1" s="88"/>
      <c r="G1" s="81"/>
    </row>
    <row r="2" spans="1:39" ht="13.5">
      <c r="A2" s="80" t="s">
        <v>142</v>
      </c>
      <c r="B2" s="80"/>
      <c r="C2" s="80"/>
      <c r="D2" s="80"/>
      <c r="E2" s="88"/>
      <c r="G2" s="81"/>
      <c r="H2" s="425"/>
      <c r="I2" s="425"/>
      <c r="J2" s="425"/>
      <c r="K2" s="425"/>
    </row>
    <row r="3" spans="1:39" ht="13.5">
      <c r="A3" s="80" t="s">
        <v>141</v>
      </c>
      <c r="B3" s="80"/>
      <c r="C3" s="80"/>
      <c r="D3" s="80"/>
      <c r="E3" s="88"/>
      <c r="G3" s="81"/>
    </row>
    <row r="4" spans="1:39" ht="14.25" thickBot="1">
      <c r="A4" s="80" t="str">
        <f>'ADJ DETAIL-INPUT'!A4</f>
        <v>TWELVE MONTHS ENDED DECEMBER 31, 2014</v>
      </c>
      <c r="B4" s="80"/>
      <c r="C4" s="80"/>
      <c r="D4" s="80"/>
      <c r="E4" s="88"/>
      <c r="G4" s="81"/>
    </row>
    <row r="5" spans="1:39">
      <c r="G5" s="81"/>
      <c r="AI5" s="376"/>
      <c r="AJ5" s="377"/>
      <c r="AK5" s="378"/>
    </row>
    <row r="6" spans="1:39" s="23" customFormat="1" ht="14.25" thickBot="1">
      <c r="A6" s="23" t="s">
        <v>90</v>
      </c>
      <c r="E6" s="89"/>
      <c r="G6" s="82"/>
      <c r="N6" s="107"/>
      <c r="AI6" s="379"/>
      <c r="AJ6" s="380"/>
      <c r="AK6" s="381"/>
    </row>
    <row r="7" spans="1:39" s="23" customFormat="1" ht="13.5">
      <c r="A7" s="83" t="s">
        <v>18</v>
      </c>
      <c r="C7" s="83" t="s">
        <v>53</v>
      </c>
      <c r="D7" s="25"/>
      <c r="E7" s="90" t="s">
        <v>143</v>
      </c>
      <c r="G7" s="82"/>
      <c r="N7" s="107"/>
    </row>
    <row r="8" spans="1:39">
      <c r="G8" s="81"/>
    </row>
    <row r="9" spans="1:39">
      <c r="A9" s="26">
        <v>1</v>
      </c>
      <c r="C9" s="84" t="s">
        <v>28</v>
      </c>
      <c r="E9" s="91">
        <v>1</v>
      </c>
    </row>
    <row r="10" spans="1:39">
      <c r="A10" s="26"/>
      <c r="E10" s="91"/>
    </row>
    <row r="11" spans="1:39">
      <c r="A11" s="26"/>
      <c r="C11" s="77" t="s">
        <v>144</v>
      </c>
      <c r="D11" s="78"/>
      <c r="E11" s="91"/>
    </row>
    <row r="12" spans="1:39">
      <c r="A12" s="26">
        <v>2</v>
      </c>
      <c r="C12" s="78" t="s">
        <v>145</v>
      </c>
      <c r="D12" s="78"/>
      <c r="E12" s="397">
        <v>5.3531040893053479E-3</v>
      </c>
    </row>
    <row r="13" spans="1:39">
      <c r="A13" s="26"/>
      <c r="C13" s="78"/>
      <c r="D13" s="78"/>
      <c r="E13" s="397"/>
    </row>
    <row r="14" spans="1:39">
      <c r="A14" s="26">
        <v>3</v>
      </c>
      <c r="C14" s="78" t="s">
        <v>146</v>
      </c>
      <c r="D14" s="78"/>
      <c r="E14" s="397">
        <v>2E-3</v>
      </c>
    </row>
    <row r="15" spans="1:39">
      <c r="A15" s="26"/>
      <c r="C15" s="78"/>
      <c r="D15" s="78"/>
      <c r="E15" s="397"/>
      <c r="AM15" s="151"/>
    </row>
    <row r="16" spans="1:39">
      <c r="A16" s="26">
        <v>4</v>
      </c>
      <c r="C16" s="78" t="s">
        <v>147</v>
      </c>
      <c r="D16" s="78"/>
      <c r="E16" s="397">
        <v>3.8526652866204845E-2</v>
      </c>
    </row>
    <row r="17" spans="1:39">
      <c r="A17" s="26"/>
      <c r="C17" s="78"/>
      <c r="D17" s="78"/>
      <c r="E17" s="397"/>
    </row>
    <row r="18" spans="1:39">
      <c r="A18" s="26">
        <v>5</v>
      </c>
      <c r="C18" s="78" t="s">
        <v>148</v>
      </c>
      <c r="D18" s="78"/>
      <c r="E18" s="93">
        <f>SUM(E12:E17)</f>
        <v>4.5879756955510193E-2</v>
      </c>
    </row>
    <row r="19" spans="1:39">
      <c r="C19" s="78"/>
      <c r="D19" s="78"/>
      <c r="E19" s="92"/>
    </row>
    <row r="20" spans="1:39">
      <c r="A20" s="26">
        <v>6</v>
      </c>
      <c r="C20" s="78" t="s">
        <v>149</v>
      </c>
      <c r="D20" s="78"/>
      <c r="E20" s="92">
        <f>E9-E18</f>
        <v>0.95412024304448984</v>
      </c>
      <c r="AM20" s="151"/>
    </row>
    <row r="21" spans="1:39">
      <c r="C21" s="78"/>
      <c r="D21" s="78"/>
      <c r="E21" s="92"/>
    </row>
    <row r="22" spans="1:39">
      <c r="A22" s="26">
        <v>7</v>
      </c>
      <c r="C22" s="78" t="s">
        <v>150</v>
      </c>
      <c r="D22" s="79"/>
      <c r="E22" s="94">
        <f>ROUND(E20*0.35,6)</f>
        <v>0.33394200000000002</v>
      </c>
      <c r="G22" s="81"/>
    </row>
    <row r="23" spans="1:39">
      <c r="C23" s="78"/>
      <c r="D23" s="78"/>
      <c r="E23" s="92"/>
      <c r="G23" s="81"/>
    </row>
    <row r="24" spans="1:39" ht="13.5" thickBot="1">
      <c r="A24" s="26">
        <v>8</v>
      </c>
      <c r="C24" s="77" t="s">
        <v>151</v>
      </c>
      <c r="D24" s="78"/>
      <c r="E24" s="466">
        <f>ROUND(E20-E22,5)</f>
        <v>0.62017999999999995</v>
      </c>
    </row>
    <row r="25" spans="1:39" ht="13.5" thickTop="1"/>
    <row r="30" spans="1:39">
      <c r="A30" s="524"/>
      <c r="B30" s="524"/>
      <c r="C30" s="524"/>
      <c r="D30" s="524"/>
      <c r="E30" s="524"/>
    </row>
    <row r="31" spans="1:39" s="24" customFormat="1" ht="15.75" customHeight="1">
      <c r="A31" s="527"/>
      <c r="B31" s="527"/>
      <c r="C31" s="527"/>
      <c r="D31" s="527"/>
      <c r="E31" s="527"/>
      <c r="N31" s="106"/>
    </row>
    <row r="32" spans="1:39" s="24" customFormat="1">
      <c r="A32" s="527"/>
      <c r="B32" s="527"/>
      <c r="C32" s="527"/>
      <c r="D32" s="527"/>
      <c r="E32" s="527"/>
      <c r="N32" s="106"/>
    </row>
    <row r="33" spans="5:39" s="24" customFormat="1">
      <c r="E33" s="130"/>
      <c r="N33" s="106"/>
    </row>
    <row r="34" spans="5:39" s="24" customFormat="1">
      <c r="E34" s="130"/>
      <c r="N34" s="106"/>
    </row>
    <row r="35" spans="5:39" s="24" customFormat="1">
      <c r="E35" s="130"/>
      <c r="N35" s="106"/>
    </row>
    <row r="36" spans="5:39" s="24" customFormat="1">
      <c r="E36" s="92"/>
      <c r="N36" s="106"/>
    </row>
    <row r="37" spans="5:39" s="24" customFormat="1">
      <c r="E37" s="92"/>
      <c r="N37" s="106"/>
    </row>
    <row r="38" spans="5:39" s="24" customFormat="1">
      <c r="E38" s="92"/>
      <c r="N38" s="106"/>
    </row>
    <row r="39" spans="5:39" s="24" customFormat="1">
      <c r="E39" s="92"/>
      <c r="N39" s="106"/>
    </row>
    <row r="40" spans="5:39" s="24" customFormat="1">
      <c r="E40" s="92"/>
      <c r="N40" s="106"/>
    </row>
    <row r="41" spans="5:39" s="24" customFormat="1">
      <c r="E41" s="92"/>
      <c r="F41" s="92"/>
      <c r="N41" s="106"/>
    </row>
    <row r="42" spans="5:39" s="24" customFormat="1">
      <c r="N42" s="106"/>
    </row>
    <row r="43" spans="5:39" s="24" customFormat="1">
      <c r="E43" s="92"/>
      <c r="N43" s="106"/>
    </row>
    <row r="44" spans="5:39" s="24" customFormat="1">
      <c r="E44" s="92"/>
      <c r="N44" s="106"/>
    </row>
    <row r="45" spans="5:39" s="24" customFormat="1">
      <c r="E45" s="92"/>
      <c r="N45" s="106"/>
    </row>
    <row r="46" spans="5:39" s="24" customFormat="1">
      <c r="E46" s="131"/>
      <c r="N46" s="106"/>
      <c r="AM46" s="152"/>
    </row>
    <row r="47" spans="5:39" s="24" customFormat="1">
      <c r="E47" s="92"/>
      <c r="N47" s="106"/>
    </row>
    <row r="48" spans="5:39" s="24" customFormat="1">
      <c r="E48" s="92"/>
      <c r="G48" s="110"/>
      <c r="J48" s="110"/>
      <c r="K48" s="110"/>
      <c r="N48" s="106"/>
      <c r="V48" s="110"/>
    </row>
    <row r="49" spans="5:39" s="24" customFormat="1">
      <c r="E49" s="92"/>
      <c r="N49" s="106"/>
    </row>
    <row r="50" spans="5:39" s="24" customFormat="1">
      <c r="E50" s="92"/>
      <c r="K50" s="110"/>
      <c r="N50" s="106"/>
    </row>
    <row r="51" spans="5:39" s="24" customFormat="1">
      <c r="E51" s="92"/>
      <c r="N51" s="106"/>
    </row>
    <row r="52" spans="5:39" s="24" customFormat="1">
      <c r="E52" s="131"/>
      <c r="N52" s="106"/>
    </row>
    <row r="53" spans="5:39" s="24" customFormat="1">
      <c r="E53" s="130"/>
      <c r="N53" s="106"/>
    </row>
    <row r="56" spans="5:39">
      <c r="AM56" s="150"/>
    </row>
    <row r="61" spans="5:39">
      <c r="AM61" s="150"/>
    </row>
    <row r="66" spans="39:39">
      <c r="AM66" s="150"/>
    </row>
    <row r="81" spans="5:5">
      <c r="E81" s="382"/>
    </row>
    <row r="82" spans="5:5">
      <c r="E82" s="382"/>
    </row>
  </sheetData>
  <mergeCells count="3">
    <mergeCell ref="A30:E30"/>
    <mergeCell ref="A31:E31"/>
    <mergeCell ref="A32:E32"/>
  </mergeCells>
  <phoneticPr fontId="0" type="noConversion"/>
  <pageMargins left="0.75" right="0.51" top="0.75" bottom="0.5" header="0.5" footer="0.5"/>
  <pageSetup firstPageNumber="4" orientation="portrait" r:id="rId1"/>
  <headerFooter scaleWithDoc="0" alignWithMargins="0">
    <oddHeader>&amp;RCBR Electric -12/2014</oddHead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38"/>
  <sheetViews>
    <sheetView view="pageBreakPreview" zoomScale="130" zoomScaleNormal="100" zoomScaleSheetLayoutView="130" workbookViewId="0">
      <selection activeCell="L16" sqref="L16"/>
    </sheetView>
  </sheetViews>
  <sheetFormatPr defaultColWidth="11.42578125" defaultRowHeight="12.75"/>
  <cols>
    <col min="1" max="2" width="8.140625" style="22" customWidth="1"/>
    <col min="3" max="3" width="38.140625" style="22" customWidth="1"/>
    <col min="4" max="4" width="11.42578125" style="189" customWidth="1"/>
    <col min="5" max="5" width="12.5703125" style="189" customWidth="1"/>
    <col min="6" max="6" width="8.42578125" style="36" customWidth="1"/>
    <col min="7" max="7" width="8.7109375" style="36" hidden="1" customWidth="1"/>
    <col min="8" max="8" width="10.140625" style="26" customWidth="1"/>
    <col min="9" max="9" width="10.140625" style="143" customWidth="1"/>
    <col min="10" max="10" width="10.140625" style="324" customWidth="1"/>
    <col min="11" max="11" width="1.85546875" style="396" customWidth="1"/>
    <col min="12" max="12" width="8.42578125" style="22" bestFit="1" customWidth="1"/>
    <col min="13" max="13" width="15" style="22" customWidth="1"/>
    <col min="14" max="16384" width="11.42578125" style="22"/>
  </cols>
  <sheetData>
    <row r="1" spans="1:17">
      <c r="A1" s="524" t="str">
        <f>'ADJ DETAIL-INPUT'!A2</f>
        <v xml:space="preserve">AVISTA UTILITIES  </v>
      </c>
      <c r="B1" s="524"/>
      <c r="C1" s="524"/>
      <c r="D1" s="524"/>
      <c r="E1" s="524"/>
      <c r="F1" s="524"/>
      <c r="G1" s="432"/>
    </row>
    <row r="2" spans="1:17">
      <c r="A2" s="528" t="s">
        <v>50</v>
      </c>
      <c r="B2" s="528"/>
      <c r="C2" s="528"/>
      <c r="D2" s="528"/>
      <c r="E2" s="528"/>
      <c r="F2" s="528"/>
      <c r="G2" s="433"/>
    </row>
    <row r="3" spans="1:17">
      <c r="A3" s="528" t="s">
        <v>51</v>
      </c>
      <c r="B3" s="528"/>
      <c r="C3" s="528"/>
      <c r="D3" s="528"/>
      <c r="E3" s="528"/>
      <c r="F3" s="528"/>
      <c r="G3" s="433"/>
    </row>
    <row r="4" spans="1:17">
      <c r="A4" s="529" t="str">
        <f>'ADJ DETAIL-INPUT'!A4</f>
        <v>TWELVE MONTHS ENDED DECEMBER 31, 2014</v>
      </c>
      <c r="B4" s="529"/>
      <c r="C4" s="529"/>
      <c r="D4" s="529"/>
      <c r="E4" s="529"/>
      <c r="F4" s="529"/>
      <c r="G4" s="434"/>
    </row>
    <row r="5" spans="1:17" ht="5.25" customHeight="1"/>
    <row r="7" spans="1:17">
      <c r="D7" s="190"/>
      <c r="E7" s="191" t="s">
        <v>51</v>
      </c>
      <c r="F7" s="37"/>
      <c r="G7" s="39" t="s">
        <v>206</v>
      </c>
      <c r="H7" s="32" t="s">
        <v>205</v>
      </c>
      <c r="I7" s="140" t="s">
        <v>206</v>
      </c>
      <c r="J7" s="22" t="s">
        <v>539</v>
      </c>
    </row>
    <row r="8" spans="1:17">
      <c r="A8" s="27" t="s">
        <v>52</v>
      </c>
      <c r="B8" s="308" t="s">
        <v>522</v>
      </c>
      <c r="C8" s="37" t="s">
        <v>114</v>
      </c>
      <c r="D8" s="191" t="s">
        <v>54</v>
      </c>
      <c r="E8" s="191" t="s">
        <v>20</v>
      </c>
      <c r="F8" s="37" t="s">
        <v>55</v>
      </c>
      <c r="G8" s="39"/>
    </row>
    <row r="9" spans="1:17">
      <c r="A9" s="141" t="s">
        <v>220</v>
      </c>
      <c r="B9" s="141"/>
      <c r="C9" s="39"/>
      <c r="D9" s="192"/>
      <c r="E9" s="192"/>
      <c r="F9" s="39"/>
      <c r="G9" s="39"/>
      <c r="J9" s="325"/>
      <c r="K9" s="403"/>
    </row>
    <row r="10" spans="1:17">
      <c r="A10" s="183">
        <f>'ADJ DETAIL-INPUT'!E$10</f>
        <v>1</v>
      </c>
      <c r="B10" s="322" t="str">
        <f>'ADJ DETAIL-INPUT'!E$11</f>
        <v>E-ROO</v>
      </c>
      <c r="C10" s="29" t="str">
        <f>TRIM(CONCATENATE('ADJ DETAIL-INPUT'!E$7," ",'ADJ DETAIL-INPUT'!E$8," ",'ADJ DETAIL-INPUT'!E$9))</f>
        <v>Results of Operations</v>
      </c>
      <c r="D10" s="189">
        <f>'ADJ DETAIL-INPUT'!E$55</f>
        <v>104183</v>
      </c>
      <c r="E10" s="189">
        <f>'ADJ DETAIL-INPUT'!E$79</f>
        <v>1258955</v>
      </c>
      <c r="F10" s="149">
        <f>D10/E10</f>
        <v>8.2753553542422087E-2</v>
      </c>
      <c r="G10" s="145"/>
      <c r="H10" s="486" t="s">
        <v>207</v>
      </c>
      <c r="I10" s="486"/>
      <c r="J10" s="519" t="s">
        <v>208</v>
      </c>
      <c r="K10" s="145"/>
    </row>
    <row r="11" spans="1:17" s="34" customFormat="1">
      <c r="A11" s="183">
        <f>'ADJ DETAIL-INPUT'!F$10</f>
        <v>1.01</v>
      </c>
      <c r="B11" s="322" t="str">
        <f>'ADJ DETAIL-INPUT'!F$11</f>
        <v>E-DFIT</v>
      </c>
      <c r="C11" s="29" t="str">
        <f>TRIM(CONCATENATE('ADJ DETAIL-INPUT'!F$7," ",'ADJ DETAIL-INPUT'!F$8," ",'ADJ DETAIL-INPUT'!F$9))</f>
        <v>Deferred FIT Rate Base</v>
      </c>
      <c r="D11" s="189">
        <f>'ADJ DETAIL-INPUT'!F$55</f>
        <v>-78.839033000000001</v>
      </c>
      <c r="E11" s="189">
        <f>'ADJ DETAIL-INPUT'!F$79</f>
        <v>-8203</v>
      </c>
      <c r="F11" s="105"/>
      <c r="G11" s="145"/>
      <c r="H11" s="505" t="s">
        <v>207</v>
      </c>
      <c r="I11" s="486"/>
      <c r="J11" s="519" t="s">
        <v>208</v>
      </c>
      <c r="K11" s="145"/>
      <c r="M11" s="402"/>
    </row>
    <row r="12" spans="1:17" s="34" customFormat="1">
      <c r="A12" s="183">
        <f>'ADJ DETAIL-INPUT'!G$10</f>
        <v>1.02</v>
      </c>
      <c r="B12" s="322" t="str">
        <f>'ADJ DETAIL-INPUT'!G$11</f>
        <v>E-DDC</v>
      </c>
      <c r="C12" s="29" t="str">
        <f>TRIM(CONCATENATE('ADJ DETAIL-INPUT'!G$7," ",'ADJ DETAIL-INPUT'!G$8," ",'ADJ DETAIL-INPUT'!G$9))</f>
        <v>Deferred Debits and Credits</v>
      </c>
      <c r="D12" s="189">
        <f>'ADJ DETAIL-INPUT'!G$55</f>
        <v>-42.900000000000006</v>
      </c>
      <c r="E12" s="189">
        <f>'ADJ DETAIL-INPUT'!G$79</f>
        <v>0</v>
      </c>
      <c r="F12" s="105"/>
      <c r="G12" s="145"/>
      <c r="H12" s="508" t="s">
        <v>560</v>
      </c>
      <c r="I12" s="486"/>
      <c r="J12" s="519" t="s">
        <v>208</v>
      </c>
      <c r="K12" s="145"/>
      <c r="L12" s="22"/>
      <c r="M12" s="402"/>
    </row>
    <row r="13" spans="1:17" s="103" customFormat="1">
      <c r="A13" s="183">
        <f>'ADJ DETAIL-INPUT'!H$10</f>
        <v>1.03</v>
      </c>
      <c r="B13" s="322" t="str">
        <f>'ADJ DETAIL-INPUT'!H$11</f>
        <v xml:space="preserve">E-WC </v>
      </c>
      <c r="C13" s="29" t="str">
        <f>TRIM(CONCATENATE('ADJ DETAIL-INPUT'!H$7," ",'ADJ DETAIL-INPUT'!H$8," ",'ADJ DETAIL-INPUT'!H$9))</f>
        <v>Working Capital</v>
      </c>
      <c r="D13" s="189">
        <f>'ADJ DETAIL-INPUT'!H$55</f>
        <v>215.33445499999996</v>
      </c>
      <c r="E13" s="189">
        <f>'ADJ DETAIL-INPUT'!H$79</f>
        <v>22405</v>
      </c>
      <c r="F13" s="104"/>
      <c r="G13" s="145"/>
      <c r="H13" s="507" t="s">
        <v>207</v>
      </c>
      <c r="I13" s="490"/>
      <c r="J13" s="519" t="s">
        <v>208</v>
      </c>
      <c r="K13" s="145"/>
      <c r="L13" s="22"/>
    </row>
    <row r="14" spans="1:17" s="33" customFormat="1">
      <c r="A14" s="183">
        <f>'ADJ DETAIL-INPUT'!I$10</f>
        <v>2.0099999999999998</v>
      </c>
      <c r="B14" s="322" t="str">
        <f>'ADJ DETAIL-INPUT'!I$11</f>
        <v>E-EBO</v>
      </c>
      <c r="C14" s="29" t="str">
        <f>TRIM(CONCATENATE('ADJ DETAIL-INPUT'!I$7," ",'ADJ DETAIL-INPUT'!I$8," ",'ADJ DETAIL-INPUT'!I$9))</f>
        <v>Eliminate B &amp; O Taxes</v>
      </c>
      <c r="D14" s="189">
        <f>'ADJ DETAIL-INPUT'!I$55</f>
        <v>-62.400000000000006</v>
      </c>
      <c r="E14" s="189">
        <f>'ADJ DETAIL-INPUT'!I$79</f>
        <v>0</v>
      </c>
      <c r="F14" s="36"/>
      <c r="H14" s="491" t="s">
        <v>209</v>
      </c>
      <c r="I14" s="486"/>
      <c r="J14" s="519" t="s">
        <v>208</v>
      </c>
      <c r="K14" s="145"/>
      <c r="L14" s="22"/>
    </row>
    <row r="15" spans="1:17" s="33" customFormat="1">
      <c r="A15" s="183">
        <f>'ADJ DETAIL-INPUT'!J$10</f>
        <v>2.0199999999999996</v>
      </c>
      <c r="B15" s="322" t="str">
        <f>'ADJ DETAIL-INPUT'!J$11</f>
        <v>E-PT</v>
      </c>
      <c r="C15" s="29" t="str">
        <f>TRIM(CONCATENATE('ADJ DETAIL-INPUT'!J$7," ",'ADJ DETAIL-INPUT'!J$8," ",'ADJ DETAIL-INPUT'!J$9))</f>
        <v>Restate Property Tax</v>
      </c>
      <c r="D15" s="189">
        <f>'ADJ DETAIL-INPUT'!J$55</f>
        <v>-70.2</v>
      </c>
      <c r="E15" s="189">
        <f>'ADJ DETAIL-INPUT'!J$79</f>
        <v>0</v>
      </c>
      <c r="F15" s="36"/>
      <c r="G15" s="145"/>
      <c r="H15" s="508" t="s">
        <v>560</v>
      </c>
      <c r="I15" s="486"/>
      <c r="J15" s="519" t="s">
        <v>208</v>
      </c>
      <c r="K15" s="145"/>
      <c r="L15" s="22"/>
      <c r="M15" s="124"/>
      <c r="N15" s="124"/>
      <c r="O15" s="124"/>
      <c r="P15" s="124"/>
      <c r="Q15" s="124"/>
    </row>
    <row r="16" spans="1:17" s="33" customFormat="1">
      <c r="A16" s="183">
        <f>'ADJ DETAIL-INPUT'!K$10</f>
        <v>2.0299999999999994</v>
      </c>
      <c r="B16" s="322" t="str">
        <f>'ADJ DETAIL-INPUT'!K$11</f>
        <v>E-UE</v>
      </c>
      <c r="C16" s="29" t="str">
        <f>TRIM(CONCATENATE('ADJ DETAIL-INPUT'!K$7," ",'ADJ DETAIL-INPUT'!K$8," ",'ADJ DETAIL-INPUT'!K$9))</f>
        <v>Uncollectible Expense</v>
      </c>
      <c r="D16" s="189">
        <f>'ADJ DETAIL-INPUT'!K$55</f>
        <v>-599.29999999999995</v>
      </c>
      <c r="E16" s="189">
        <f>'ADJ DETAIL-INPUT'!K$79</f>
        <v>0</v>
      </c>
      <c r="F16" s="36"/>
      <c r="H16" s="491" t="s">
        <v>209</v>
      </c>
      <c r="I16" s="491"/>
      <c r="J16" s="519" t="s">
        <v>208</v>
      </c>
      <c r="K16" s="145"/>
      <c r="L16" s="22"/>
    </row>
    <row r="17" spans="1:13" s="33" customFormat="1">
      <c r="A17" s="183">
        <f>'ADJ DETAIL-INPUT'!L$10</f>
        <v>2.0399999999999991</v>
      </c>
      <c r="B17" s="322" t="str">
        <f>'ADJ DETAIL-INPUT'!L$11</f>
        <v>E-RE</v>
      </c>
      <c r="C17" s="29" t="str">
        <f>TRIM(CONCATENATE('ADJ DETAIL-INPUT'!L$7," ",'ADJ DETAIL-INPUT'!L$8," ",'ADJ DETAIL-INPUT'!L$9))</f>
        <v>Regulatory Expense</v>
      </c>
      <c r="D17" s="189">
        <f>'ADJ DETAIL-INPUT'!L$55</f>
        <v>51.35</v>
      </c>
      <c r="E17" s="189">
        <f>'ADJ DETAIL-INPUT'!L$79</f>
        <v>0</v>
      </c>
      <c r="F17" s="36"/>
      <c r="G17" s="145"/>
      <c r="H17" s="491" t="s">
        <v>209</v>
      </c>
      <c r="I17" s="491"/>
      <c r="J17" s="519" t="s">
        <v>208</v>
      </c>
      <c r="K17" s="145"/>
      <c r="L17" s="22"/>
    </row>
    <row r="18" spans="1:13" s="33" customFormat="1">
      <c r="A18" s="183">
        <f>'ADJ DETAIL-INPUT'!M$10</f>
        <v>2.0499999999999989</v>
      </c>
      <c r="B18" s="322" t="str">
        <f>'ADJ DETAIL-INPUT'!M$11</f>
        <v>E-ID</v>
      </c>
      <c r="C18" s="29" t="str">
        <f>TRIM(CONCATENATE('ADJ DETAIL-INPUT'!M$7," ",'ADJ DETAIL-INPUT'!M$8," ",'ADJ DETAIL-INPUT'!M$9))</f>
        <v>Injuries and Damages</v>
      </c>
      <c r="D18" s="189">
        <f>'ADJ DETAIL-INPUT'!M$55</f>
        <v>-99.45</v>
      </c>
      <c r="E18" s="189">
        <f>'ADJ DETAIL-INPUT'!M$79</f>
        <v>0</v>
      </c>
      <c r="F18" s="36"/>
      <c r="G18" s="145"/>
      <c r="H18" s="508" t="s">
        <v>560</v>
      </c>
      <c r="I18" s="486"/>
      <c r="J18" s="519" t="s">
        <v>208</v>
      </c>
      <c r="K18" s="145"/>
      <c r="L18" s="22"/>
    </row>
    <row r="19" spans="1:13" s="103" customFormat="1">
      <c r="A19" s="183">
        <f>'ADJ DETAIL-INPUT'!N$10</f>
        <v>2.0599999999999987</v>
      </c>
      <c r="B19" s="322" t="str">
        <f>'ADJ DETAIL-INPUT'!N$11</f>
        <v xml:space="preserve">E-FIT </v>
      </c>
      <c r="C19" s="29" t="str">
        <f>TRIM(CONCATENATE('ADJ DETAIL-INPUT'!N$7," ",'ADJ DETAIL-INPUT'!N$8," ",'ADJ DETAIL-INPUT'!N$9))</f>
        <v>FIT/DFIT Expense</v>
      </c>
      <c r="D19" s="189">
        <f>'ADJ DETAIL-INPUT'!N$55</f>
        <v>1</v>
      </c>
      <c r="E19" s="189">
        <f>'ADJ DETAIL-INPUT'!N$79</f>
        <v>0</v>
      </c>
      <c r="F19" s="104"/>
      <c r="G19" s="145"/>
      <c r="H19" s="506" t="s">
        <v>207</v>
      </c>
      <c r="I19" s="486"/>
      <c r="J19" s="519" t="s">
        <v>208</v>
      </c>
      <c r="K19" s="145"/>
      <c r="L19" s="34"/>
      <c r="M19" s="402"/>
    </row>
    <row r="20" spans="1:13">
      <c r="A20" s="183">
        <f>'ADJ DETAIL-INPUT'!O$10</f>
        <v>2.0699999999999985</v>
      </c>
      <c r="B20" s="322" t="str">
        <f>'ADJ DETAIL-INPUT'!O$11</f>
        <v>E-OSC</v>
      </c>
      <c r="C20" s="29" t="str">
        <f>TRIM(CONCATENATE('ADJ DETAIL-INPUT'!O$7," ",'ADJ DETAIL-INPUT'!O$8," ",'ADJ DETAIL-INPUT'!O$9))</f>
        <v>Office Space Charges to Subsidiaries</v>
      </c>
      <c r="D20" s="189">
        <f>'ADJ DETAIL-INPUT'!O$55</f>
        <v>6.5</v>
      </c>
      <c r="E20" s="189">
        <f>'ADJ DETAIL-INPUT'!O$79</f>
        <v>0</v>
      </c>
      <c r="H20" s="491" t="s">
        <v>209</v>
      </c>
      <c r="I20" s="491"/>
      <c r="J20" s="519" t="s">
        <v>208</v>
      </c>
      <c r="K20" s="145"/>
    </row>
    <row r="21" spans="1:13" s="103" customFormat="1">
      <c r="A21" s="183">
        <f>'ADJ DETAIL-INPUT'!P$10</f>
        <v>2.0799999999999983</v>
      </c>
      <c r="B21" s="322" t="str">
        <f>'ADJ DETAIL-INPUT'!P$11</f>
        <v>E-RET</v>
      </c>
      <c r="C21" s="29" t="str">
        <f>TRIM(CONCATENATE('ADJ DETAIL-INPUT'!P$7," ",'ADJ DETAIL-INPUT'!P$8," ",'ADJ DETAIL-INPUT'!P$9))</f>
        <v>Restate Excise Taxes</v>
      </c>
      <c r="D21" s="189">
        <f>'ADJ DETAIL-INPUT'!P$55</f>
        <v>177.45</v>
      </c>
      <c r="E21" s="189">
        <f>'ADJ DETAIL-INPUT'!P$79</f>
        <v>0</v>
      </c>
      <c r="F21" s="105"/>
      <c r="H21" s="491" t="s">
        <v>209</v>
      </c>
      <c r="I21" s="491"/>
      <c r="J21" s="519" t="s">
        <v>208</v>
      </c>
      <c r="K21" s="145"/>
      <c r="L21" s="22"/>
    </row>
    <row r="22" spans="1:13" s="103" customFormat="1">
      <c r="A22" s="183">
        <f>'ADJ DETAIL-INPUT'!Q$10</f>
        <v>2.0899999999999981</v>
      </c>
      <c r="B22" s="322" t="str">
        <f>'ADJ DETAIL-INPUT'!Q$11</f>
        <v>E-NGL</v>
      </c>
      <c r="C22" s="29" t="str">
        <f>TRIM(CONCATENATE('ADJ DETAIL-INPUT'!Q$7," ",'ADJ DETAIL-INPUT'!Q$8," ",'ADJ DETAIL-INPUT'!Q$9))</f>
        <v>Net Gains / Losses</v>
      </c>
      <c r="D22" s="189">
        <f>'ADJ DETAIL-INPUT'!Q$55</f>
        <v>60.45</v>
      </c>
      <c r="E22" s="189">
        <f>'ADJ DETAIL-INPUT'!Q$79</f>
        <v>0</v>
      </c>
      <c r="F22" s="105"/>
      <c r="H22" s="491" t="s">
        <v>209</v>
      </c>
      <c r="I22" s="491"/>
      <c r="J22" s="519" t="s">
        <v>208</v>
      </c>
      <c r="K22" s="145"/>
      <c r="L22" s="22"/>
    </row>
    <row r="23" spans="1:13">
      <c r="A23" s="183">
        <f>'ADJ DETAIL-INPUT'!R$10</f>
        <v>2.0999999999999979</v>
      </c>
      <c r="B23" s="322" t="str">
        <f>'ADJ DETAIL-INPUT'!R$11</f>
        <v>E-WN</v>
      </c>
      <c r="C23" s="29" t="str">
        <f>TRIM(CONCATENATE('ADJ DETAIL-INPUT'!R$7," ",'ADJ DETAIL-INPUT'!R$8," ",'ADJ DETAIL-INPUT'!R$9))</f>
        <v>Weather Normalization</v>
      </c>
      <c r="D23" s="189">
        <f>'ADJ DETAIL-INPUT'!R$55</f>
        <v>-1454.0500000000002</v>
      </c>
      <c r="E23" s="189">
        <f>'ADJ DETAIL-INPUT'!R$79</f>
        <v>0</v>
      </c>
      <c r="F23" s="38"/>
      <c r="H23" s="492" t="s">
        <v>595</v>
      </c>
      <c r="I23" s="486"/>
      <c r="J23" s="519" t="s">
        <v>208</v>
      </c>
      <c r="K23" s="145"/>
    </row>
    <row r="24" spans="1:13" s="33" customFormat="1">
      <c r="A24" s="183">
        <f>'ADJ DETAIL-INPUT'!S$10</f>
        <v>2.1099999999999977</v>
      </c>
      <c r="B24" s="322" t="str">
        <f>'ADJ DETAIL-INPUT'!S$11</f>
        <v>E-EAS</v>
      </c>
      <c r="C24" s="29" t="str">
        <f>TRIM(CONCATENATE('ADJ DETAIL-INPUT'!S$7," ",'ADJ DETAIL-INPUT'!S$8," ",'ADJ DETAIL-INPUT'!S$9))</f>
        <v>Eliminate Adder Schedules</v>
      </c>
      <c r="D24" s="189">
        <f>'ADJ DETAIL-INPUT'!S$55</f>
        <v>0</v>
      </c>
      <c r="E24" s="189">
        <f>'ADJ DETAIL-INPUT'!S$79</f>
        <v>0</v>
      </c>
      <c r="F24" s="36"/>
      <c r="H24" s="493" t="s">
        <v>595</v>
      </c>
      <c r="I24" s="486"/>
      <c r="J24" s="519" t="s">
        <v>208</v>
      </c>
      <c r="K24" s="145"/>
      <c r="L24" s="22"/>
    </row>
    <row r="25" spans="1:13" s="33" customFormat="1">
      <c r="A25" s="183">
        <f>'ADJ DETAIL-INPUT'!T$10</f>
        <v>2.1199999999999974</v>
      </c>
      <c r="B25" s="322" t="str">
        <f>'ADJ DETAIL-INPUT'!T$11</f>
        <v>E-MR</v>
      </c>
      <c r="C25" s="29" t="str">
        <f>TRIM(CONCATENATE('ADJ DETAIL-INPUT'!T$7," ",'ADJ DETAIL-INPUT'!T$8," ",'ADJ DETAIL-INPUT'!T$9))</f>
        <v>Miscellaneous Restating</v>
      </c>
      <c r="D25" s="189">
        <f>'ADJ DETAIL-INPUT'!T$55</f>
        <v>-107.25</v>
      </c>
      <c r="E25" s="189">
        <f>'ADJ DETAIL-INPUT'!T$79</f>
        <v>0</v>
      </c>
      <c r="F25" s="36"/>
      <c r="H25" s="508" t="s">
        <v>560</v>
      </c>
      <c r="I25" s="486"/>
      <c r="J25" s="519" t="s">
        <v>208</v>
      </c>
      <c r="K25" s="145"/>
      <c r="L25" s="22"/>
    </row>
    <row r="26" spans="1:13" s="33" customFormat="1">
      <c r="A26" s="183">
        <f>'ADJ DETAIL-INPUT'!U$10</f>
        <v>2.1299999999999972</v>
      </c>
      <c r="B26" s="322" t="str">
        <f>'ADJ DETAIL-INPUT'!U$11</f>
        <v>E-EWPC</v>
      </c>
      <c r="C26" s="29" t="str">
        <f>TRIM(CONCATENATE('ADJ DETAIL-INPUT'!U$7," ",'ADJ DETAIL-INPUT'!U$8," ",'ADJ DETAIL-INPUT'!U$9))</f>
        <v>Eliminate WA Power Cost Defer</v>
      </c>
      <c r="D26" s="189">
        <f>'ADJ DETAIL-INPUT'!U$55</f>
        <v>2720.9</v>
      </c>
      <c r="E26" s="189">
        <f>'ADJ DETAIL-INPUT'!U$79</f>
        <v>0</v>
      </c>
      <c r="F26" s="36"/>
      <c r="G26" s="145"/>
      <c r="H26" s="486" t="s">
        <v>615</v>
      </c>
      <c r="J26" s="519" t="s">
        <v>208</v>
      </c>
      <c r="K26" s="144"/>
      <c r="L26" s="22"/>
    </row>
    <row r="27" spans="1:13" s="33" customFormat="1">
      <c r="A27" s="183">
        <f>'ADJ DETAIL-INPUT'!V$10</f>
        <v>2.139999999999997</v>
      </c>
      <c r="B27" s="322" t="str">
        <f>'ADJ DETAIL-INPUT'!V$11</f>
        <v>E-NPS</v>
      </c>
      <c r="C27" s="29" t="str">
        <f>TRIM(CONCATENATE('ADJ DETAIL-INPUT'!V$7," ",'ADJ DETAIL-INPUT'!V$8," ",'ADJ DETAIL-INPUT'!V$9))</f>
        <v>Nez Perce Settlement Adjustment</v>
      </c>
      <c r="D27" s="189">
        <f>'ADJ DETAIL-INPUT'!V$55</f>
        <v>-6.5</v>
      </c>
      <c r="E27" s="189">
        <f>'ADJ DETAIL-INPUT'!V$79</f>
        <v>0</v>
      </c>
      <c r="F27" s="36"/>
      <c r="G27" s="145"/>
      <c r="H27" s="491" t="s">
        <v>209</v>
      </c>
      <c r="I27" s="491"/>
      <c r="J27" s="519" t="s">
        <v>208</v>
      </c>
      <c r="K27" s="145"/>
      <c r="L27" s="22"/>
    </row>
    <row r="28" spans="1:13" s="119" customFormat="1">
      <c r="A28" s="184">
        <f>'ADJ DETAIL-INPUT'!W$10</f>
        <v>2.1499999999999968</v>
      </c>
      <c r="B28" s="322" t="str">
        <f>'ADJ DETAIL-INPUT'!W$11</f>
        <v>E-RDI</v>
      </c>
      <c r="C28" s="146" t="str">
        <f>TRIM(CONCATENATE('ADJ DETAIL-INPUT'!W$7," ",'ADJ DETAIL-INPUT'!W$8," ",'ADJ DETAIL-INPUT'!W$9))</f>
        <v>Restate Debt Interest</v>
      </c>
      <c r="D28" s="189">
        <f>'ADJ DETAIL-INPUT'!W$55</f>
        <v>-436</v>
      </c>
      <c r="E28" s="189">
        <f>'ADJ DETAIL-INPUT'!W$79</f>
        <v>0</v>
      </c>
      <c r="F28" s="120"/>
      <c r="H28" s="486" t="s">
        <v>208</v>
      </c>
      <c r="J28" s="519" t="s">
        <v>208</v>
      </c>
      <c r="K28" s="145"/>
      <c r="L28" s="34"/>
    </row>
    <row r="29" spans="1:13">
      <c r="A29" s="184">
        <f>'ADJ DETAIL-INPUT'!X$10</f>
        <v>2.1599999999999966</v>
      </c>
      <c r="B29" s="322" t="str">
        <f>'ADJ DETAIL-INPUT'!X$11</f>
        <v>E-CBPS</v>
      </c>
      <c r="C29" s="146" t="str">
        <f>TRIM(CONCATENATE('ADJ DETAIL-INPUT'!X$7," ",'ADJ DETAIL-INPUT'!X$8," ",'ADJ DETAIL-INPUT'!X$9))</f>
        <v>CB Power Supply</v>
      </c>
      <c r="D29" s="190">
        <f>'ADJ DETAIL-INPUT'!X$55</f>
        <v>-3109.6000000000004</v>
      </c>
      <c r="E29" s="190">
        <f>'ADJ DETAIL-INPUT'!X$79</f>
        <v>0</v>
      </c>
      <c r="F29" s="408"/>
      <c r="H29" s="519" t="s">
        <v>595</v>
      </c>
      <c r="I29" s="486"/>
      <c r="J29" s="519" t="s">
        <v>208</v>
      </c>
      <c r="K29" s="145"/>
    </row>
    <row r="30" spans="1:13" s="103" customFormat="1" hidden="1">
      <c r="A30" s="183">
        <f>'ADJ DETAIL-INPUT'!Y$10</f>
        <v>0</v>
      </c>
      <c r="B30" s="322" t="str">
        <f>'ADJ DETAIL-INPUT'!Y$11</f>
        <v>OPEN</v>
      </c>
      <c r="C30" s="29" t="str">
        <f>TRIM(CONCATENATE('ADJ DETAIL-INPUT'!Y$7," ",'ADJ DETAIL-INPUT'!Y$8," ",'ADJ DETAIL-INPUT'!Y$9))</f>
        <v>OPEN</v>
      </c>
      <c r="D30" s="189">
        <f>'ADJ DETAIL-INPUT'!Y$55</f>
        <v>0</v>
      </c>
      <c r="E30" s="189">
        <f>'ADJ DETAIL-INPUT'!Y$79</f>
        <v>0</v>
      </c>
      <c r="F30" s="104"/>
      <c r="G30" s="104"/>
      <c r="H30" s="26"/>
      <c r="I30" s="436" t="s">
        <v>209</v>
      </c>
      <c r="J30" s="402"/>
      <c r="K30" s="396"/>
      <c r="L30" s="34"/>
    </row>
    <row r="31" spans="1:13" s="87" customFormat="1" ht="12.75" hidden="1" customHeight="1">
      <c r="A31" s="147"/>
      <c r="B31" s="147"/>
      <c r="C31" s="118"/>
      <c r="D31" s="193"/>
      <c r="E31" s="193"/>
      <c r="F31" s="121"/>
      <c r="G31" s="121"/>
      <c r="H31" s="31"/>
      <c r="I31" s="31"/>
      <c r="J31" s="402"/>
      <c r="K31" s="396"/>
    </row>
    <row r="32" spans="1:13" ht="15" customHeight="1">
      <c r="A32" s="31"/>
      <c r="B32" s="31"/>
      <c r="C32" s="426" t="s">
        <v>586</v>
      </c>
      <c r="D32" s="406">
        <f>SUM(D10:D31)</f>
        <v>101349.49542200001</v>
      </c>
      <c r="E32" s="406">
        <f>SUM(E10:E31)</f>
        <v>1273157</v>
      </c>
      <c r="F32" s="407">
        <f>D32/E32</f>
        <v>7.9604868387795069E-2</v>
      </c>
      <c r="G32" s="407"/>
      <c r="H32" s="439"/>
      <c r="I32" s="439"/>
      <c r="J32" s="428"/>
      <c r="K32" s="24"/>
      <c r="L32" s="24"/>
    </row>
    <row r="33" spans="1:12">
      <c r="A33" s="142" t="s">
        <v>540</v>
      </c>
      <c r="B33" s="309"/>
      <c r="C33" s="24"/>
      <c r="D33" s="195"/>
      <c r="E33" s="195"/>
      <c r="F33" s="97"/>
      <c r="G33" s="97"/>
      <c r="H33" s="24"/>
      <c r="I33" s="24"/>
      <c r="J33" s="428"/>
      <c r="K33" s="24"/>
      <c r="L33" s="24"/>
    </row>
    <row r="34" spans="1:12">
      <c r="A34" s="26"/>
      <c r="B34" s="327" t="s">
        <v>541</v>
      </c>
      <c r="C34" s="24" t="s">
        <v>108</v>
      </c>
      <c r="D34" s="195"/>
      <c r="E34" s="195"/>
      <c r="F34" s="97"/>
      <c r="G34" s="97"/>
      <c r="H34" s="486" t="s">
        <v>223</v>
      </c>
      <c r="J34" s="519" t="s">
        <v>208</v>
      </c>
      <c r="K34" s="22"/>
    </row>
    <row r="35" spans="1:12">
      <c r="A35" s="473"/>
      <c r="B35" s="468"/>
      <c r="C35" s="469"/>
      <c r="D35" s="195"/>
      <c r="E35" s="195"/>
      <c r="F35" s="97"/>
      <c r="G35" s="97"/>
      <c r="H35" s="22"/>
      <c r="I35" s="22"/>
      <c r="K35" s="22"/>
    </row>
    <row r="36" spans="1:12">
      <c r="A36" s="470"/>
      <c r="B36" s="471"/>
      <c r="C36" s="472"/>
      <c r="D36" s="509"/>
      <c r="E36" s="509"/>
      <c r="F36" s="510"/>
      <c r="H36" s="435"/>
      <c r="I36" s="474"/>
      <c r="J36" s="431"/>
      <c r="K36" s="145"/>
    </row>
    <row r="37" spans="1:12">
      <c r="D37" s="509"/>
      <c r="E37" s="509"/>
      <c r="F37" s="39"/>
    </row>
    <row r="38" spans="1:12">
      <c r="D38" s="509"/>
      <c r="E38" s="509"/>
      <c r="F38" s="39"/>
    </row>
  </sheetData>
  <customSheetViews>
    <customSheetView guid="{A15D1962-B049-11D2-8670-0000832CEEE8}" scale="75" showPageBreaks="1" hiddenRows="1" showRuler="0" topLeftCell="A20">
      <selection activeCell="A42" sqref="A42:IV47"/>
      <rowBreaks count="1" manualBreakCount="1">
        <brk id="48" max="65535" man="1"/>
      </rowBreaks>
      <pageMargins left="0.75" right="0.75" top="1" bottom="1" header="0.5" footer="0.5"/>
      <pageSetup orientation="portrait" horizontalDpi="4294967292" verticalDpi="0" r:id="rId1"/>
      <headerFooter alignWithMargins="0">
        <oddHeader xml:space="preserve">&amp;C
</oddHeader>
        <oddFooter xml:space="preserve">&amp;C
</oddFooter>
      </headerFooter>
    </customSheetView>
    <customSheetView guid="{6E1B8C45-B07F-11D2-B0DC-0000832CDFF0}" scale="75" showPageBreaks="1" printArea="1" hiddenRows="1" showRuler="0" topLeftCell="A49">
      <selection activeCell="O30" sqref="O30"/>
      <rowBreaks count="1" manualBreakCount="1">
        <brk id="48" max="65535" man="1"/>
      </rowBreaks>
      <pageMargins left="0.75" right="0.75" top="1" bottom="1" header="0.5" footer="0.5"/>
      <pageSetup orientation="portrait" horizontalDpi="4294967292" verticalDpi="0" r:id="rId2"/>
      <headerFooter alignWithMargins="0">
        <oddHeader xml:space="preserve">&amp;C
</oddHeader>
        <oddFooter xml:space="preserve">&amp;C
</oddFooter>
      </headerFooter>
    </customSheetView>
  </customSheetViews>
  <mergeCells count="4">
    <mergeCell ref="A1:F1"/>
    <mergeCell ref="A2:F2"/>
    <mergeCell ref="A3:F3"/>
    <mergeCell ref="A4:F4"/>
  </mergeCells>
  <phoneticPr fontId="0" type="noConversion"/>
  <pageMargins left="1.1000000000000001" right="0.75" top="1.1299999999999999" bottom="0.75" header="0.5" footer="0.5"/>
  <pageSetup scale="98" orientation="portrait" horizontalDpi="4294967292" r:id="rId3"/>
  <headerFooter alignWithMargins="0">
    <oddHeader xml:space="preserve">&amp;C
</oddHeader>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81"/>
  <sheetViews>
    <sheetView view="pageBreakPreview" zoomScale="90" zoomScaleNormal="100" zoomScaleSheetLayoutView="90" workbookViewId="0">
      <pane xSplit="4" ySplit="10" topLeftCell="J11" activePane="bottomRight" state="frozen"/>
      <selection activeCell="AP58" sqref="AP58"/>
      <selection pane="topRight" activeCell="AP58" sqref="AP58"/>
      <selection pane="bottomLeft" activeCell="AP58" sqref="AP58"/>
      <selection pane="bottomRight" activeCell="Z26" sqref="Z26"/>
    </sheetView>
  </sheetViews>
  <sheetFormatPr defaultColWidth="10.7109375" defaultRowHeight="12"/>
  <cols>
    <col min="1" max="1" width="4.7109375" style="3" customWidth="1"/>
    <col min="2" max="3" width="1.7109375" style="2" customWidth="1"/>
    <col min="4" max="4" width="33.7109375" style="2" customWidth="1"/>
    <col min="5" max="5" width="13.5703125" style="162" bestFit="1" customWidth="1"/>
    <col min="6" max="24" width="14.140625" style="161" bestFit="1" customWidth="1"/>
    <col min="25" max="16384" width="10.7109375" style="2"/>
  </cols>
  <sheetData>
    <row r="1" spans="1:24">
      <c r="E1" s="215" t="s">
        <v>224</v>
      </c>
      <c r="F1" s="162" t="s">
        <v>230</v>
      </c>
      <c r="G1" s="162" t="s">
        <v>230</v>
      </c>
      <c r="H1" s="162" t="s">
        <v>230</v>
      </c>
      <c r="I1" s="162" t="s">
        <v>230</v>
      </c>
      <c r="J1" s="162" t="s">
        <v>230</v>
      </c>
      <c r="K1" s="162" t="s">
        <v>230</v>
      </c>
      <c r="L1" s="162" t="s">
        <v>230</v>
      </c>
      <c r="M1" s="162" t="s">
        <v>230</v>
      </c>
      <c r="N1" s="162" t="s">
        <v>230</v>
      </c>
      <c r="O1" s="162" t="s">
        <v>230</v>
      </c>
      <c r="P1" s="162" t="s">
        <v>230</v>
      </c>
      <c r="Q1" s="162" t="s">
        <v>230</v>
      </c>
      <c r="R1" s="162" t="s">
        <v>230</v>
      </c>
      <c r="S1" s="162" t="s">
        <v>230</v>
      </c>
      <c r="T1" s="162" t="s">
        <v>230</v>
      </c>
      <c r="U1" s="162" t="s">
        <v>230</v>
      </c>
      <c r="V1" s="162" t="s">
        <v>230</v>
      </c>
      <c r="W1" s="162" t="s">
        <v>230</v>
      </c>
      <c r="X1" s="162" t="s">
        <v>230</v>
      </c>
    </row>
    <row r="2" spans="1:24" ht="5.25" customHeight="1">
      <c r="D2" s="3"/>
      <c r="E2" s="160"/>
    </row>
    <row r="3" spans="1:24">
      <c r="A3" s="1" t="str">
        <f>'ADJ DETAIL-INPUT'!A2</f>
        <v xml:space="preserve">AVISTA UTILITIES  </v>
      </c>
      <c r="D3" s="3"/>
      <c r="E3" s="2"/>
      <c r="F3" s="164"/>
      <c r="G3" s="164"/>
      <c r="H3" s="164"/>
      <c r="I3" s="164"/>
      <c r="J3" s="164"/>
      <c r="K3" s="164"/>
      <c r="L3" s="164"/>
      <c r="M3" s="164"/>
      <c r="N3" s="164"/>
      <c r="O3" s="164"/>
      <c r="P3" s="164"/>
      <c r="Q3" s="164"/>
      <c r="R3" s="164"/>
      <c r="S3" s="164"/>
      <c r="T3" s="164"/>
      <c r="U3" s="164"/>
      <c r="V3" s="164"/>
      <c r="W3" s="164"/>
      <c r="X3" s="164"/>
    </row>
    <row r="4" spans="1:24">
      <c r="A4" s="1" t="str">
        <f>'ADJ DETAIL-INPUT'!A3</f>
        <v>WASHINGTON ELECTRIC RESULTS  -CBR</v>
      </c>
      <c r="D4" s="3"/>
      <c r="F4" s="163"/>
      <c r="G4" s="163"/>
      <c r="H4" s="163"/>
      <c r="I4" s="163"/>
      <c r="J4" s="163"/>
      <c r="K4" s="163"/>
      <c r="L4" s="163"/>
      <c r="M4" s="163"/>
      <c r="N4" s="163"/>
      <c r="O4" s="163"/>
      <c r="P4" s="163"/>
      <c r="Q4" s="163"/>
      <c r="R4" s="163"/>
      <c r="S4" s="163"/>
      <c r="T4" s="163"/>
      <c r="U4" s="163"/>
      <c r="V4" s="163"/>
      <c r="W4" s="163"/>
      <c r="X4" s="163"/>
    </row>
    <row r="5" spans="1:24">
      <c r="A5" s="1" t="str">
        <f>'ADJ DETAIL-INPUT'!A4</f>
        <v>TWELVE MONTHS ENDED DECEMBER 31, 2014</v>
      </c>
      <c r="D5" s="3"/>
    </row>
    <row r="6" spans="1:24" s="5" customFormat="1">
      <c r="A6" s="1" t="str">
        <f>'ADJ DETAIL-INPUT'!A5</f>
        <v xml:space="preserve">(000'S OF DOLLARS)  </v>
      </c>
      <c r="D6" s="4"/>
      <c r="E6" s="165"/>
      <c r="F6" s="166"/>
      <c r="G6" s="166"/>
      <c r="H6" s="166"/>
      <c r="I6" s="166"/>
      <c r="J6" s="166"/>
      <c r="K6" s="166"/>
      <c r="L6" s="166"/>
      <c r="M6" s="166"/>
      <c r="N6" s="166"/>
      <c r="O6" s="166"/>
      <c r="P6" s="166"/>
      <c r="Q6" s="166"/>
      <c r="R6" s="166"/>
      <c r="S6" s="166"/>
      <c r="T6" s="166"/>
      <c r="U6" s="166"/>
      <c r="V6" s="166"/>
      <c r="W6" s="166"/>
      <c r="X6" s="166"/>
    </row>
    <row r="7" spans="1:24" s="5" customFormat="1" ht="12" customHeight="1">
      <c r="A7" s="312"/>
      <c r="B7" s="12"/>
      <c r="C7" s="12"/>
      <c r="D7" s="12"/>
      <c r="F7" s="314" t="str">
        <f>'ADJ DETAIL-INPUT'!F7</f>
        <v xml:space="preserve">Deferred </v>
      </c>
      <c r="G7" s="314" t="str">
        <f>'ADJ DETAIL-INPUT'!G7</f>
        <v xml:space="preserve">Deferred </v>
      </c>
      <c r="H7" s="314" t="str">
        <f>'ADJ DETAIL-INPUT'!H7</f>
        <v>Working</v>
      </c>
      <c r="I7" s="314" t="str">
        <f>'ADJ DETAIL-INPUT'!I7</f>
        <v>Eliminate</v>
      </c>
      <c r="J7" s="314" t="str">
        <f>'ADJ DETAIL-INPUT'!J7</f>
        <v>Restate</v>
      </c>
      <c r="K7" s="314" t="str">
        <f>'ADJ DETAIL-INPUT'!K7</f>
        <v>Uncollectible</v>
      </c>
      <c r="L7" s="314" t="str">
        <f>'ADJ DETAIL-INPUT'!L7</f>
        <v>Regulatory</v>
      </c>
      <c r="M7" s="314" t="str">
        <f>'ADJ DETAIL-INPUT'!M7</f>
        <v>Injuries</v>
      </c>
      <c r="N7" s="314" t="str">
        <f>'ADJ DETAIL-INPUT'!N7</f>
        <v>FIT/DFIT</v>
      </c>
      <c r="O7" s="314" t="str">
        <f>'ADJ DETAIL-INPUT'!O7</f>
        <v>Office Space</v>
      </c>
      <c r="P7" s="314" t="str">
        <f>'ADJ DETAIL-INPUT'!P7</f>
        <v>Restate</v>
      </c>
      <c r="Q7" s="314" t="str">
        <f>'ADJ DETAIL-INPUT'!Q7</f>
        <v>Net</v>
      </c>
      <c r="R7" s="314" t="str">
        <f>'ADJ DETAIL-INPUT'!R7</f>
        <v xml:space="preserve">Weather </v>
      </c>
      <c r="S7" s="314" t="str">
        <f>'ADJ DETAIL-INPUT'!S7</f>
        <v>Eliminate</v>
      </c>
      <c r="T7" s="314" t="str">
        <f>'ADJ DETAIL-INPUT'!T7</f>
        <v>Miscellaneous</v>
      </c>
      <c r="U7" s="314" t="str">
        <f>'ADJ DETAIL-INPUT'!U7</f>
        <v>Eliminate</v>
      </c>
      <c r="V7" s="314" t="str">
        <f>'ADJ DETAIL-INPUT'!V7</f>
        <v>Nez Perce</v>
      </c>
      <c r="W7" s="314" t="str">
        <f>'ADJ DETAIL-INPUT'!W7</f>
        <v>Restate</v>
      </c>
      <c r="X7" s="314" t="str">
        <f>'ADJ DETAIL-INPUT'!X7</f>
        <v>CB</v>
      </c>
    </row>
    <row r="8" spans="1:24" s="5" customFormat="1">
      <c r="A8" s="312" t="str">
        <f>'ADJ DETAIL-INPUT'!A8</f>
        <v>Line</v>
      </c>
      <c r="B8" s="12"/>
      <c r="C8" s="12"/>
      <c r="D8" s="12"/>
      <c r="E8" s="313" t="s">
        <v>218</v>
      </c>
      <c r="F8" s="314" t="str">
        <f>'ADJ DETAIL-INPUT'!F8</f>
        <v>FIT</v>
      </c>
      <c r="G8" s="314" t="str">
        <f>'ADJ DETAIL-INPUT'!G8</f>
        <v xml:space="preserve">Debits and </v>
      </c>
      <c r="H8" s="314" t="str">
        <f>'ADJ DETAIL-INPUT'!H8</f>
        <v>Capital</v>
      </c>
      <c r="I8" s="314" t="str">
        <f>'ADJ DETAIL-INPUT'!I8</f>
        <v>B &amp; O</v>
      </c>
      <c r="J8" s="314" t="str">
        <f>'ADJ DETAIL-INPUT'!J8</f>
        <v>Property</v>
      </c>
      <c r="K8" s="314" t="str">
        <f>'ADJ DETAIL-INPUT'!K8</f>
        <v>Expense</v>
      </c>
      <c r="L8" s="314" t="str">
        <f>'ADJ DETAIL-INPUT'!L8</f>
        <v>Expense</v>
      </c>
      <c r="M8" s="314" t="str">
        <f>'ADJ DETAIL-INPUT'!M8</f>
        <v xml:space="preserve">and </v>
      </c>
      <c r="N8" s="314" t="str">
        <f>'ADJ DETAIL-INPUT'!N8</f>
        <v>Expense</v>
      </c>
      <c r="O8" s="314" t="str">
        <f>'ADJ DETAIL-INPUT'!O8</f>
        <v>Charges to</v>
      </c>
      <c r="P8" s="314" t="str">
        <f>'ADJ DETAIL-INPUT'!P8</f>
        <v>Excise</v>
      </c>
      <c r="Q8" s="314" t="str">
        <f>'ADJ DETAIL-INPUT'!Q8</f>
        <v xml:space="preserve">Gains / </v>
      </c>
      <c r="R8" s="314" t="str">
        <f>'ADJ DETAIL-INPUT'!R8</f>
        <v>Normalization</v>
      </c>
      <c r="S8" s="314" t="str">
        <f>'ADJ DETAIL-INPUT'!S8</f>
        <v>Adder</v>
      </c>
      <c r="T8" s="314" t="str">
        <f>'ADJ DETAIL-INPUT'!T8</f>
        <v>Restating</v>
      </c>
      <c r="U8" s="314" t="str">
        <f>'ADJ DETAIL-INPUT'!U8</f>
        <v>WA Power</v>
      </c>
      <c r="V8" s="314" t="str">
        <f>'ADJ DETAIL-INPUT'!V8</f>
        <v>Settlement</v>
      </c>
      <c r="W8" s="314" t="str">
        <f>'ADJ DETAIL-INPUT'!W8</f>
        <v>Debt</v>
      </c>
      <c r="X8" s="314" t="str">
        <f>'ADJ DETAIL-INPUT'!X8</f>
        <v>Power</v>
      </c>
    </row>
    <row r="9" spans="1:24" s="5" customFormat="1" ht="11.25" customHeight="1">
      <c r="A9" s="320" t="str">
        <f>'ADJ DETAIL-INPUT'!A9</f>
        <v>No.</v>
      </c>
      <c r="B9" s="15"/>
      <c r="C9" s="321" t="s">
        <v>19</v>
      </c>
      <c r="D9" s="15"/>
      <c r="E9" s="315" t="s">
        <v>219</v>
      </c>
      <c r="F9" s="316" t="str">
        <f>'ADJ DETAIL-INPUT'!F9</f>
        <v>Rate Base</v>
      </c>
      <c r="G9" s="316" t="str">
        <f>'ADJ DETAIL-INPUT'!G9</f>
        <v>Credits</v>
      </c>
      <c r="H9" s="316" t="str">
        <f>'ADJ DETAIL-INPUT'!H9</f>
        <v xml:space="preserve"> </v>
      </c>
      <c r="I9" s="316" t="str">
        <f>'ADJ DETAIL-INPUT'!I9</f>
        <v>Taxes</v>
      </c>
      <c r="J9" s="316" t="str">
        <f>'ADJ DETAIL-INPUT'!J9</f>
        <v>Tax</v>
      </c>
      <c r="K9" s="316" t="str">
        <f>'ADJ DETAIL-INPUT'!K9</f>
        <v xml:space="preserve"> </v>
      </c>
      <c r="L9" s="316" t="str">
        <f>'ADJ DETAIL-INPUT'!L9</f>
        <v xml:space="preserve"> </v>
      </c>
      <c r="M9" s="316" t="str">
        <f>'ADJ DETAIL-INPUT'!M9</f>
        <v>Damages</v>
      </c>
      <c r="N9" s="316" t="str">
        <f>'ADJ DETAIL-INPUT'!N9</f>
        <v xml:space="preserve"> </v>
      </c>
      <c r="O9" s="316" t="str">
        <f>'ADJ DETAIL-INPUT'!O9</f>
        <v>Subsidiaries</v>
      </c>
      <c r="P9" s="316" t="str">
        <f>'ADJ DETAIL-INPUT'!P9</f>
        <v>Taxes</v>
      </c>
      <c r="Q9" s="316" t="str">
        <f>'ADJ DETAIL-INPUT'!Q9</f>
        <v>Losses</v>
      </c>
      <c r="R9" s="316"/>
      <c r="S9" s="316" t="str">
        <f>'ADJ DETAIL-INPUT'!S9</f>
        <v>Schedules</v>
      </c>
      <c r="T9" s="316" t="str">
        <f>'ADJ DETAIL-INPUT'!T9</f>
        <v xml:space="preserve"> </v>
      </c>
      <c r="U9" s="316" t="str">
        <f>'ADJ DETAIL-INPUT'!U9</f>
        <v>Cost Defer</v>
      </c>
      <c r="V9" s="316" t="str">
        <f>'ADJ DETAIL-INPUT'!V9</f>
        <v>Adjustment</v>
      </c>
      <c r="W9" s="316" t="str">
        <f>'ADJ DETAIL-INPUT'!W9</f>
        <v>Interest</v>
      </c>
      <c r="X9" s="316" t="str">
        <f>'ADJ DETAIL-INPUT'!X9</f>
        <v>Supply</v>
      </c>
    </row>
    <row r="10" spans="1:24" s="283" customFormat="1">
      <c r="B10" s="311" t="s">
        <v>523</v>
      </c>
      <c r="E10" s="284">
        <v>1</v>
      </c>
      <c r="F10" s="285">
        <f>'ADJ DETAIL-INPUT'!F10</f>
        <v>1.01</v>
      </c>
      <c r="G10" s="285">
        <f>'ADJ DETAIL-INPUT'!G10</f>
        <v>1.02</v>
      </c>
      <c r="H10" s="285">
        <f>'ADJ DETAIL-INPUT'!H10</f>
        <v>1.03</v>
      </c>
      <c r="I10" s="285">
        <f>'ADJ DETAIL-INPUT'!I10</f>
        <v>2.0099999999999998</v>
      </c>
      <c r="J10" s="285">
        <f>'ADJ DETAIL-INPUT'!J10</f>
        <v>2.0199999999999996</v>
      </c>
      <c r="K10" s="285">
        <f>'ADJ DETAIL-INPUT'!K10</f>
        <v>2.0299999999999994</v>
      </c>
      <c r="L10" s="285">
        <f>'ADJ DETAIL-INPUT'!L10</f>
        <v>2.0399999999999991</v>
      </c>
      <c r="M10" s="285">
        <f>'ADJ DETAIL-INPUT'!M10</f>
        <v>2.0499999999999989</v>
      </c>
      <c r="N10" s="285">
        <f>'ADJ DETAIL-INPUT'!N10</f>
        <v>2.0599999999999987</v>
      </c>
      <c r="O10" s="285">
        <f>'ADJ DETAIL-INPUT'!O10</f>
        <v>2.0699999999999985</v>
      </c>
      <c r="P10" s="285">
        <f>'ADJ DETAIL-INPUT'!P10</f>
        <v>2.0799999999999983</v>
      </c>
      <c r="Q10" s="285">
        <f>'ADJ DETAIL-INPUT'!Q10</f>
        <v>2.0899999999999981</v>
      </c>
      <c r="R10" s="285">
        <f>'ADJ DETAIL-INPUT'!R10</f>
        <v>2.0999999999999979</v>
      </c>
      <c r="S10" s="285">
        <f>'ADJ DETAIL-INPUT'!S10</f>
        <v>2.1099999999999977</v>
      </c>
      <c r="T10" s="285">
        <f>'ADJ DETAIL-INPUT'!T10</f>
        <v>2.1199999999999974</v>
      </c>
      <c r="U10" s="285">
        <f>'ADJ DETAIL-INPUT'!U10</f>
        <v>2.1299999999999972</v>
      </c>
      <c r="V10" s="285">
        <f>'ADJ DETAIL-INPUT'!V10</f>
        <v>2.139999999999997</v>
      </c>
      <c r="W10" s="285">
        <f>'ADJ DETAIL-INPUT'!W10</f>
        <v>2.1499999999999968</v>
      </c>
      <c r="X10" s="285">
        <f>'ADJ DETAIL-INPUT'!X10</f>
        <v>2.1599999999999966</v>
      </c>
    </row>
    <row r="11" spans="1:24" s="283" customFormat="1">
      <c r="A11" s="317"/>
      <c r="B11" s="318" t="s">
        <v>524</v>
      </c>
      <c r="C11" s="317"/>
      <c r="D11" s="317"/>
      <c r="E11" s="319" t="str">
        <f>'ADJ DETAIL-INPUT'!E11</f>
        <v>E-ROO</v>
      </c>
      <c r="F11" s="319" t="str">
        <f>'ADJ DETAIL-INPUT'!F11</f>
        <v>E-DFIT</v>
      </c>
      <c r="G11" s="319" t="str">
        <f>'ADJ DETAIL-INPUT'!G11</f>
        <v>E-DDC</v>
      </c>
      <c r="H11" s="319" t="str">
        <f>'ADJ DETAIL-INPUT'!H11</f>
        <v xml:space="preserve">E-WC </v>
      </c>
      <c r="I11" s="319" t="str">
        <f>'ADJ DETAIL-INPUT'!I11</f>
        <v>E-EBO</v>
      </c>
      <c r="J11" s="319" t="str">
        <f>'ADJ DETAIL-INPUT'!J11</f>
        <v>E-PT</v>
      </c>
      <c r="K11" s="319" t="str">
        <f>'ADJ DETAIL-INPUT'!K11</f>
        <v>E-UE</v>
      </c>
      <c r="L11" s="319" t="str">
        <f>'ADJ DETAIL-INPUT'!L11</f>
        <v>E-RE</v>
      </c>
      <c r="M11" s="319" t="str">
        <f>'ADJ DETAIL-INPUT'!M11</f>
        <v>E-ID</v>
      </c>
      <c r="N11" s="319" t="str">
        <f>'ADJ DETAIL-INPUT'!N11</f>
        <v xml:space="preserve">E-FIT </v>
      </c>
      <c r="O11" s="319" t="str">
        <f>'ADJ DETAIL-INPUT'!O11</f>
        <v>E-OSC</v>
      </c>
      <c r="P11" s="319" t="str">
        <f>'ADJ DETAIL-INPUT'!P11</f>
        <v>E-RET</v>
      </c>
      <c r="Q11" s="319" t="str">
        <f>'ADJ DETAIL-INPUT'!Q11</f>
        <v>E-NGL</v>
      </c>
      <c r="R11" s="319" t="str">
        <f>'ADJ DETAIL-INPUT'!R11</f>
        <v>E-WN</v>
      </c>
      <c r="S11" s="319" t="str">
        <f>'ADJ DETAIL-INPUT'!S11</f>
        <v>E-EAS</v>
      </c>
      <c r="T11" s="319" t="str">
        <f>'ADJ DETAIL-INPUT'!T11</f>
        <v>E-MR</v>
      </c>
      <c r="U11" s="319" t="str">
        <f>'ADJ DETAIL-INPUT'!U11</f>
        <v>E-EWPC</v>
      </c>
      <c r="V11" s="319" t="str">
        <f>'ADJ DETAIL-INPUT'!V11</f>
        <v>E-NPS</v>
      </c>
      <c r="W11" s="319" t="str">
        <f>'ADJ DETAIL-INPUT'!W11</f>
        <v>E-RDI</v>
      </c>
      <c r="X11" s="319" t="str">
        <f>'ADJ DETAIL-INPUT'!X11</f>
        <v>E-CBPS</v>
      </c>
    </row>
    <row r="12" spans="1:24" s="283" customFormat="1" ht="6" customHeight="1">
      <c r="B12" s="311"/>
      <c r="E12" s="284"/>
      <c r="F12" s="284"/>
      <c r="G12" s="284"/>
      <c r="H12" s="284"/>
      <c r="I12" s="284"/>
      <c r="J12" s="284"/>
      <c r="K12" s="284"/>
      <c r="L12" s="284"/>
      <c r="M12" s="284"/>
      <c r="N12" s="284"/>
      <c r="O12" s="284"/>
      <c r="P12" s="284"/>
      <c r="Q12" s="284"/>
      <c r="R12" s="284"/>
      <c r="S12" s="284"/>
      <c r="T12" s="284"/>
      <c r="U12" s="284"/>
      <c r="V12" s="284"/>
      <c r="W12" s="284"/>
      <c r="X12" s="284"/>
    </row>
    <row r="13" spans="1:24">
      <c r="B13" s="2" t="str">
        <f>'ADJ DETAIL-INPUT'!B13</f>
        <v xml:space="preserve">REVENUES  </v>
      </c>
    </row>
    <row r="14" spans="1:24" s="17" customFormat="1">
      <c r="A14" s="16">
        <f>'ADJ DETAIL-INPUT'!A14</f>
        <v>1</v>
      </c>
      <c r="B14" s="17" t="str">
        <f>'ADJ DETAIL-INPUT'!B14</f>
        <v xml:space="preserve">Total General Business  </v>
      </c>
      <c r="E14" s="182">
        <f>'ADJ DETAIL-INPUT'!E14</f>
        <v>508833</v>
      </c>
      <c r="F14" s="282">
        <f>'ADJ DETAIL-INPUT'!F14</f>
        <v>0</v>
      </c>
      <c r="G14" s="282">
        <f>'ADJ DETAIL-INPUT'!G14</f>
        <v>0</v>
      </c>
      <c r="H14" s="282">
        <f>'ADJ DETAIL-INPUT'!H14</f>
        <v>0</v>
      </c>
      <c r="I14" s="282">
        <f>'ADJ DETAIL-INPUT'!I14</f>
        <v>-17685</v>
      </c>
      <c r="J14" s="282">
        <f>'ADJ DETAIL-INPUT'!J14</f>
        <v>0</v>
      </c>
      <c r="K14" s="282">
        <f>'ADJ DETAIL-INPUT'!K14</f>
        <v>0</v>
      </c>
      <c r="L14" s="282">
        <f>'ADJ DETAIL-INPUT'!L14</f>
        <v>0</v>
      </c>
      <c r="M14" s="282">
        <f>'ADJ DETAIL-INPUT'!M14</f>
        <v>0</v>
      </c>
      <c r="N14" s="282">
        <f>'ADJ DETAIL-INPUT'!N14</f>
        <v>0</v>
      </c>
      <c r="O14" s="282">
        <f>'ADJ DETAIL-INPUT'!O14</f>
        <v>0</v>
      </c>
      <c r="P14" s="282">
        <f>'ADJ DETAIL-INPUT'!P14</f>
        <v>0</v>
      </c>
      <c r="Q14" s="282">
        <f>'ADJ DETAIL-INPUT'!Q14</f>
        <v>0</v>
      </c>
      <c r="R14" s="282">
        <f>'ADJ DETAIL-INPUT'!R14</f>
        <v>-2345</v>
      </c>
      <c r="S14" s="282">
        <f>'ADJ DETAIL-INPUT'!S14</f>
        <v>-9308</v>
      </c>
      <c r="T14" s="282">
        <f>'ADJ DETAIL-INPUT'!T14</f>
        <v>0</v>
      </c>
      <c r="U14" s="282">
        <f>'ADJ DETAIL-INPUT'!U14</f>
        <v>8877</v>
      </c>
      <c r="V14" s="282">
        <f>'ADJ DETAIL-INPUT'!V14</f>
        <v>0</v>
      </c>
      <c r="W14" s="282">
        <f>'ADJ DETAIL-INPUT'!W14</f>
        <v>0</v>
      </c>
      <c r="X14" s="282">
        <f>'ADJ DETAIL-INPUT'!X14</f>
        <v>0</v>
      </c>
    </row>
    <row r="15" spans="1:24" s="18" customFormat="1">
      <c r="A15" s="16">
        <f>'ADJ DETAIL-INPUT'!A15</f>
        <v>2</v>
      </c>
      <c r="B15" s="18" t="str">
        <f>'ADJ DETAIL-INPUT'!B15</f>
        <v xml:space="preserve">Interdepartmental Sales  </v>
      </c>
      <c r="E15" s="99">
        <f>'ADJ DETAIL-INPUT'!E15</f>
        <v>922</v>
      </c>
      <c r="F15" s="214">
        <f>'ADJ DETAIL-INPUT'!F15</f>
        <v>0</v>
      </c>
      <c r="G15" s="214">
        <f>'ADJ DETAIL-INPUT'!G15</f>
        <v>0</v>
      </c>
      <c r="H15" s="214">
        <f>'ADJ DETAIL-INPUT'!H15</f>
        <v>0</v>
      </c>
      <c r="I15" s="214">
        <f>'ADJ DETAIL-INPUT'!I15</f>
        <v>0</v>
      </c>
      <c r="J15" s="214">
        <f>'ADJ DETAIL-INPUT'!J15</f>
        <v>0</v>
      </c>
      <c r="K15" s="214">
        <f>'ADJ DETAIL-INPUT'!K15</f>
        <v>0</v>
      </c>
      <c r="L15" s="214">
        <f>'ADJ DETAIL-INPUT'!L15</f>
        <v>0</v>
      </c>
      <c r="M15" s="214">
        <f>'ADJ DETAIL-INPUT'!M15</f>
        <v>0</v>
      </c>
      <c r="N15" s="214">
        <f>'ADJ DETAIL-INPUT'!N15</f>
        <v>0</v>
      </c>
      <c r="O15" s="214">
        <f>'ADJ DETAIL-INPUT'!O15</f>
        <v>0</v>
      </c>
      <c r="P15" s="214">
        <f>'ADJ DETAIL-INPUT'!P15</f>
        <v>0</v>
      </c>
      <c r="Q15" s="214">
        <f>'ADJ DETAIL-INPUT'!Q15</f>
        <v>0</v>
      </c>
      <c r="R15" s="214">
        <f>'ADJ DETAIL-INPUT'!R15</f>
        <v>0</v>
      </c>
      <c r="S15" s="214">
        <f>'ADJ DETAIL-INPUT'!S15</f>
        <v>0</v>
      </c>
      <c r="T15" s="214">
        <f>'ADJ DETAIL-INPUT'!T15</f>
        <v>0</v>
      </c>
      <c r="U15" s="214">
        <f>'ADJ DETAIL-INPUT'!U15</f>
        <v>0</v>
      </c>
      <c r="V15" s="214">
        <f>'ADJ DETAIL-INPUT'!V15</f>
        <v>0</v>
      </c>
      <c r="W15" s="214">
        <f>'ADJ DETAIL-INPUT'!W15</f>
        <v>0</v>
      </c>
      <c r="X15" s="214">
        <f>'ADJ DETAIL-INPUT'!X15</f>
        <v>0</v>
      </c>
    </row>
    <row r="16" spans="1:24" s="18" customFormat="1">
      <c r="A16" s="16">
        <f>'ADJ DETAIL-INPUT'!A16</f>
        <v>3</v>
      </c>
      <c r="B16" s="18" t="str">
        <f>'ADJ DETAIL-INPUT'!B16</f>
        <v xml:space="preserve">Sales for Resale  </v>
      </c>
      <c r="E16" s="276">
        <f>'ADJ DETAIL-INPUT'!E16</f>
        <v>97639</v>
      </c>
      <c r="F16" s="216">
        <f>'ADJ DETAIL-INPUT'!F16</f>
        <v>0</v>
      </c>
      <c r="G16" s="216">
        <f>'ADJ DETAIL-INPUT'!G16</f>
        <v>0</v>
      </c>
      <c r="H16" s="216">
        <f>'ADJ DETAIL-INPUT'!H16</f>
        <v>0</v>
      </c>
      <c r="I16" s="216">
        <f>'ADJ DETAIL-INPUT'!I16</f>
        <v>0</v>
      </c>
      <c r="J16" s="216">
        <f>'ADJ DETAIL-INPUT'!J16</f>
        <v>0</v>
      </c>
      <c r="K16" s="216">
        <f>'ADJ DETAIL-INPUT'!K16</f>
        <v>0</v>
      </c>
      <c r="L16" s="216">
        <f>'ADJ DETAIL-INPUT'!L16</f>
        <v>0</v>
      </c>
      <c r="M16" s="216">
        <f>'ADJ DETAIL-INPUT'!M16</f>
        <v>0</v>
      </c>
      <c r="N16" s="216">
        <f>'ADJ DETAIL-INPUT'!N16</f>
        <v>0</v>
      </c>
      <c r="O16" s="216">
        <f>'ADJ DETAIL-INPUT'!O16</f>
        <v>0</v>
      </c>
      <c r="P16" s="216">
        <f>'ADJ DETAIL-INPUT'!P16</f>
        <v>0</v>
      </c>
      <c r="Q16" s="216">
        <f>'ADJ DETAIL-INPUT'!Q16</f>
        <v>0</v>
      </c>
      <c r="R16" s="216">
        <f>'ADJ DETAIL-INPUT'!R16</f>
        <v>0</v>
      </c>
      <c r="S16" s="216">
        <f>'ADJ DETAIL-INPUT'!S16</f>
        <v>0</v>
      </c>
      <c r="T16" s="216">
        <f>'ADJ DETAIL-INPUT'!T16</f>
        <v>0</v>
      </c>
      <c r="U16" s="216">
        <f>'ADJ DETAIL-INPUT'!U16</f>
        <v>0</v>
      </c>
      <c r="V16" s="216">
        <f>'ADJ DETAIL-INPUT'!V16</f>
        <v>0</v>
      </c>
      <c r="W16" s="216">
        <f>'ADJ DETAIL-INPUT'!W16</f>
        <v>0</v>
      </c>
      <c r="X16" s="216">
        <f>'ADJ DETAIL-INPUT'!X16</f>
        <v>-36641</v>
      </c>
    </row>
    <row r="17" spans="1:24" s="18" customFormat="1">
      <c r="A17" s="16">
        <f>'ADJ DETAIL-INPUT'!A17</f>
        <v>4</v>
      </c>
      <c r="B17" s="18" t="str">
        <f>'ADJ DETAIL-INPUT'!B17</f>
        <v xml:space="preserve">Total Sales of Electricity  </v>
      </c>
      <c r="E17" s="99">
        <f>'ADJ DETAIL-INPUT'!E17</f>
        <v>607394</v>
      </c>
      <c r="F17" s="161">
        <f>'ADJ DETAIL-INPUT'!F17</f>
        <v>0</v>
      </c>
      <c r="G17" s="161">
        <f>'ADJ DETAIL-INPUT'!G17</f>
        <v>0</v>
      </c>
      <c r="H17" s="161">
        <f>'ADJ DETAIL-INPUT'!H17</f>
        <v>0</v>
      </c>
      <c r="I17" s="161">
        <f>'ADJ DETAIL-INPUT'!I17</f>
        <v>-17685</v>
      </c>
      <c r="J17" s="161">
        <f>'ADJ DETAIL-INPUT'!J17</f>
        <v>0</v>
      </c>
      <c r="K17" s="161">
        <f>'ADJ DETAIL-INPUT'!K17</f>
        <v>0</v>
      </c>
      <c r="L17" s="161">
        <f>'ADJ DETAIL-INPUT'!L17</f>
        <v>0</v>
      </c>
      <c r="M17" s="161">
        <f>'ADJ DETAIL-INPUT'!M17</f>
        <v>0</v>
      </c>
      <c r="N17" s="161">
        <f>'ADJ DETAIL-INPUT'!N17</f>
        <v>0</v>
      </c>
      <c r="O17" s="161">
        <f>'ADJ DETAIL-INPUT'!O17</f>
        <v>0</v>
      </c>
      <c r="P17" s="161">
        <f>'ADJ DETAIL-INPUT'!P17</f>
        <v>0</v>
      </c>
      <c r="Q17" s="161">
        <f>'ADJ DETAIL-INPUT'!Q17</f>
        <v>0</v>
      </c>
      <c r="R17" s="161">
        <f>'ADJ DETAIL-INPUT'!R17</f>
        <v>-2345</v>
      </c>
      <c r="S17" s="161">
        <f>'ADJ DETAIL-INPUT'!S17</f>
        <v>-9308</v>
      </c>
      <c r="T17" s="161">
        <f>'ADJ DETAIL-INPUT'!T17</f>
        <v>0</v>
      </c>
      <c r="U17" s="161">
        <f>'ADJ DETAIL-INPUT'!U17</f>
        <v>8877</v>
      </c>
      <c r="V17" s="161">
        <f>'ADJ DETAIL-INPUT'!V17</f>
        <v>0</v>
      </c>
      <c r="W17" s="161">
        <f>'ADJ DETAIL-INPUT'!W17</f>
        <v>0</v>
      </c>
      <c r="X17" s="161">
        <f>'ADJ DETAIL-INPUT'!X17</f>
        <v>-36641</v>
      </c>
    </row>
    <row r="18" spans="1:24" s="18" customFormat="1">
      <c r="A18" s="16">
        <f>'ADJ DETAIL-INPUT'!A18</f>
        <v>5</v>
      </c>
      <c r="B18" s="18" t="str">
        <f>'ADJ DETAIL-INPUT'!B18</f>
        <v xml:space="preserve">Other Revenue  </v>
      </c>
      <c r="E18" s="276">
        <f>'ADJ DETAIL-INPUT'!E18</f>
        <v>73553</v>
      </c>
      <c r="F18" s="216">
        <f>'ADJ DETAIL-INPUT'!F18</f>
        <v>0</v>
      </c>
      <c r="G18" s="216">
        <f>'ADJ DETAIL-INPUT'!G18</f>
        <v>0</v>
      </c>
      <c r="H18" s="216">
        <f>'ADJ DETAIL-INPUT'!H18</f>
        <v>0</v>
      </c>
      <c r="I18" s="216">
        <f>'ADJ DETAIL-INPUT'!I18</f>
        <v>-13</v>
      </c>
      <c r="J18" s="216">
        <f>'ADJ DETAIL-INPUT'!J18</f>
        <v>0</v>
      </c>
      <c r="K18" s="216">
        <f>'ADJ DETAIL-INPUT'!K18</f>
        <v>0</v>
      </c>
      <c r="L18" s="216">
        <f>'ADJ DETAIL-INPUT'!L18</f>
        <v>0</v>
      </c>
      <c r="M18" s="216">
        <f>'ADJ DETAIL-INPUT'!M18</f>
        <v>0</v>
      </c>
      <c r="N18" s="216">
        <f>'ADJ DETAIL-INPUT'!N18</f>
        <v>0</v>
      </c>
      <c r="O18" s="216">
        <f>'ADJ DETAIL-INPUT'!O18</f>
        <v>0</v>
      </c>
      <c r="P18" s="216">
        <f>'ADJ DETAIL-INPUT'!P18</f>
        <v>0</v>
      </c>
      <c r="Q18" s="216">
        <f>'ADJ DETAIL-INPUT'!Q18</f>
        <v>0</v>
      </c>
      <c r="R18" s="216">
        <f>'ADJ DETAIL-INPUT'!R18</f>
        <v>0</v>
      </c>
      <c r="S18" s="216">
        <f>'ADJ DETAIL-INPUT'!S18</f>
        <v>0</v>
      </c>
      <c r="T18" s="216">
        <f>'ADJ DETAIL-INPUT'!T18</f>
        <v>0</v>
      </c>
      <c r="U18" s="216">
        <f>'ADJ DETAIL-INPUT'!U18</f>
        <v>0</v>
      </c>
      <c r="V18" s="216">
        <f>'ADJ DETAIL-INPUT'!V18</f>
        <v>0</v>
      </c>
      <c r="W18" s="216">
        <f>'ADJ DETAIL-INPUT'!W18</f>
        <v>0</v>
      </c>
      <c r="X18" s="216">
        <f>'ADJ DETAIL-INPUT'!X18</f>
        <v>-56377</v>
      </c>
    </row>
    <row r="19" spans="1:24" s="18" customFormat="1">
      <c r="A19" s="16">
        <f>'ADJ DETAIL-INPUT'!A19</f>
        <v>6</v>
      </c>
      <c r="B19" s="18" t="str">
        <f>'ADJ DETAIL-INPUT'!B19</f>
        <v xml:space="preserve">Total Electric Revenue  </v>
      </c>
      <c r="E19" s="99">
        <f>'ADJ DETAIL-INPUT'!E19</f>
        <v>680947</v>
      </c>
      <c r="F19" s="161">
        <f>'ADJ DETAIL-INPUT'!F19</f>
        <v>0</v>
      </c>
      <c r="G19" s="161">
        <f>'ADJ DETAIL-INPUT'!G19</f>
        <v>0</v>
      </c>
      <c r="H19" s="161">
        <f>'ADJ DETAIL-INPUT'!H19</f>
        <v>0</v>
      </c>
      <c r="I19" s="161">
        <f>'ADJ DETAIL-INPUT'!I19</f>
        <v>-17698</v>
      </c>
      <c r="J19" s="161">
        <f>'ADJ DETAIL-INPUT'!J19</f>
        <v>0</v>
      </c>
      <c r="K19" s="161">
        <f>'ADJ DETAIL-INPUT'!K19</f>
        <v>0</v>
      </c>
      <c r="L19" s="161">
        <f>'ADJ DETAIL-INPUT'!L19</f>
        <v>0</v>
      </c>
      <c r="M19" s="161">
        <f>'ADJ DETAIL-INPUT'!M19</f>
        <v>0</v>
      </c>
      <c r="N19" s="161">
        <f>'ADJ DETAIL-INPUT'!N19</f>
        <v>0</v>
      </c>
      <c r="O19" s="161">
        <f>'ADJ DETAIL-INPUT'!O19</f>
        <v>0</v>
      </c>
      <c r="P19" s="161">
        <f>'ADJ DETAIL-INPUT'!P19</f>
        <v>0</v>
      </c>
      <c r="Q19" s="161">
        <f>'ADJ DETAIL-INPUT'!Q19</f>
        <v>0</v>
      </c>
      <c r="R19" s="161">
        <f>'ADJ DETAIL-INPUT'!R19</f>
        <v>-2345</v>
      </c>
      <c r="S19" s="161">
        <f>'ADJ DETAIL-INPUT'!S19</f>
        <v>-9308</v>
      </c>
      <c r="T19" s="161">
        <f>'ADJ DETAIL-INPUT'!T19</f>
        <v>0</v>
      </c>
      <c r="U19" s="161">
        <f>'ADJ DETAIL-INPUT'!U19</f>
        <v>8877</v>
      </c>
      <c r="V19" s="161">
        <f>'ADJ DETAIL-INPUT'!V19</f>
        <v>0</v>
      </c>
      <c r="W19" s="161">
        <f>'ADJ DETAIL-INPUT'!W19</f>
        <v>0</v>
      </c>
      <c r="X19" s="161">
        <f>'ADJ DETAIL-INPUT'!X19</f>
        <v>-93018</v>
      </c>
    </row>
    <row r="20" spans="1:24" s="18" customFormat="1" ht="6.75" customHeight="1">
      <c r="A20" s="16"/>
      <c r="E20" s="99"/>
      <c r="F20" s="161"/>
      <c r="G20" s="161"/>
      <c r="H20" s="161"/>
      <c r="I20" s="161"/>
      <c r="J20" s="161"/>
      <c r="K20" s="161"/>
      <c r="L20" s="161"/>
      <c r="M20" s="161"/>
      <c r="N20" s="161"/>
      <c r="O20" s="161"/>
      <c r="P20" s="161"/>
      <c r="Q20" s="161"/>
      <c r="R20" s="161"/>
      <c r="S20" s="161"/>
      <c r="T20" s="161"/>
      <c r="U20" s="161"/>
      <c r="V20" s="161"/>
      <c r="W20" s="161"/>
      <c r="X20" s="161"/>
    </row>
    <row r="21" spans="1:24" s="18" customFormat="1">
      <c r="A21" s="16"/>
      <c r="B21" s="18" t="str">
        <f>'ADJ DETAIL-INPUT'!B21</f>
        <v xml:space="preserve">EXPENSES  </v>
      </c>
      <c r="E21" s="99"/>
      <c r="F21" s="161"/>
      <c r="G21" s="161"/>
      <c r="H21" s="161"/>
      <c r="I21" s="161"/>
      <c r="J21" s="161"/>
      <c r="K21" s="161"/>
      <c r="L21" s="161"/>
      <c r="M21" s="161"/>
      <c r="N21" s="161"/>
      <c r="O21" s="161"/>
      <c r="P21" s="161"/>
      <c r="Q21" s="161"/>
      <c r="R21" s="161"/>
      <c r="S21" s="161"/>
      <c r="T21" s="161"/>
      <c r="U21" s="161"/>
      <c r="V21" s="161"/>
      <c r="W21" s="161"/>
      <c r="X21" s="161"/>
    </row>
    <row r="22" spans="1:24" s="18" customFormat="1">
      <c r="A22" s="16"/>
      <c r="B22" s="18" t="str">
        <f>'ADJ DETAIL-INPUT'!B22</f>
        <v xml:space="preserve">Production and Transmission  </v>
      </c>
      <c r="E22" s="99"/>
      <c r="F22" s="161"/>
      <c r="G22" s="161"/>
      <c r="H22" s="161"/>
      <c r="I22" s="161"/>
      <c r="J22" s="161"/>
      <c r="K22" s="161"/>
      <c r="L22" s="161"/>
      <c r="M22" s="161"/>
      <c r="N22" s="161"/>
      <c r="O22" s="161"/>
      <c r="P22" s="161"/>
      <c r="Q22" s="161"/>
      <c r="R22" s="161"/>
      <c r="S22" s="161"/>
      <c r="T22" s="161"/>
      <c r="U22" s="161"/>
      <c r="V22" s="161"/>
      <c r="W22" s="161"/>
      <c r="X22" s="161"/>
    </row>
    <row r="23" spans="1:24" s="18" customFormat="1">
      <c r="A23" s="16">
        <f>'ADJ DETAIL-INPUT'!A23</f>
        <v>7</v>
      </c>
      <c r="C23" s="18" t="str">
        <f>'ADJ DETAIL-INPUT'!C23</f>
        <v xml:space="preserve">Operating Expenses  </v>
      </c>
      <c r="E23" s="99">
        <f>'ADJ DETAIL-INPUT'!E23</f>
        <v>192589</v>
      </c>
      <c r="F23" s="214">
        <f>'ADJ DETAIL-INPUT'!F23</f>
        <v>0</v>
      </c>
      <c r="G23" s="214">
        <f>'ADJ DETAIL-INPUT'!G23</f>
        <v>64</v>
      </c>
      <c r="H23" s="214">
        <f>'ADJ DETAIL-INPUT'!H23</f>
        <v>0</v>
      </c>
      <c r="I23" s="214">
        <f>'ADJ DETAIL-INPUT'!I23</f>
        <v>0</v>
      </c>
      <c r="J23" s="214">
        <f>'ADJ DETAIL-INPUT'!J23</f>
        <v>0</v>
      </c>
      <c r="K23" s="214">
        <f>'ADJ DETAIL-INPUT'!K23</f>
        <v>0</v>
      </c>
      <c r="L23" s="214">
        <f>'ADJ DETAIL-INPUT'!L23</f>
        <v>0</v>
      </c>
      <c r="M23" s="214">
        <f>'ADJ DETAIL-INPUT'!M23</f>
        <v>0</v>
      </c>
      <c r="N23" s="214">
        <f>'ADJ DETAIL-INPUT'!N23</f>
        <v>0</v>
      </c>
      <c r="O23" s="214">
        <f>'ADJ DETAIL-INPUT'!O23</f>
        <v>0</v>
      </c>
      <c r="P23" s="214">
        <f>'ADJ DETAIL-INPUT'!P23</f>
        <v>0</v>
      </c>
      <c r="Q23" s="214">
        <f>'ADJ DETAIL-INPUT'!Q23</f>
        <v>0</v>
      </c>
      <c r="R23" s="214">
        <f>'ADJ DETAIL-INPUT'!R23</f>
        <v>0</v>
      </c>
      <c r="S23" s="214">
        <f>'ADJ DETAIL-INPUT'!S23</f>
        <v>321</v>
      </c>
      <c r="T23" s="214">
        <f>'ADJ DETAIL-INPUT'!T23</f>
        <v>0</v>
      </c>
      <c r="U23" s="214">
        <f>'ADJ DETAIL-INPUT'!U23</f>
        <v>4274</v>
      </c>
      <c r="V23" s="214">
        <f>'ADJ DETAIL-INPUT'!V23</f>
        <v>10</v>
      </c>
      <c r="W23" s="214">
        <f>'ADJ DETAIL-INPUT'!W23</f>
        <v>0</v>
      </c>
      <c r="X23" s="214">
        <f>'ADJ DETAIL-INPUT'!X23</f>
        <v>-76951</v>
      </c>
    </row>
    <row r="24" spans="1:24" s="18" customFormat="1">
      <c r="A24" s="16">
        <f>'ADJ DETAIL-INPUT'!A24</f>
        <v>8</v>
      </c>
      <c r="C24" s="18" t="str">
        <f>'ADJ DETAIL-INPUT'!C24</f>
        <v xml:space="preserve">Purchased Power  </v>
      </c>
      <c r="E24" s="99">
        <f>'ADJ DETAIL-INPUT'!E24</f>
        <v>127926</v>
      </c>
      <c r="F24" s="214">
        <f>'ADJ DETAIL-INPUT'!F24</f>
        <v>0</v>
      </c>
      <c r="G24" s="214">
        <f>'ADJ DETAIL-INPUT'!G24</f>
        <v>0</v>
      </c>
      <c r="H24" s="214">
        <f>'ADJ DETAIL-INPUT'!H24</f>
        <v>0</v>
      </c>
      <c r="I24" s="214">
        <f>'ADJ DETAIL-INPUT'!I24</f>
        <v>0</v>
      </c>
      <c r="J24" s="214">
        <f>'ADJ DETAIL-INPUT'!J24</f>
        <v>0</v>
      </c>
      <c r="K24" s="214">
        <f>'ADJ DETAIL-INPUT'!K24</f>
        <v>0</v>
      </c>
      <c r="L24" s="214">
        <f>'ADJ DETAIL-INPUT'!L24</f>
        <v>0</v>
      </c>
      <c r="M24" s="214">
        <f>'ADJ DETAIL-INPUT'!M24</f>
        <v>0</v>
      </c>
      <c r="N24" s="214">
        <f>'ADJ DETAIL-INPUT'!N24</f>
        <v>0</v>
      </c>
      <c r="O24" s="214">
        <f>'ADJ DETAIL-INPUT'!O24</f>
        <v>0</v>
      </c>
      <c r="P24" s="214">
        <f>'ADJ DETAIL-INPUT'!P24</f>
        <v>0</v>
      </c>
      <c r="Q24" s="214">
        <f>'ADJ DETAIL-INPUT'!Q24</f>
        <v>0</v>
      </c>
      <c r="R24" s="214">
        <f>'ADJ DETAIL-INPUT'!R24</f>
        <v>0</v>
      </c>
      <c r="S24" s="214">
        <f>'ADJ DETAIL-INPUT'!S24</f>
        <v>0</v>
      </c>
      <c r="T24" s="214">
        <f>'ADJ DETAIL-INPUT'!T24</f>
        <v>0</v>
      </c>
      <c r="U24" s="214">
        <f>'ADJ DETAIL-INPUT'!U24</f>
        <v>0</v>
      </c>
      <c r="V24" s="214">
        <f>'ADJ DETAIL-INPUT'!V24</f>
        <v>0</v>
      </c>
      <c r="W24" s="214">
        <f>'ADJ DETAIL-INPUT'!W24</f>
        <v>0</v>
      </c>
      <c r="X24" s="214">
        <f>'ADJ DETAIL-INPUT'!X24</f>
        <v>-11283</v>
      </c>
    </row>
    <row r="25" spans="1:24" s="18" customFormat="1">
      <c r="A25" s="16">
        <f>'ADJ DETAIL-INPUT'!A25</f>
        <v>9</v>
      </c>
      <c r="C25" s="18" t="str">
        <f>'ADJ DETAIL-INPUT'!C25</f>
        <v xml:space="preserve">Depreciation/Amortization  </v>
      </c>
      <c r="E25" s="99">
        <f>'ADJ DETAIL-INPUT'!E25</f>
        <v>23715</v>
      </c>
      <c r="F25" s="214">
        <f>'ADJ DETAIL-INPUT'!F25</f>
        <v>0</v>
      </c>
      <c r="G25" s="214">
        <f>'ADJ DETAIL-INPUT'!G25</f>
        <v>0</v>
      </c>
      <c r="H25" s="214">
        <f>'ADJ DETAIL-INPUT'!H25</f>
        <v>0</v>
      </c>
      <c r="I25" s="214">
        <f>'ADJ DETAIL-INPUT'!I25</f>
        <v>0</v>
      </c>
      <c r="J25" s="214">
        <f>'ADJ DETAIL-INPUT'!J25</f>
        <v>0</v>
      </c>
      <c r="K25" s="214">
        <f>'ADJ DETAIL-INPUT'!K25</f>
        <v>0</v>
      </c>
      <c r="L25" s="214">
        <f>'ADJ DETAIL-INPUT'!L25</f>
        <v>0</v>
      </c>
      <c r="M25" s="214">
        <f>'ADJ DETAIL-INPUT'!M25</f>
        <v>0</v>
      </c>
      <c r="N25" s="214">
        <f>'ADJ DETAIL-INPUT'!N25</f>
        <v>0</v>
      </c>
      <c r="O25" s="214">
        <f>'ADJ DETAIL-INPUT'!O25</f>
        <v>0</v>
      </c>
      <c r="P25" s="214">
        <f>'ADJ DETAIL-INPUT'!P25</f>
        <v>0</v>
      </c>
      <c r="Q25" s="214">
        <f>'ADJ DETAIL-INPUT'!Q25</f>
        <v>0</v>
      </c>
      <c r="R25" s="214">
        <f>'ADJ DETAIL-INPUT'!R25</f>
        <v>0</v>
      </c>
      <c r="S25" s="214">
        <f>'ADJ DETAIL-INPUT'!S25</f>
        <v>0</v>
      </c>
      <c r="T25" s="214">
        <f>'ADJ DETAIL-INPUT'!T25</f>
        <v>0</v>
      </c>
      <c r="U25" s="214">
        <f>'ADJ DETAIL-INPUT'!U25</f>
        <v>0</v>
      </c>
      <c r="V25" s="214">
        <f>'ADJ DETAIL-INPUT'!V25</f>
        <v>0</v>
      </c>
      <c r="W25" s="214">
        <f>'ADJ DETAIL-INPUT'!W25</f>
        <v>0</v>
      </c>
      <c r="X25" s="214">
        <f>'ADJ DETAIL-INPUT'!X25</f>
        <v>0</v>
      </c>
    </row>
    <row r="26" spans="1:24" s="18" customFormat="1">
      <c r="A26" s="16">
        <f>'ADJ DETAIL-INPUT'!A26</f>
        <v>10</v>
      </c>
      <c r="C26" s="99" t="str">
        <f>'ADJ DETAIL-INPUT'!C26</f>
        <v>Regulatory Amortization</v>
      </c>
      <c r="D26" s="99"/>
      <c r="E26" s="99">
        <f>'ADJ DETAIL-INPUT'!E26</f>
        <v>-1139</v>
      </c>
      <c r="F26" s="215">
        <f>'ADJ DETAIL-INPUT'!F26</f>
        <v>0</v>
      </c>
      <c r="G26" s="215">
        <f>'ADJ DETAIL-INPUT'!G26</f>
        <v>0</v>
      </c>
      <c r="H26" s="215">
        <f>'ADJ DETAIL-INPUT'!H26</f>
        <v>0</v>
      </c>
      <c r="I26" s="215">
        <f>'ADJ DETAIL-INPUT'!I26</f>
        <v>0</v>
      </c>
      <c r="J26" s="215">
        <f>'ADJ DETAIL-INPUT'!J26</f>
        <v>0</v>
      </c>
      <c r="K26" s="215">
        <f>'ADJ DETAIL-INPUT'!K26</f>
        <v>0</v>
      </c>
      <c r="L26" s="215">
        <f>'ADJ DETAIL-INPUT'!L26</f>
        <v>0</v>
      </c>
      <c r="M26" s="215">
        <f>'ADJ DETAIL-INPUT'!M26</f>
        <v>0</v>
      </c>
      <c r="N26" s="215">
        <f>'ADJ DETAIL-INPUT'!N26</f>
        <v>0</v>
      </c>
      <c r="O26" s="215">
        <f>'ADJ DETAIL-INPUT'!O26</f>
        <v>0</v>
      </c>
      <c r="P26" s="215">
        <f>'ADJ DETAIL-INPUT'!P26</f>
        <v>0</v>
      </c>
      <c r="Q26" s="215">
        <f>'ADJ DETAIL-INPUT'!Q26</f>
        <v>0</v>
      </c>
      <c r="R26" s="215">
        <f>'ADJ DETAIL-INPUT'!R26</f>
        <v>0</v>
      </c>
      <c r="S26" s="215">
        <f>'ADJ DETAIL-INPUT'!S26</f>
        <v>9231</v>
      </c>
      <c r="T26" s="215">
        <f>'ADJ DETAIL-INPUT'!T26</f>
        <v>0</v>
      </c>
      <c r="U26" s="215">
        <f>'ADJ DETAIL-INPUT'!U26</f>
        <v>9</v>
      </c>
      <c r="V26" s="215">
        <f>'ADJ DETAIL-INPUT'!V26</f>
        <v>0</v>
      </c>
      <c r="W26" s="215">
        <f>'ADJ DETAIL-INPUT'!W26</f>
        <v>0</v>
      </c>
      <c r="X26" s="215">
        <f>'ADJ DETAIL-INPUT'!X26</f>
        <v>0</v>
      </c>
    </row>
    <row r="27" spans="1:24" s="18" customFormat="1">
      <c r="A27" s="16">
        <f>'ADJ DETAIL-INPUT'!A27</f>
        <v>11</v>
      </c>
      <c r="C27" s="18" t="str">
        <f>'ADJ DETAIL-INPUT'!C27</f>
        <v xml:space="preserve">Taxes  </v>
      </c>
      <c r="E27" s="276">
        <f>'ADJ DETAIL-INPUT'!E27</f>
        <v>12844</v>
      </c>
      <c r="F27" s="216">
        <f>'ADJ DETAIL-INPUT'!F27</f>
        <v>0</v>
      </c>
      <c r="G27" s="216">
        <f>'ADJ DETAIL-INPUT'!G27</f>
        <v>0</v>
      </c>
      <c r="H27" s="216">
        <f>'ADJ DETAIL-INPUT'!H27</f>
        <v>0</v>
      </c>
      <c r="I27" s="216">
        <f>'ADJ DETAIL-INPUT'!I27</f>
        <v>0</v>
      </c>
      <c r="J27" s="216">
        <f>'ADJ DETAIL-INPUT'!J27</f>
        <v>-16</v>
      </c>
      <c r="K27" s="216">
        <f>'ADJ DETAIL-INPUT'!K27</f>
        <v>0</v>
      </c>
      <c r="L27" s="216">
        <f>'ADJ DETAIL-INPUT'!L27</f>
        <v>0</v>
      </c>
      <c r="M27" s="216">
        <f>'ADJ DETAIL-INPUT'!M27</f>
        <v>0</v>
      </c>
      <c r="N27" s="216">
        <f>'ADJ DETAIL-INPUT'!N27</f>
        <v>0</v>
      </c>
      <c r="O27" s="216">
        <f>'ADJ DETAIL-INPUT'!O27</f>
        <v>0</v>
      </c>
      <c r="P27" s="216">
        <f>'ADJ DETAIL-INPUT'!P27</f>
        <v>0</v>
      </c>
      <c r="Q27" s="216">
        <f>'ADJ DETAIL-INPUT'!Q27</f>
        <v>0</v>
      </c>
      <c r="R27" s="216">
        <f>'ADJ DETAIL-INPUT'!R27</f>
        <v>0</v>
      </c>
      <c r="S27" s="216">
        <f>'ADJ DETAIL-INPUT'!S27</f>
        <v>0</v>
      </c>
      <c r="T27" s="216">
        <f>'ADJ DETAIL-INPUT'!T27</f>
        <v>0</v>
      </c>
      <c r="U27" s="216">
        <f>'ADJ DETAIL-INPUT'!U27</f>
        <v>0</v>
      </c>
      <c r="V27" s="216">
        <f>'ADJ DETAIL-INPUT'!V27</f>
        <v>0</v>
      </c>
      <c r="W27" s="216">
        <f>'ADJ DETAIL-INPUT'!W27</f>
        <v>0</v>
      </c>
      <c r="X27" s="216">
        <f>'ADJ DETAIL-INPUT'!X27</f>
        <v>0</v>
      </c>
    </row>
    <row r="28" spans="1:24" s="18" customFormat="1">
      <c r="A28" s="16">
        <f>'ADJ DETAIL-INPUT'!A28</f>
        <v>12</v>
      </c>
      <c r="B28" s="18" t="str">
        <f>'ADJ DETAIL-INPUT'!B28</f>
        <v xml:space="preserve">Total Production &amp; Transmission  </v>
      </c>
      <c r="E28" s="99">
        <f>'ADJ DETAIL-INPUT'!E28</f>
        <v>355935</v>
      </c>
      <c r="F28" s="161">
        <f>'ADJ DETAIL-INPUT'!F28</f>
        <v>0</v>
      </c>
      <c r="G28" s="161">
        <f>'ADJ DETAIL-INPUT'!G28</f>
        <v>64</v>
      </c>
      <c r="H28" s="161">
        <f>'ADJ DETAIL-INPUT'!H28</f>
        <v>0</v>
      </c>
      <c r="I28" s="161">
        <f>'ADJ DETAIL-INPUT'!I28</f>
        <v>0</v>
      </c>
      <c r="J28" s="161">
        <f>'ADJ DETAIL-INPUT'!J28</f>
        <v>-16</v>
      </c>
      <c r="K28" s="161">
        <f>'ADJ DETAIL-INPUT'!K28</f>
        <v>0</v>
      </c>
      <c r="L28" s="161">
        <f>'ADJ DETAIL-INPUT'!L28</f>
        <v>0</v>
      </c>
      <c r="M28" s="161">
        <f>'ADJ DETAIL-INPUT'!M28</f>
        <v>0</v>
      </c>
      <c r="N28" s="161">
        <f>'ADJ DETAIL-INPUT'!N28</f>
        <v>0</v>
      </c>
      <c r="O28" s="161">
        <f>'ADJ DETAIL-INPUT'!O28</f>
        <v>0</v>
      </c>
      <c r="P28" s="161">
        <f>'ADJ DETAIL-INPUT'!P28</f>
        <v>0</v>
      </c>
      <c r="Q28" s="161">
        <f>'ADJ DETAIL-INPUT'!Q28</f>
        <v>0</v>
      </c>
      <c r="R28" s="161">
        <f>'ADJ DETAIL-INPUT'!R28</f>
        <v>0</v>
      </c>
      <c r="S28" s="161">
        <f>'ADJ DETAIL-INPUT'!S28</f>
        <v>9552</v>
      </c>
      <c r="T28" s="161">
        <f>'ADJ DETAIL-INPUT'!T28</f>
        <v>0</v>
      </c>
      <c r="U28" s="161">
        <f>'ADJ DETAIL-INPUT'!U28</f>
        <v>4283</v>
      </c>
      <c r="V28" s="161">
        <f>'ADJ DETAIL-INPUT'!V28</f>
        <v>10</v>
      </c>
      <c r="W28" s="161">
        <f>'ADJ DETAIL-INPUT'!W28</f>
        <v>0</v>
      </c>
      <c r="X28" s="161">
        <f>'ADJ DETAIL-INPUT'!X28</f>
        <v>-88234</v>
      </c>
    </row>
    <row r="29" spans="1:24" s="18" customFormat="1" ht="6.75" customHeight="1">
      <c r="A29" s="16"/>
      <c r="E29" s="99"/>
      <c r="F29" s="161"/>
      <c r="G29" s="161"/>
      <c r="H29" s="161"/>
      <c r="I29" s="161"/>
      <c r="J29" s="161"/>
      <c r="K29" s="161"/>
      <c r="L29" s="161"/>
      <c r="M29" s="161"/>
      <c r="N29" s="161"/>
      <c r="O29" s="161"/>
      <c r="P29" s="161"/>
      <c r="Q29" s="161"/>
      <c r="R29" s="161"/>
      <c r="S29" s="161"/>
      <c r="T29" s="161"/>
      <c r="U29" s="161"/>
      <c r="V29" s="161"/>
      <c r="W29" s="161"/>
      <c r="X29" s="161"/>
    </row>
    <row r="30" spans="1:24" s="18" customFormat="1">
      <c r="A30" s="16"/>
      <c r="B30" s="18" t="str">
        <f>'ADJ DETAIL-INPUT'!B30</f>
        <v xml:space="preserve">Distribution  </v>
      </c>
      <c r="E30" s="99"/>
      <c r="F30" s="161"/>
      <c r="G30" s="161"/>
      <c r="H30" s="161"/>
      <c r="I30" s="161"/>
      <c r="J30" s="161"/>
      <c r="K30" s="161"/>
      <c r="L30" s="161"/>
      <c r="M30" s="161"/>
      <c r="N30" s="161"/>
      <c r="O30" s="161"/>
      <c r="P30" s="161"/>
      <c r="Q30" s="161"/>
      <c r="R30" s="161"/>
      <c r="S30" s="161"/>
      <c r="T30" s="161"/>
      <c r="U30" s="161"/>
      <c r="V30" s="161"/>
      <c r="W30" s="161"/>
      <c r="X30" s="161"/>
    </row>
    <row r="31" spans="1:24" s="18" customFormat="1">
      <c r="A31" s="16">
        <f>'ADJ DETAIL-INPUT'!A31</f>
        <v>13</v>
      </c>
      <c r="C31" s="18" t="str">
        <f>'ADJ DETAIL-INPUT'!C31</f>
        <v xml:space="preserve">Operating Expenses  </v>
      </c>
      <c r="E31" s="134">
        <f>'ADJ DETAIL-INPUT'!E31</f>
        <v>21301</v>
      </c>
      <c r="F31" s="214">
        <f>'ADJ DETAIL-INPUT'!F31</f>
        <v>0</v>
      </c>
      <c r="G31" s="214">
        <f>'ADJ DETAIL-INPUT'!G31</f>
        <v>0</v>
      </c>
      <c r="H31" s="214">
        <f>'ADJ DETAIL-INPUT'!H31</f>
        <v>0</v>
      </c>
      <c r="I31" s="214">
        <f>'ADJ DETAIL-INPUT'!I31</f>
        <v>0</v>
      </c>
      <c r="J31" s="214">
        <f>'ADJ DETAIL-INPUT'!J31</f>
        <v>0</v>
      </c>
      <c r="K31" s="214">
        <f>'ADJ DETAIL-INPUT'!K31</f>
        <v>0</v>
      </c>
      <c r="L31" s="214">
        <f>'ADJ DETAIL-INPUT'!L31</f>
        <v>0</v>
      </c>
      <c r="M31" s="214">
        <f>'ADJ DETAIL-INPUT'!M31</f>
        <v>0</v>
      </c>
      <c r="N31" s="214">
        <f>'ADJ DETAIL-INPUT'!N31</f>
        <v>0</v>
      </c>
      <c r="O31" s="214">
        <f>'ADJ DETAIL-INPUT'!O31</f>
        <v>0</v>
      </c>
      <c r="P31" s="214">
        <f>'ADJ DETAIL-INPUT'!P31</f>
        <v>0</v>
      </c>
      <c r="Q31" s="214">
        <f>'ADJ DETAIL-INPUT'!Q31</f>
        <v>0</v>
      </c>
      <c r="R31" s="214">
        <f>'ADJ DETAIL-INPUT'!R31</f>
        <v>0</v>
      </c>
      <c r="S31" s="214">
        <f>'ADJ DETAIL-INPUT'!S31</f>
        <v>0</v>
      </c>
      <c r="T31" s="214">
        <f>'ADJ DETAIL-INPUT'!T31</f>
        <v>-2</v>
      </c>
      <c r="U31" s="214">
        <f>'ADJ DETAIL-INPUT'!U31</f>
        <v>0</v>
      </c>
      <c r="V31" s="214">
        <f>'ADJ DETAIL-INPUT'!V31</f>
        <v>0</v>
      </c>
      <c r="W31" s="214">
        <f>'ADJ DETAIL-INPUT'!W31</f>
        <v>0</v>
      </c>
      <c r="X31" s="214">
        <f>'ADJ DETAIL-INPUT'!X31</f>
        <v>0</v>
      </c>
    </row>
    <row r="32" spans="1:24" s="18" customFormat="1">
      <c r="A32" s="16">
        <f>'ADJ DETAIL-INPUT'!A32</f>
        <v>14</v>
      </c>
      <c r="C32" s="18" t="str">
        <f>'ADJ DETAIL-INPUT'!C32</f>
        <v>Depreciation/Amortization</v>
      </c>
      <c r="E32" s="134">
        <f>'ADJ DETAIL-INPUT'!E32</f>
        <v>23887</v>
      </c>
      <c r="F32" s="214">
        <f>'ADJ DETAIL-INPUT'!F32</f>
        <v>0</v>
      </c>
      <c r="G32" s="214">
        <f>'ADJ DETAIL-INPUT'!G32</f>
        <v>0</v>
      </c>
      <c r="H32" s="214">
        <f>'ADJ DETAIL-INPUT'!H32</f>
        <v>0</v>
      </c>
      <c r="I32" s="214">
        <f>'ADJ DETAIL-INPUT'!I32</f>
        <v>0</v>
      </c>
      <c r="J32" s="214">
        <f>'ADJ DETAIL-INPUT'!J32</f>
        <v>0</v>
      </c>
      <c r="K32" s="214">
        <f>'ADJ DETAIL-INPUT'!K32</f>
        <v>0</v>
      </c>
      <c r="L32" s="214">
        <f>'ADJ DETAIL-INPUT'!L32</f>
        <v>0</v>
      </c>
      <c r="M32" s="214">
        <f>'ADJ DETAIL-INPUT'!M32</f>
        <v>0</v>
      </c>
      <c r="N32" s="214">
        <f>'ADJ DETAIL-INPUT'!N32</f>
        <v>0</v>
      </c>
      <c r="O32" s="214">
        <f>'ADJ DETAIL-INPUT'!O32</f>
        <v>0</v>
      </c>
      <c r="P32" s="214">
        <f>'ADJ DETAIL-INPUT'!P32</f>
        <v>0</v>
      </c>
      <c r="Q32" s="214">
        <f>'ADJ DETAIL-INPUT'!Q32</f>
        <v>-93</v>
      </c>
      <c r="R32" s="214">
        <f>'ADJ DETAIL-INPUT'!R32</f>
        <v>0</v>
      </c>
      <c r="S32" s="214">
        <f>'ADJ DETAIL-INPUT'!S32</f>
        <v>0</v>
      </c>
      <c r="T32" s="214">
        <f>'ADJ DETAIL-INPUT'!T32</f>
        <v>0</v>
      </c>
      <c r="U32" s="214">
        <f>'ADJ DETAIL-INPUT'!U32</f>
        <v>0</v>
      </c>
      <c r="V32" s="214">
        <f>'ADJ DETAIL-INPUT'!V32</f>
        <v>0</v>
      </c>
      <c r="W32" s="214">
        <f>'ADJ DETAIL-INPUT'!W32</f>
        <v>0</v>
      </c>
      <c r="X32" s="214">
        <f>'ADJ DETAIL-INPUT'!X32</f>
        <v>0</v>
      </c>
    </row>
    <row r="33" spans="1:24" s="18" customFormat="1">
      <c r="A33" s="16">
        <f>'ADJ DETAIL-INPUT'!A33</f>
        <v>15</v>
      </c>
      <c r="C33" s="18" t="str">
        <f>'ADJ DETAIL-INPUT'!C33</f>
        <v xml:space="preserve">Taxes  </v>
      </c>
      <c r="E33" s="276">
        <f>'ADJ DETAIL-INPUT'!E33</f>
        <v>43433</v>
      </c>
      <c r="F33" s="216">
        <f>'ADJ DETAIL-INPUT'!F33</f>
        <v>0</v>
      </c>
      <c r="G33" s="216">
        <f>'ADJ DETAIL-INPUT'!G33</f>
        <v>0</v>
      </c>
      <c r="H33" s="216">
        <f>'ADJ DETAIL-INPUT'!H33</f>
        <v>0</v>
      </c>
      <c r="I33" s="216">
        <f>'ADJ DETAIL-INPUT'!I33</f>
        <v>-17602</v>
      </c>
      <c r="J33" s="216">
        <f>'ADJ DETAIL-INPUT'!J33</f>
        <v>124</v>
      </c>
      <c r="K33" s="216">
        <f>'ADJ DETAIL-INPUT'!K33</f>
        <v>0</v>
      </c>
      <c r="L33" s="216">
        <f>'ADJ DETAIL-INPUT'!L33</f>
        <v>0</v>
      </c>
      <c r="M33" s="216">
        <f>'ADJ DETAIL-INPUT'!M33</f>
        <v>0</v>
      </c>
      <c r="N33" s="216">
        <f>'ADJ DETAIL-INPUT'!N33</f>
        <v>0</v>
      </c>
      <c r="O33" s="216">
        <f>'ADJ DETAIL-INPUT'!O33</f>
        <v>0</v>
      </c>
      <c r="P33" s="216">
        <f>'ADJ DETAIL-INPUT'!P33</f>
        <v>-273</v>
      </c>
      <c r="Q33" s="216">
        <f>'ADJ DETAIL-INPUT'!Q33</f>
        <v>0</v>
      </c>
      <c r="R33" s="216">
        <f>'ADJ DETAIL-INPUT'!R33</f>
        <v>-90</v>
      </c>
      <c r="S33" s="216">
        <f>'ADJ DETAIL-INPUT'!S33</f>
        <v>-359</v>
      </c>
      <c r="T33" s="216">
        <f>'ADJ DETAIL-INPUT'!T33</f>
        <v>0</v>
      </c>
      <c r="U33" s="216">
        <f>'ADJ DETAIL-INPUT'!U33</f>
        <v>342</v>
      </c>
      <c r="V33" s="216">
        <f>'ADJ DETAIL-INPUT'!V33</f>
        <v>0</v>
      </c>
      <c r="W33" s="216">
        <f>'ADJ DETAIL-INPUT'!W33</f>
        <v>0</v>
      </c>
      <c r="X33" s="216">
        <f>'ADJ DETAIL-INPUT'!X33</f>
        <v>0</v>
      </c>
    </row>
    <row r="34" spans="1:24" s="18" customFormat="1">
      <c r="A34" s="16">
        <f>'ADJ DETAIL-INPUT'!A34</f>
        <v>16</v>
      </c>
      <c r="B34" s="18" t="str">
        <f>'ADJ DETAIL-INPUT'!B34</f>
        <v xml:space="preserve">Total Distribution  </v>
      </c>
      <c r="E34" s="99">
        <f>'ADJ DETAIL-INPUT'!E34</f>
        <v>88621</v>
      </c>
      <c r="F34" s="161">
        <f>'ADJ DETAIL-INPUT'!F34</f>
        <v>0</v>
      </c>
      <c r="G34" s="161">
        <f>'ADJ DETAIL-INPUT'!G34</f>
        <v>0</v>
      </c>
      <c r="H34" s="161">
        <f>'ADJ DETAIL-INPUT'!H34</f>
        <v>0</v>
      </c>
      <c r="I34" s="161">
        <f>'ADJ DETAIL-INPUT'!I34</f>
        <v>-17602</v>
      </c>
      <c r="J34" s="161">
        <f>'ADJ DETAIL-INPUT'!J34</f>
        <v>124</v>
      </c>
      <c r="K34" s="161">
        <f>'ADJ DETAIL-INPUT'!K34</f>
        <v>0</v>
      </c>
      <c r="L34" s="161">
        <f>'ADJ DETAIL-INPUT'!L34</f>
        <v>0</v>
      </c>
      <c r="M34" s="161">
        <f>'ADJ DETAIL-INPUT'!M34</f>
        <v>0</v>
      </c>
      <c r="N34" s="161">
        <f>'ADJ DETAIL-INPUT'!N34</f>
        <v>0</v>
      </c>
      <c r="O34" s="161">
        <f>'ADJ DETAIL-INPUT'!O34</f>
        <v>0</v>
      </c>
      <c r="P34" s="161">
        <f>'ADJ DETAIL-INPUT'!P34</f>
        <v>-273</v>
      </c>
      <c r="Q34" s="161">
        <f>'ADJ DETAIL-INPUT'!Q34</f>
        <v>-93</v>
      </c>
      <c r="R34" s="161">
        <f>'ADJ DETAIL-INPUT'!R34</f>
        <v>-90</v>
      </c>
      <c r="S34" s="161">
        <f>'ADJ DETAIL-INPUT'!S34</f>
        <v>-359</v>
      </c>
      <c r="T34" s="161">
        <f>'ADJ DETAIL-INPUT'!T34</f>
        <v>-2</v>
      </c>
      <c r="U34" s="161">
        <f>'ADJ DETAIL-INPUT'!U34</f>
        <v>342</v>
      </c>
      <c r="V34" s="161">
        <f>'ADJ DETAIL-INPUT'!V34</f>
        <v>0</v>
      </c>
      <c r="W34" s="161">
        <f>'ADJ DETAIL-INPUT'!W34</f>
        <v>0</v>
      </c>
      <c r="X34" s="161">
        <f>'ADJ DETAIL-INPUT'!X34</f>
        <v>0</v>
      </c>
    </row>
    <row r="35" spans="1:24" s="18" customFormat="1" ht="6" customHeight="1">
      <c r="E35" s="99"/>
      <c r="F35" s="161"/>
      <c r="G35" s="161"/>
      <c r="H35" s="161"/>
      <c r="I35" s="161"/>
      <c r="J35" s="161"/>
      <c r="K35" s="161"/>
      <c r="L35" s="161"/>
      <c r="M35" s="161"/>
      <c r="N35" s="161"/>
      <c r="O35" s="161"/>
      <c r="P35" s="161"/>
      <c r="Q35" s="161"/>
      <c r="R35" s="161"/>
      <c r="S35" s="161"/>
      <c r="T35" s="161"/>
      <c r="U35" s="161"/>
      <c r="V35" s="161"/>
      <c r="W35" s="161"/>
      <c r="X35" s="161"/>
    </row>
    <row r="36" spans="1:24" s="18" customFormat="1">
      <c r="A36" s="16">
        <f>'ADJ DETAIL-INPUT'!A36</f>
        <v>17</v>
      </c>
      <c r="B36" s="18" t="str">
        <f>'ADJ DETAIL-INPUT'!B36</f>
        <v xml:space="preserve">Customer Accounting  </v>
      </c>
      <c r="E36" s="134">
        <f>'ADJ DETAIL-INPUT'!E36</f>
        <v>10257</v>
      </c>
      <c r="F36" s="214">
        <f>'ADJ DETAIL-INPUT'!F36</f>
        <v>0</v>
      </c>
      <c r="G36" s="214">
        <f>'ADJ DETAIL-INPUT'!G36</f>
        <v>2</v>
      </c>
      <c r="H36" s="214">
        <f>'ADJ DETAIL-INPUT'!H36</f>
        <v>0</v>
      </c>
      <c r="I36" s="214">
        <f>'ADJ DETAIL-INPUT'!I36</f>
        <v>0</v>
      </c>
      <c r="J36" s="214">
        <f>'ADJ DETAIL-INPUT'!J36</f>
        <v>0</v>
      </c>
      <c r="K36" s="214">
        <f>'ADJ DETAIL-INPUT'!K36</f>
        <v>922</v>
      </c>
      <c r="L36" s="214">
        <f>'ADJ DETAIL-INPUT'!L36</f>
        <v>0</v>
      </c>
      <c r="M36" s="214">
        <f>'ADJ DETAIL-INPUT'!M36</f>
        <v>0</v>
      </c>
      <c r="N36" s="214">
        <f>'ADJ DETAIL-INPUT'!N36</f>
        <v>0</v>
      </c>
      <c r="O36" s="214">
        <f>'ADJ DETAIL-INPUT'!O36</f>
        <v>0</v>
      </c>
      <c r="P36" s="214">
        <f>'ADJ DETAIL-INPUT'!P36</f>
        <v>0</v>
      </c>
      <c r="Q36" s="214">
        <f>'ADJ DETAIL-INPUT'!Q36</f>
        <v>0</v>
      </c>
      <c r="R36" s="214">
        <f>'ADJ DETAIL-INPUT'!R36</f>
        <v>-13</v>
      </c>
      <c r="S36" s="214">
        <f>'ADJ DETAIL-INPUT'!S36</f>
        <v>-50</v>
      </c>
      <c r="T36" s="214">
        <f>'ADJ DETAIL-INPUT'!T36</f>
        <v>0</v>
      </c>
      <c r="U36" s="214">
        <f>'ADJ DETAIL-INPUT'!U36</f>
        <v>48</v>
      </c>
      <c r="V36" s="214">
        <f>'ADJ DETAIL-INPUT'!V36</f>
        <v>0</v>
      </c>
      <c r="W36" s="214">
        <f>'ADJ DETAIL-INPUT'!W36</f>
        <v>0</v>
      </c>
      <c r="X36" s="214">
        <f>'ADJ DETAIL-INPUT'!X36</f>
        <v>0</v>
      </c>
    </row>
    <row r="37" spans="1:24" s="18" customFormat="1">
      <c r="A37" s="16">
        <f>'ADJ DETAIL-INPUT'!A37</f>
        <v>18</v>
      </c>
      <c r="B37" s="18" t="str">
        <f>'ADJ DETAIL-INPUT'!B37</f>
        <v xml:space="preserve">Customer Service &amp; Information  </v>
      </c>
      <c r="E37" s="134">
        <f>'ADJ DETAIL-INPUT'!E37</f>
        <v>19816</v>
      </c>
      <c r="F37" s="214">
        <f>'ADJ DETAIL-INPUT'!F37</f>
        <v>0</v>
      </c>
      <c r="G37" s="214">
        <f>'ADJ DETAIL-INPUT'!G37</f>
        <v>0</v>
      </c>
      <c r="H37" s="214">
        <f>'ADJ DETAIL-INPUT'!H37</f>
        <v>0</v>
      </c>
      <c r="I37" s="214">
        <f>'ADJ DETAIL-INPUT'!I37</f>
        <v>0</v>
      </c>
      <c r="J37" s="214">
        <f>'ADJ DETAIL-INPUT'!J37</f>
        <v>0</v>
      </c>
      <c r="K37" s="214">
        <f>'ADJ DETAIL-INPUT'!K37</f>
        <v>0</v>
      </c>
      <c r="L37" s="214">
        <f>'ADJ DETAIL-INPUT'!L37</f>
        <v>0</v>
      </c>
      <c r="M37" s="214">
        <f>'ADJ DETAIL-INPUT'!M37</f>
        <v>0</v>
      </c>
      <c r="N37" s="214">
        <f>'ADJ DETAIL-INPUT'!N37</f>
        <v>0</v>
      </c>
      <c r="O37" s="214">
        <f>'ADJ DETAIL-INPUT'!O37</f>
        <v>0</v>
      </c>
      <c r="P37" s="214">
        <f>'ADJ DETAIL-INPUT'!P37</f>
        <v>0</v>
      </c>
      <c r="Q37" s="214">
        <f>'ADJ DETAIL-INPUT'!Q37</f>
        <v>0</v>
      </c>
      <c r="R37" s="214">
        <f>'ADJ DETAIL-INPUT'!R37</f>
        <v>0</v>
      </c>
      <c r="S37" s="214">
        <f>'ADJ DETAIL-INPUT'!S37</f>
        <v>-18432</v>
      </c>
      <c r="T37" s="214">
        <f>'ADJ DETAIL-INPUT'!T37</f>
        <v>-1</v>
      </c>
      <c r="U37" s="214">
        <f>'ADJ DETAIL-INPUT'!U37</f>
        <v>0</v>
      </c>
      <c r="V37" s="214">
        <f>'ADJ DETAIL-INPUT'!V37</f>
        <v>0</v>
      </c>
      <c r="W37" s="214">
        <f>'ADJ DETAIL-INPUT'!W37</f>
        <v>0</v>
      </c>
      <c r="X37" s="214">
        <f>'ADJ DETAIL-INPUT'!X37</f>
        <v>0</v>
      </c>
    </row>
    <row r="38" spans="1:24" s="18" customFormat="1">
      <c r="A38" s="16">
        <f>'ADJ DETAIL-INPUT'!A38</f>
        <v>19</v>
      </c>
      <c r="B38" s="18" t="str">
        <f>'ADJ DETAIL-INPUT'!B38</f>
        <v xml:space="preserve">Sales Expenses  </v>
      </c>
      <c r="E38" s="134">
        <f>'ADJ DETAIL-INPUT'!E38</f>
        <v>0</v>
      </c>
      <c r="F38" s="214">
        <f>'ADJ DETAIL-INPUT'!F38</f>
        <v>0</v>
      </c>
      <c r="G38" s="214">
        <f>'ADJ DETAIL-INPUT'!G38</f>
        <v>0</v>
      </c>
      <c r="H38" s="214">
        <f>'ADJ DETAIL-INPUT'!H38</f>
        <v>0</v>
      </c>
      <c r="I38" s="214">
        <f>'ADJ DETAIL-INPUT'!I38</f>
        <v>0</v>
      </c>
      <c r="J38" s="214">
        <f>'ADJ DETAIL-INPUT'!J38</f>
        <v>0</v>
      </c>
      <c r="K38" s="214">
        <f>'ADJ DETAIL-INPUT'!K38</f>
        <v>0</v>
      </c>
      <c r="L38" s="214">
        <f>'ADJ DETAIL-INPUT'!L38</f>
        <v>0</v>
      </c>
      <c r="M38" s="214">
        <f>'ADJ DETAIL-INPUT'!M38</f>
        <v>0</v>
      </c>
      <c r="N38" s="214">
        <f>'ADJ DETAIL-INPUT'!N38</f>
        <v>0</v>
      </c>
      <c r="O38" s="214">
        <f>'ADJ DETAIL-INPUT'!O38</f>
        <v>0</v>
      </c>
      <c r="P38" s="214">
        <f>'ADJ DETAIL-INPUT'!P38</f>
        <v>0</v>
      </c>
      <c r="Q38" s="214">
        <f>'ADJ DETAIL-INPUT'!Q38</f>
        <v>0</v>
      </c>
      <c r="R38" s="214">
        <f>'ADJ DETAIL-INPUT'!R38</f>
        <v>0</v>
      </c>
      <c r="S38" s="214">
        <f>'ADJ DETAIL-INPUT'!S38</f>
        <v>0</v>
      </c>
      <c r="T38" s="214">
        <f>'ADJ DETAIL-INPUT'!T38</f>
        <v>0</v>
      </c>
      <c r="U38" s="214">
        <f>'ADJ DETAIL-INPUT'!U38</f>
        <v>0</v>
      </c>
      <c r="V38" s="214">
        <f>'ADJ DETAIL-INPUT'!V38</f>
        <v>0</v>
      </c>
      <c r="W38" s="214">
        <f>'ADJ DETAIL-INPUT'!W38</f>
        <v>0</v>
      </c>
      <c r="X38" s="214">
        <f>'ADJ DETAIL-INPUT'!X38</f>
        <v>0</v>
      </c>
    </row>
    <row r="39" spans="1:24" s="18" customFormat="1" ht="6" customHeight="1">
      <c r="A39" s="16"/>
      <c r="E39" s="99"/>
      <c r="F39" s="214"/>
      <c r="G39" s="214"/>
      <c r="H39" s="214"/>
      <c r="I39" s="214"/>
      <c r="J39" s="214"/>
      <c r="K39" s="214"/>
      <c r="L39" s="214"/>
      <c r="M39" s="214"/>
      <c r="N39" s="214"/>
      <c r="O39" s="214"/>
      <c r="P39" s="214"/>
      <c r="Q39" s="214"/>
      <c r="R39" s="214"/>
      <c r="S39" s="214"/>
      <c r="T39" s="214"/>
      <c r="U39" s="214"/>
      <c r="V39" s="214"/>
      <c r="W39" s="214"/>
      <c r="X39" s="214"/>
    </row>
    <row r="40" spans="1:24" s="18" customFormat="1">
      <c r="B40" s="18" t="str">
        <f>'ADJ DETAIL-INPUT'!B40</f>
        <v xml:space="preserve">Administrative &amp; General  </v>
      </c>
      <c r="E40" s="99"/>
      <c r="F40" s="214"/>
      <c r="G40" s="214"/>
      <c r="H40" s="214"/>
      <c r="I40" s="214"/>
      <c r="J40" s="214"/>
      <c r="K40" s="214"/>
      <c r="L40" s="214"/>
      <c r="M40" s="214"/>
      <c r="N40" s="214"/>
      <c r="O40" s="214"/>
      <c r="P40" s="214"/>
      <c r="Q40" s="214"/>
      <c r="R40" s="214"/>
      <c r="S40" s="214"/>
      <c r="T40" s="214"/>
      <c r="U40" s="214"/>
      <c r="V40" s="214"/>
      <c r="W40" s="214"/>
      <c r="X40" s="214"/>
    </row>
    <row r="41" spans="1:24" s="18" customFormat="1">
      <c r="A41" s="16">
        <f>'ADJ DETAIL-INPUT'!A41</f>
        <v>20</v>
      </c>
      <c r="C41" s="18" t="str">
        <f>'ADJ DETAIL-INPUT'!C41</f>
        <v xml:space="preserve">Operating Expenses  </v>
      </c>
      <c r="E41" s="134">
        <f>'ADJ DETAIL-INPUT'!E41</f>
        <v>45984</v>
      </c>
      <c r="F41" s="214">
        <f>'ADJ DETAIL-INPUT'!F41</f>
        <v>0</v>
      </c>
      <c r="G41" s="214">
        <f>'ADJ DETAIL-INPUT'!G41</f>
        <v>0</v>
      </c>
      <c r="H41" s="214">
        <f>'ADJ DETAIL-INPUT'!H41</f>
        <v>0</v>
      </c>
      <c r="I41" s="214">
        <f>'ADJ DETAIL-INPUT'!I41</f>
        <v>0</v>
      </c>
      <c r="J41" s="214">
        <f>'ADJ DETAIL-INPUT'!J41</f>
        <v>0</v>
      </c>
      <c r="K41" s="214">
        <f>'ADJ DETAIL-INPUT'!K41</f>
        <v>0</v>
      </c>
      <c r="L41" s="214">
        <f>'ADJ DETAIL-INPUT'!L41</f>
        <v>-79</v>
      </c>
      <c r="M41" s="214">
        <f>'ADJ DETAIL-INPUT'!M41</f>
        <v>153</v>
      </c>
      <c r="N41" s="214">
        <f>'ADJ DETAIL-INPUT'!N41</f>
        <v>0</v>
      </c>
      <c r="O41" s="214">
        <f>'ADJ DETAIL-INPUT'!O41</f>
        <v>-10</v>
      </c>
      <c r="P41" s="214">
        <f>'ADJ DETAIL-INPUT'!P41</f>
        <v>0</v>
      </c>
      <c r="Q41" s="214">
        <f>'ADJ DETAIL-INPUT'!Q41</f>
        <v>0</v>
      </c>
      <c r="R41" s="214">
        <f>'ADJ DETAIL-INPUT'!R41</f>
        <v>-5</v>
      </c>
      <c r="S41" s="214">
        <f>'ADJ DETAIL-INPUT'!S41</f>
        <v>-19</v>
      </c>
      <c r="T41" s="214">
        <f>'ADJ DETAIL-INPUT'!T41</f>
        <v>168</v>
      </c>
      <c r="U41" s="214">
        <f>'ADJ DETAIL-INPUT'!U41</f>
        <v>18</v>
      </c>
      <c r="V41" s="214">
        <f>'ADJ DETAIL-INPUT'!V41</f>
        <v>0</v>
      </c>
      <c r="W41" s="214">
        <f>'ADJ DETAIL-INPUT'!W41</f>
        <v>0</v>
      </c>
      <c r="X41" s="214">
        <f>'ADJ DETAIL-INPUT'!X41</f>
        <v>0</v>
      </c>
    </row>
    <row r="42" spans="1:24" s="18" customFormat="1">
      <c r="A42" s="16">
        <f>'ADJ DETAIL-INPUT'!A42</f>
        <v>21</v>
      </c>
      <c r="C42" s="18" t="str">
        <f>'ADJ DETAIL-INPUT'!C42</f>
        <v>Depreciation/Amortization</v>
      </c>
      <c r="E42" s="134">
        <f>'ADJ DETAIL-INPUT'!E42</f>
        <v>16947</v>
      </c>
      <c r="F42" s="214">
        <f>'ADJ DETAIL-INPUT'!F42</f>
        <v>0</v>
      </c>
      <c r="G42" s="214">
        <f>'ADJ DETAIL-INPUT'!G42</f>
        <v>0</v>
      </c>
      <c r="H42" s="214">
        <f>'ADJ DETAIL-INPUT'!H42</f>
        <v>0</v>
      </c>
      <c r="I42" s="214">
        <f>'ADJ DETAIL-INPUT'!I42</f>
        <v>0</v>
      </c>
      <c r="J42" s="214">
        <f>'ADJ DETAIL-INPUT'!J42</f>
        <v>0</v>
      </c>
      <c r="K42" s="214">
        <f>'ADJ DETAIL-INPUT'!K42</f>
        <v>0</v>
      </c>
      <c r="L42" s="214">
        <f>'ADJ DETAIL-INPUT'!L42</f>
        <v>0</v>
      </c>
      <c r="M42" s="214">
        <f>'ADJ DETAIL-INPUT'!M42</f>
        <v>0</v>
      </c>
      <c r="N42" s="214">
        <f>'ADJ DETAIL-INPUT'!N42</f>
        <v>0</v>
      </c>
      <c r="O42" s="214">
        <f>'ADJ DETAIL-INPUT'!O42</f>
        <v>0</v>
      </c>
      <c r="P42" s="214">
        <f>'ADJ DETAIL-INPUT'!P42</f>
        <v>0</v>
      </c>
      <c r="Q42" s="214">
        <f>'ADJ DETAIL-INPUT'!Q42</f>
        <v>0</v>
      </c>
      <c r="R42" s="214">
        <f>'ADJ DETAIL-INPUT'!R42</f>
        <v>0</v>
      </c>
      <c r="S42" s="214">
        <f>'ADJ DETAIL-INPUT'!S42</f>
        <v>0</v>
      </c>
      <c r="T42" s="214">
        <f>'ADJ DETAIL-INPUT'!T42</f>
        <v>0</v>
      </c>
      <c r="U42" s="214">
        <f>'ADJ DETAIL-INPUT'!U42</f>
        <v>0</v>
      </c>
      <c r="V42" s="214">
        <f>'ADJ DETAIL-INPUT'!V42</f>
        <v>0</v>
      </c>
      <c r="W42" s="214">
        <f>'ADJ DETAIL-INPUT'!W42</f>
        <v>0</v>
      </c>
      <c r="X42" s="214">
        <f>'ADJ DETAIL-INPUT'!X42</f>
        <v>0</v>
      </c>
    </row>
    <row r="43" spans="1:24" s="18" customFormat="1">
      <c r="A43" s="181">
        <f>'ADJ DETAIL-INPUT'!A43</f>
        <v>22</v>
      </c>
      <c r="C43" s="18" t="str">
        <f>'ADJ DETAIL-INPUT'!C43</f>
        <v xml:space="preserve">Taxes  </v>
      </c>
      <c r="E43" s="276">
        <f>'ADJ DETAIL-INPUT'!E43</f>
        <v>0</v>
      </c>
      <c r="F43" s="216">
        <f>'ADJ DETAIL-INPUT'!F43</f>
        <v>0</v>
      </c>
      <c r="G43" s="216">
        <f>'ADJ DETAIL-INPUT'!G43</f>
        <v>0</v>
      </c>
      <c r="H43" s="216">
        <f>'ADJ DETAIL-INPUT'!H43</f>
        <v>0</v>
      </c>
      <c r="I43" s="216">
        <f>'ADJ DETAIL-INPUT'!I43</f>
        <v>0</v>
      </c>
      <c r="J43" s="216">
        <f>'ADJ DETAIL-INPUT'!J43</f>
        <v>0</v>
      </c>
      <c r="K43" s="216">
        <f>'ADJ DETAIL-INPUT'!K43</f>
        <v>0</v>
      </c>
      <c r="L43" s="216">
        <f>'ADJ DETAIL-INPUT'!L43</f>
        <v>0</v>
      </c>
      <c r="M43" s="216">
        <f>'ADJ DETAIL-INPUT'!M43</f>
        <v>0</v>
      </c>
      <c r="N43" s="216">
        <f>'ADJ DETAIL-INPUT'!N43</f>
        <v>0</v>
      </c>
      <c r="O43" s="216">
        <f>'ADJ DETAIL-INPUT'!O43</f>
        <v>0</v>
      </c>
      <c r="P43" s="216">
        <f>'ADJ DETAIL-INPUT'!P43</f>
        <v>0</v>
      </c>
      <c r="Q43" s="216">
        <f>'ADJ DETAIL-INPUT'!Q43</f>
        <v>0</v>
      </c>
      <c r="R43" s="216">
        <f>'ADJ DETAIL-INPUT'!R43</f>
        <v>0</v>
      </c>
      <c r="S43" s="216">
        <f>'ADJ DETAIL-INPUT'!S43</f>
        <v>0</v>
      </c>
      <c r="T43" s="216">
        <f>'ADJ DETAIL-INPUT'!T43</f>
        <v>0</v>
      </c>
      <c r="U43" s="216">
        <f>'ADJ DETAIL-INPUT'!U43</f>
        <v>0</v>
      </c>
      <c r="V43" s="216">
        <f>'ADJ DETAIL-INPUT'!V43</f>
        <v>0</v>
      </c>
      <c r="W43" s="216">
        <f>'ADJ DETAIL-INPUT'!W43</f>
        <v>0</v>
      </c>
      <c r="X43" s="216">
        <f>'ADJ DETAIL-INPUT'!X43</f>
        <v>0</v>
      </c>
    </row>
    <row r="44" spans="1:24" s="18" customFormat="1">
      <c r="A44" s="16">
        <f>'ADJ DETAIL-INPUT'!A44</f>
        <v>23</v>
      </c>
      <c r="B44" s="18" t="str">
        <f>'ADJ DETAIL-INPUT'!B44</f>
        <v xml:space="preserve">Total Admin. &amp; General  </v>
      </c>
      <c r="E44" s="276">
        <f>'ADJ DETAIL-INPUT'!E44</f>
        <v>62931</v>
      </c>
      <c r="F44" s="177">
        <f>'ADJ DETAIL-INPUT'!F44</f>
        <v>0</v>
      </c>
      <c r="G44" s="177">
        <f>'ADJ DETAIL-INPUT'!G44</f>
        <v>0</v>
      </c>
      <c r="H44" s="177">
        <f>'ADJ DETAIL-INPUT'!H44</f>
        <v>0</v>
      </c>
      <c r="I44" s="177">
        <f>'ADJ DETAIL-INPUT'!I44</f>
        <v>0</v>
      </c>
      <c r="J44" s="177">
        <f>'ADJ DETAIL-INPUT'!J44</f>
        <v>0</v>
      </c>
      <c r="K44" s="177">
        <f>'ADJ DETAIL-INPUT'!K44</f>
        <v>0</v>
      </c>
      <c r="L44" s="177">
        <f>'ADJ DETAIL-INPUT'!L44</f>
        <v>-79</v>
      </c>
      <c r="M44" s="177">
        <f>'ADJ DETAIL-INPUT'!M44</f>
        <v>153</v>
      </c>
      <c r="N44" s="177">
        <f>'ADJ DETAIL-INPUT'!N44</f>
        <v>0</v>
      </c>
      <c r="O44" s="177">
        <f>'ADJ DETAIL-INPUT'!O44</f>
        <v>-10</v>
      </c>
      <c r="P44" s="177">
        <f>'ADJ DETAIL-INPUT'!P44</f>
        <v>0</v>
      </c>
      <c r="Q44" s="177">
        <f>'ADJ DETAIL-INPUT'!Q44</f>
        <v>0</v>
      </c>
      <c r="R44" s="177">
        <f>'ADJ DETAIL-INPUT'!R44</f>
        <v>-5</v>
      </c>
      <c r="S44" s="177">
        <f>'ADJ DETAIL-INPUT'!S44</f>
        <v>-19</v>
      </c>
      <c r="T44" s="177">
        <f>'ADJ DETAIL-INPUT'!T44</f>
        <v>168</v>
      </c>
      <c r="U44" s="177">
        <f>'ADJ DETAIL-INPUT'!U44</f>
        <v>18</v>
      </c>
      <c r="V44" s="177">
        <f>'ADJ DETAIL-INPUT'!V44</f>
        <v>0</v>
      </c>
      <c r="W44" s="177">
        <f>'ADJ DETAIL-INPUT'!W44</f>
        <v>0</v>
      </c>
      <c r="X44" s="177">
        <f>'ADJ DETAIL-INPUT'!X44</f>
        <v>0</v>
      </c>
    </row>
    <row r="45" spans="1:24" s="18" customFormat="1">
      <c r="A45" s="16">
        <f>'ADJ DETAIL-INPUT'!A45</f>
        <v>24</v>
      </c>
      <c r="B45" s="18" t="str">
        <f>'ADJ DETAIL-INPUT'!B45</f>
        <v xml:space="preserve">Total Electric Expenses  </v>
      </c>
      <c r="E45" s="276">
        <f>'ADJ DETAIL-INPUT'!E45</f>
        <v>537560</v>
      </c>
      <c r="F45" s="177">
        <f>'ADJ DETAIL-INPUT'!F45</f>
        <v>0</v>
      </c>
      <c r="G45" s="177">
        <f>'ADJ DETAIL-INPUT'!G45</f>
        <v>66</v>
      </c>
      <c r="H45" s="177">
        <f>'ADJ DETAIL-INPUT'!H45</f>
        <v>0</v>
      </c>
      <c r="I45" s="177">
        <f>'ADJ DETAIL-INPUT'!I45</f>
        <v>-17602</v>
      </c>
      <c r="J45" s="177">
        <f>'ADJ DETAIL-INPUT'!J45</f>
        <v>108</v>
      </c>
      <c r="K45" s="177">
        <f>'ADJ DETAIL-INPUT'!K45</f>
        <v>922</v>
      </c>
      <c r="L45" s="177">
        <f>'ADJ DETAIL-INPUT'!L45</f>
        <v>-79</v>
      </c>
      <c r="M45" s="177">
        <f>'ADJ DETAIL-INPUT'!M45</f>
        <v>153</v>
      </c>
      <c r="N45" s="177">
        <f>'ADJ DETAIL-INPUT'!N45</f>
        <v>0</v>
      </c>
      <c r="O45" s="177">
        <f>'ADJ DETAIL-INPUT'!O45</f>
        <v>-10</v>
      </c>
      <c r="P45" s="177">
        <f>'ADJ DETAIL-INPUT'!P45</f>
        <v>-273</v>
      </c>
      <c r="Q45" s="177">
        <f>'ADJ DETAIL-INPUT'!Q45</f>
        <v>-93</v>
      </c>
      <c r="R45" s="177">
        <f>'ADJ DETAIL-INPUT'!R45</f>
        <v>-108</v>
      </c>
      <c r="S45" s="177">
        <f>'ADJ DETAIL-INPUT'!S45</f>
        <v>-9308</v>
      </c>
      <c r="T45" s="177">
        <f>'ADJ DETAIL-INPUT'!T45</f>
        <v>165</v>
      </c>
      <c r="U45" s="177">
        <f>'ADJ DETAIL-INPUT'!U45</f>
        <v>4691</v>
      </c>
      <c r="V45" s="177">
        <f>'ADJ DETAIL-INPUT'!V45</f>
        <v>10</v>
      </c>
      <c r="W45" s="177">
        <f>'ADJ DETAIL-INPUT'!W45</f>
        <v>0</v>
      </c>
      <c r="X45" s="177">
        <f>'ADJ DETAIL-INPUT'!X45</f>
        <v>-88234</v>
      </c>
    </row>
    <row r="46" spans="1:24" s="18" customFormat="1" ht="6.75" customHeight="1">
      <c r="E46" s="99"/>
      <c r="F46" s="161"/>
      <c r="G46" s="161"/>
      <c r="H46" s="161"/>
      <c r="I46" s="161"/>
      <c r="J46" s="161"/>
      <c r="K46" s="161"/>
      <c r="L46" s="161"/>
      <c r="M46" s="161"/>
      <c r="N46" s="161"/>
      <c r="O46" s="161"/>
      <c r="P46" s="161"/>
      <c r="Q46" s="161"/>
      <c r="R46" s="161"/>
      <c r="S46" s="161"/>
      <c r="T46" s="161"/>
      <c r="U46" s="161"/>
      <c r="V46" s="161"/>
      <c r="W46" s="161"/>
      <c r="X46" s="161"/>
    </row>
    <row r="47" spans="1:24" s="18" customFormat="1">
      <c r="A47" s="16">
        <f>'ADJ DETAIL-INPUT'!A47</f>
        <v>25</v>
      </c>
      <c r="B47" s="18" t="str">
        <f>'ADJ DETAIL-INPUT'!B47</f>
        <v xml:space="preserve">OPERATING INCOME BEFORE FIT  </v>
      </c>
      <c r="E47" s="99">
        <f>'ADJ DETAIL-INPUT'!E47</f>
        <v>143387</v>
      </c>
      <c r="F47" s="161">
        <f>'ADJ DETAIL-INPUT'!F47</f>
        <v>0</v>
      </c>
      <c r="G47" s="161">
        <f>'ADJ DETAIL-INPUT'!G47</f>
        <v>-66</v>
      </c>
      <c r="H47" s="161">
        <f>'ADJ DETAIL-INPUT'!H47</f>
        <v>0</v>
      </c>
      <c r="I47" s="161">
        <f>'ADJ DETAIL-INPUT'!I47</f>
        <v>-96</v>
      </c>
      <c r="J47" s="161">
        <f>'ADJ DETAIL-INPUT'!J47</f>
        <v>-108</v>
      </c>
      <c r="K47" s="161">
        <f>'ADJ DETAIL-INPUT'!K47</f>
        <v>-922</v>
      </c>
      <c r="L47" s="161">
        <f>'ADJ DETAIL-INPUT'!L47</f>
        <v>79</v>
      </c>
      <c r="M47" s="161">
        <f>'ADJ DETAIL-INPUT'!M47</f>
        <v>-153</v>
      </c>
      <c r="N47" s="161">
        <f>'ADJ DETAIL-INPUT'!N47</f>
        <v>0</v>
      </c>
      <c r="O47" s="161">
        <f>'ADJ DETAIL-INPUT'!O47</f>
        <v>10</v>
      </c>
      <c r="P47" s="161">
        <f>'ADJ DETAIL-INPUT'!P47</f>
        <v>273</v>
      </c>
      <c r="Q47" s="161">
        <f>'ADJ DETAIL-INPUT'!Q47</f>
        <v>93</v>
      </c>
      <c r="R47" s="161">
        <f>'ADJ DETAIL-INPUT'!R47</f>
        <v>-2237</v>
      </c>
      <c r="S47" s="161">
        <f>'ADJ DETAIL-INPUT'!S47</f>
        <v>0</v>
      </c>
      <c r="T47" s="161">
        <f>'ADJ DETAIL-INPUT'!T47</f>
        <v>-165</v>
      </c>
      <c r="U47" s="161">
        <f>'ADJ DETAIL-INPUT'!U47</f>
        <v>4186</v>
      </c>
      <c r="V47" s="161">
        <f>'ADJ DETAIL-INPUT'!V47</f>
        <v>-10</v>
      </c>
      <c r="W47" s="161">
        <f>'ADJ DETAIL-INPUT'!W47</f>
        <v>0</v>
      </c>
      <c r="X47" s="161">
        <f>'ADJ DETAIL-INPUT'!X47</f>
        <v>-4784</v>
      </c>
    </row>
    <row r="48" spans="1:24" s="18" customFormat="1" ht="6.75" customHeight="1">
      <c r="A48" s="16"/>
      <c r="E48" s="99"/>
      <c r="F48" s="161"/>
      <c r="G48" s="161"/>
      <c r="H48" s="161"/>
      <c r="I48" s="161"/>
      <c r="J48" s="161"/>
      <c r="K48" s="161"/>
      <c r="L48" s="161"/>
      <c r="M48" s="161"/>
      <c r="N48" s="161"/>
      <c r="O48" s="161"/>
      <c r="P48" s="161"/>
      <c r="Q48" s="161"/>
      <c r="R48" s="161"/>
      <c r="S48" s="161"/>
      <c r="T48" s="161"/>
      <c r="U48" s="161"/>
      <c r="V48" s="161"/>
      <c r="W48" s="161"/>
      <c r="X48" s="161"/>
    </row>
    <row r="49" spans="1:24" s="18" customFormat="1">
      <c r="A49" s="21"/>
      <c r="B49" s="18" t="str">
        <f>'ADJ DETAIL-INPUT'!B49</f>
        <v xml:space="preserve">FEDERAL INCOME TAX  </v>
      </c>
      <c r="E49" s="99">
        <f>'ADJ DETAIL-INPUT'!E49</f>
        <v>0</v>
      </c>
      <c r="F49" s="161">
        <f>'ADJ DETAIL-INPUT'!F49</f>
        <v>0</v>
      </c>
      <c r="G49" s="161">
        <f>'ADJ DETAIL-INPUT'!G49</f>
        <v>0</v>
      </c>
      <c r="H49" s="161">
        <f>'ADJ DETAIL-INPUT'!H49</f>
        <v>0</v>
      </c>
      <c r="I49" s="161">
        <f>'ADJ DETAIL-INPUT'!I49</f>
        <v>0</v>
      </c>
      <c r="J49" s="161">
        <f>'ADJ DETAIL-INPUT'!J49</f>
        <v>0</v>
      </c>
      <c r="K49" s="161">
        <f>'ADJ DETAIL-INPUT'!K49</f>
        <v>0</v>
      </c>
      <c r="L49" s="161">
        <f>'ADJ DETAIL-INPUT'!L49</f>
        <v>0</v>
      </c>
      <c r="M49" s="161">
        <f>'ADJ DETAIL-INPUT'!M49</f>
        <v>0</v>
      </c>
      <c r="N49" s="161">
        <f>'ADJ DETAIL-INPUT'!N49</f>
        <v>0</v>
      </c>
      <c r="O49" s="161">
        <f>'ADJ DETAIL-INPUT'!O49</f>
        <v>0</v>
      </c>
      <c r="P49" s="161">
        <f>'ADJ DETAIL-INPUT'!P49</f>
        <v>0</v>
      </c>
      <c r="Q49" s="161">
        <f>'ADJ DETAIL-INPUT'!Q49</f>
        <v>0</v>
      </c>
      <c r="R49" s="161">
        <f>'ADJ DETAIL-INPUT'!R49</f>
        <v>0</v>
      </c>
      <c r="S49" s="161">
        <f>'ADJ DETAIL-INPUT'!S49</f>
        <v>0</v>
      </c>
      <c r="T49" s="161">
        <f>'ADJ DETAIL-INPUT'!T49</f>
        <v>0</v>
      </c>
      <c r="U49" s="161">
        <f>'ADJ DETAIL-INPUT'!U49</f>
        <v>0</v>
      </c>
      <c r="V49" s="161">
        <f>'ADJ DETAIL-INPUT'!V49</f>
        <v>0</v>
      </c>
      <c r="W49" s="161">
        <f>'ADJ DETAIL-INPUT'!W49</f>
        <v>0</v>
      </c>
      <c r="X49" s="161">
        <f>'ADJ DETAIL-INPUT'!X49</f>
        <v>0</v>
      </c>
    </row>
    <row r="50" spans="1:24" s="18" customFormat="1">
      <c r="A50" s="181">
        <f>'ADJ DETAIL-INPUT'!A50</f>
        <v>26</v>
      </c>
      <c r="B50" s="18" t="str">
        <f>'ADJ DETAIL-INPUT'!B50</f>
        <v xml:space="preserve">Current Accrual </v>
      </c>
      <c r="E50" s="134">
        <f>'ADJ DETAIL-INPUT'!E50</f>
        <v>-5289</v>
      </c>
      <c r="F50" s="161">
        <f>'ADJ DETAIL-INPUT'!F50</f>
        <v>0</v>
      </c>
      <c r="G50" s="161">
        <f>'ADJ DETAIL-INPUT'!G50</f>
        <v>-23.099999999999998</v>
      </c>
      <c r="H50" s="161">
        <f>'ADJ DETAIL-INPUT'!H50</f>
        <v>0</v>
      </c>
      <c r="I50" s="161">
        <f>'ADJ DETAIL-INPUT'!I50</f>
        <v>-33.599999999999994</v>
      </c>
      <c r="J50" s="161">
        <f>'ADJ DETAIL-INPUT'!J50</f>
        <v>-37.799999999999997</v>
      </c>
      <c r="K50" s="161">
        <f>'ADJ DETAIL-INPUT'!K50</f>
        <v>-322.7</v>
      </c>
      <c r="L50" s="161">
        <f>'ADJ DETAIL-INPUT'!L50</f>
        <v>27.65</v>
      </c>
      <c r="M50" s="161">
        <f>'ADJ DETAIL-INPUT'!M50</f>
        <v>-53.55</v>
      </c>
      <c r="N50" s="161">
        <f>'ADJ DETAIL-INPUT'!N50</f>
        <v>0</v>
      </c>
      <c r="O50" s="161">
        <f>'ADJ DETAIL-INPUT'!O50</f>
        <v>3.5</v>
      </c>
      <c r="P50" s="161">
        <f>'ADJ DETAIL-INPUT'!P50</f>
        <v>95.55</v>
      </c>
      <c r="Q50" s="161">
        <f>'ADJ DETAIL-INPUT'!Q50</f>
        <v>32.549999999999997</v>
      </c>
      <c r="R50" s="161">
        <f>'ADJ DETAIL-INPUT'!R50</f>
        <v>-782.94999999999993</v>
      </c>
      <c r="S50" s="161">
        <f>'ADJ DETAIL-INPUT'!S50</f>
        <v>0</v>
      </c>
      <c r="T50" s="161">
        <f>'ADJ DETAIL-INPUT'!T50</f>
        <v>-57.749999999999993</v>
      </c>
      <c r="U50" s="161">
        <f>'ADJ DETAIL-INPUT'!U50</f>
        <v>0</v>
      </c>
      <c r="V50" s="161">
        <f>'ADJ DETAIL-INPUT'!V50</f>
        <v>-3.5</v>
      </c>
      <c r="W50" s="161">
        <f>'ADJ DETAIL-INPUT'!W50</f>
        <v>436</v>
      </c>
      <c r="X50" s="161">
        <f>'ADJ DETAIL-INPUT'!X50</f>
        <v>-1674.3999999999999</v>
      </c>
    </row>
    <row r="51" spans="1:24" s="99" customFormat="1">
      <c r="A51" s="16">
        <f>'ADJ DETAIL-INPUT'!A51</f>
        <v>27</v>
      </c>
      <c r="B51" s="99" t="str">
        <f>'ADJ DETAIL-INPUT'!B51</f>
        <v>Debt Interest</v>
      </c>
      <c r="E51" s="134">
        <f>'ADJ DETAIL-INPUT'!E51</f>
        <v>0</v>
      </c>
      <c r="F51" s="162">
        <f>'ADJ DETAIL-INPUT'!F51</f>
        <v>78.839033000000001</v>
      </c>
      <c r="G51" s="162">
        <f>'ADJ DETAIL-INPUT'!G51</f>
        <v>0</v>
      </c>
      <c r="H51" s="162">
        <f>'ADJ DETAIL-INPUT'!H51</f>
        <v>-215.33445499999996</v>
      </c>
      <c r="I51" s="162">
        <f>'ADJ DETAIL-INPUT'!I51</f>
        <v>0</v>
      </c>
      <c r="J51" s="162">
        <f>'ADJ DETAIL-INPUT'!J51</f>
        <v>0</v>
      </c>
      <c r="K51" s="162">
        <f>'ADJ DETAIL-INPUT'!K51</f>
        <v>0</v>
      </c>
      <c r="L51" s="162">
        <f>'ADJ DETAIL-INPUT'!L51</f>
        <v>0</v>
      </c>
      <c r="M51" s="162">
        <f>'ADJ DETAIL-INPUT'!M51</f>
        <v>0</v>
      </c>
      <c r="N51" s="162">
        <f>'ADJ DETAIL-INPUT'!N51</f>
        <v>0</v>
      </c>
      <c r="O51" s="162">
        <f>'ADJ DETAIL-INPUT'!O51</f>
        <v>0</v>
      </c>
      <c r="P51" s="162">
        <f>'ADJ DETAIL-INPUT'!P51</f>
        <v>0</v>
      </c>
      <c r="Q51" s="162">
        <f>'ADJ DETAIL-INPUT'!Q51</f>
        <v>0</v>
      </c>
      <c r="R51" s="162">
        <f>'ADJ DETAIL-INPUT'!R51</f>
        <v>0</v>
      </c>
      <c r="S51" s="162">
        <f>'ADJ DETAIL-INPUT'!S51</f>
        <v>0</v>
      </c>
      <c r="T51" s="162">
        <f>'ADJ DETAIL-INPUT'!T51</f>
        <v>0</v>
      </c>
      <c r="U51" s="162">
        <f>'ADJ DETAIL-INPUT'!U51</f>
        <v>0</v>
      </c>
      <c r="V51" s="162">
        <f>'ADJ DETAIL-INPUT'!V51</f>
        <v>0</v>
      </c>
      <c r="W51" s="162">
        <f>'ADJ DETAIL-INPUT'!W51</f>
        <v>0</v>
      </c>
      <c r="X51" s="162">
        <f>'ADJ DETAIL-INPUT'!X51</f>
        <v>0</v>
      </c>
    </row>
    <row r="52" spans="1:24" s="18" customFormat="1">
      <c r="A52" s="16">
        <f>'ADJ DETAIL-INPUT'!A52</f>
        <v>28</v>
      </c>
      <c r="B52" s="18" t="str">
        <f>'ADJ DETAIL-INPUT'!B52</f>
        <v xml:space="preserve">Deferred Income Taxes  </v>
      </c>
      <c r="E52" s="134">
        <f>'ADJ DETAIL-INPUT'!E52</f>
        <v>44620</v>
      </c>
      <c r="F52" s="214">
        <f>'ADJ DETAIL-INPUT'!F52</f>
        <v>0</v>
      </c>
      <c r="G52" s="214">
        <f>'ADJ DETAIL-INPUT'!G52</f>
        <v>0</v>
      </c>
      <c r="H52" s="214">
        <f>'ADJ DETAIL-INPUT'!H52</f>
        <v>0</v>
      </c>
      <c r="I52" s="214">
        <f>'ADJ DETAIL-INPUT'!I52</f>
        <v>0</v>
      </c>
      <c r="J52" s="214">
        <f>'ADJ DETAIL-INPUT'!J52</f>
        <v>0</v>
      </c>
      <c r="K52" s="214">
        <f>'ADJ DETAIL-INPUT'!K52</f>
        <v>0</v>
      </c>
      <c r="L52" s="214">
        <f>'ADJ DETAIL-INPUT'!L52</f>
        <v>0</v>
      </c>
      <c r="M52" s="214">
        <f>'ADJ DETAIL-INPUT'!M52</f>
        <v>0</v>
      </c>
      <c r="N52" s="214">
        <f>'ADJ DETAIL-INPUT'!N52</f>
        <v>0</v>
      </c>
      <c r="O52" s="214">
        <f>'ADJ DETAIL-INPUT'!O52</f>
        <v>0</v>
      </c>
      <c r="P52" s="214">
        <f>'ADJ DETAIL-INPUT'!P52</f>
        <v>0</v>
      </c>
      <c r="Q52" s="214">
        <f>'ADJ DETAIL-INPUT'!Q52</f>
        <v>0</v>
      </c>
      <c r="R52" s="214">
        <f>'ADJ DETAIL-INPUT'!R52</f>
        <v>0</v>
      </c>
      <c r="S52" s="214">
        <f>'ADJ DETAIL-INPUT'!S52</f>
        <v>0</v>
      </c>
      <c r="T52" s="214">
        <f>'ADJ DETAIL-INPUT'!T52</f>
        <v>0</v>
      </c>
      <c r="U52" s="214">
        <f>'ADJ DETAIL-INPUT'!U52</f>
        <v>1465.1</v>
      </c>
      <c r="V52" s="214">
        <f>'ADJ DETAIL-INPUT'!V52</f>
        <v>0</v>
      </c>
      <c r="W52" s="214">
        <f>'ADJ DETAIL-INPUT'!W52</f>
        <v>0</v>
      </c>
      <c r="X52" s="214">
        <f>'ADJ DETAIL-INPUT'!X52</f>
        <v>0</v>
      </c>
    </row>
    <row r="53" spans="1:24" s="18" customFormat="1">
      <c r="A53" s="21">
        <f>'ADJ DETAIL-INPUT'!A53</f>
        <v>29</v>
      </c>
      <c r="B53" s="18" t="str">
        <f>'ADJ DETAIL-INPUT'!B53</f>
        <v>Amortized ITC - Noxon</v>
      </c>
      <c r="E53" s="276">
        <f>'ADJ DETAIL-INPUT'!E53</f>
        <v>-127</v>
      </c>
      <c r="F53" s="216">
        <f>'ADJ DETAIL-INPUT'!F53</f>
        <v>0</v>
      </c>
      <c r="G53" s="216">
        <f>'ADJ DETAIL-INPUT'!G53</f>
        <v>0</v>
      </c>
      <c r="H53" s="216">
        <f>'ADJ DETAIL-INPUT'!H53</f>
        <v>0</v>
      </c>
      <c r="I53" s="216">
        <f>'ADJ DETAIL-INPUT'!I53</f>
        <v>0</v>
      </c>
      <c r="J53" s="216">
        <f>'ADJ DETAIL-INPUT'!J53</f>
        <v>0</v>
      </c>
      <c r="K53" s="216">
        <f>'ADJ DETAIL-INPUT'!K53</f>
        <v>0</v>
      </c>
      <c r="L53" s="216">
        <f>'ADJ DETAIL-INPUT'!L53</f>
        <v>0</v>
      </c>
      <c r="M53" s="216">
        <f>'ADJ DETAIL-INPUT'!M53</f>
        <v>0</v>
      </c>
      <c r="N53" s="216">
        <f>'ADJ DETAIL-INPUT'!N53</f>
        <v>-1</v>
      </c>
      <c r="O53" s="216">
        <f>'ADJ DETAIL-INPUT'!O53</f>
        <v>0</v>
      </c>
      <c r="P53" s="216">
        <f>'ADJ DETAIL-INPUT'!P53</f>
        <v>0</v>
      </c>
      <c r="Q53" s="216">
        <f>'ADJ DETAIL-INPUT'!Q53</f>
        <v>0</v>
      </c>
      <c r="R53" s="216">
        <f>'ADJ DETAIL-INPUT'!R53</f>
        <v>0</v>
      </c>
      <c r="S53" s="216">
        <f>'ADJ DETAIL-INPUT'!S53</f>
        <v>0</v>
      </c>
      <c r="T53" s="216">
        <f>'ADJ DETAIL-INPUT'!T53</f>
        <v>0</v>
      </c>
      <c r="U53" s="216">
        <f>'ADJ DETAIL-INPUT'!U53</f>
        <v>0</v>
      </c>
      <c r="V53" s="216">
        <f>'ADJ DETAIL-INPUT'!V53</f>
        <v>0</v>
      </c>
      <c r="W53" s="216">
        <f>'ADJ DETAIL-INPUT'!W53</f>
        <v>0</v>
      </c>
      <c r="X53" s="216">
        <f>'ADJ DETAIL-INPUT'!X53</f>
        <v>0</v>
      </c>
    </row>
    <row r="54" spans="1:24" ht="6.75" customHeight="1"/>
    <row r="55" spans="1:24" s="17" customFormat="1" ht="12.75" thickBot="1">
      <c r="A55" s="20">
        <f>'ADJ DETAIL-INPUT'!A55</f>
        <v>30</v>
      </c>
      <c r="B55" s="17" t="str">
        <f>'ADJ DETAIL-INPUT'!B55</f>
        <v xml:space="preserve">NET OPERATING INCOME  </v>
      </c>
      <c r="E55" s="277">
        <f>'ADJ DETAIL-INPUT'!E55</f>
        <v>104183</v>
      </c>
      <c r="F55" s="280">
        <f>'ADJ DETAIL-INPUT'!F55</f>
        <v>-78.839033000000001</v>
      </c>
      <c r="G55" s="280">
        <f>'ADJ DETAIL-INPUT'!G55</f>
        <v>-42.900000000000006</v>
      </c>
      <c r="H55" s="280">
        <f>'ADJ DETAIL-INPUT'!H55</f>
        <v>215.33445499999996</v>
      </c>
      <c r="I55" s="280">
        <f>'ADJ DETAIL-INPUT'!I55</f>
        <v>-62.400000000000006</v>
      </c>
      <c r="J55" s="280">
        <f>'ADJ DETAIL-INPUT'!J55</f>
        <v>-70.2</v>
      </c>
      <c r="K55" s="280">
        <f>'ADJ DETAIL-INPUT'!K55</f>
        <v>-599.29999999999995</v>
      </c>
      <c r="L55" s="280">
        <f>'ADJ DETAIL-INPUT'!L55</f>
        <v>51.35</v>
      </c>
      <c r="M55" s="280">
        <f>'ADJ DETAIL-INPUT'!M55</f>
        <v>-99.45</v>
      </c>
      <c r="N55" s="280">
        <f>'ADJ DETAIL-INPUT'!N55</f>
        <v>1</v>
      </c>
      <c r="O55" s="280">
        <f>'ADJ DETAIL-INPUT'!O55</f>
        <v>6.5</v>
      </c>
      <c r="P55" s="280">
        <f>'ADJ DETAIL-INPUT'!P55</f>
        <v>177.45</v>
      </c>
      <c r="Q55" s="280">
        <f>'ADJ DETAIL-INPUT'!Q55</f>
        <v>60.45</v>
      </c>
      <c r="R55" s="280">
        <f>'ADJ DETAIL-INPUT'!R55</f>
        <v>-1454.0500000000002</v>
      </c>
      <c r="S55" s="280">
        <f>'ADJ DETAIL-INPUT'!S55</f>
        <v>0</v>
      </c>
      <c r="T55" s="280">
        <f>'ADJ DETAIL-INPUT'!T55</f>
        <v>-107.25</v>
      </c>
      <c r="U55" s="280">
        <f>'ADJ DETAIL-INPUT'!U55</f>
        <v>2720.9</v>
      </c>
      <c r="V55" s="280">
        <f>'ADJ DETAIL-INPUT'!V55</f>
        <v>-6.5</v>
      </c>
      <c r="W55" s="280">
        <f>'ADJ DETAIL-INPUT'!W55</f>
        <v>-436</v>
      </c>
      <c r="X55" s="280">
        <f>'ADJ DETAIL-INPUT'!X55</f>
        <v>-3109.6000000000004</v>
      </c>
    </row>
    <row r="56" spans="1:24" ht="8.25" customHeight="1" thickTop="1">
      <c r="A56" s="20"/>
    </row>
    <row r="57" spans="1:24">
      <c r="A57" s="20"/>
      <c r="B57" s="2" t="str">
        <f>'ADJ DETAIL-INPUT'!B57</f>
        <v xml:space="preserve">RATE BASE  </v>
      </c>
    </row>
    <row r="58" spans="1:24">
      <c r="B58" s="2" t="str">
        <f>'ADJ DETAIL-INPUT'!B58</f>
        <v xml:space="preserve">PLANT IN SERVICE  </v>
      </c>
    </row>
    <row r="59" spans="1:24" s="17" customFormat="1">
      <c r="A59" s="248">
        <f>'ADJ DETAIL-INPUT'!A59</f>
        <v>31</v>
      </c>
      <c r="C59" s="17" t="str">
        <f>'ADJ DETAIL-INPUT'!C59</f>
        <v xml:space="preserve">Intangible  </v>
      </c>
      <c r="E59" s="158">
        <f>'ADJ DETAIL-INPUT'!E59</f>
        <v>102620</v>
      </c>
      <c r="F59" s="278">
        <f>'ADJ DETAIL-INPUT'!F59</f>
        <v>0</v>
      </c>
      <c r="G59" s="278">
        <f>'ADJ DETAIL-INPUT'!G59</f>
        <v>0</v>
      </c>
      <c r="H59" s="278">
        <f>'ADJ DETAIL-INPUT'!H59</f>
        <v>0</v>
      </c>
      <c r="I59" s="278">
        <f>'ADJ DETAIL-INPUT'!I59</f>
        <v>0</v>
      </c>
      <c r="J59" s="278">
        <f>'ADJ DETAIL-INPUT'!J59</f>
        <v>0</v>
      </c>
      <c r="K59" s="278">
        <f>'ADJ DETAIL-INPUT'!K59</f>
        <v>0</v>
      </c>
      <c r="L59" s="278">
        <f>'ADJ DETAIL-INPUT'!L59</f>
        <v>0</v>
      </c>
      <c r="M59" s="278">
        <f>'ADJ DETAIL-INPUT'!M59</f>
        <v>0</v>
      </c>
      <c r="N59" s="278">
        <f>'ADJ DETAIL-INPUT'!N59</f>
        <v>0</v>
      </c>
      <c r="O59" s="278">
        <f>'ADJ DETAIL-INPUT'!O59</f>
        <v>0</v>
      </c>
      <c r="P59" s="278">
        <f>'ADJ DETAIL-INPUT'!P59</f>
        <v>0</v>
      </c>
      <c r="Q59" s="278">
        <f>'ADJ DETAIL-INPUT'!Q59</f>
        <v>0</v>
      </c>
      <c r="R59" s="278">
        <f>'ADJ DETAIL-INPUT'!R59</f>
        <v>0</v>
      </c>
      <c r="S59" s="278">
        <f>'ADJ DETAIL-INPUT'!S59</f>
        <v>0</v>
      </c>
      <c r="T59" s="278">
        <f>'ADJ DETAIL-INPUT'!T59</f>
        <v>0</v>
      </c>
      <c r="U59" s="278">
        <f>'ADJ DETAIL-INPUT'!U59</f>
        <v>0</v>
      </c>
      <c r="V59" s="278">
        <f>'ADJ DETAIL-INPUT'!V59</f>
        <v>0</v>
      </c>
      <c r="W59" s="278">
        <f>'ADJ DETAIL-INPUT'!W59</f>
        <v>0</v>
      </c>
      <c r="X59" s="278">
        <f>'ADJ DETAIL-INPUT'!X59</f>
        <v>0</v>
      </c>
    </row>
    <row r="60" spans="1:24" s="18" customFormat="1">
      <c r="A60" s="20">
        <f>'ADJ DETAIL-INPUT'!A60</f>
        <v>32</v>
      </c>
      <c r="C60" s="18" t="str">
        <f>'ADJ DETAIL-INPUT'!C60</f>
        <v xml:space="preserve">Production  </v>
      </c>
      <c r="E60" s="134">
        <f>'ADJ DETAIL-INPUT'!E60</f>
        <v>746101</v>
      </c>
      <c r="F60" s="214">
        <f>'ADJ DETAIL-INPUT'!F60</f>
        <v>0</v>
      </c>
      <c r="G60" s="214">
        <f>'ADJ DETAIL-INPUT'!G60</f>
        <v>0</v>
      </c>
      <c r="H60" s="214">
        <f>'ADJ DETAIL-INPUT'!H60</f>
        <v>0</v>
      </c>
      <c r="I60" s="214">
        <f>'ADJ DETAIL-INPUT'!I60</f>
        <v>0</v>
      </c>
      <c r="J60" s="214">
        <f>'ADJ DETAIL-INPUT'!J60</f>
        <v>0</v>
      </c>
      <c r="K60" s="214">
        <f>'ADJ DETAIL-INPUT'!K60</f>
        <v>0</v>
      </c>
      <c r="L60" s="214">
        <f>'ADJ DETAIL-INPUT'!L60</f>
        <v>0</v>
      </c>
      <c r="M60" s="214">
        <f>'ADJ DETAIL-INPUT'!M60</f>
        <v>0</v>
      </c>
      <c r="N60" s="214">
        <f>'ADJ DETAIL-INPUT'!N60</f>
        <v>0</v>
      </c>
      <c r="O60" s="214">
        <f>'ADJ DETAIL-INPUT'!O60</f>
        <v>0</v>
      </c>
      <c r="P60" s="214">
        <f>'ADJ DETAIL-INPUT'!P60</f>
        <v>0</v>
      </c>
      <c r="Q60" s="214">
        <f>'ADJ DETAIL-INPUT'!Q60</f>
        <v>0</v>
      </c>
      <c r="R60" s="214">
        <f>'ADJ DETAIL-INPUT'!R60</f>
        <v>0</v>
      </c>
      <c r="S60" s="214">
        <f>'ADJ DETAIL-INPUT'!S60</f>
        <v>0</v>
      </c>
      <c r="T60" s="214">
        <f>'ADJ DETAIL-INPUT'!T60</f>
        <v>0</v>
      </c>
      <c r="U60" s="214">
        <f>'ADJ DETAIL-INPUT'!U60</f>
        <v>0</v>
      </c>
      <c r="V60" s="214">
        <f>'ADJ DETAIL-INPUT'!V60</f>
        <v>0</v>
      </c>
      <c r="W60" s="214">
        <f>'ADJ DETAIL-INPUT'!W60</f>
        <v>0</v>
      </c>
      <c r="X60" s="214">
        <f>'ADJ DETAIL-INPUT'!X60</f>
        <v>0</v>
      </c>
    </row>
    <row r="61" spans="1:24" s="18" customFormat="1">
      <c r="A61" s="20">
        <f>'ADJ DETAIL-INPUT'!A61</f>
        <v>33</v>
      </c>
      <c r="C61" s="18" t="str">
        <f>'ADJ DETAIL-INPUT'!C61</f>
        <v xml:space="preserve">Transmission  </v>
      </c>
      <c r="E61" s="134">
        <f>'ADJ DETAIL-INPUT'!E61</f>
        <v>371971</v>
      </c>
      <c r="F61" s="214">
        <f>'ADJ DETAIL-INPUT'!F61</f>
        <v>0</v>
      </c>
      <c r="G61" s="214">
        <f>'ADJ DETAIL-INPUT'!G61</f>
        <v>0</v>
      </c>
      <c r="H61" s="214">
        <f>'ADJ DETAIL-INPUT'!H61</f>
        <v>0</v>
      </c>
      <c r="I61" s="214">
        <f>'ADJ DETAIL-INPUT'!I61</f>
        <v>0</v>
      </c>
      <c r="J61" s="214">
        <f>'ADJ DETAIL-INPUT'!J61</f>
        <v>0</v>
      </c>
      <c r="K61" s="214">
        <f>'ADJ DETAIL-INPUT'!K61</f>
        <v>0</v>
      </c>
      <c r="L61" s="214">
        <f>'ADJ DETAIL-INPUT'!L61</f>
        <v>0</v>
      </c>
      <c r="M61" s="214">
        <f>'ADJ DETAIL-INPUT'!M61</f>
        <v>0</v>
      </c>
      <c r="N61" s="214">
        <f>'ADJ DETAIL-INPUT'!N61</f>
        <v>0</v>
      </c>
      <c r="O61" s="214">
        <f>'ADJ DETAIL-INPUT'!O61</f>
        <v>0</v>
      </c>
      <c r="P61" s="214">
        <f>'ADJ DETAIL-INPUT'!P61</f>
        <v>0</v>
      </c>
      <c r="Q61" s="214">
        <f>'ADJ DETAIL-INPUT'!Q61</f>
        <v>0</v>
      </c>
      <c r="R61" s="214">
        <f>'ADJ DETAIL-INPUT'!R61</f>
        <v>0</v>
      </c>
      <c r="S61" s="214">
        <f>'ADJ DETAIL-INPUT'!S61</f>
        <v>0</v>
      </c>
      <c r="T61" s="214">
        <f>'ADJ DETAIL-INPUT'!T61</f>
        <v>0</v>
      </c>
      <c r="U61" s="214">
        <f>'ADJ DETAIL-INPUT'!U61</f>
        <v>0</v>
      </c>
      <c r="V61" s="214">
        <f>'ADJ DETAIL-INPUT'!V61</f>
        <v>0</v>
      </c>
      <c r="W61" s="214">
        <f>'ADJ DETAIL-INPUT'!W61</f>
        <v>0</v>
      </c>
      <c r="X61" s="214">
        <f>'ADJ DETAIL-INPUT'!X61</f>
        <v>0</v>
      </c>
    </row>
    <row r="62" spans="1:24" s="18" customFormat="1">
      <c r="A62" s="20">
        <f>'ADJ DETAIL-INPUT'!A62</f>
        <v>34</v>
      </c>
      <c r="C62" s="18" t="str">
        <f>'ADJ DETAIL-INPUT'!C62</f>
        <v xml:space="preserve">Distribution  </v>
      </c>
      <c r="E62" s="134">
        <f>'ADJ DETAIL-INPUT'!E62</f>
        <v>842795</v>
      </c>
      <c r="F62" s="214">
        <f>'ADJ DETAIL-INPUT'!F62</f>
        <v>0</v>
      </c>
      <c r="G62" s="214">
        <f>'ADJ DETAIL-INPUT'!G62</f>
        <v>0</v>
      </c>
      <c r="H62" s="214">
        <f>'ADJ DETAIL-INPUT'!H62</f>
        <v>0</v>
      </c>
      <c r="I62" s="214">
        <f>'ADJ DETAIL-INPUT'!I62</f>
        <v>0</v>
      </c>
      <c r="J62" s="214">
        <f>'ADJ DETAIL-INPUT'!J62</f>
        <v>0</v>
      </c>
      <c r="K62" s="214">
        <f>'ADJ DETAIL-INPUT'!K62</f>
        <v>0</v>
      </c>
      <c r="L62" s="214">
        <f>'ADJ DETAIL-INPUT'!L62</f>
        <v>0</v>
      </c>
      <c r="M62" s="214">
        <f>'ADJ DETAIL-INPUT'!M62</f>
        <v>0</v>
      </c>
      <c r="N62" s="214">
        <f>'ADJ DETAIL-INPUT'!N62</f>
        <v>0</v>
      </c>
      <c r="O62" s="214">
        <f>'ADJ DETAIL-INPUT'!O62</f>
        <v>0</v>
      </c>
      <c r="P62" s="214">
        <f>'ADJ DETAIL-INPUT'!P62</f>
        <v>0</v>
      </c>
      <c r="Q62" s="214">
        <f>'ADJ DETAIL-INPUT'!Q62</f>
        <v>0</v>
      </c>
      <c r="R62" s="214">
        <f>'ADJ DETAIL-INPUT'!R62</f>
        <v>0</v>
      </c>
      <c r="S62" s="214">
        <f>'ADJ DETAIL-INPUT'!S62</f>
        <v>0</v>
      </c>
      <c r="T62" s="214">
        <f>'ADJ DETAIL-INPUT'!T62</f>
        <v>0</v>
      </c>
      <c r="U62" s="214">
        <f>'ADJ DETAIL-INPUT'!U62</f>
        <v>0</v>
      </c>
      <c r="V62" s="214">
        <f>'ADJ DETAIL-INPUT'!V62</f>
        <v>0</v>
      </c>
      <c r="W62" s="214">
        <f>'ADJ DETAIL-INPUT'!W62</f>
        <v>0</v>
      </c>
      <c r="X62" s="214">
        <f>'ADJ DETAIL-INPUT'!X62</f>
        <v>0</v>
      </c>
    </row>
    <row r="63" spans="1:24" s="18" customFormat="1">
      <c r="A63" s="20">
        <f>'ADJ DETAIL-INPUT'!A63</f>
        <v>35</v>
      </c>
      <c r="C63" s="18" t="str">
        <f>'ADJ DETAIL-INPUT'!C63</f>
        <v xml:space="preserve">General  </v>
      </c>
      <c r="E63" s="276">
        <f>'ADJ DETAIL-INPUT'!E63</f>
        <v>196867</v>
      </c>
      <c r="F63" s="216">
        <f>'ADJ DETAIL-INPUT'!F63</f>
        <v>0</v>
      </c>
      <c r="G63" s="216">
        <f>'ADJ DETAIL-INPUT'!G63</f>
        <v>0</v>
      </c>
      <c r="H63" s="216">
        <f>'ADJ DETAIL-INPUT'!H63</f>
        <v>0</v>
      </c>
      <c r="I63" s="216">
        <f>'ADJ DETAIL-INPUT'!I63</f>
        <v>0</v>
      </c>
      <c r="J63" s="216">
        <f>'ADJ DETAIL-INPUT'!J63</f>
        <v>0</v>
      </c>
      <c r="K63" s="216">
        <f>'ADJ DETAIL-INPUT'!K63</f>
        <v>0</v>
      </c>
      <c r="L63" s="216">
        <f>'ADJ DETAIL-INPUT'!L63</f>
        <v>0</v>
      </c>
      <c r="M63" s="216">
        <f>'ADJ DETAIL-INPUT'!M63</f>
        <v>0</v>
      </c>
      <c r="N63" s="216">
        <f>'ADJ DETAIL-INPUT'!N63</f>
        <v>0</v>
      </c>
      <c r="O63" s="216">
        <f>'ADJ DETAIL-INPUT'!O63</f>
        <v>0</v>
      </c>
      <c r="P63" s="216">
        <f>'ADJ DETAIL-INPUT'!P63</f>
        <v>0</v>
      </c>
      <c r="Q63" s="216">
        <f>'ADJ DETAIL-INPUT'!Q63</f>
        <v>0</v>
      </c>
      <c r="R63" s="216">
        <f>'ADJ DETAIL-INPUT'!R63</f>
        <v>0</v>
      </c>
      <c r="S63" s="216">
        <f>'ADJ DETAIL-INPUT'!S63</f>
        <v>0</v>
      </c>
      <c r="T63" s="216">
        <f>'ADJ DETAIL-INPUT'!T63</f>
        <v>0</v>
      </c>
      <c r="U63" s="216">
        <f>'ADJ DETAIL-INPUT'!U63</f>
        <v>0</v>
      </c>
      <c r="V63" s="216">
        <f>'ADJ DETAIL-INPUT'!V63</f>
        <v>0</v>
      </c>
      <c r="W63" s="216">
        <f>'ADJ DETAIL-INPUT'!W63</f>
        <v>0</v>
      </c>
      <c r="X63" s="216">
        <f>'ADJ DETAIL-INPUT'!X63</f>
        <v>0</v>
      </c>
    </row>
    <row r="64" spans="1:24" s="18" customFormat="1">
      <c r="A64" s="20">
        <f>'ADJ DETAIL-INPUT'!A64</f>
        <v>36</v>
      </c>
      <c r="B64" s="18" t="str">
        <f>'ADJ DETAIL-INPUT'!B64</f>
        <v xml:space="preserve">Total Plant in Service  </v>
      </c>
      <c r="E64" s="162">
        <f>'ADJ DETAIL-INPUT'!E64</f>
        <v>2260354</v>
      </c>
      <c r="F64" s="161">
        <f>'ADJ DETAIL-INPUT'!F64</f>
        <v>0</v>
      </c>
      <c r="G64" s="161">
        <f>'ADJ DETAIL-INPUT'!G64</f>
        <v>0</v>
      </c>
      <c r="H64" s="161">
        <f>'ADJ DETAIL-INPUT'!H64</f>
        <v>0</v>
      </c>
      <c r="I64" s="161">
        <f>'ADJ DETAIL-INPUT'!I64</f>
        <v>0</v>
      </c>
      <c r="J64" s="161">
        <f>'ADJ DETAIL-INPUT'!J64</f>
        <v>0</v>
      </c>
      <c r="K64" s="161">
        <f>'ADJ DETAIL-INPUT'!K64</f>
        <v>0</v>
      </c>
      <c r="L64" s="161">
        <f>'ADJ DETAIL-INPUT'!L64</f>
        <v>0</v>
      </c>
      <c r="M64" s="161">
        <f>'ADJ DETAIL-INPUT'!M64</f>
        <v>0</v>
      </c>
      <c r="N64" s="161">
        <f>'ADJ DETAIL-INPUT'!N64</f>
        <v>0</v>
      </c>
      <c r="O64" s="161">
        <f>'ADJ DETAIL-INPUT'!O64</f>
        <v>0</v>
      </c>
      <c r="P64" s="161">
        <f>'ADJ DETAIL-INPUT'!P64</f>
        <v>0</v>
      </c>
      <c r="Q64" s="161">
        <f>'ADJ DETAIL-INPUT'!Q64</f>
        <v>0</v>
      </c>
      <c r="R64" s="161">
        <f>'ADJ DETAIL-INPUT'!R64</f>
        <v>0</v>
      </c>
      <c r="S64" s="161">
        <f>'ADJ DETAIL-INPUT'!S64</f>
        <v>0</v>
      </c>
      <c r="T64" s="161">
        <f>'ADJ DETAIL-INPUT'!T64</f>
        <v>0</v>
      </c>
      <c r="U64" s="161">
        <f>'ADJ DETAIL-INPUT'!U64</f>
        <v>0</v>
      </c>
      <c r="V64" s="161">
        <f>'ADJ DETAIL-INPUT'!V64</f>
        <v>0</v>
      </c>
      <c r="W64" s="161">
        <f>'ADJ DETAIL-INPUT'!W64</f>
        <v>0</v>
      </c>
      <c r="X64" s="161">
        <f>'ADJ DETAIL-INPUT'!X64</f>
        <v>0</v>
      </c>
    </row>
    <row r="65" spans="1:24" s="18" customFormat="1">
      <c r="A65" s="20"/>
      <c r="B65" s="18" t="str">
        <f>'ADJ DETAIL-INPUT'!B65</f>
        <v>ACCUMULATED DEPRECIATION/AMORT</v>
      </c>
      <c r="E65" s="162"/>
      <c r="F65" s="214"/>
      <c r="G65" s="214"/>
      <c r="H65" s="214"/>
      <c r="I65" s="214"/>
      <c r="J65" s="214"/>
      <c r="K65" s="214"/>
      <c r="L65" s="214"/>
      <c r="M65" s="214"/>
      <c r="N65" s="214"/>
      <c r="O65" s="214"/>
      <c r="P65" s="214"/>
      <c r="Q65" s="214"/>
      <c r="R65" s="214"/>
      <c r="S65" s="214"/>
      <c r="T65" s="214"/>
      <c r="U65" s="214"/>
      <c r="V65" s="214"/>
      <c r="W65" s="214"/>
      <c r="X65" s="214"/>
    </row>
    <row r="66" spans="1:24" s="18" customFormat="1">
      <c r="A66" s="20">
        <f>'ADJ DETAIL-INPUT'!A66</f>
        <v>37</v>
      </c>
      <c r="C66" s="17" t="str">
        <f>'ADJ DETAIL-INPUT'!C66</f>
        <v xml:space="preserve">Intangible  </v>
      </c>
      <c r="E66" s="134">
        <f>'ADJ DETAIL-INPUT'!E66</f>
        <v>-20242</v>
      </c>
      <c r="F66" s="214">
        <f>'ADJ DETAIL-INPUT'!F66</f>
        <v>0</v>
      </c>
      <c r="G66" s="214">
        <f>'ADJ DETAIL-INPUT'!G66</f>
        <v>0</v>
      </c>
      <c r="H66" s="214">
        <f>'ADJ DETAIL-INPUT'!H66</f>
        <v>0</v>
      </c>
      <c r="I66" s="214">
        <f>'ADJ DETAIL-INPUT'!I66</f>
        <v>0</v>
      </c>
      <c r="J66" s="214">
        <f>'ADJ DETAIL-INPUT'!J66</f>
        <v>0</v>
      </c>
      <c r="K66" s="214">
        <f>'ADJ DETAIL-INPUT'!K66</f>
        <v>0</v>
      </c>
      <c r="L66" s="214">
        <f>'ADJ DETAIL-INPUT'!L66</f>
        <v>0</v>
      </c>
      <c r="M66" s="214">
        <f>'ADJ DETAIL-INPUT'!M66</f>
        <v>0</v>
      </c>
      <c r="N66" s="214">
        <f>'ADJ DETAIL-INPUT'!N66</f>
        <v>0</v>
      </c>
      <c r="O66" s="214">
        <f>'ADJ DETAIL-INPUT'!O66</f>
        <v>0</v>
      </c>
      <c r="P66" s="214">
        <f>'ADJ DETAIL-INPUT'!P66</f>
        <v>0</v>
      </c>
      <c r="Q66" s="214">
        <f>'ADJ DETAIL-INPUT'!Q66</f>
        <v>0</v>
      </c>
      <c r="R66" s="214">
        <f>'ADJ DETAIL-INPUT'!R66</f>
        <v>0</v>
      </c>
      <c r="S66" s="214">
        <f>'ADJ DETAIL-INPUT'!S66</f>
        <v>0</v>
      </c>
      <c r="T66" s="214">
        <f>'ADJ DETAIL-INPUT'!T66</f>
        <v>0</v>
      </c>
      <c r="U66" s="214">
        <f>'ADJ DETAIL-INPUT'!U66</f>
        <v>0</v>
      </c>
      <c r="V66" s="214">
        <f>'ADJ DETAIL-INPUT'!V66</f>
        <v>0</v>
      </c>
      <c r="W66" s="214">
        <f>'ADJ DETAIL-INPUT'!W66</f>
        <v>0</v>
      </c>
      <c r="X66" s="214">
        <f>'ADJ DETAIL-INPUT'!X66</f>
        <v>0</v>
      </c>
    </row>
    <row r="67" spans="1:24" s="18" customFormat="1">
      <c r="A67" s="20">
        <f>'ADJ DETAIL-INPUT'!A67</f>
        <v>38</v>
      </c>
      <c r="C67" s="18" t="str">
        <f>'ADJ DETAIL-INPUT'!C67</f>
        <v xml:space="preserve">Production  </v>
      </c>
      <c r="E67" s="134">
        <f>'ADJ DETAIL-INPUT'!E67</f>
        <v>-325531</v>
      </c>
      <c r="F67" s="214">
        <f>'ADJ DETAIL-INPUT'!F67</f>
        <v>0</v>
      </c>
      <c r="G67" s="214">
        <f>'ADJ DETAIL-INPUT'!G67</f>
        <v>0</v>
      </c>
      <c r="H67" s="214">
        <f>'ADJ DETAIL-INPUT'!H67</f>
        <v>0</v>
      </c>
      <c r="I67" s="214">
        <f>'ADJ DETAIL-INPUT'!I67</f>
        <v>0</v>
      </c>
      <c r="J67" s="214">
        <f>'ADJ DETAIL-INPUT'!J67</f>
        <v>0</v>
      </c>
      <c r="K67" s="214">
        <f>'ADJ DETAIL-INPUT'!K67</f>
        <v>0</v>
      </c>
      <c r="L67" s="214">
        <f>'ADJ DETAIL-INPUT'!L67</f>
        <v>0</v>
      </c>
      <c r="M67" s="214">
        <f>'ADJ DETAIL-INPUT'!M67</f>
        <v>0</v>
      </c>
      <c r="N67" s="214">
        <f>'ADJ DETAIL-INPUT'!N67</f>
        <v>0</v>
      </c>
      <c r="O67" s="214">
        <f>'ADJ DETAIL-INPUT'!O67</f>
        <v>0</v>
      </c>
      <c r="P67" s="214">
        <f>'ADJ DETAIL-INPUT'!P67</f>
        <v>0</v>
      </c>
      <c r="Q67" s="214">
        <f>'ADJ DETAIL-INPUT'!Q67</f>
        <v>0</v>
      </c>
      <c r="R67" s="214">
        <f>'ADJ DETAIL-INPUT'!R67</f>
        <v>0</v>
      </c>
      <c r="S67" s="214">
        <f>'ADJ DETAIL-INPUT'!S67</f>
        <v>0</v>
      </c>
      <c r="T67" s="214">
        <f>'ADJ DETAIL-INPUT'!T67</f>
        <v>0</v>
      </c>
      <c r="U67" s="214">
        <f>'ADJ DETAIL-INPUT'!U67</f>
        <v>0</v>
      </c>
      <c r="V67" s="214">
        <f>'ADJ DETAIL-INPUT'!V67</f>
        <v>0</v>
      </c>
      <c r="W67" s="214">
        <f>'ADJ DETAIL-INPUT'!W67</f>
        <v>0</v>
      </c>
      <c r="X67" s="214">
        <f>'ADJ DETAIL-INPUT'!X67</f>
        <v>0</v>
      </c>
    </row>
    <row r="68" spans="1:24" s="18" customFormat="1">
      <c r="A68" s="20">
        <f>'ADJ DETAIL-INPUT'!A68</f>
        <v>39</v>
      </c>
      <c r="C68" s="18" t="str">
        <f>'ADJ DETAIL-INPUT'!C68</f>
        <v xml:space="preserve">Transmission  </v>
      </c>
      <c r="E68" s="134">
        <f>'ADJ DETAIL-INPUT'!E68</f>
        <v>-123869</v>
      </c>
      <c r="F68" s="214">
        <f>'ADJ DETAIL-INPUT'!F68</f>
        <v>0</v>
      </c>
      <c r="G68" s="214">
        <f>'ADJ DETAIL-INPUT'!G68</f>
        <v>0</v>
      </c>
      <c r="H68" s="214">
        <f>'ADJ DETAIL-INPUT'!H68</f>
        <v>0</v>
      </c>
      <c r="I68" s="214">
        <f>'ADJ DETAIL-INPUT'!I68</f>
        <v>0</v>
      </c>
      <c r="J68" s="214">
        <f>'ADJ DETAIL-INPUT'!J68</f>
        <v>0</v>
      </c>
      <c r="K68" s="214">
        <f>'ADJ DETAIL-INPUT'!K68</f>
        <v>0</v>
      </c>
      <c r="L68" s="214">
        <f>'ADJ DETAIL-INPUT'!L68</f>
        <v>0</v>
      </c>
      <c r="M68" s="214">
        <f>'ADJ DETAIL-INPUT'!M68</f>
        <v>0</v>
      </c>
      <c r="N68" s="214">
        <f>'ADJ DETAIL-INPUT'!N68</f>
        <v>0</v>
      </c>
      <c r="O68" s="214">
        <f>'ADJ DETAIL-INPUT'!O68</f>
        <v>0</v>
      </c>
      <c r="P68" s="214">
        <f>'ADJ DETAIL-INPUT'!P68</f>
        <v>0</v>
      </c>
      <c r="Q68" s="214">
        <f>'ADJ DETAIL-INPUT'!Q68</f>
        <v>0</v>
      </c>
      <c r="R68" s="214">
        <f>'ADJ DETAIL-INPUT'!R68</f>
        <v>0</v>
      </c>
      <c r="S68" s="214">
        <f>'ADJ DETAIL-INPUT'!S68</f>
        <v>0</v>
      </c>
      <c r="T68" s="214">
        <f>'ADJ DETAIL-INPUT'!T68</f>
        <v>0</v>
      </c>
      <c r="U68" s="214">
        <f>'ADJ DETAIL-INPUT'!U68</f>
        <v>0</v>
      </c>
      <c r="V68" s="214">
        <f>'ADJ DETAIL-INPUT'!V68</f>
        <v>0</v>
      </c>
      <c r="W68" s="214">
        <f>'ADJ DETAIL-INPUT'!W68</f>
        <v>0</v>
      </c>
      <c r="X68" s="214">
        <f>'ADJ DETAIL-INPUT'!X68</f>
        <v>0</v>
      </c>
    </row>
    <row r="69" spans="1:24" s="18" customFormat="1">
      <c r="A69" s="20">
        <f>'ADJ DETAIL-INPUT'!A69</f>
        <v>40</v>
      </c>
      <c r="C69" s="18" t="str">
        <f>'ADJ DETAIL-INPUT'!C69</f>
        <v xml:space="preserve">Distribution  </v>
      </c>
      <c r="E69" s="134">
        <f>'ADJ DETAIL-INPUT'!E69</f>
        <v>-252722</v>
      </c>
      <c r="F69" s="214">
        <f>'ADJ DETAIL-INPUT'!F69</f>
        <v>0</v>
      </c>
      <c r="G69" s="214">
        <f>'ADJ DETAIL-INPUT'!G69</f>
        <v>0</v>
      </c>
      <c r="H69" s="214">
        <f>'ADJ DETAIL-INPUT'!H69</f>
        <v>0</v>
      </c>
      <c r="I69" s="214">
        <f>'ADJ DETAIL-INPUT'!I69</f>
        <v>0</v>
      </c>
      <c r="J69" s="214">
        <f>'ADJ DETAIL-INPUT'!J69</f>
        <v>0</v>
      </c>
      <c r="K69" s="214">
        <f>'ADJ DETAIL-INPUT'!K69</f>
        <v>0</v>
      </c>
      <c r="L69" s="214">
        <f>'ADJ DETAIL-INPUT'!L69</f>
        <v>0</v>
      </c>
      <c r="M69" s="214">
        <f>'ADJ DETAIL-INPUT'!M69</f>
        <v>0</v>
      </c>
      <c r="N69" s="214">
        <f>'ADJ DETAIL-INPUT'!N69</f>
        <v>0</v>
      </c>
      <c r="O69" s="214">
        <f>'ADJ DETAIL-INPUT'!O69</f>
        <v>0</v>
      </c>
      <c r="P69" s="214">
        <f>'ADJ DETAIL-INPUT'!P69</f>
        <v>0</v>
      </c>
      <c r="Q69" s="214">
        <f>'ADJ DETAIL-INPUT'!Q69</f>
        <v>0</v>
      </c>
      <c r="R69" s="214">
        <f>'ADJ DETAIL-INPUT'!R69</f>
        <v>0</v>
      </c>
      <c r="S69" s="214">
        <f>'ADJ DETAIL-INPUT'!S69</f>
        <v>0</v>
      </c>
      <c r="T69" s="214">
        <f>'ADJ DETAIL-INPUT'!T69</f>
        <v>0</v>
      </c>
      <c r="U69" s="214">
        <f>'ADJ DETAIL-INPUT'!U69</f>
        <v>0</v>
      </c>
      <c r="V69" s="214">
        <f>'ADJ DETAIL-INPUT'!V69</f>
        <v>0</v>
      </c>
      <c r="W69" s="214">
        <f>'ADJ DETAIL-INPUT'!W69</f>
        <v>0</v>
      </c>
      <c r="X69" s="214">
        <f>'ADJ DETAIL-INPUT'!X69</f>
        <v>0</v>
      </c>
    </row>
    <row r="70" spans="1:24" s="18" customFormat="1">
      <c r="A70" s="20">
        <f>'ADJ DETAIL-INPUT'!A70</f>
        <v>41</v>
      </c>
      <c r="C70" s="18" t="str">
        <f>'ADJ DETAIL-INPUT'!C70</f>
        <v xml:space="preserve">General  </v>
      </c>
      <c r="E70" s="134">
        <f>'ADJ DETAIL-INPUT'!E70</f>
        <v>-65720</v>
      </c>
      <c r="F70" s="214">
        <f>'ADJ DETAIL-INPUT'!F70</f>
        <v>0</v>
      </c>
      <c r="G70" s="214">
        <f>'ADJ DETAIL-INPUT'!G70</f>
        <v>0</v>
      </c>
      <c r="H70" s="214">
        <f>'ADJ DETAIL-INPUT'!H70</f>
        <v>0</v>
      </c>
      <c r="I70" s="214">
        <f>'ADJ DETAIL-INPUT'!I70</f>
        <v>0</v>
      </c>
      <c r="J70" s="214">
        <f>'ADJ DETAIL-INPUT'!J70</f>
        <v>0</v>
      </c>
      <c r="K70" s="214">
        <f>'ADJ DETAIL-INPUT'!K70</f>
        <v>0</v>
      </c>
      <c r="L70" s="214">
        <f>'ADJ DETAIL-INPUT'!L70</f>
        <v>0</v>
      </c>
      <c r="M70" s="214">
        <f>'ADJ DETAIL-INPUT'!M70</f>
        <v>0</v>
      </c>
      <c r="N70" s="214">
        <f>'ADJ DETAIL-INPUT'!N70</f>
        <v>0</v>
      </c>
      <c r="O70" s="214">
        <f>'ADJ DETAIL-INPUT'!O70</f>
        <v>0</v>
      </c>
      <c r="P70" s="214">
        <f>'ADJ DETAIL-INPUT'!P70</f>
        <v>0</v>
      </c>
      <c r="Q70" s="214">
        <f>'ADJ DETAIL-INPUT'!Q70</f>
        <v>0</v>
      </c>
      <c r="R70" s="214">
        <f>'ADJ DETAIL-INPUT'!R70</f>
        <v>0</v>
      </c>
      <c r="S70" s="214">
        <f>'ADJ DETAIL-INPUT'!S70</f>
        <v>0</v>
      </c>
      <c r="T70" s="214">
        <f>'ADJ DETAIL-INPUT'!T70</f>
        <v>0</v>
      </c>
      <c r="U70" s="214">
        <f>'ADJ DETAIL-INPUT'!U70</f>
        <v>0</v>
      </c>
      <c r="V70" s="214">
        <f>'ADJ DETAIL-INPUT'!V70</f>
        <v>0</v>
      </c>
      <c r="W70" s="214">
        <f>'ADJ DETAIL-INPUT'!W70</f>
        <v>0</v>
      </c>
      <c r="X70" s="214">
        <f>'ADJ DETAIL-INPUT'!X70</f>
        <v>0</v>
      </c>
    </row>
    <row r="71" spans="1:24" s="18" customFormat="1">
      <c r="A71" s="20">
        <f>'ADJ DETAIL-INPUT'!A71</f>
        <v>42</v>
      </c>
      <c r="B71" s="18" t="str">
        <f>'ADJ DETAIL-INPUT'!B71</f>
        <v>Total Accumulated Depreciation</v>
      </c>
      <c r="E71" s="273">
        <f>'ADJ DETAIL-INPUT'!E71</f>
        <v>-788084</v>
      </c>
      <c r="F71" s="273">
        <f>'ADJ DETAIL-INPUT'!F71</f>
        <v>0</v>
      </c>
      <c r="G71" s="273">
        <f>'ADJ DETAIL-INPUT'!G71</f>
        <v>0</v>
      </c>
      <c r="H71" s="273">
        <f>'ADJ DETAIL-INPUT'!H71</f>
        <v>0</v>
      </c>
      <c r="I71" s="273">
        <f>'ADJ DETAIL-INPUT'!I71</f>
        <v>0</v>
      </c>
      <c r="J71" s="273">
        <f>'ADJ DETAIL-INPUT'!J71</f>
        <v>0</v>
      </c>
      <c r="K71" s="273">
        <f>'ADJ DETAIL-INPUT'!K71</f>
        <v>0</v>
      </c>
      <c r="L71" s="273">
        <f>'ADJ DETAIL-INPUT'!L71</f>
        <v>0</v>
      </c>
      <c r="M71" s="273">
        <f>'ADJ DETAIL-INPUT'!M71</f>
        <v>0</v>
      </c>
      <c r="N71" s="273">
        <f>'ADJ DETAIL-INPUT'!N71</f>
        <v>0</v>
      </c>
      <c r="O71" s="273">
        <f>'ADJ DETAIL-INPUT'!O71</f>
        <v>0</v>
      </c>
      <c r="P71" s="273">
        <f>'ADJ DETAIL-INPUT'!P71</f>
        <v>0</v>
      </c>
      <c r="Q71" s="273">
        <f>'ADJ DETAIL-INPUT'!Q71</f>
        <v>0</v>
      </c>
      <c r="R71" s="273">
        <f>'ADJ DETAIL-INPUT'!R71</f>
        <v>0</v>
      </c>
      <c r="S71" s="273">
        <f>'ADJ DETAIL-INPUT'!S71</f>
        <v>0</v>
      </c>
      <c r="T71" s="273">
        <f>'ADJ DETAIL-INPUT'!T71</f>
        <v>0</v>
      </c>
      <c r="U71" s="273">
        <f>'ADJ DETAIL-INPUT'!U71</f>
        <v>0</v>
      </c>
      <c r="V71" s="273">
        <f>'ADJ DETAIL-INPUT'!V71</f>
        <v>0</v>
      </c>
      <c r="W71" s="273">
        <f>'ADJ DETAIL-INPUT'!W71</f>
        <v>0</v>
      </c>
      <c r="X71" s="273">
        <f>'ADJ DETAIL-INPUT'!X71</f>
        <v>0</v>
      </c>
    </row>
    <row r="72" spans="1:24" s="18" customFormat="1">
      <c r="A72" s="20">
        <f>'ADJ DETAIL-INPUT'!A72</f>
        <v>43</v>
      </c>
      <c r="B72" s="18" t="str">
        <f>'ADJ DETAIL-INPUT'!B72</f>
        <v xml:space="preserve">NET PLANT </v>
      </c>
      <c r="E72" s="273">
        <f>'ADJ DETAIL-INPUT'!E72</f>
        <v>1472270</v>
      </c>
      <c r="F72" s="273">
        <f>'ADJ DETAIL-INPUT'!F72</f>
        <v>0</v>
      </c>
      <c r="G72" s="273">
        <f>'ADJ DETAIL-INPUT'!G72</f>
        <v>0</v>
      </c>
      <c r="H72" s="273">
        <f>'ADJ DETAIL-INPUT'!H72</f>
        <v>0</v>
      </c>
      <c r="I72" s="273">
        <f>'ADJ DETAIL-INPUT'!I72</f>
        <v>0</v>
      </c>
      <c r="J72" s="273">
        <f>'ADJ DETAIL-INPUT'!J72</f>
        <v>0</v>
      </c>
      <c r="K72" s="273">
        <f>'ADJ DETAIL-INPUT'!K72</f>
        <v>0</v>
      </c>
      <c r="L72" s="273">
        <f>'ADJ DETAIL-INPUT'!L72</f>
        <v>0</v>
      </c>
      <c r="M72" s="273">
        <f>'ADJ DETAIL-INPUT'!M72</f>
        <v>0</v>
      </c>
      <c r="N72" s="273">
        <f>'ADJ DETAIL-INPUT'!N72</f>
        <v>0</v>
      </c>
      <c r="O72" s="273">
        <f>'ADJ DETAIL-INPUT'!O72</f>
        <v>0</v>
      </c>
      <c r="P72" s="273">
        <f>'ADJ DETAIL-INPUT'!P72</f>
        <v>0</v>
      </c>
      <c r="Q72" s="273">
        <f>'ADJ DETAIL-INPUT'!Q72</f>
        <v>0</v>
      </c>
      <c r="R72" s="273">
        <f>'ADJ DETAIL-INPUT'!R72</f>
        <v>0</v>
      </c>
      <c r="S72" s="273">
        <f>'ADJ DETAIL-INPUT'!S72</f>
        <v>0</v>
      </c>
      <c r="T72" s="273">
        <f>'ADJ DETAIL-INPUT'!T72</f>
        <v>0</v>
      </c>
      <c r="U72" s="273">
        <f>'ADJ DETAIL-INPUT'!U72</f>
        <v>0</v>
      </c>
      <c r="V72" s="273">
        <f>'ADJ DETAIL-INPUT'!V72</f>
        <v>0</v>
      </c>
      <c r="W72" s="273">
        <f>'ADJ DETAIL-INPUT'!W72</f>
        <v>0</v>
      </c>
      <c r="X72" s="273">
        <f>'ADJ DETAIL-INPUT'!X72</f>
        <v>0</v>
      </c>
    </row>
    <row r="73" spans="1:24" s="18" customFormat="1" ht="6.75" customHeight="1">
      <c r="A73" s="20"/>
      <c r="E73" s="175"/>
      <c r="F73" s="175"/>
      <c r="G73" s="175"/>
      <c r="H73" s="175"/>
      <c r="I73" s="175"/>
      <c r="J73" s="175"/>
      <c r="K73" s="175"/>
      <c r="L73" s="175"/>
      <c r="M73" s="175"/>
      <c r="N73" s="175"/>
      <c r="O73" s="175"/>
      <c r="P73" s="175"/>
      <c r="Q73" s="175"/>
      <c r="R73" s="175"/>
      <c r="S73" s="175"/>
      <c r="T73" s="175"/>
      <c r="U73" s="175"/>
      <c r="V73" s="175"/>
      <c r="W73" s="175"/>
      <c r="X73" s="175"/>
    </row>
    <row r="74" spans="1:24" s="18" customFormat="1">
      <c r="A74" s="21">
        <f>'ADJ DETAIL-INPUT'!A74</f>
        <v>44</v>
      </c>
      <c r="B74" s="18" t="str">
        <f>'ADJ DETAIL-INPUT'!B74</f>
        <v xml:space="preserve">DEFERRED TAXES  </v>
      </c>
      <c r="E74" s="176">
        <f>'ADJ DETAIL-INPUT'!E74</f>
        <v>-249563</v>
      </c>
      <c r="F74" s="216">
        <f>'ADJ DETAIL-INPUT'!F74</f>
        <v>-8203</v>
      </c>
      <c r="G74" s="216">
        <f>'ADJ DETAIL-INPUT'!G74</f>
        <v>0</v>
      </c>
      <c r="H74" s="216">
        <f>'ADJ DETAIL-INPUT'!H74</f>
        <v>0</v>
      </c>
      <c r="I74" s="216">
        <f>'ADJ DETAIL-INPUT'!I74</f>
        <v>0</v>
      </c>
      <c r="J74" s="216">
        <f>'ADJ DETAIL-INPUT'!J74</f>
        <v>0</v>
      </c>
      <c r="K74" s="216">
        <f>'ADJ DETAIL-INPUT'!K74</f>
        <v>0</v>
      </c>
      <c r="L74" s="216">
        <f>'ADJ DETAIL-INPUT'!L74</f>
        <v>0</v>
      </c>
      <c r="M74" s="216">
        <f>'ADJ DETAIL-INPUT'!M74</f>
        <v>0</v>
      </c>
      <c r="N74" s="216">
        <f>'ADJ DETAIL-INPUT'!N74</f>
        <v>0</v>
      </c>
      <c r="O74" s="216">
        <f>'ADJ DETAIL-INPUT'!O74</f>
        <v>0</v>
      </c>
      <c r="P74" s="216">
        <f>'ADJ DETAIL-INPUT'!P74</f>
        <v>0</v>
      </c>
      <c r="Q74" s="216">
        <f>'ADJ DETAIL-INPUT'!Q74</f>
        <v>0</v>
      </c>
      <c r="R74" s="216">
        <f>'ADJ DETAIL-INPUT'!R74</f>
        <v>0</v>
      </c>
      <c r="S74" s="216">
        <f>'ADJ DETAIL-INPUT'!S74</f>
        <v>0</v>
      </c>
      <c r="T74" s="216">
        <f>'ADJ DETAIL-INPUT'!T74</f>
        <v>0</v>
      </c>
      <c r="U74" s="216">
        <f>'ADJ DETAIL-INPUT'!U74</f>
        <v>0</v>
      </c>
      <c r="V74" s="216">
        <f>'ADJ DETAIL-INPUT'!V74</f>
        <v>0</v>
      </c>
      <c r="W74" s="216">
        <f>'ADJ DETAIL-INPUT'!W74</f>
        <v>0</v>
      </c>
      <c r="X74" s="216">
        <f>'ADJ DETAIL-INPUT'!X74</f>
        <v>0</v>
      </c>
    </row>
    <row r="75" spans="1:24" s="18" customFormat="1">
      <c r="A75" s="21">
        <f>'ADJ DETAIL-INPUT'!A75</f>
        <v>45</v>
      </c>
      <c r="C75" s="18" t="str">
        <f>'ADJ DETAIL-INPUT'!C75</f>
        <v>Net Plant After DFIT</v>
      </c>
      <c r="E75" s="175">
        <f>'ADJ DETAIL-INPUT'!E75</f>
        <v>1222707</v>
      </c>
      <c r="F75" s="175">
        <f>'ADJ DETAIL-INPUT'!F75</f>
        <v>-8203</v>
      </c>
      <c r="G75" s="175">
        <f>'ADJ DETAIL-INPUT'!G75</f>
        <v>0</v>
      </c>
      <c r="H75" s="175">
        <f>'ADJ DETAIL-INPUT'!H75</f>
        <v>0</v>
      </c>
      <c r="I75" s="175">
        <f>'ADJ DETAIL-INPUT'!I75</f>
        <v>0</v>
      </c>
      <c r="J75" s="175">
        <f>'ADJ DETAIL-INPUT'!J75</f>
        <v>0</v>
      </c>
      <c r="K75" s="175">
        <f>'ADJ DETAIL-INPUT'!K75</f>
        <v>0</v>
      </c>
      <c r="L75" s="175">
        <f>'ADJ DETAIL-INPUT'!L75</f>
        <v>0</v>
      </c>
      <c r="M75" s="175">
        <f>'ADJ DETAIL-INPUT'!M75</f>
        <v>0</v>
      </c>
      <c r="N75" s="175">
        <f>'ADJ DETAIL-INPUT'!N75</f>
        <v>0</v>
      </c>
      <c r="O75" s="175">
        <f>'ADJ DETAIL-INPUT'!O75</f>
        <v>0</v>
      </c>
      <c r="P75" s="175">
        <f>'ADJ DETAIL-INPUT'!P75</f>
        <v>0</v>
      </c>
      <c r="Q75" s="175">
        <f>'ADJ DETAIL-INPUT'!Q75</f>
        <v>0</v>
      </c>
      <c r="R75" s="175">
        <f>'ADJ DETAIL-INPUT'!R75</f>
        <v>0</v>
      </c>
      <c r="S75" s="175">
        <f>'ADJ DETAIL-INPUT'!S75</f>
        <v>0</v>
      </c>
      <c r="T75" s="175">
        <f>'ADJ DETAIL-INPUT'!T75</f>
        <v>0</v>
      </c>
      <c r="U75" s="175">
        <f>'ADJ DETAIL-INPUT'!U75</f>
        <v>0</v>
      </c>
      <c r="V75" s="175">
        <f>'ADJ DETAIL-INPUT'!V75</f>
        <v>0</v>
      </c>
      <c r="W75" s="175">
        <f>'ADJ DETAIL-INPUT'!W75</f>
        <v>0</v>
      </c>
      <c r="X75" s="175">
        <f>'ADJ DETAIL-INPUT'!X75</f>
        <v>0</v>
      </c>
    </row>
    <row r="76" spans="1:24" s="18" customFormat="1">
      <c r="A76" s="20">
        <f>'ADJ DETAIL-INPUT'!A76</f>
        <v>46</v>
      </c>
      <c r="B76" s="18" t="str">
        <f>'ADJ DETAIL-INPUT'!B76</f>
        <v xml:space="preserve">DEFERRED DEBITS AND CREDITS </v>
      </c>
      <c r="E76" s="175">
        <f>'ADJ DETAIL-INPUT'!E76</f>
        <v>10846</v>
      </c>
      <c r="F76" s="214">
        <f>'ADJ DETAIL-INPUT'!F76</f>
        <v>0</v>
      </c>
      <c r="G76" s="214">
        <f>'ADJ DETAIL-INPUT'!G76</f>
        <v>0</v>
      </c>
      <c r="H76" s="214">
        <f>'ADJ DETAIL-INPUT'!H76</f>
        <v>0</v>
      </c>
      <c r="I76" s="214">
        <f>'ADJ DETAIL-INPUT'!I76</f>
        <v>0</v>
      </c>
      <c r="J76" s="214">
        <f>'ADJ DETAIL-INPUT'!J76</f>
        <v>0</v>
      </c>
      <c r="K76" s="214">
        <f>'ADJ DETAIL-INPUT'!K76</f>
        <v>0</v>
      </c>
      <c r="L76" s="214">
        <f>'ADJ DETAIL-INPUT'!L76</f>
        <v>0</v>
      </c>
      <c r="M76" s="214">
        <f>'ADJ DETAIL-INPUT'!M76</f>
        <v>0</v>
      </c>
      <c r="N76" s="214">
        <f>'ADJ DETAIL-INPUT'!N76</f>
        <v>0</v>
      </c>
      <c r="O76" s="214">
        <f>'ADJ DETAIL-INPUT'!O76</f>
        <v>0</v>
      </c>
      <c r="P76" s="214">
        <f>'ADJ DETAIL-INPUT'!P76</f>
        <v>0</v>
      </c>
      <c r="Q76" s="214">
        <f>'ADJ DETAIL-INPUT'!Q76</f>
        <v>0</v>
      </c>
      <c r="R76" s="214">
        <f>'ADJ DETAIL-INPUT'!R76</f>
        <v>0</v>
      </c>
      <c r="S76" s="214">
        <f>'ADJ DETAIL-INPUT'!S76</f>
        <v>0</v>
      </c>
      <c r="T76" s="214">
        <f>'ADJ DETAIL-INPUT'!T76</f>
        <v>0</v>
      </c>
      <c r="U76" s="214">
        <f>'ADJ DETAIL-INPUT'!U76</f>
        <v>0</v>
      </c>
      <c r="V76" s="214">
        <f>'ADJ DETAIL-INPUT'!V76</f>
        <v>0</v>
      </c>
      <c r="W76" s="214">
        <f>'ADJ DETAIL-INPUT'!W76</f>
        <v>0</v>
      </c>
      <c r="X76" s="214">
        <f>'ADJ DETAIL-INPUT'!X76</f>
        <v>0</v>
      </c>
    </row>
    <row r="77" spans="1:24" s="18" customFormat="1">
      <c r="A77" s="20">
        <f>'ADJ DETAIL-INPUT'!A77</f>
        <v>47</v>
      </c>
      <c r="B77" s="18" t="str">
        <f>'ADJ DETAIL-INPUT'!B77</f>
        <v xml:space="preserve">WORKING CAPITAL </v>
      </c>
      <c r="E77" s="175">
        <f>'ADJ DETAIL-INPUT'!E77</f>
        <v>25402</v>
      </c>
      <c r="F77" s="216">
        <f>'ADJ DETAIL-INPUT'!F77</f>
        <v>0</v>
      </c>
      <c r="G77" s="216">
        <f>'ADJ DETAIL-INPUT'!G77</f>
        <v>0</v>
      </c>
      <c r="H77" s="216">
        <f>'ADJ DETAIL-INPUT'!H77</f>
        <v>22405</v>
      </c>
      <c r="I77" s="216">
        <f>'ADJ DETAIL-INPUT'!I77</f>
        <v>0</v>
      </c>
      <c r="J77" s="216">
        <f>'ADJ DETAIL-INPUT'!J77</f>
        <v>0</v>
      </c>
      <c r="K77" s="216">
        <f>'ADJ DETAIL-INPUT'!K77</f>
        <v>0</v>
      </c>
      <c r="L77" s="216">
        <f>'ADJ DETAIL-INPUT'!L77</f>
        <v>0</v>
      </c>
      <c r="M77" s="216">
        <f>'ADJ DETAIL-INPUT'!M77</f>
        <v>0</v>
      </c>
      <c r="N77" s="216">
        <f>'ADJ DETAIL-INPUT'!N77</f>
        <v>0</v>
      </c>
      <c r="O77" s="216">
        <f>'ADJ DETAIL-INPUT'!O77</f>
        <v>0</v>
      </c>
      <c r="P77" s="216">
        <f>'ADJ DETAIL-INPUT'!P77</f>
        <v>0</v>
      </c>
      <c r="Q77" s="216">
        <f>'ADJ DETAIL-INPUT'!Q77</f>
        <v>0</v>
      </c>
      <c r="R77" s="216">
        <f>'ADJ DETAIL-INPUT'!R77</f>
        <v>0</v>
      </c>
      <c r="S77" s="216">
        <f>'ADJ DETAIL-INPUT'!S77</f>
        <v>0</v>
      </c>
      <c r="T77" s="216">
        <f>'ADJ DETAIL-INPUT'!T77</f>
        <v>0</v>
      </c>
      <c r="U77" s="216">
        <f>'ADJ DETAIL-INPUT'!U77</f>
        <v>0</v>
      </c>
      <c r="V77" s="216">
        <f>'ADJ DETAIL-INPUT'!V77</f>
        <v>0</v>
      </c>
      <c r="W77" s="216">
        <f>'ADJ DETAIL-INPUT'!W77</f>
        <v>0</v>
      </c>
      <c r="X77" s="216">
        <f>'ADJ DETAIL-INPUT'!X77</f>
        <v>0</v>
      </c>
    </row>
    <row r="78" spans="1:24" s="18" customFormat="1" ht="6.75" customHeight="1">
      <c r="A78" s="21"/>
      <c r="E78" s="273">
        <f>'ADJ DETAIL-INPUT'!E78</f>
        <v>0</v>
      </c>
      <c r="F78" s="161">
        <f>'ADJ DETAIL-INPUT'!F78</f>
        <v>0</v>
      </c>
      <c r="G78" s="161">
        <f>'ADJ DETAIL-INPUT'!G78</f>
        <v>0</v>
      </c>
      <c r="H78" s="161">
        <f>'ADJ DETAIL-INPUT'!H78</f>
        <v>0</v>
      </c>
      <c r="I78" s="161">
        <f>'ADJ DETAIL-INPUT'!I78</f>
        <v>0</v>
      </c>
      <c r="J78" s="161">
        <f>'ADJ DETAIL-INPUT'!J78</f>
        <v>0</v>
      </c>
      <c r="K78" s="161">
        <f>'ADJ DETAIL-INPUT'!K78</f>
        <v>0</v>
      </c>
      <c r="L78" s="161">
        <f>'ADJ DETAIL-INPUT'!L78</f>
        <v>0</v>
      </c>
      <c r="M78" s="161">
        <f>'ADJ DETAIL-INPUT'!M78</f>
        <v>0</v>
      </c>
      <c r="N78" s="161">
        <f>'ADJ DETAIL-INPUT'!N78</f>
        <v>0</v>
      </c>
      <c r="O78" s="161">
        <f>'ADJ DETAIL-INPUT'!O78</f>
        <v>0</v>
      </c>
      <c r="P78" s="161">
        <f>'ADJ DETAIL-INPUT'!P78</f>
        <v>0</v>
      </c>
      <c r="Q78" s="161">
        <f>'ADJ DETAIL-INPUT'!Q78</f>
        <v>0</v>
      </c>
      <c r="R78" s="161">
        <f>'ADJ DETAIL-INPUT'!R78</f>
        <v>0</v>
      </c>
      <c r="S78" s="161">
        <f>'ADJ DETAIL-INPUT'!S78</f>
        <v>0</v>
      </c>
      <c r="T78" s="161">
        <f>'ADJ DETAIL-INPUT'!T78</f>
        <v>0</v>
      </c>
      <c r="U78" s="161">
        <f>'ADJ DETAIL-INPUT'!U78</f>
        <v>0</v>
      </c>
      <c r="V78" s="161">
        <f>'ADJ DETAIL-INPUT'!V78</f>
        <v>0</v>
      </c>
      <c r="W78" s="161">
        <f>'ADJ DETAIL-INPUT'!W78</f>
        <v>0</v>
      </c>
      <c r="X78" s="161">
        <f>'ADJ DETAIL-INPUT'!X78</f>
        <v>0</v>
      </c>
    </row>
    <row r="79" spans="1:24" s="17" customFormat="1" ht="12.75" thickBot="1">
      <c r="A79" s="16">
        <f>'ADJ DETAIL-INPUT'!A79</f>
        <v>48</v>
      </c>
      <c r="B79" s="17" t="str">
        <f>'ADJ DETAIL-INPUT'!B79</f>
        <v xml:space="preserve">TOTAL RATE BASE  </v>
      </c>
      <c r="E79" s="277">
        <f>'ADJ DETAIL-INPUT'!E79</f>
        <v>1258955</v>
      </c>
      <c r="F79" s="277">
        <f>'ADJ DETAIL-INPUT'!F79</f>
        <v>-8203</v>
      </c>
      <c r="G79" s="277">
        <f>'ADJ DETAIL-INPUT'!G79</f>
        <v>0</v>
      </c>
      <c r="H79" s="277">
        <f>'ADJ DETAIL-INPUT'!H79</f>
        <v>22405</v>
      </c>
      <c r="I79" s="277">
        <f>'ADJ DETAIL-INPUT'!I79</f>
        <v>0</v>
      </c>
      <c r="J79" s="277">
        <f>'ADJ DETAIL-INPUT'!J79</f>
        <v>0</v>
      </c>
      <c r="K79" s="277">
        <f>'ADJ DETAIL-INPUT'!K79</f>
        <v>0</v>
      </c>
      <c r="L79" s="277">
        <f>'ADJ DETAIL-INPUT'!L79</f>
        <v>0</v>
      </c>
      <c r="M79" s="277">
        <f>'ADJ DETAIL-INPUT'!M79</f>
        <v>0</v>
      </c>
      <c r="N79" s="277">
        <f>'ADJ DETAIL-INPUT'!N79</f>
        <v>0</v>
      </c>
      <c r="O79" s="277">
        <f>'ADJ DETAIL-INPUT'!O79</f>
        <v>0</v>
      </c>
      <c r="P79" s="277">
        <f>'ADJ DETAIL-INPUT'!P79</f>
        <v>0</v>
      </c>
      <c r="Q79" s="277">
        <f>'ADJ DETAIL-INPUT'!Q79</f>
        <v>0</v>
      </c>
      <c r="R79" s="277">
        <f>'ADJ DETAIL-INPUT'!R79</f>
        <v>0</v>
      </c>
      <c r="S79" s="277">
        <f>'ADJ DETAIL-INPUT'!S79</f>
        <v>0</v>
      </c>
      <c r="T79" s="277">
        <f>'ADJ DETAIL-INPUT'!T79</f>
        <v>0</v>
      </c>
      <c r="U79" s="277">
        <f>'ADJ DETAIL-INPUT'!U79</f>
        <v>0</v>
      </c>
      <c r="V79" s="277">
        <f>'ADJ DETAIL-INPUT'!V79</f>
        <v>0</v>
      </c>
      <c r="W79" s="277">
        <f>'ADJ DETAIL-INPUT'!W79</f>
        <v>0</v>
      </c>
      <c r="X79" s="277">
        <f>'ADJ DETAIL-INPUT'!X79</f>
        <v>0</v>
      </c>
    </row>
    <row r="80" spans="1:24" ht="12.75" thickTop="1">
      <c r="D80" s="100"/>
      <c r="E80" s="161"/>
    </row>
    <row r="81" spans="5:5">
      <c r="E81" s="161"/>
    </row>
  </sheetData>
  <sheetProtection formatCells="0" formatColumns="0" formatRows="0" insertColumns="0" insertRows="0" insertHyperlinks="0" deleteColumns="0" deleteRows="0" sort="0" autoFilter="0" pivotTables="0"/>
  <pageMargins left="1.25" right="0.51" top="0.4" bottom="0.5" header="0.27" footer="0.5"/>
  <pageSetup scale="83" firstPageNumber="4" fitToWidth="3" orientation="portrait" r:id="rId1"/>
  <headerFooter scaleWithDoc="0" alignWithMargins="0"/>
  <colBreaks count="19" manualBreakCount="19">
    <brk id="5" min="1" max="78" man="1"/>
    <brk id="6" min="1" max="78" man="1"/>
    <brk id="7" min="1" max="78" man="1"/>
    <brk id="8" min="1" max="78" man="1"/>
    <brk id="9" max="1048575" man="1"/>
    <brk id="10" min="1" max="78" man="1"/>
    <brk id="11" min="1" max="78" man="1"/>
    <brk id="12" min="1" max="78" man="1"/>
    <brk id="13" min="1" max="78" man="1"/>
    <brk id="14" min="1" max="78" man="1"/>
    <brk id="15" min="1" max="78" man="1"/>
    <brk id="16" min="1" max="78" man="1"/>
    <brk id="17" min="1" max="78" man="1"/>
    <brk id="18" max="1048575" man="1"/>
    <brk id="19" max="1048575" man="1"/>
    <brk id="20" min="1" max="78" man="1"/>
    <brk id="21" min="1" max="78" man="1"/>
    <brk id="22" min="1" max="78" man="1"/>
    <brk id="23"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N465"/>
  <sheetViews>
    <sheetView zoomScaleNormal="100" workbookViewId="0">
      <selection activeCell="F8" sqref="F8"/>
    </sheetView>
  </sheetViews>
  <sheetFormatPr defaultColWidth="12.42578125" defaultRowHeight="12"/>
  <cols>
    <col min="1" max="1" width="7.85546875" style="218" customWidth="1"/>
    <col min="2" max="2" width="26.140625" style="217" customWidth="1"/>
    <col min="3" max="3" width="12.42578125" style="217" customWidth="1"/>
    <col min="4" max="4" width="5.5703125" style="217" bestFit="1" customWidth="1"/>
    <col min="5" max="5" width="14.7109375" style="217" customWidth="1"/>
    <col min="6" max="8" width="12.42578125" style="217" customWidth="1"/>
    <col min="9" max="9" width="14.7109375" style="217" hidden="1" customWidth="1"/>
    <col min="10" max="11" width="12.42578125" style="217" hidden="1" customWidth="1"/>
    <col min="12" max="16384" width="12.42578125" style="217"/>
  </cols>
  <sheetData>
    <row r="1" spans="1:11">
      <c r="A1" s="245" t="str">
        <f>[1]Inputs!$D$6</f>
        <v>AVISTA UTILITIES</v>
      </c>
      <c r="B1" s="246"/>
      <c r="C1" s="245"/>
    </row>
    <row r="2" spans="1:11">
      <c r="A2" s="245" t="s">
        <v>56</v>
      </c>
      <c r="B2" s="246"/>
      <c r="C2" s="245"/>
      <c r="I2" s="245"/>
      <c r="J2" s="218" t="s">
        <v>112</v>
      </c>
      <c r="K2" s="245"/>
    </row>
    <row r="3" spans="1:11">
      <c r="A3" s="246" t="str">
        <f>'ADJ DETAIL-INPUT'!A4</f>
        <v>TWELVE MONTHS ENDED DECEMBER 31, 2014</v>
      </c>
      <c r="B3" s="246"/>
      <c r="C3" s="245"/>
      <c r="I3" s="245" t="s">
        <v>113</v>
      </c>
      <c r="J3" s="245"/>
      <c r="K3" s="245"/>
    </row>
    <row r="4" spans="1:11">
      <c r="A4" s="245" t="s">
        <v>0</v>
      </c>
      <c r="B4" s="246"/>
      <c r="C4" s="245"/>
      <c r="F4" s="395"/>
      <c r="I4" s="244" t="s">
        <v>59</v>
      </c>
      <c r="J4" s="244"/>
      <c r="K4" s="243"/>
    </row>
    <row r="5" spans="1:11">
      <c r="A5" s="245"/>
      <c r="B5" s="246"/>
      <c r="C5" s="245"/>
      <c r="I5" s="242"/>
      <c r="J5" s="242"/>
      <c r="K5" s="241"/>
    </row>
    <row r="6" spans="1:11">
      <c r="A6" s="245"/>
      <c r="B6" s="246"/>
      <c r="C6" s="245"/>
      <c r="E6" s="245" t="s">
        <v>57</v>
      </c>
      <c r="F6" s="245"/>
      <c r="G6" s="245"/>
      <c r="I6" s="242"/>
      <c r="J6" s="242"/>
      <c r="K6" s="241"/>
    </row>
    <row r="7" spans="1:11">
      <c r="A7" s="245"/>
      <c r="B7" s="246"/>
      <c r="C7" s="245"/>
      <c r="E7" s="245" t="s">
        <v>58</v>
      </c>
      <c r="F7" s="245"/>
      <c r="G7" s="245"/>
      <c r="I7" s="242"/>
      <c r="J7" s="242"/>
      <c r="K7" s="241"/>
    </row>
    <row r="8" spans="1:11">
      <c r="A8" s="245"/>
      <c r="B8" s="246"/>
      <c r="C8" s="245"/>
      <c r="E8" s="244" t="s">
        <v>59</v>
      </c>
      <c r="F8" s="244"/>
      <c r="G8" s="243"/>
      <c r="I8" s="242"/>
      <c r="J8" s="242"/>
      <c r="K8" s="241"/>
    </row>
    <row r="9" spans="1:11">
      <c r="A9" s="218" t="s">
        <v>7</v>
      </c>
    </row>
    <row r="10" spans="1:11" s="218" customFormat="1">
      <c r="A10" s="218" t="s">
        <v>60</v>
      </c>
      <c r="B10" s="240" t="s">
        <v>19</v>
      </c>
      <c r="C10" s="240"/>
      <c r="E10" s="240" t="s">
        <v>61</v>
      </c>
      <c r="F10" s="240" t="s">
        <v>62</v>
      </c>
      <c r="G10" s="240" t="s">
        <v>49</v>
      </c>
      <c r="H10" s="239" t="s">
        <v>63</v>
      </c>
      <c r="I10" s="240" t="s">
        <v>61</v>
      </c>
      <c r="J10" s="240" t="s">
        <v>62</v>
      </c>
      <c r="K10" s="240"/>
    </row>
    <row r="11" spans="1:11" s="218" customFormat="1" ht="5.25" customHeight="1">
      <c r="B11" s="310"/>
      <c r="C11" s="310"/>
      <c r="E11" s="310"/>
      <c r="F11" s="310"/>
      <c r="G11" s="310"/>
      <c r="H11" s="239"/>
      <c r="I11" s="310"/>
      <c r="J11" s="310"/>
      <c r="K11" s="310"/>
    </row>
    <row r="12" spans="1:11" s="218" customFormat="1" ht="5.25" customHeight="1">
      <c r="B12" s="310"/>
      <c r="C12" s="310"/>
      <c r="E12" s="310"/>
      <c r="F12" s="310"/>
      <c r="G12" s="310"/>
      <c r="H12" s="239"/>
      <c r="I12" s="310"/>
      <c r="J12" s="310"/>
      <c r="K12" s="310"/>
    </row>
    <row r="13" spans="1:11">
      <c r="B13" s="220" t="s">
        <v>30</v>
      </c>
    </row>
    <row r="14" spans="1:11" s="224" customFormat="1">
      <c r="A14" s="227">
        <v>1</v>
      </c>
      <c r="B14" s="226" t="s">
        <v>31</v>
      </c>
      <c r="E14" s="233">
        <f>F14+G14</f>
        <v>508833</v>
      </c>
      <c r="F14" s="233">
        <f>SUM(F84:F87)+F89</f>
        <v>508833</v>
      </c>
      <c r="G14" s="233">
        <f>SUM(G84:G88)</f>
        <v>0</v>
      </c>
      <c r="H14" s="224" t="str">
        <f t="shared" ref="H14:H19" si="0">IF(E14=F14+G14," ","ERROR")</f>
        <v xml:space="preserve"> </v>
      </c>
      <c r="I14" s="233" t="e">
        <f>J14+K14</f>
        <v>#REF!</v>
      </c>
      <c r="J14" s="233" t="e">
        <f>#REF!</f>
        <v>#REF!</v>
      </c>
      <c r="K14" s="233"/>
    </row>
    <row r="15" spans="1:11">
      <c r="A15" s="218">
        <v>2</v>
      </c>
      <c r="B15" s="220" t="s">
        <v>32</v>
      </c>
      <c r="E15" s="229">
        <f>F15+G15</f>
        <v>922</v>
      </c>
      <c r="F15" s="229">
        <f>SUM(F88)</f>
        <v>922</v>
      </c>
      <c r="G15" s="229">
        <f>SUM(G89)</f>
        <v>0</v>
      </c>
      <c r="H15" s="224" t="str">
        <f t="shared" si="0"/>
        <v xml:space="preserve"> </v>
      </c>
      <c r="I15" s="229" t="e">
        <f>J15+K15</f>
        <v>#REF!</v>
      </c>
      <c r="J15" s="229" t="e">
        <f>#REF!</f>
        <v>#REF!</v>
      </c>
      <c r="K15" s="229"/>
    </row>
    <row r="16" spans="1:11">
      <c r="A16" s="218">
        <v>3</v>
      </c>
      <c r="B16" s="220" t="s">
        <v>64</v>
      </c>
      <c r="E16" s="229">
        <f>F16+G16</f>
        <v>97639</v>
      </c>
      <c r="F16" s="229">
        <f>SUM(F92)</f>
        <v>97639</v>
      </c>
      <c r="G16" s="229">
        <f>SUM(G92)</f>
        <v>0</v>
      </c>
      <c r="H16" s="224" t="str">
        <f t="shared" si="0"/>
        <v xml:space="preserve"> </v>
      </c>
      <c r="I16" s="229" t="e">
        <f>J16+K16</f>
        <v>#REF!</v>
      </c>
      <c r="J16" s="229" t="e">
        <f>#REF!</f>
        <v>#REF!</v>
      </c>
      <c r="K16" s="229"/>
    </row>
    <row r="17" spans="1:11">
      <c r="A17" s="218">
        <v>4</v>
      </c>
      <c r="B17" s="220" t="s">
        <v>65</v>
      </c>
      <c r="E17" s="237">
        <f>E14+E15+E16</f>
        <v>607394</v>
      </c>
      <c r="F17" s="237">
        <f>F14+F15+F16</f>
        <v>607394</v>
      </c>
      <c r="G17" s="237">
        <f>G14+G15+G16</f>
        <v>0</v>
      </c>
      <c r="H17" s="224" t="str">
        <f t="shared" si="0"/>
        <v xml:space="preserve"> </v>
      </c>
      <c r="I17" s="237" t="e">
        <f>I14+I15+I16</f>
        <v>#REF!</v>
      </c>
      <c r="J17" s="237" t="e">
        <f>J14+J15+J16</f>
        <v>#REF!</v>
      </c>
      <c r="K17" s="237"/>
    </row>
    <row r="18" spans="1:11">
      <c r="A18" s="218">
        <v>5</v>
      </c>
      <c r="B18" s="220" t="s">
        <v>34</v>
      </c>
      <c r="E18" s="238">
        <f>F18+G18</f>
        <v>73553</v>
      </c>
      <c r="F18" s="229">
        <f>SUM(F97:F100)</f>
        <v>73553</v>
      </c>
      <c r="G18" s="229">
        <f>SUM(G97:G100)</f>
        <v>0</v>
      </c>
      <c r="H18" s="224" t="str">
        <f t="shared" si="0"/>
        <v xml:space="preserve"> </v>
      </c>
      <c r="I18" s="238" t="e">
        <f>J18+K18</f>
        <v>#REF!</v>
      </c>
      <c r="J18" s="229" t="e">
        <f>#REF!</f>
        <v>#REF!</v>
      </c>
      <c r="K18" s="229"/>
    </row>
    <row r="19" spans="1:11">
      <c r="A19" s="218">
        <v>6</v>
      </c>
      <c r="B19" s="220" t="s">
        <v>66</v>
      </c>
      <c r="E19" s="237">
        <f>E17+E18</f>
        <v>680947</v>
      </c>
      <c r="F19" s="237">
        <f>F17+F18</f>
        <v>680947</v>
      </c>
      <c r="G19" s="237">
        <f>G17+G18</f>
        <v>0</v>
      </c>
      <c r="H19" s="224" t="str">
        <f t="shared" si="0"/>
        <v xml:space="preserve"> </v>
      </c>
      <c r="I19" s="237" t="e">
        <f>I17+I18</f>
        <v>#REF!</v>
      </c>
      <c r="J19" s="237" t="e">
        <f>J17+J18</f>
        <v>#REF!</v>
      </c>
      <c r="K19" s="237"/>
    </row>
    <row r="20" spans="1:11">
      <c r="E20" s="231"/>
      <c r="F20" s="231"/>
      <c r="G20" s="231"/>
      <c r="H20" s="224"/>
      <c r="I20" s="231"/>
      <c r="J20" s="231"/>
      <c r="K20" s="231"/>
    </row>
    <row r="21" spans="1:11">
      <c r="B21" s="220" t="s">
        <v>35</v>
      </c>
      <c r="E21" s="231"/>
      <c r="F21" s="231"/>
      <c r="G21" s="231"/>
      <c r="H21" s="224"/>
      <c r="I21" s="231"/>
      <c r="J21" s="231"/>
      <c r="K21" s="231"/>
    </row>
    <row r="22" spans="1:11">
      <c r="B22" s="220" t="s">
        <v>36</v>
      </c>
      <c r="E22" s="231"/>
      <c r="F22" s="231"/>
      <c r="G22" s="231"/>
      <c r="H22" s="224"/>
      <c r="I22" s="231"/>
      <c r="J22" s="231"/>
      <c r="K22" s="231"/>
    </row>
    <row r="23" spans="1:11">
      <c r="A23" s="218">
        <v>7</v>
      </c>
      <c r="B23" s="220" t="s">
        <v>67</v>
      </c>
      <c r="E23" s="229">
        <f>F23+G23</f>
        <v>192589</v>
      </c>
      <c r="F23" s="229">
        <f>SUM(F160-F156+F181)</f>
        <v>192589</v>
      </c>
      <c r="G23" s="229">
        <f>SUM(G160-G156+G181)</f>
        <v>0</v>
      </c>
      <c r="H23" s="224" t="str">
        <f>IF(E23=F23+G23," ","ERROR")</f>
        <v xml:space="preserve"> </v>
      </c>
      <c r="I23" s="229" t="e">
        <f>J23+K23</f>
        <v>#REF!</v>
      </c>
      <c r="J23" s="229" t="e">
        <f>#REF!+#REF!+#REF!+#REF!+#REF!</f>
        <v>#REF!</v>
      </c>
      <c r="K23" s="229"/>
    </row>
    <row r="24" spans="1:11">
      <c r="A24" s="218">
        <v>8</v>
      </c>
      <c r="B24" s="220" t="s">
        <v>68</v>
      </c>
      <c r="E24" s="229">
        <f>F24+G24</f>
        <v>127926</v>
      </c>
      <c r="F24" s="229">
        <f>SUM(F156)</f>
        <v>127926</v>
      </c>
      <c r="G24" s="229">
        <f>SUM(G156)</f>
        <v>0</v>
      </c>
      <c r="H24" s="224" t="str">
        <f>IF(E24=F24+G24," ","ERROR")</f>
        <v xml:space="preserve"> </v>
      </c>
      <c r="I24" s="229" t="e">
        <f>J24+K24</f>
        <v>#REF!</v>
      </c>
      <c r="J24" s="229" t="e">
        <f>#REF!</f>
        <v>#REF!</v>
      </c>
      <c r="K24" s="229"/>
    </row>
    <row r="25" spans="1:11">
      <c r="A25" s="218">
        <v>9</v>
      </c>
      <c r="B25" s="220" t="s">
        <v>507</v>
      </c>
      <c r="E25" s="229">
        <f>F25+G25</f>
        <v>23715</v>
      </c>
      <c r="F25" s="229">
        <f>SUM(F183:F186)</f>
        <v>23715</v>
      </c>
      <c r="G25" s="229">
        <f>SUM(G183:G185)</f>
        <v>0</v>
      </c>
      <c r="H25" s="224" t="str">
        <f>IF(E25=F25+G25," ","ERROR")</f>
        <v xml:space="preserve"> </v>
      </c>
      <c r="I25" s="229" t="e">
        <f>J25+K25</f>
        <v>#REF!</v>
      </c>
      <c r="J25" s="229" t="e">
        <f>#REF!</f>
        <v>#REF!</v>
      </c>
      <c r="K25" s="229"/>
    </row>
    <row r="26" spans="1:11">
      <c r="A26" s="218">
        <v>10</v>
      </c>
      <c r="B26" s="220" t="s">
        <v>506</v>
      </c>
      <c r="E26" s="229">
        <f>F26+G26</f>
        <v>-1139</v>
      </c>
      <c r="F26" s="229">
        <f>SUM(F187:F213)</f>
        <v>-1139</v>
      </c>
      <c r="G26" s="229">
        <f>SUM(G187:G212)</f>
        <v>0</v>
      </c>
      <c r="H26" s="224"/>
      <c r="I26" s="229"/>
      <c r="J26" s="229"/>
      <c r="K26" s="229"/>
    </row>
    <row r="27" spans="1:11">
      <c r="A27" s="218">
        <v>11</v>
      </c>
      <c r="B27" s="220" t="s">
        <v>69</v>
      </c>
      <c r="E27" s="228">
        <f>F27+G27</f>
        <v>12844</v>
      </c>
      <c r="F27" s="229">
        <f>SUM(F214)</f>
        <v>12844</v>
      </c>
      <c r="G27" s="229">
        <f>SUM(G214)</f>
        <v>0</v>
      </c>
      <c r="H27" s="224" t="str">
        <f>IF(E27=F27+G27," ","ERROR")</f>
        <v xml:space="preserve"> </v>
      </c>
      <c r="I27" s="228" t="e">
        <f>J27+K27</f>
        <v>#REF!</v>
      </c>
      <c r="J27" s="229" t="e">
        <f>#REF!</f>
        <v>#REF!</v>
      </c>
      <c r="K27" s="229"/>
    </row>
    <row r="28" spans="1:11">
      <c r="A28" s="218">
        <v>12</v>
      </c>
      <c r="B28" s="220" t="s">
        <v>70</v>
      </c>
      <c r="E28" s="237">
        <f>SUM(E23:E27)</f>
        <v>355935</v>
      </c>
      <c r="F28" s="237">
        <f>SUM(F23:F27)</f>
        <v>355935</v>
      </c>
      <c r="G28" s="237">
        <f>SUM(G23:G27)</f>
        <v>0</v>
      </c>
      <c r="H28" s="224" t="str">
        <f>IF(E28=F28+G28," ","ERROR")</f>
        <v xml:space="preserve"> </v>
      </c>
      <c r="I28" s="229" t="e">
        <f>I23+I24+I25+I27</f>
        <v>#REF!</v>
      </c>
      <c r="J28" s="237" t="e">
        <f>J23+J24+J25+J27</f>
        <v>#REF!</v>
      </c>
      <c r="K28" s="237"/>
    </row>
    <row r="29" spans="1:11">
      <c r="E29" s="229"/>
      <c r="F29" s="231"/>
      <c r="G29" s="231"/>
      <c r="H29" s="224"/>
      <c r="I29" s="229"/>
      <c r="J29" s="231"/>
      <c r="K29" s="231"/>
    </row>
    <row r="30" spans="1:11">
      <c r="B30" s="220" t="s">
        <v>38</v>
      </c>
      <c r="E30" s="229"/>
      <c r="F30" s="231"/>
      <c r="G30" s="231"/>
      <c r="H30" s="224"/>
      <c r="I30" s="229"/>
      <c r="J30" s="231"/>
      <c r="K30" s="231"/>
    </row>
    <row r="31" spans="1:11">
      <c r="A31" s="218">
        <v>13</v>
      </c>
      <c r="B31" s="220" t="s">
        <v>67</v>
      </c>
      <c r="E31" s="229">
        <f>F31+G31</f>
        <v>21301</v>
      </c>
      <c r="F31" s="229">
        <f>SUM(F243)</f>
        <v>21301</v>
      </c>
      <c r="G31" s="229">
        <f>SUM(G243)</f>
        <v>0</v>
      </c>
      <c r="H31" s="224" t="str">
        <f>IF(E31=F31+G31," ","ERROR")</f>
        <v xml:space="preserve"> </v>
      </c>
      <c r="I31" s="229" t="e">
        <f>J31+K31</f>
        <v>#REF!</v>
      </c>
      <c r="J31" s="229" t="e">
        <f>#REF!</f>
        <v>#REF!</v>
      </c>
      <c r="K31" s="229"/>
    </row>
    <row r="32" spans="1:11">
      <c r="A32" s="218">
        <v>14</v>
      </c>
      <c r="B32" s="220" t="s">
        <v>507</v>
      </c>
      <c r="E32" s="229">
        <f>F32+G32</f>
        <v>23887</v>
      </c>
      <c r="F32" s="229">
        <f>SUM(F245:F246)</f>
        <v>23887</v>
      </c>
      <c r="G32" s="229">
        <f>SUM(G245:G246)</f>
        <v>0</v>
      </c>
      <c r="H32" s="224" t="str">
        <f>IF(E32=F32+G32," ","ERROR")</f>
        <v xml:space="preserve"> </v>
      </c>
      <c r="I32" s="229" t="e">
        <f>J32+K32</f>
        <v>#REF!</v>
      </c>
      <c r="J32" s="229" t="e">
        <f>#REF!</f>
        <v>#REF!</v>
      </c>
      <c r="K32" s="229"/>
    </row>
    <row r="33" spans="1:11">
      <c r="A33" s="218">
        <v>15</v>
      </c>
      <c r="B33" s="220" t="s">
        <v>69</v>
      </c>
      <c r="E33" s="228">
        <f>F33+G33</f>
        <v>43433</v>
      </c>
      <c r="F33" s="229">
        <f>SUM(F247)</f>
        <v>43433</v>
      </c>
      <c r="G33" s="229">
        <f>SUM(G247)</f>
        <v>0</v>
      </c>
      <c r="H33" s="224" t="str">
        <f>IF(E33=F33+G33," ","ERROR")</f>
        <v xml:space="preserve"> </v>
      </c>
      <c r="I33" s="228" t="e">
        <f>J33+K33</f>
        <v>#REF!</v>
      </c>
      <c r="J33" s="229" t="e">
        <f>#REF!</f>
        <v>#REF!</v>
      </c>
      <c r="K33" s="229"/>
    </row>
    <row r="34" spans="1:11">
      <c r="A34" s="218">
        <v>16</v>
      </c>
      <c r="B34" s="220" t="s">
        <v>71</v>
      </c>
      <c r="E34" s="229">
        <f>E31+E32+E33</f>
        <v>88621</v>
      </c>
      <c r="F34" s="237">
        <f>F31+F32+F33</f>
        <v>88621</v>
      </c>
      <c r="G34" s="237">
        <f>G31+G32+G33</f>
        <v>0</v>
      </c>
      <c r="H34" s="224" t="str">
        <f>IF(E34=F34+G34," ","ERROR")</f>
        <v xml:space="preserve"> </v>
      </c>
      <c r="I34" s="229" t="e">
        <f>I31+I32+I33</f>
        <v>#REF!</v>
      </c>
      <c r="J34" s="237" t="e">
        <f>J31+J32+J33</f>
        <v>#REF!</v>
      </c>
      <c r="K34" s="237"/>
    </row>
    <row r="35" spans="1:11">
      <c r="E35" s="231"/>
      <c r="F35" s="231"/>
      <c r="G35" s="231"/>
      <c r="H35" s="224"/>
      <c r="I35" s="231"/>
      <c r="J35" s="231"/>
      <c r="K35" s="231"/>
    </row>
    <row r="36" spans="1:11">
      <c r="A36" s="218">
        <v>17</v>
      </c>
      <c r="B36" s="220" t="s">
        <v>39</v>
      </c>
      <c r="E36" s="229">
        <f>F36+G36</f>
        <v>10257</v>
      </c>
      <c r="F36" s="229">
        <f>SUM(F258)</f>
        <v>10257</v>
      </c>
      <c r="G36" s="229">
        <f>SUM(G258)</f>
        <v>0</v>
      </c>
      <c r="H36" s="224" t="str">
        <f>IF(E36=F36+G36," ","ERROR")</f>
        <v xml:space="preserve"> </v>
      </c>
      <c r="I36" s="229" t="e">
        <f>J36+K36</f>
        <v>#REF!</v>
      </c>
      <c r="J36" s="229" t="e">
        <f>#REF!</f>
        <v>#REF!</v>
      </c>
      <c r="K36" s="229"/>
    </row>
    <row r="37" spans="1:11">
      <c r="A37" s="218">
        <v>18</v>
      </c>
      <c r="B37" s="220" t="s">
        <v>40</v>
      </c>
      <c r="E37" s="229">
        <f>F37+G37</f>
        <v>19816</v>
      </c>
      <c r="F37" s="229">
        <f>SUM(F264)</f>
        <v>19816</v>
      </c>
      <c r="G37" s="229">
        <f>SUM(G264)</f>
        <v>0</v>
      </c>
      <c r="H37" s="224" t="str">
        <f>IF(E37=F37+G37," ","ERROR")</f>
        <v xml:space="preserve"> </v>
      </c>
      <c r="I37" s="229" t="e">
        <f>J37+K37</f>
        <v>#REF!</v>
      </c>
      <c r="J37" s="229" t="e">
        <f>#REF!</f>
        <v>#REF!</v>
      </c>
      <c r="K37" s="229"/>
    </row>
    <row r="38" spans="1:11">
      <c r="A38" s="218">
        <v>19</v>
      </c>
      <c r="B38" s="220" t="s">
        <v>41</v>
      </c>
      <c r="E38" s="229">
        <f>F38+G38</f>
        <v>0</v>
      </c>
      <c r="F38" s="229">
        <f>SUM(F270)</f>
        <v>0</v>
      </c>
      <c r="G38" s="229">
        <f>SUM(G270)</f>
        <v>0</v>
      </c>
      <c r="H38" s="224" t="str">
        <f>IF(E38=F38+G38," ","ERROR")</f>
        <v xml:space="preserve"> </v>
      </c>
      <c r="I38" s="229" t="e">
        <f>J38+K38</f>
        <v>#REF!</v>
      </c>
      <c r="J38" s="229" t="e">
        <f>#REF!</f>
        <v>#REF!</v>
      </c>
      <c r="K38" s="229"/>
    </row>
    <row r="39" spans="1:11">
      <c r="E39" s="231"/>
      <c r="F39" s="231"/>
      <c r="G39" s="231"/>
      <c r="H39" s="224"/>
      <c r="I39" s="231"/>
      <c r="J39" s="231"/>
      <c r="K39" s="231"/>
    </row>
    <row r="40" spans="1:11">
      <c r="B40" s="220" t="s">
        <v>42</v>
      </c>
      <c r="E40" s="231"/>
      <c r="F40" s="231"/>
      <c r="G40" s="231"/>
      <c r="H40" s="224"/>
      <c r="I40" s="231"/>
      <c r="J40" s="231"/>
      <c r="K40" s="231"/>
    </row>
    <row r="41" spans="1:11">
      <c r="A41" s="218">
        <v>20</v>
      </c>
      <c r="B41" s="220" t="s">
        <v>67</v>
      </c>
      <c r="E41" s="229">
        <f>F41+G41</f>
        <v>45984</v>
      </c>
      <c r="F41" s="229">
        <f>SUM(F285)</f>
        <v>45984</v>
      </c>
      <c r="G41" s="229">
        <f>SUM(G285)</f>
        <v>0</v>
      </c>
      <c r="H41" s="224" t="str">
        <f>IF(E41=F41+G41," ","ERROR")</f>
        <v xml:space="preserve"> </v>
      </c>
      <c r="I41" s="229" t="e">
        <f>J41+K41</f>
        <v>#REF!</v>
      </c>
      <c r="J41" s="229" t="e">
        <f>#REF!</f>
        <v>#REF!</v>
      </c>
      <c r="K41" s="229"/>
    </row>
    <row r="42" spans="1:11">
      <c r="A42" s="218">
        <v>21</v>
      </c>
      <c r="B42" s="220" t="s">
        <v>507</v>
      </c>
      <c r="E42" s="229">
        <f>F42+G42</f>
        <v>16947</v>
      </c>
      <c r="F42" s="229">
        <f>SUM(F292)</f>
        <v>16947</v>
      </c>
      <c r="G42" s="229">
        <f>SUM(G292)</f>
        <v>0</v>
      </c>
      <c r="H42" s="224" t="str">
        <f>IF(E42=F42+G42," ","ERROR")</f>
        <v xml:space="preserve"> </v>
      </c>
      <c r="I42" s="229" t="e">
        <f>J42+K42</f>
        <v>#REF!</v>
      </c>
      <c r="J42" s="229" t="e">
        <f>#REF!</f>
        <v>#REF!</v>
      </c>
      <c r="K42" s="229"/>
    </row>
    <row r="43" spans="1:11">
      <c r="A43" s="218">
        <v>22</v>
      </c>
      <c r="B43" s="220" t="s">
        <v>69</v>
      </c>
      <c r="E43" s="229">
        <f>F43+G43</f>
        <v>0</v>
      </c>
      <c r="F43" s="229">
        <v>0</v>
      </c>
      <c r="G43" s="229">
        <v>0</v>
      </c>
      <c r="H43" s="224" t="str">
        <f>IF(E43=F43+G43," ","ERROR")</f>
        <v xml:space="preserve"> </v>
      </c>
      <c r="I43" s="229" t="e">
        <f>J43+K43</f>
        <v>#REF!</v>
      </c>
      <c r="J43" s="229" t="e">
        <f>#REF!</f>
        <v>#REF!</v>
      </c>
      <c r="K43" s="229"/>
    </row>
    <row r="44" spans="1:11">
      <c r="A44" s="218">
        <v>23</v>
      </c>
      <c r="B44" s="220" t="s">
        <v>72</v>
      </c>
      <c r="E44" s="236">
        <f>E41+E42+E43</f>
        <v>62931</v>
      </c>
      <c r="F44" s="236">
        <f>F41+F42+F43</f>
        <v>62931</v>
      </c>
      <c r="G44" s="236">
        <f>G41+G42+G43</f>
        <v>0</v>
      </c>
      <c r="H44" s="224" t="str">
        <f>IF(E44=F44+G44," ","ERROR")</f>
        <v xml:space="preserve"> </v>
      </c>
      <c r="I44" s="236" t="e">
        <f>I41+I42+I43</f>
        <v>#REF!</v>
      </c>
      <c r="J44" s="236" t="e">
        <f>J41+J42+J43</f>
        <v>#REF!</v>
      </c>
      <c r="K44" s="236"/>
    </row>
    <row r="45" spans="1:11" ht="18.75" customHeight="1">
      <c r="A45" s="218">
        <v>24</v>
      </c>
      <c r="B45" s="220" t="s">
        <v>43</v>
      </c>
      <c r="E45" s="235">
        <f>E28+E34+E36+E37+E38+E44</f>
        <v>537560</v>
      </c>
      <c r="F45" s="235">
        <f>F28+F34+F36+F37+F38+F44</f>
        <v>537560</v>
      </c>
      <c r="G45" s="235">
        <f>G28+G34+G36+G37+G38+G44</f>
        <v>0</v>
      </c>
      <c r="H45" s="224" t="str">
        <f>IF(E45=F45+G45," ","ERROR")</f>
        <v xml:space="preserve"> </v>
      </c>
      <c r="I45" s="235" t="e">
        <f>I28+I34+I36+I37+I38+I44</f>
        <v>#REF!</v>
      </c>
      <c r="J45" s="235" t="e">
        <f>J28+J34+J36+J37+J38+J44</f>
        <v>#REF!</v>
      </c>
      <c r="K45" s="235"/>
    </row>
    <row r="46" spans="1:11">
      <c r="E46" s="231"/>
      <c r="F46" s="231"/>
      <c r="G46" s="231"/>
      <c r="H46" s="224"/>
      <c r="I46" s="231"/>
      <c r="J46" s="231"/>
      <c r="K46" s="231"/>
    </row>
    <row r="47" spans="1:11">
      <c r="A47" s="272">
        <v>25</v>
      </c>
      <c r="B47" s="220" t="s">
        <v>73</v>
      </c>
      <c r="E47" s="231">
        <f>E19-E45</f>
        <v>143387</v>
      </c>
      <c r="F47" s="231">
        <f>F19-F45</f>
        <v>143387</v>
      </c>
      <c r="G47" s="231">
        <f>G19-G45</f>
        <v>0</v>
      </c>
      <c r="H47" s="224" t="str">
        <f>IF(E47=F47+G47," ","ERROR")</f>
        <v xml:space="preserve"> </v>
      </c>
      <c r="I47" s="231" t="e">
        <f>I19-I45</f>
        <v>#REF!</v>
      </c>
      <c r="J47" s="231" t="e">
        <f>J19-J45</f>
        <v>#REF!</v>
      </c>
      <c r="K47" s="231"/>
    </row>
    <row r="48" spans="1:11">
      <c r="B48" s="220"/>
      <c r="E48" s="231"/>
      <c r="F48" s="231"/>
      <c r="G48" s="231"/>
      <c r="H48" s="224"/>
      <c r="I48" s="231"/>
      <c r="J48" s="231"/>
      <c r="K48" s="231"/>
    </row>
    <row r="49" spans="1:11">
      <c r="B49" s="220" t="s">
        <v>74</v>
      </c>
      <c r="E49" s="231"/>
      <c r="F49" s="231"/>
      <c r="G49" s="231"/>
      <c r="H49" s="224"/>
      <c r="I49" s="231"/>
      <c r="J49" s="231"/>
      <c r="K49" s="231"/>
    </row>
    <row r="50" spans="1:11">
      <c r="A50" s="218">
        <v>26</v>
      </c>
      <c r="B50" s="220" t="s">
        <v>75</v>
      </c>
      <c r="D50" s="234">
        <v>0.35</v>
      </c>
      <c r="E50" s="229">
        <f>F50+G50</f>
        <v>-5289</v>
      </c>
      <c r="F50" s="229">
        <f>SUM(F300)</f>
        <v>-5289</v>
      </c>
      <c r="G50" s="229">
        <f>SUM(G300)</f>
        <v>0</v>
      </c>
      <c r="H50" s="224" t="str">
        <f>IF(E50=F50+G50," ","ERROR")</f>
        <v xml:space="preserve"> </v>
      </c>
      <c r="I50" s="229" t="e">
        <f>J50+K50</f>
        <v>#REF!</v>
      </c>
      <c r="J50" s="229" t="e">
        <f>#REF!</f>
        <v>#REF!</v>
      </c>
      <c r="K50" s="229"/>
    </row>
    <row r="51" spans="1:11">
      <c r="A51" s="218">
        <v>27</v>
      </c>
      <c r="B51" s="220" t="s">
        <v>516</v>
      </c>
      <c r="D51" s="234"/>
      <c r="E51" s="229"/>
      <c r="F51" s="229"/>
      <c r="G51" s="229"/>
      <c r="H51" s="224"/>
      <c r="I51" s="229"/>
      <c r="J51" s="229"/>
      <c r="K51" s="229"/>
    </row>
    <row r="52" spans="1:11">
      <c r="A52" s="218">
        <v>28</v>
      </c>
      <c r="B52" s="220" t="s">
        <v>76</v>
      </c>
      <c r="E52" s="229">
        <f>F52+G52</f>
        <v>44620</v>
      </c>
      <c r="F52" s="229">
        <f t="shared" ref="F52:G53" si="1">SUM(F301)</f>
        <v>44620</v>
      </c>
      <c r="G52" s="229">
        <f t="shared" si="1"/>
        <v>0</v>
      </c>
      <c r="H52" s="224" t="str">
        <f>IF(E52=F52+G52," ","ERROR")</f>
        <v xml:space="preserve"> </v>
      </c>
      <c r="I52" s="229" t="e">
        <f>J52+K52</f>
        <v>#REF!</v>
      </c>
      <c r="J52" s="229" t="e">
        <f>#REF!</f>
        <v>#REF!</v>
      </c>
      <c r="K52" s="229"/>
    </row>
    <row r="53" spans="1:11">
      <c r="A53" s="218">
        <v>29</v>
      </c>
      <c r="B53" s="220" t="s">
        <v>77</v>
      </c>
      <c r="E53" s="228">
        <f>F53+G53</f>
        <v>-127</v>
      </c>
      <c r="F53" s="228">
        <f t="shared" si="1"/>
        <v>-127</v>
      </c>
      <c r="G53" s="228">
        <f t="shared" si="1"/>
        <v>0</v>
      </c>
      <c r="H53" s="224" t="str">
        <f>IF(E53=F53+G53," ","ERROR")</f>
        <v xml:space="preserve"> </v>
      </c>
      <c r="I53" s="229" t="e">
        <f>J53+K53</f>
        <v>#REF!</v>
      </c>
      <c r="J53" s="229" t="e">
        <f>#REF!</f>
        <v>#REF!</v>
      </c>
      <c r="K53" s="229"/>
    </row>
    <row r="54" spans="1:11">
      <c r="B54" s="220"/>
      <c r="E54" s="230"/>
      <c r="F54" s="230"/>
      <c r="G54" s="230"/>
      <c r="H54" s="224"/>
      <c r="I54" s="229"/>
      <c r="J54" s="229"/>
      <c r="K54" s="229"/>
    </row>
    <row r="55" spans="1:11" s="224" customFormat="1" ht="12.75" thickBot="1">
      <c r="A55" s="227">
        <v>30</v>
      </c>
      <c r="B55" s="226" t="s">
        <v>44</v>
      </c>
      <c r="E55" s="225">
        <f>E47-(E49+E50+E52+E53)</f>
        <v>104183</v>
      </c>
      <c r="F55" s="225">
        <f>F47-(F49+F50+F52+F53)</f>
        <v>104183</v>
      </c>
      <c r="G55" s="225">
        <f>G47-(G49+G50+G52+G53)</f>
        <v>0</v>
      </c>
      <c r="H55" s="224" t="str">
        <f>IF(E55=F55+G55," ","ERROR")</f>
        <v xml:space="preserve"> </v>
      </c>
      <c r="I55" s="225" t="e">
        <f>I47-(I49+I50+I52+I53+#REF!)</f>
        <v>#REF!</v>
      </c>
      <c r="J55" s="225" t="e">
        <f>J47-(J49+J50+J52+J53+#REF!)</f>
        <v>#REF!</v>
      </c>
      <c r="K55" s="225"/>
    </row>
    <row r="56" spans="1:11" ht="12.75" thickTop="1">
      <c r="H56" s="224"/>
    </row>
    <row r="57" spans="1:11">
      <c r="B57" s="220" t="s">
        <v>45</v>
      </c>
      <c r="H57" s="224"/>
    </row>
    <row r="58" spans="1:11">
      <c r="B58" s="220" t="s">
        <v>46</v>
      </c>
      <c r="H58" s="224"/>
    </row>
    <row r="59" spans="1:11" s="224" customFormat="1">
      <c r="A59" s="227">
        <v>31</v>
      </c>
      <c r="B59" s="226" t="s">
        <v>78</v>
      </c>
      <c r="E59" s="233">
        <f>F59+G59</f>
        <v>102620</v>
      </c>
      <c r="F59" s="233">
        <f>SUM(F315)</f>
        <v>102620</v>
      </c>
      <c r="G59" s="233">
        <f>SUM(G315)</f>
        <v>0</v>
      </c>
      <c r="H59" s="224" t="str">
        <f t="shared" ref="H59:H65" si="2">IF(E59=F59+G59," ","ERROR")</f>
        <v xml:space="preserve"> </v>
      </c>
      <c r="I59" s="233" t="e">
        <f>J59+K59</f>
        <v>#REF!</v>
      </c>
      <c r="J59" s="233" t="e">
        <f>#REF!</f>
        <v>#REF!</v>
      </c>
      <c r="K59" s="233"/>
    </row>
    <row r="60" spans="1:11">
      <c r="A60" s="218">
        <v>32</v>
      </c>
      <c r="B60" s="220" t="s">
        <v>79</v>
      </c>
      <c r="E60" s="229">
        <f>F60+G60</f>
        <v>746101</v>
      </c>
      <c r="F60" s="229">
        <f>SUM(F348)</f>
        <v>746101</v>
      </c>
      <c r="G60" s="229">
        <f>SUM(G348)</f>
        <v>0</v>
      </c>
      <c r="H60" s="224" t="str">
        <f t="shared" si="2"/>
        <v xml:space="preserve"> </v>
      </c>
      <c r="I60" s="229" t="e">
        <f>J60+K60</f>
        <v>#REF!</v>
      </c>
      <c r="J60" s="229" t="e">
        <f>#REF!</f>
        <v>#REF!</v>
      </c>
      <c r="K60" s="229"/>
    </row>
    <row r="61" spans="1:11">
      <c r="A61" s="218">
        <v>33</v>
      </c>
      <c r="B61" s="220" t="s">
        <v>80</v>
      </c>
      <c r="E61" s="229">
        <f>F61+G61</f>
        <v>371971</v>
      </c>
      <c r="F61" s="229">
        <f>SUM(F361)</f>
        <v>371971</v>
      </c>
      <c r="G61" s="229">
        <f>SUM(G361)</f>
        <v>0</v>
      </c>
      <c r="H61" s="224" t="str">
        <f t="shared" si="2"/>
        <v xml:space="preserve"> </v>
      </c>
      <c r="I61" s="229" t="e">
        <f>J61+K61</f>
        <v>#REF!</v>
      </c>
      <c r="J61" s="229" t="e">
        <f>#REF!</f>
        <v>#REF!</v>
      </c>
      <c r="K61" s="229"/>
    </row>
    <row r="62" spans="1:11">
      <c r="A62" s="218">
        <v>34</v>
      </c>
      <c r="B62" s="220" t="s">
        <v>81</v>
      </c>
      <c r="E62" s="229">
        <f>F62+G62</f>
        <v>842795</v>
      </c>
      <c r="F62" s="229">
        <f>SUM(F377)</f>
        <v>842795</v>
      </c>
      <c r="G62" s="229">
        <f>SUM(G377)</f>
        <v>0</v>
      </c>
      <c r="H62" s="224" t="str">
        <f t="shared" si="2"/>
        <v xml:space="preserve"> </v>
      </c>
      <c r="I62" s="229" t="e">
        <f>J62+K62</f>
        <v>#REF!</v>
      </c>
      <c r="J62" s="229" t="e">
        <f>#REF!</f>
        <v>#REF!</v>
      </c>
      <c r="K62" s="229"/>
    </row>
    <row r="63" spans="1:11">
      <c r="A63" s="218">
        <v>35</v>
      </c>
      <c r="B63" s="220" t="s">
        <v>82</v>
      </c>
      <c r="E63" s="228">
        <f>F63+G63</f>
        <v>196867</v>
      </c>
      <c r="F63" s="228">
        <f>SUM(F390)</f>
        <v>196867</v>
      </c>
      <c r="G63" s="228">
        <f>SUM(G390)</f>
        <v>0</v>
      </c>
      <c r="H63" s="224" t="str">
        <f t="shared" si="2"/>
        <v xml:space="preserve"> </v>
      </c>
      <c r="I63" s="228" t="e">
        <f>J63+K63</f>
        <v>#REF!</v>
      </c>
      <c r="J63" s="228" t="e">
        <f>#REF!</f>
        <v>#REF!</v>
      </c>
      <c r="K63" s="228"/>
    </row>
    <row r="64" spans="1:11">
      <c r="A64" s="218">
        <v>36</v>
      </c>
      <c r="B64" s="220" t="s">
        <v>83</v>
      </c>
      <c r="E64" s="231">
        <f>E59+E60+E61+E62+E63</f>
        <v>2260354</v>
      </c>
      <c r="F64" s="231">
        <f>F59+F60+F61+F62+F63</f>
        <v>2260354</v>
      </c>
      <c r="G64" s="231">
        <f>G59+G60+G61+G62+G63</f>
        <v>0</v>
      </c>
      <c r="H64" s="224" t="str">
        <f t="shared" si="2"/>
        <v xml:space="preserve"> </v>
      </c>
      <c r="I64" s="231" t="e">
        <f>I59+I60+I61+I62+I63</f>
        <v>#REF!</v>
      </c>
      <c r="J64" s="231" t="e">
        <f>J59+J60+J61+J62+J63</f>
        <v>#REF!</v>
      </c>
      <c r="K64" s="231"/>
    </row>
    <row r="65" spans="1:11" ht="19.5" customHeight="1">
      <c r="B65" s="220" t="s">
        <v>510</v>
      </c>
      <c r="E65" s="229"/>
      <c r="F65" s="229"/>
      <c r="G65" s="229"/>
      <c r="H65" s="224" t="str">
        <f t="shared" si="2"/>
        <v xml:space="preserve"> </v>
      </c>
      <c r="I65" s="229" t="e">
        <f>J65+K65</f>
        <v>#REF!</v>
      </c>
      <c r="J65" s="229" t="e">
        <f>#REF!</f>
        <v>#REF!</v>
      </c>
      <c r="K65" s="229"/>
    </row>
    <row r="66" spans="1:11">
      <c r="A66" s="218">
        <v>37</v>
      </c>
      <c r="B66" s="226" t="s">
        <v>78</v>
      </c>
      <c r="E66" s="229">
        <f>F66+G66</f>
        <v>-20242</v>
      </c>
      <c r="F66" s="229">
        <f>SUM(F405:F408)</f>
        <v>-20242</v>
      </c>
      <c r="G66" s="233">
        <f>SUM(G405:G406)</f>
        <v>0</v>
      </c>
      <c r="H66" s="224"/>
      <c r="I66" s="229"/>
      <c r="J66" s="229"/>
      <c r="K66" s="229"/>
    </row>
    <row r="67" spans="1:11">
      <c r="A67" s="218">
        <v>38</v>
      </c>
      <c r="B67" s="220" t="s">
        <v>79</v>
      </c>
      <c r="E67" s="229">
        <f>F67+G67</f>
        <v>-325531</v>
      </c>
      <c r="F67" s="229">
        <f>SUM(F396:F398)</f>
        <v>-325531</v>
      </c>
      <c r="G67" s="233">
        <f>SUM(G396:G398)</f>
        <v>0</v>
      </c>
      <c r="H67" s="224"/>
      <c r="I67" s="229"/>
      <c r="J67" s="229"/>
      <c r="K67" s="229"/>
    </row>
    <row r="68" spans="1:11">
      <c r="A68" s="218">
        <v>39</v>
      </c>
      <c r="B68" s="220" t="s">
        <v>80</v>
      </c>
      <c r="E68" s="229">
        <f>F68+G68</f>
        <v>-123869</v>
      </c>
      <c r="F68" s="229">
        <f>SUM(F399)</f>
        <v>-123869</v>
      </c>
      <c r="G68" s="233">
        <f>SUM(G399)</f>
        <v>0</v>
      </c>
      <c r="H68" s="224"/>
      <c r="I68" s="229"/>
      <c r="J68" s="229"/>
      <c r="K68" s="229"/>
    </row>
    <row r="69" spans="1:11">
      <c r="A69" s="218">
        <v>40</v>
      </c>
      <c r="B69" s="220" t="s">
        <v>81</v>
      </c>
      <c r="E69" s="229">
        <f>F69+G69</f>
        <v>-252722</v>
      </c>
      <c r="F69" s="229">
        <f>SUM(F400)</f>
        <v>-252722</v>
      </c>
      <c r="G69" s="233">
        <f>SUM(G400)</f>
        <v>0</v>
      </c>
      <c r="H69" s="224"/>
      <c r="I69" s="229"/>
      <c r="J69" s="229"/>
      <c r="K69" s="229"/>
    </row>
    <row r="70" spans="1:11">
      <c r="A70" s="218">
        <v>41</v>
      </c>
      <c r="B70" s="220" t="s">
        <v>82</v>
      </c>
      <c r="E70" s="228">
        <f>F70+G70</f>
        <v>-65720</v>
      </c>
      <c r="F70" s="228">
        <f>SUM(F401,F409)</f>
        <v>-65720</v>
      </c>
      <c r="G70" s="232">
        <f>SUM(G401,G407,G408,G409)</f>
        <v>0</v>
      </c>
    </row>
    <row r="71" spans="1:11">
      <c r="A71" s="218">
        <v>42</v>
      </c>
      <c r="B71" s="220" t="s">
        <v>229</v>
      </c>
      <c r="E71" s="398">
        <f>SUM(E66:E70)</f>
        <v>-788084</v>
      </c>
      <c r="F71" s="398">
        <f>SUM(F66:F70)</f>
        <v>-788084</v>
      </c>
      <c r="G71" s="217">
        <f>SUM(G66:G70)</f>
        <v>0</v>
      </c>
    </row>
    <row r="72" spans="1:11">
      <c r="A72" s="218">
        <v>43</v>
      </c>
      <c r="B72" s="217" t="s">
        <v>513</v>
      </c>
      <c r="E72" s="275">
        <f>E64+E71</f>
        <v>1472270</v>
      </c>
      <c r="F72" s="275">
        <f>F64+F71</f>
        <v>1472270</v>
      </c>
      <c r="G72" s="275">
        <f>G64+G71</f>
        <v>0</v>
      </c>
    </row>
    <row r="73" spans="1:11" ht="3.75" customHeight="1">
      <c r="B73" s="220"/>
      <c r="E73" s="231"/>
      <c r="F73" s="231"/>
      <c r="G73" s="231"/>
      <c r="H73" s="224"/>
      <c r="I73" s="231"/>
      <c r="J73" s="231"/>
      <c r="K73" s="231"/>
    </row>
    <row r="74" spans="1:11">
      <c r="A74" s="218">
        <v>44</v>
      </c>
      <c r="B74" s="220" t="s">
        <v>511</v>
      </c>
      <c r="E74" s="228">
        <f>F74+G74</f>
        <v>-249563</v>
      </c>
      <c r="F74" s="228">
        <f>SUM(F427)</f>
        <v>-249563</v>
      </c>
      <c r="G74" s="228">
        <f>SUM(G427)</f>
        <v>0</v>
      </c>
      <c r="H74" s="224" t="str">
        <f>IF(E74=F74+G74," ","ERROR")</f>
        <v xml:space="preserve"> </v>
      </c>
      <c r="I74" s="228" t="e">
        <f>J74+K74</f>
        <v>#REF!</v>
      </c>
      <c r="J74" s="228" t="e">
        <f>#REF!</f>
        <v>#REF!</v>
      </c>
      <c r="K74" s="228"/>
    </row>
    <row r="75" spans="1:11">
      <c r="A75" s="218">
        <v>45</v>
      </c>
      <c r="B75" s="220" t="s">
        <v>512</v>
      </c>
      <c r="E75" s="230">
        <f>SUM(E72:E74)</f>
        <v>1222707</v>
      </c>
      <c r="F75" s="230">
        <f>SUM(F72:F74)</f>
        <v>1222707</v>
      </c>
      <c r="G75" s="230">
        <f>SUM(G72-G74)</f>
        <v>0</v>
      </c>
      <c r="H75" s="224"/>
      <c r="I75" s="230"/>
      <c r="J75" s="230"/>
      <c r="K75" s="230"/>
    </row>
    <row r="76" spans="1:11">
      <c r="A76" s="218">
        <v>46</v>
      </c>
      <c r="B76" s="220" t="s">
        <v>228</v>
      </c>
      <c r="E76" s="229">
        <f t="shared" ref="E76:E77" si="3">F76+G76</f>
        <v>10846</v>
      </c>
      <c r="F76" s="231">
        <f>SUM(F463)-F77</f>
        <v>10846</v>
      </c>
      <c r="G76" s="231">
        <f>SUM(G432:G462)-G77</f>
        <v>0</v>
      </c>
      <c r="H76" s="224"/>
      <c r="I76" s="231"/>
      <c r="J76" s="231"/>
      <c r="K76" s="231"/>
    </row>
    <row r="77" spans="1:11">
      <c r="A77" s="218">
        <v>47</v>
      </c>
      <c r="B77" s="220" t="s">
        <v>211</v>
      </c>
      <c r="E77" s="228">
        <f t="shared" si="3"/>
        <v>25402</v>
      </c>
      <c r="F77" s="228">
        <f>F461</f>
        <v>25402</v>
      </c>
      <c r="G77" s="228">
        <f>G461</f>
        <v>0</v>
      </c>
      <c r="H77" s="224"/>
      <c r="I77" s="229"/>
      <c r="J77" s="229"/>
      <c r="K77" s="229"/>
    </row>
    <row r="78" spans="1:11">
      <c r="H78" s="224"/>
    </row>
    <row r="79" spans="1:11" s="224" customFormat="1" ht="12.75" thickBot="1">
      <c r="A79" s="227">
        <v>48</v>
      </c>
      <c r="B79" s="226" t="s">
        <v>48</v>
      </c>
      <c r="E79" s="225">
        <f>SUM(E75:E77)</f>
        <v>1258955</v>
      </c>
      <c r="F79" s="225">
        <f>SUM(F75:F77)</f>
        <v>1258955</v>
      </c>
      <c r="G79" s="225">
        <f>SUM(G75:G77)</f>
        <v>0</v>
      </c>
      <c r="H79" s="224" t="str">
        <f>IF(E79=F79+G79," ","ERROR")</f>
        <v xml:space="preserve"> </v>
      </c>
      <c r="I79" s="225" t="e">
        <f>J79+K79</f>
        <v>#REF!</v>
      </c>
      <c r="J79" s="225" t="e">
        <f>J64-#REF!+#REF!+#REF!</f>
        <v>#REF!</v>
      </c>
      <c r="K79" s="225"/>
    </row>
    <row r="80" spans="1:11" s="219" customFormat="1" ht="14.25" customHeight="1" thickTop="1">
      <c r="E80" s="213">
        <f>E55/E79</f>
        <v>8.2753553542422087E-2</v>
      </c>
      <c r="F80" s="213">
        <f>F55/F79</f>
        <v>8.2753553542422087E-2</v>
      </c>
      <c r="G80" s="213"/>
      <c r="I80" s="213" t="e">
        <f>I55/I79</f>
        <v>#REF!</v>
      </c>
      <c r="J80" s="213" t="e">
        <f>J55/J79</f>
        <v>#REF!</v>
      </c>
      <c r="K80" s="213"/>
    </row>
    <row r="81" spans="1:14">
      <c r="A81" s="217"/>
      <c r="B81" s="223" t="s">
        <v>84</v>
      </c>
      <c r="C81" s="222"/>
      <c r="D81" s="222"/>
      <c r="E81" s="222"/>
      <c r="F81" s="222"/>
      <c r="G81" s="221"/>
      <c r="I81" s="222"/>
      <c r="J81" s="222"/>
      <c r="K81" s="221"/>
    </row>
    <row r="82" spans="1:14" ht="12.75">
      <c r="A82" s="249"/>
      <c r="B82" s="250" t="s">
        <v>231</v>
      </c>
      <c r="C82" s="250"/>
      <c r="M82" s="250"/>
    </row>
    <row r="83" spans="1:14" ht="12.75">
      <c r="A83" s="249"/>
      <c r="B83" s="251" t="s">
        <v>232</v>
      </c>
      <c r="C83" s="250"/>
      <c r="M83" s="251"/>
    </row>
    <row r="84" spans="1:14" ht="15.75">
      <c r="A84" s="252">
        <v>440000</v>
      </c>
      <c r="B84" s="251" t="s">
        <v>233</v>
      </c>
      <c r="C84" s="250"/>
      <c r="F84" s="217">
        <f>ROUND(H84/1000,0)</f>
        <v>229112</v>
      </c>
      <c r="G84" s="217">
        <v>0</v>
      </c>
      <c r="H84" s="217">
        <v>229111766</v>
      </c>
      <c r="M84" s="440"/>
      <c r="N84" s="441"/>
    </row>
    <row r="85" spans="1:14" ht="15.75">
      <c r="A85" s="252">
        <v>442200</v>
      </c>
      <c r="B85" s="251" t="s">
        <v>234</v>
      </c>
      <c r="C85" s="250"/>
      <c r="F85" s="217">
        <f t="shared" ref="F85:F106" si="4">ROUND(H85/1000,0)</f>
        <v>211352</v>
      </c>
      <c r="G85" s="217">
        <v>0</v>
      </c>
      <c r="H85" s="217">
        <v>211352118</v>
      </c>
      <c r="M85" s="440"/>
      <c r="N85" s="441"/>
    </row>
    <row r="86" spans="1:14" ht="15.75">
      <c r="A86" s="252">
        <v>442300</v>
      </c>
      <c r="B86" s="251" t="s">
        <v>235</v>
      </c>
      <c r="C86" s="250"/>
      <c r="F86" s="217">
        <f t="shared" si="4"/>
        <v>62717</v>
      </c>
      <c r="G86" s="217">
        <v>0</v>
      </c>
      <c r="H86" s="217">
        <v>62717038</v>
      </c>
      <c r="M86" s="440"/>
      <c r="N86" s="441"/>
    </row>
    <row r="87" spans="1:14" ht="15.75">
      <c r="A87" s="252">
        <v>444000</v>
      </c>
      <c r="B87" s="251" t="s">
        <v>236</v>
      </c>
      <c r="C87" s="250"/>
      <c r="F87" s="217">
        <f t="shared" si="4"/>
        <v>5076</v>
      </c>
      <c r="G87" s="217">
        <v>0</v>
      </c>
      <c r="H87" s="217">
        <v>5076127</v>
      </c>
      <c r="M87" s="440"/>
      <c r="N87" s="441"/>
    </row>
    <row r="88" spans="1:14" ht="15.75">
      <c r="A88" s="252">
        <v>448000</v>
      </c>
      <c r="B88" s="251" t="s">
        <v>239</v>
      </c>
      <c r="C88" s="250"/>
      <c r="F88" s="217">
        <f t="shared" si="4"/>
        <v>922</v>
      </c>
      <c r="G88" s="217">
        <v>0</v>
      </c>
      <c r="H88" s="217">
        <v>921983</v>
      </c>
      <c r="M88" s="440"/>
      <c r="N88" s="441"/>
    </row>
    <row r="89" spans="1:14" ht="15.75">
      <c r="A89" s="249" t="s">
        <v>237</v>
      </c>
      <c r="B89" s="251" t="s">
        <v>238</v>
      </c>
      <c r="C89" s="250"/>
      <c r="F89" s="217">
        <f t="shared" si="4"/>
        <v>576</v>
      </c>
      <c r="G89" s="217">
        <v>0</v>
      </c>
      <c r="H89" s="217">
        <v>576421</v>
      </c>
      <c r="M89" s="440"/>
      <c r="N89" s="441"/>
    </row>
    <row r="90" spans="1:14" ht="15.75">
      <c r="A90" s="252"/>
      <c r="B90" s="251" t="s">
        <v>240</v>
      </c>
      <c r="C90" s="250"/>
      <c r="F90" s="217">
        <f t="shared" si="4"/>
        <v>509755</v>
      </c>
      <c r="G90" s="217">
        <v>0</v>
      </c>
      <c r="H90" s="217">
        <v>509755453</v>
      </c>
      <c r="M90" s="440"/>
      <c r="N90" s="441"/>
    </row>
    <row r="91" spans="1:14" ht="15.75">
      <c r="A91" s="249"/>
      <c r="B91" s="251"/>
      <c r="C91" s="250"/>
      <c r="F91" s="217">
        <f t="shared" si="4"/>
        <v>0</v>
      </c>
      <c r="G91" s="217">
        <v>0</v>
      </c>
      <c r="M91" s="440"/>
      <c r="N91" s="441"/>
    </row>
    <row r="92" spans="1:14" ht="15.75">
      <c r="A92" s="252" t="s">
        <v>241</v>
      </c>
      <c r="B92" s="251" t="s">
        <v>33</v>
      </c>
      <c r="C92" s="250"/>
      <c r="F92" s="217">
        <f t="shared" si="4"/>
        <v>97639</v>
      </c>
      <c r="G92" s="217">
        <v>0</v>
      </c>
      <c r="H92" s="217">
        <v>97639225</v>
      </c>
      <c r="M92" s="440"/>
      <c r="N92" s="441"/>
    </row>
    <row r="93" spans="1:14" ht="15.75">
      <c r="A93" s="252"/>
      <c r="B93" s="251" t="s">
        <v>242</v>
      </c>
      <c r="C93" s="250"/>
      <c r="F93" s="217">
        <f t="shared" si="4"/>
        <v>607395</v>
      </c>
      <c r="G93" s="217">
        <v>0</v>
      </c>
      <c r="H93" s="217">
        <v>607394678</v>
      </c>
      <c r="M93" s="440"/>
      <c r="N93" s="441"/>
    </row>
    <row r="94" spans="1:14" ht="15.75">
      <c r="A94" s="252"/>
      <c r="B94" s="251"/>
      <c r="C94" s="250"/>
      <c r="F94" s="217">
        <f t="shared" si="4"/>
        <v>0</v>
      </c>
      <c r="G94" s="217">
        <v>0</v>
      </c>
      <c r="M94" s="440"/>
      <c r="N94" s="441"/>
    </row>
    <row r="95" spans="1:14" ht="15.75">
      <c r="A95" s="252"/>
      <c r="B95" s="251" t="s">
        <v>243</v>
      </c>
      <c r="C95" s="250"/>
      <c r="F95" s="217">
        <f t="shared" si="4"/>
        <v>0</v>
      </c>
      <c r="G95" s="217">
        <v>0</v>
      </c>
      <c r="M95" s="440"/>
      <c r="N95" s="441"/>
    </row>
    <row r="96" spans="1:14" ht="15.75">
      <c r="A96" s="252"/>
      <c r="B96" s="440" t="s">
        <v>603</v>
      </c>
      <c r="C96" s="250"/>
      <c r="F96" s="217">
        <f t="shared" si="4"/>
        <v>0</v>
      </c>
      <c r="H96" s="217">
        <v>0</v>
      </c>
      <c r="M96" s="440"/>
      <c r="N96" s="441"/>
    </row>
    <row r="97" spans="1:14" ht="15.75">
      <c r="A97" s="252">
        <v>451000</v>
      </c>
      <c r="B97" s="251" t="s">
        <v>244</v>
      </c>
      <c r="C97" s="250"/>
      <c r="F97" s="217">
        <f t="shared" si="4"/>
        <v>326</v>
      </c>
      <c r="G97" s="217">
        <v>0</v>
      </c>
      <c r="H97" s="217">
        <v>326323</v>
      </c>
      <c r="M97" s="440"/>
      <c r="N97" s="441"/>
    </row>
    <row r="98" spans="1:14" ht="15.75">
      <c r="A98" s="252">
        <v>453000</v>
      </c>
      <c r="B98" s="251" t="s">
        <v>245</v>
      </c>
      <c r="C98" s="250"/>
      <c r="F98" s="217">
        <f t="shared" si="4"/>
        <v>307</v>
      </c>
      <c r="G98" s="217">
        <v>0</v>
      </c>
      <c r="H98" s="217">
        <v>307373</v>
      </c>
      <c r="M98" s="440"/>
      <c r="N98" s="441"/>
    </row>
    <row r="99" spans="1:14" ht="15.75">
      <c r="A99" s="252">
        <v>454000</v>
      </c>
      <c r="B99" s="251" t="s">
        <v>246</v>
      </c>
      <c r="C99" s="250"/>
      <c r="F99" s="217">
        <f t="shared" si="4"/>
        <v>2060</v>
      </c>
      <c r="G99" s="217">
        <v>0</v>
      </c>
      <c r="H99" s="217">
        <v>2060053</v>
      </c>
      <c r="M99" s="440"/>
      <c r="N99" s="441"/>
    </row>
    <row r="100" spans="1:14" ht="15.75">
      <c r="A100" s="249" t="s">
        <v>247</v>
      </c>
      <c r="B100" s="251" t="s">
        <v>248</v>
      </c>
      <c r="C100" s="250"/>
      <c r="F100" s="217">
        <f t="shared" si="4"/>
        <v>70860</v>
      </c>
      <c r="G100" s="217">
        <v>0</v>
      </c>
      <c r="H100" s="217">
        <v>70859719</v>
      </c>
      <c r="M100" s="440"/>
      <c r="N100" s="441"/>
    </row>
    <row r="101" spans="1:14" ht="15.75">
      <c r="A101" s="249"/>
      <c r="B101" s="251" t="s">
        <v>249</v>
      </c>
      <c r="C101" s="250"/>
      <c r="F101" s="217">
        <f t="shared" si="4"/>
        <v>73553</v>
      </c>
      <c r="G101" s="217">
        <v>0</v>
      </c>
      <c r="H101" s="217">
        <v>73553468</v>
      </c>
      <c r="M101" s="440"/>
      <c r="N101" s="441"/>
    </row>
    <row r="102" spans="1:14" ht="15.75">
      <c r="A102" s="249"/>
      <c r="B102" s="251" t="s">
        <v>250</v>
      </c>
      <c r="C102" s="250"/>
      <c r="F102" s="217">
        <f>ROUND(H102/1000,0)</f>
        <v>680948</v>
      </c>
      <c r="G102" s="217">
        <v>0</v>
      </c>
      <c r="H102" s="217">
        <v>680948146</v>
      </c>
      <c r="M102" s="440"/>
      <c r="N102" s="441"/>
    </row>
    <row r="103" spans="1:14" ht="15.75">
      <c r="A103" s="249"/>
      <c r="B103" s="251"/>
      <c r="C103" s="250"/>
      <c r="F103" s="217">
        <f t="shared" si="4"/>
        <v>0</v>
      </c>
      <c r="G103" s="217">
        <v>0</v>
      </c>
      <c r="M103" s="440"/>
      <c r="N103" s="441"/>
    </row>
    <row r="104" spans="1:14" ht="15.75">
      <c r="A104" s="249"/>
      <c r="B104" s="251" t="s">
        <v>251</v>
      </c>
      <c r="C104" s="250"/>
      <c r="F104" s="217">
        <f t="shared" si="4"/>
        <v>0</v>
      </c>
      <c r="G104" s="217">
        <v>0</v>
      </c>
      <c r="M104" s="440"/>
      <c r="N104" s="441"/>
    </row>
    <row r="105" spans="1:14" ht="15.75">
      <c r="A105" s="249"/>
      <c r="B105" s="251" t="s">
        <v>252</v>
      </c>
      <c r="C105" s="250"/>
      <c r="F105" s="217">
        <f t="shared" si="4"/>
        <v>0</v>
      </c>
      <c r="G105" s="217">
        <v>0</v>
      </c>
      <c r="M105" s="440"/>
      <c r="N105" s="441"/>
    </row>
    <row r="106" spans="1:14" ht="15.75">
      <c r="A106" s="249"/>
      <c r="B106" s="251" t="s">
        <v>253</v>
      </c>
      <c r="C106" s="250"/>
      <c r="F106" s="217">
        <f t="shared" si="4"/>
        <v>0</v>
      </c>
      <c r="G106" s="217">
        <v>0</v>
      </c>
      <c r="M106" s="440"/>
      <c r="N106" s="441"/>
    </row>
    <row r="107" spans="1:14" ht="15.75">
      <c r="A107" s="252">
        <v>500000</v>
      </c>
      <c r="B107" s="251" t="s">
        <v>254</v>
      </c>
      <c r="C107" s="250"/>
      <c r="F107" s="217">
        <f t="shared" ref="F107:F138" si="5">ROUND(H107/1000,0)</f>
        <v>135</v>
      </c>
      <c r="G107" s="217">
        <v>0</v>
      </c>
      <c r="H107" s="217">
        <v>134928</v>
      </c>
      <c r="M107" s="440"/>
      <c r="N107" s="441"/>
    </row>
    <row r="108" spans="1:14" ht="15.75">
      <c r="A108" s="252">
        <v>501000</v>
      </c>
      <c r="B108" s="251" t="s">
        <v>255</v>
      </c>
      <c r="C108" s="250"/>
      <c r="F108" s="217">
        <f t="shared" si="5"/>
        <v>18769</v>
      </c>
      <c r="G108" s="217">
        <v>0</v>
      </c>
      <c r="H108" s="217">
        <v>18769141</v>
      </c>
      <c r="M108" s="440"/>
      <c r="N108" s="441"/>
    </row>
    <row r="109" spans="1:14" ht="15.75">
      <c r="A109" s="252">
        <v>502000</v>
      </c>
      <c r="B109" s="251" t="s">
        <v>256</v>
      </c>
      <c r="C109" s="250"/>
      <c r="F109" s="217">
        <f t="shared" si="5"/>
        <v>2482</v>
      </c>
      <c r="G109" s="217">
        <v>0</v>
      </c>
      <c r="H109" s="217">
        <v>2482155</v>
      </c>
      <c r="M109" s="440"/>
      <c r="N109" s="441"/>
    </row>
    <row r="110" spans="1:14" ht="15.75">
      <c r="A110" s="252">
        <v>505000</v>
      </c>
      <c r="B110" s="251" t="s">
        <v>257</v>
      </c>
      <c r="C110" s="250"/>
      <c r="F110" s="217">
        <f t="shared" si="5"/>
        <v>637</v>
      </c>
      <c r="G110" s="217">
        <v>0</v>
      </c>
      <c r="H110" s="217">
        <v>637047</v>
      </c>
      <c r="M110" s="440"/>
      <c r="N110" s="441"/>
    </row>
    <row r="111" spans="1:14" ht="15.75">
      <c r="A111" s="252">
        <v>506000</v>
      </c>
      <c r="B111" s="251" t="s">
        <v>258</v>
      </c>
      <c r="C111" s="250"/>
      <c r="F111" s="217">
        <f t="shared" si="5"/>
        <v>1485</v>
      </c>
      <c r="G111" s="217">
        <v>0</v>
      </c>
      <c r="H111" s="217">
        <v>1485452</v>
      </c>
      <c r="M111" s="440"/>
      <c r="N111" s="441"/>
    </row>
    <row r="112" spans="1:14" ht="15.75">
      <c r="A112" s="252">
        <v>507000</v>
      </c>
      <c r="B112" s="251" t="s">
        <v>259</v>
      </c>
      <c r="C112" s="250"/>
      <c r="F112" s="217">
        <f t="shared" si="5"/>
        <v>26</v>
      </c>
      <c r="G112" s="217">
        <v>0</v>
      </c>
      <c r="H112" s="217">
        <v>26435</v>
      </c>
      <c r="M112" s="440"/>
      <c r="N112" s="441"/>
    </row>
    <row r="113" spans="1:14" ht="15.75">
      <c r="A113" s="252"/>
      <c r="B113" s="251"/>
      <c r="C113" s="250"/>
      <c r="F113" s="217">
        <f t="shared" si="5"/>
        <v>0</v>
      </c>
      <c r="G113" s="217">
        <v>0</v>
      </c>
      <c r="M113" s="440"/>
      <c r="N113" s="441"/>
    </row>
    <row r="114" spans="1:14" ht="15.75">
      <c r="A114" s="252"/>
      <c r="B114" s="251" t="s">
        <v>260</v>
      </c>
      <c r="C114" s="250"/>
      <c r="F114" s="217">
        <f t="shared" si="5"/>
        <v>0</v>
      </c>
      <c r="G114" s="217">
        <v>0</v>
      </c>
      <c r="M114" s="440"/>
      <c r="N114" s="441"/>
    </row>
    <row r="115" spans="1:14" ht="15.75">
      <c r="A115" s="252">
        <v>510000</v>
      </c>
      <c r="B115" s="251" t="s">
        <v>254</v>
      </c>
      <c r="C115" s="250"/>
      <c r="F115" s="217">
        <f t="shared" si="5"/>
        <v>384</v>
      </c>
      <c r="G115" s="217">
        <v>0</v>
      </c>
      <c r="H115" s="217">
        <v>383981</v>
      </c>
      <c r="M115" s="440"/>
      <c r="N115" s="441"/>
    </row>
    <row r="116" spans="1:14" ht="15.75">
      <c r="A116" s="252">
        <v>511000</v>
      </c>
      <c r="B116" s="251" t="s">
        <v>261</v>
      </c>
      <c r="C116" s="250"/>
      <c r="F116" s="217">
        <f t="shared" si="5"/>
        <v>515</v>
      </c>
      <c r="G116" s="217">
        <v>0</v>
      </c>
      <c r="H116" s="217">
        <v>514676</v>
      </c>
      <c r="M116" s="440"/>
      <c r="N116" s="441"/>
    </row>
    <row r="117" spans="1:14" ht="15.75">
      <c r="A117" s="252">
        <v>512000</v>
      </c>
      <c r="B117" s="251" t="s">
        <v>262</v>
      </c>
      <c r="C117" s="250"/>
      <c r="F117" s="217">
        <f t="shared" si="5"/>
        <v>3586</v>
      </c>
      <c r="G117" s="217">
        <v>0</v>
      </c>
      <c r="H117" s="217">
        <v>3585743</v>
      </c>
      <c r="M117" s="440"/>
      <c r="N117" s="441"/>
    </row>
    <row r="118" spans="1:14" ht="15.75">
      <c r="A118" s="252">
        <v>513000</v>
      </c>
      <c r="B118" s="251" t="s">
        <v>263</v>
      </c>
      <c r="C118" s="250"/>
      <c r="F118" s="217">
        <f t="shared" si="5"/>
        <v>1301</v>
      </c>
      <c r="G118" s="217">
        <v>0</v>
      </c>
      <c r="H118" s="217">
        <v>1300844</v>
      </c>
      <c r="M118" s="440"/>
      <c r="N118" s="441"/>
    </row>
    <row r="119" spans="1:14" ht="15.75">
      <c r="A119" s="252">
        <v>514000</v>
      </c>
      <c r="B119" s="251" t="s">
        <v>264</v>
      </c>
      <c r="C119" s="250"/>
      <c r="F119" s="217">
        <f t="shared" si="5"/>
        <v>1773</v>
      </c>
      <c r="G119" s="217">
        <v>0</v>
      </c>
      <c r="H119" s="217">
        <v>1772771</v>
      </c>
      <c r="M119" s="440"/>
      <c r="N119" s="441"/>
    </row>
    <row r="120" spans="1:14" ht="15.75">
      <c r="A120" s="249"/>
      <c r="B120" s="251" t="s">
        <v>265</v>
      </c>
      <c r="C120" s="250"/>
      <c r="F120" s="217">
        <f t="shared" si="5"/>
        <v>31093</v>
      </c>
      <c r="G120" s="217">
        <v>0</v>
      </c>
      <c r="H120" s="217">
        <v>31093173</v>
      </c>
      <c r="M120" s="440"/>
      <c r="N120" s="441"/>
    </row>
    <row r="121" spans="1:14" ht="15.75">
      <c r="A121" s="249"/>
      <c r="B121" s="251"/>
      <c r="C121" s="250"/>
      <c r="F121" s="217">
        <f t="shared" si="5"/>
        <v>0</v>
      </c>
      <c r="G121" s="217">
        <v>0</v>
      </c>
      <c r="M121" s="440"/>
      <c r="N121" s="441"/>
    </row>
    <row r="122" spans="1:14" ht="15.75">
      <c r="A122" s="249"/>
      <c r="B122" s="251" t="s">
        <v>266</v>
      </c>
      <c r="C122" s="250"/>
      <c r="F122" s="217">
        <f t="shared" si="5"/>
        <v>0</v>
      </c>
      <c r="G122" s="217">
        <v>0</v>
      </c>
      <c r="M122" s="440"/>
      <c r="N122" s="441"/>
    </row>
    <row r="123" spans="1:14" ht="15.75">
      <c r="A123" s="249"/>
      <c r="B123" s="251" t="s">
        <v>253</v>
      </c>
      <c r="C123" s="250"/>
      <c r="F123" s="217">
        <f t="shared" si="5"/>
        <v>0</v>
      </c>
      <c r="G123" s="217">
        <v>0</v>
      </c>
      <c r="M123" s="440"/>
      <c r="N123" s="441"/>
    </row>
    <row r="124" spans="1:14" ht="15.75">
      <c r="A124" s="252">
        <v>535000</v>
      </c>
      <c r="B124" s="251" t="s">
        <v>254</v>
      </c>
      <c r="C124" s="250"/>
      <c r="F124" s="217">
        <f t="shared" si="5"/>
        <v>1471</v>
      </c>
      <c r="G124" s="217">
        <v>0</v>
      </c>
      <c r="H124" s="217">
        <v>1471127</v>
      </c>
      <c r="M124" s="440"/>
      <c r="N124" s="441"/>
    </row>
    <row r="125" spans="1:14" ht="15.75">
      <c r="A125" s="252">
        <v>536000</v>
      </c>
      <c r="B125" s="251" t="s">
        <v>267</v>
      </c>
      <c r="C125" s="250"/>
      <c r="F125" s="217">
        <f t="shared" si="5"/>
        <v>844</v>
      </c>
      <c r="G125" s="217">
        <v>0</v>
      </c>
      <c r="H125" s="217">
        <v>844021</v>
      </c>
      <c r="M125" s="440"/>
      <c r="N125" s="441"/>
    </row>
    <row r="126" spans="1:14" ht="15.75">
      <c r="A126" s="252">
        <v>537000</v>
      </c>
      <c r="B126" s="251" t="s">
        <v>268</v>
      </c>
      <c r="C126" s="250"/>
      <c r="F126" s="217">
        <f t="shared" si="5"/>
        <v>4652</v>
      </c>
      <c r="G126" s="217">
        <v>0</v>
      </c>
      <c r="H126" s="217">
        <v>4652194</v>
      </c>
      <c r="M126" s="440"/>
      <c r="N126" s="441"/>
    </row>
    <row r="127" spans="1:14" ht="15.75">
      <c r="A127" s="252">
        <v>538000</v>
      </c>
      <c r="B127" s="251" t="s">
        <v>257</v>
      </c>
      <c r="C127" s="250"/>
      <c r="F127" s="217">
        <f t="shared" si="5"/>
        <v>3925</v>
      </c>
      <c r="G127" s="217">
        <v>0</v>
      </c>
      <c r="H127" s="217">
        <v>3924958</v>
      </c>
      <c r="M127" s="440"/>
      <c r="N127" s="441"/>
    </row>
    <row r="128" spans="1:14" ht="15.75">
      <c r="A128" s="252">
        <v>539000</v>
      </c>
      <c r="B128" s="251" t="s">
        <v>269</v>
      </c>
      <c r="C128" s="250"/>
      <c r="F128" s="217">
        <f t="shared" si="5"/>
        <v>431</v>
      </c>
      <c r="G128" s="217">
        <v>0</v>
      </c>
      <c r="H128" s="217">
        <v>430746</v>
      </c>
      <c r="M128" s="440"/>
      <c r="N128" s="441"/>
    </row>
    <row r="129" spans="1:14" ht="15.75">
      <c r="A129" s="252">
        <v>540000</v>
      </c>
      <c r="B129" s="251" t="s">
        <v>259</v>
      </c>
      <c r="C129" s="250"/>
      <c r="F129" s="217">
        <f t="shared" si="5"/>
        <v>824</v>
      </c>
      <c r="G129" s="217">
        <v>0</v>
      </c>
      <c r="H129" s="217">
        <v>823712</v>
      </c>
      <c r="M129" s="440"/>
      <c r="N129" s="441"/>
    </row>
    <row r="130" spans="1:14" ht="15.75">
      <c r="A130" s="253">
        <v>540100</v>
      </c>
      <c r="B130" s="254" t="s">
        <v>270</v>
      </c>
      <c r="C130" s="255"/>
      <c r="F130" s="217">
        <f t="shared" si="5"/>
        <v>3689</v>
      </c>
      <c r="G130" s="217">
        <v>0</v>
      </c>
      <c r="H130" s="217">
        <v>3689082</v>
      </c>
      <c r="M130" s="442"/>
      <c r="N130" s="443"/>
    </row>
    <row r="131" spans="1:14" ht="15.75">
      <c r="A131" s="249"/>
      <c r="B131" s="251"/>
      <c r="C131" s="250"/>
      <c r="F131" s="217">
        <f t="shared" si="5"/>
        <v>0</v>
      </c>
      <c r="G131" s="217">
        <v>0</v>
      </c>
      <c r="M131" s="440"/>
      <c r="N131" s="441"/>
    </row>
    <row r="132" spans="1:14" ht="15.75">
      <c r="A132" s="249"/>
      <c r="B132" s="251" t="s">
        <v>260</v>
      </c>
      <c r="C132" s="250"/>
      <c r="F132" s="217">
        <f t="shared" si="5"/>
        <v>0</v>
      </c>
      <c r="G132" s="217">
        <v>0</v>
      </c>
      <c r="M132" s="440"/>
      <c r="N132" s="441"/>
    </row>
    <row r="133" spans="1:14" ht="15.75">
      <c r="A133" s="252">
        <v>541000</v>
      </c>
      <c r="B133" s="251" t="s">
        <v>254</v>
      </c>
      <c r="C133" s="250"/>
      <c r="F133" s="217">
        <f t="shared" si="5"/>
        <v>555</v>
      </c>
      <c r="G133" s="217">
        <v>0</v>
      </c>
      <c r="H133" s="217">
        <v>554992</v>
      </c>
      <c r="M133" s="440"/>
      <c r="N133" s="441"/>
    </row>
    <row r="134" spans="1:14" ht="15.75">
      <c r="A134" s="252">
        <v>542000</v>
      </c>
      <c r="B134" s="251" t="s">
        <v>261</v>
      </c>
      <c r="C134" s="250"/>
      <c r="F134" s="217">
        <f t="shared" si="5"/>
        <v>577</v>
      </c>
      <c r="G134" s="217">
        <v>0</v>
      </c>
      <c r="H134" s="217">
        <v>576980</v>
      </c>
      <c r="M134" s="440"/>
      <c r="N134" s="441"/>
    </row>
    <row r="135" spans="1:14" ht="15.75">
      <c r="A135" s="252">
        <v>543000</v>
      </c>
      <c r="B135" s="251" t="s">
        <v>271</v>
      </c>
      <c r="C135" s="250"/>
      <c r="F135" s="217">
        <f t="shared" si="5"/>
        <v>836</v>
      </c>
      <c r="G135" s="217">
        <v>0</v>
      </c>
      <c r="H135" s="217">
        <v>835883</v>
      </c>
      <c r="M135" s="440"/>
      <c r="N135" s="441"/>
    </row>
    <row r="136" spans="1:14" ht="15.75">
      <c r="A136" s="252">
        <v>544000</v>
      </c>
      <c r="B136" s="251" t="s">
        <v>263</v>
      </c>
      <c r="C136" s="250"/>
      <c r="F136" s="217">
        <f t="shared" si="5"/>
        <v>1823</v>
      </c>
      <c r="G136" s="217">
        <v>0</v>
      </c>
      <c r="H136" s="217">
        <v>1823368</v>
      </c>
      <c r="M136" s="440"/>
      <c r="N136" s="441"/>
    </row>
    <row r="137" spans="1:14" ht="15.75">
      <c r="A137" s="252">
        <v>545000</v>
      </c>
      <c r="B137" s="251" t="s">
        <v>272</v>
      </c>
      <c r="C137" s="250"/>
      <c r="F137" s="217">
        <f t="shared" si="5"/>
        <v>442</v>
      </c>
      <c r="G137" s="217">
        <v>0</v>
      </c>
      <c r="H137" s="217">
        <v>441987</v>
      </c>
      <c r="M137" s="440"/>
      <c r="N137" s="441"/>
    </row>
    <row r="138" spans="1:14" ht="15.75">
      <c r="A138" s="249"/>
      <c r="B138" s="251" t="s">
        <v>273</v>
      </c>
      <c r="C138" s="250"/>
      <c r="F138" s="217">
        <f t="shared" si="5"/>
        <v>20069</v>
      </c>
      <c r="G138" s="217">
        <v>0</v>
      </c>
      <c r="H138" s="217">
        <v>20069050</v>
      </c>
      <c r="M138" s="440"/>
      <c r="N138" s="441"/>
    </row>
    <row r="139" spans="1:14" ht="15.75">
      <c r="A139" s="249"/>
      <c r="B139" s="251"/>
      <c r="C139" s="250"/>
      <c r="F139" s="217">
        <f t="shared" ref="F139:F171" si="6">ROUND(H139/1000,0)</f>
        <v>0</v>
      </c>
      <c r="G139" s="217">
        <v>0</v>
      </c>
      <c r="M139" s="440"/>
      <c r="N139" s="441"/>
    </row>
    <row r="140" spans="1:14" ht="15.75">
      <c r="A140" s="249"/>
      <c r="B140" s="251" t="s">
        <v>274</v>
      </c>
      <c r="C140" s="250"/>
      <c r="F140" s="217">
        <f t="shared" si="6"/>
        <v>0</v>
      </c>
      <c r="G140" s="217">
        <v>0</v>
      </c>
      <c r="M140" s="440"/>
      <c r="N140" s="441"/>
    </row>
    <row r="141" spans="1:14" ht="15.75">
      <c r="A141" s="249"/>
      <c r="B141" s="251" t="s">
        <v>253</v>
      </c>
      <c r="C141" s="250"/>
      <c r="F141" s="217">
        <f t="shared" si="6"/>
        <v>0</v>
      </c>
      <c r="G141" s="217">
        <v>0</v>
      </c>
      <c r="M141" s="440"/>
      <c r="N141" s="441"/>
    </row>
    <row r="142" spans="1:14" ht="15.75">
      <c r="A142" s="252">
        <v>546000</v>
      </c>
      <c r="B142" s="251" t="s">
        <v>254</v>
      </c>
      <c r="C142" s="250"/>
      <c r="F142" s="217">
        <f t="shared" si="6"/>
        <v>917</v>
      </c>
      <c r="G142" s="217">
        <v>0</v>
      </c>
      <c r="H142" s="217">
        <v>916542</v>
      </c>
      <c r="M142" s="440"/>
      <c r="N142" s="441"/>
    </row>
    <row r="143" spans="1:14" ht="15.75">
      <c r="A143" s="252">
        <v>547000</v>
      </c>
      <c r="B143" s="251" t="s">
        <v>255</v>
      </c>
      <c r="C143" s="250"/>
      <c r="F143" s="217">
        <f t="shared" si="6"/>
        <v>57690</v>
      </c>
      <c r="G143" s="217">
        <v>0</v>
      </c>
      <c r="H143" s="217">
        <v>57689530</v>
      </c>
      <c r="M143" s="440"/>
      <c r="N143" s="441"/>
    </row>
    <row r="144" spans="1:14" ht="15.75">
      <c r="A144" s="252">
        <v>548000</v>
      </c>
      <c r="B144" s="251" t="s">
        <v>275</v>
      </c>
      <c r="C144" s="250"/>
      <c r="F144" s="217">
        <f t="shared" si="6"/>
        <v>1192</v>
      </c>
      <c r="G144" s="217">
        <v>0</v>
      </c>
      <c r="H144" s="217">
        <v>1191631</v>
      </c>
      <c r="M144" s="440"/>
      <c r="N144" s="441"/>
    </row>
    <row r="145" spans="1:14" ht="15.75">
      <c r="A145" s="252">
        <v>549000</v>
      </c>
      <c r="B145" s="251" t="s">
        <v>276</v>
      </c>
      <c r="C145" s="250"/>
      <c r="F145" s="217">
        <f t="shared" si="6"/>
        <v>405</v>
      </c>
      <c r="G145" s="217">
        <v>0</v>
      </c>
      <c r="H145" s="217">
        <v>404542</v>
      </c>
      <c r="M145" s="440"/>
      <c r="N145" s="441"/>
    </row>
    <row r="146" spans="1:14" ht="15.75">
      <c r="A146" s="252">
        <v>550000</v>
      </c>
      <c r="B146" s="251" t="s">
        <v>259</v>
      </c>
      <c r="C146" s="250"/>
      <c r="F146" s="217">
        <f t="shared" si="6"/>
        <v>-24</v>
      </c>
      <c r="G146" s="217">
        <v>0</v>
      </c>
      <c r="H146" s="217">
        <v>-24121</v>
      </c>
      <c r="M146" s="440"/>
      <c r="N146" s="441"/>
    </row>
    <row r="147" spans="1:14" ht="15.75">
      <c r="A147" s="249"/>
      <c r="B147" s="251"/>
      <c r="C147" s="250"/>
      <c r="F147" s="217">
        <f t="shared" si="6"/>
        <v>0</v>
      </c>
      <c r="G147" s="217">
        <v>0</v>
      </c>
      <c r="M147" s="440"/>
      <c r="N147" s="441"/>
    </row>
    <row r="148" spans="1:14" ht="15.75">
      <c r="A148" s="249"/>
      <c r="B148" s="251" t="s">
        <v>260</v>
      </c>
      <c r="C148" s="250"/>
      <c r="F148" s="217">
        <f t="shared" si="6"/>
        <v>0</v>
      </c>
      <c r="G148" s="217">
        <v>0</v>
      </c>
      <c r="M148" s="440"/>
      <c r="N148" s="441"/>
    </row>
    <row r="149" spans="1:14" ht="15.75">
      <c r="A149" s="252">
        <v>551000</v>
      </c>
      <c r="B149" s="251" t="s">
        <v>254</v>
      </c>
      <c r="C149" s="250"/>
      <c r="F149" s="217">
        <f t="shared" si="6"/>
        <v>720</v>
      </c>
      <c r="G149" s="217">
        <v>0</v>
      </c>
      <c r="H149" s="217">
        <v>720427</v>
      </c>
      <c r="M149" s="440"/>
      <c r="N149" s="441"/>
    </row>
    <row r="150" spans="1:14" ht="15.75">
      <c r="A150" s="252">
        <v>552000</v>
      </c>
      <c r="B150" s="251" t="s">
        <v>261</v>
      </c>
      <c r="C150" s="250"/>
      <c r="F150" s="217">
        <f t="shared" si="6"/>
        <v>50</v>
      </c>
      <c r="G150" s="217">
        <v>0</v>
      </c>
      <c r="H150" s="217">
        <v>49691</v>
      </c>
      <c r="M150" s="440"/>
      <c r="N150" s="441"/>
    </row>
    <row r="151" spans="1:14" ht="15.75">
      <c r="A151" s="252">
        <v>553000</v>
      </c>
      <c r="B151" s="251" t="s">
        <v>277</v>
      </c>
      <c r="C151" s="250"/>
      <c r="F151" s="217">
        <f t="shared" si="6"/>
        <v>1526</v>
      </c>
      <c r="G151" s="217">
        <v>0</v>
      </c>
      <c r="H151" s="217">
        <v>1525970</v>
      </c>
      <c r="M151" s="440"/>
      <c r="N151" s="441"/>
    </row>
    <row r="152" spans="1:14" ht="15.75">
      <c r="A152" s="252">
        <v>554000</v>
      </c>
      <c r="B152" s="251" t="s">
        <v>278</v>
      </c>
      <c r="C152" s="250"/>
      <c r="F152" s="217">
        <f t="shared" si="6"/>
        <v>375</v>
      </c>
      <c r="G152" s="217">
        <v>0</v>
      </c>
      <c r="H152" s="217">
        <v>374910</v>
      </c>
      <c r="M152" s="440"/>
      <c r="N152" s="441"/>
    </row>
    <row r="153" spans="1:14" ht="15.75">
      <c r="A153" s="249"/>
      <c r="B153" s="251" t="s">
        <v>279</v>
      </c>
      <c r="C153" s="250"/>
      <c r="F153" s="217">
        <f t="shared" si="6"/>
        <v>62849</v>
      </c>
      <c r="G153" s="217">
        <v>0</v>
      </c>
      <c r="H153" s="217">
        <v>62849122</v>
      </c>
      <c r="M153" s="440"/>
      <c r="N153" s="441"/>
    </row>
    <row r="154" spans="1:14" ht="15.75">
      <c r="A154" s="249"/>
      <c r="B154" s="251"/>
      <c r="C154" s="250"/>
      <c r="F154" s="217">
        <f t="shared" si="6"/>
        <v>0</v>
      </c>
      <c r="G154" s="217">
        <v>0</v>
      </c>
      <c r="M154" s="440"/>
      <c r="N154" s="441"/>
    </row>
    <row r="155" spans="1:14" ht="15.75">
      <c r="A155" s="249"/>
      <c r="B155" s="251" t="s">
        <v>280</v>
      </c>
      <c r="C155" s="250"/>
      <c r="F155" s="217">
        <f t="shared" si="6"/>
        <v>0</v>
      </c>
      <c r="G155" s="217">
        <v>0</v>
      </c>
      <c r="M155" s="440"/>
      <c r="N155" s="441"/>
    </row>
    <row r="156" spans="1:14" ht="15.75">
      <c r="A156" s="249" t="s">
        <v>281</v>
      </c>
      <c r="B156" s="251" t="s">
        <v>37</v>
      </c>
      <c r="C156" s="250"/>
      <c r="F156" s="217">
        <f t="shared" si="6"/>
        <v>127926</v>
      </c>
      <c r="G156" s="217">
        <v>0</v>
      </c>
      <c r="H156" s="217">
        <v>127925954</v>
      </c>
      <c r="M156" s="440"/>
      <c r="N156" s="441"/>
    </row>
    <row r="157" spans="1:14" ht="15.75">
      <c r="A157" s="252">
        <v>556000</v>
      </c>
      <c r="B157" s="251" t="s">
        <v>282</v>
      </c>
      <c r="C157" s="250"/>
      <c r="F157" s="217">
        <f t="shared" si="6"/>
        <v>633</v>
      </c>
      <c r="G157" s="217">
        <v>0</v>
      </c>
      <c r="H157" s="217">
        <v>633157</v>
      </c>
      <c r="M157" s="440"/>
      <c r="N157" s="441"/>
    </row>
    <row r="158" spans="1:14" ht="15.75">
      <c r="A158" s="252" t="s">
        <v>283</v>
      </c>
      <c r="B158" s="251" t="s">
        <v>284</v>
      </c>
      <c r="C158" s="250"/>
      <c r="F158" s="217">
        <f t="shared" si="6"/>
        <v>57755</v>
      </c>
      <c r="G158" s="217">
        <v>0</v>
      </c>
      <c r="H158" s="217">
        <v>57754510</v>
      </c>
      <c r="M158" s="440"/>
      <c r="N158" s="441"/>
    </row>
    <row r="159" spans="1:14" ht="15.75">
      <c r="A159" s="252"/>
      <c r="B159" s="251" t="s">
        <v>285</v>
      </c>
      <c r="C159" s="250"/>
      <c r="F159" s="217">
        <f t="shared" si="6"/>
        <v>186314</v>
      </c>
      <c r="G159" s="217">
        <v>0</v>
      </c>
      <c r="H159" s="217">
        <v>186313621</v>
      </c>
      <c r="M159" s="440"/>
      <c r="N159" s="441"/>
    </row>
    <row r="160" spans="1:14" ht="15.75">
      <c r="A160" s="252"/>
      <c r="B160" s="251" t="s">
        <v>286</v>
      </c>
      <c r="C160" s="250"/>
      <c r="F160" s="217">
        <f t="shared" si="6"/>
        <v>300325</v>
      </c>
      <c r="G160" s="217">
        <v>0</v>
      </c>
      <c r="H160" s="217">
        <v>300324966</v>
      </c>
      <c r="M160" s="440"/>
      <c r="N160" s="441"/>
    </row>
    <row r="161" spans="1:14" ht="15.75">
      <c r="A161" s="252"/>
      <c r="B161" s="251"/>
      <c r="C161" s="250"/>
      <c r="F161" s="217">
        <f t="shared" si="6"/>
        <v>0</v>
      </c>
      <c r="G161" s="217">
        <v>0</v>
      </c>
      <c r="M161" s="440"/>
      <c r="N161" s="441"/>
    </row>
    <row r="162" spans="1:14" ht="15.75">
      <c r="A162" s="252"/>
      <c r="B162" s="251" t="s">
        <v>287</v>
      </c>
      <c r="C162" s="250"/>
      <c r="F162" s="217">
        <f t="shared" si="6"/>
        <v>0</v>
      </c>
      <c r="G162" s="217">
        <v>0</v>
      </c>
      <c r="M162" s="440"/>
      <c r="N162" s="441"/>
    </row>
    <row r="163" spans="1:14" ht="15.75">
      <c r="A163" s="252"/>
      <c r="B163" s="251" t="s">
        <v>253</v>
      </c>
      <c r="C163" s="250"/>
      <c r="F163" s="217">
        <f t="shared" si="6"/>
        <v>0</v>
      </c>
      <c r="G163" s="217">
        <v>0</v>
      </c>
      <c r="M163" s="440"/>
      <c r="N163" s="441"/>
    </row>
    <row r="164" spans="1:14" ht="15.75">
      <c r="A164" s="252">
        <v>560000</v>
      </c>
      <c r="B164" s="251" t="s">
        <v>254</v>
      </c>
      <c r="C164" s="250"/>
      <c r="F164" s="217">
        <f t="shared" si="6"/>
        <v>1455</v>
      </c>
      <c r="G164" s="217">
        <v>0</v>
      </c>
      <c r="H164" s="217">
        <v>1455079</v>
      </c>
      <c r="M164" s="440"/>
      <c r="N164" s="441"/>
    </row>
    <row r="165" spans="1:14" ht="15.75">
      <c r="A165" s="252">
        <v>561000</v>
      </c>
      <c r="B165" s="251" t="s">
        <v>288</v>
      </c>
      <c r="C165" s="250"/>
      <c r="F165" s="217">
        <f t="shared" si="6"/>
        <v>1589</v>
      </c>
      <c r="G165" s="217">
        <v>0</v>
      </c>
      <c r="H165" s="217">
        <v>1588676</v>
      </c>
      <c r="M165" s="440"/>
      <c r="N165" s="441"/>
    </row>
    <row r="166" spans="1:14" ht="15.75">
      <c r="A166" s="252">
        <v>562000</v>
      </c>
      <c r="B166" s="251" t="s">
        <v>289</v>
      </c>
      <c r="C166" s="250"/>
      <c r="F166" s="217">
        <f t="shared" si="6"/>
        <v>321</v>
      </c>
      <c r="G166" s="217">
        <v>0</v>
      </c>
      <c r="H166" s="217">
        <v>321316</v>
      </c>
      <c r="M166" s="440"/>
      <c r="N166" s="441"/>
    </row>
    <row r="167" spans="1:14" ht="15.75">
      <c r="A167" s="252"/>
      <c r="B167" s="440" t="s">
        <v>604</v>
      </c>
      <c r="C167" s="250"/>
      <c r="F167" s="217">
        <f t="shared" ref="F167" si="7">ROUND(H167/1000,0)</f>
        <v>0</v>
      </c>
      <c r="G167" s="217">
        <v>1</v>
      </c>
      <c r="H167" s="217">
        <v>0</v>
      </c>
      <c r="M167" s="440"/>
      <c r="N167" s="441"/>
    </row>
    <row r="168" spans="1:14" ht="15.75">
      <c r="A168" s="252">
        <v>563000</v>
      </c>
      <c r="B168" s="251" t="s">
        <v>290</v>
      </c>
      <c r="C168" s="250"/>
      <c r="F168" s="217">
        <f t="shared" si="6"/>
        <v>348</v>
      </c>
      <c r="G168" s="217">
        <v>0</v>
      </c>
      <c r="H168" s="217">
        <v>347807</v>
      </c>
      <c r="M168" s="440"/>
      <c r="N168" s="441"/>
    </row>
    <row r="169" spans="1:14" ht="15.75">
      <c r="A169" s="252">
        <v>565000</v>
      </c>
      <c r="B169" s="251" t="s">
        <v>291</v>
      </c>
      <c r="C169" s="250"/>
      <c r="F169" s="217">
        <f t="shared" si="6"/>
        <v>12228</v>
      </c>
      <c r="G169" s="217">
        <v>0</v>
      </c>
      <c r="H169" s="217">
        <v>12227616</v>
      </c>
      <c r="M169" s="440"/>
      <c r="N169" s="441"/>
    </row>
    <row r="170" spans="1:14" ht="15.75">
      <c r="A170" s="252">
        <v>566000</v>
      </c>
      <c r="B170" s="251" t="s">
        <v>292</v>
      </c>
      <c r="C170" s="250"/>
      <c r="F170" s="217">
        <f t="shared" si="6"/>
        <v>1257</v>
      </c>
      <c r="G170" s="217">
        <v>0</v>
      </c>
      <c r="H170" s="217">
        <v>1257487</v>
      </c>
      <c r="M170" s="440"/>
      <c r="N170" s="441"/>
    </row>
    <row r="171" spans="1:14" ht="15.75">
      <c r="A171" s="252">
        <v>567000</v>
      </c>
      <c r="B171" s="251" t="s">
        <v>259</v>
      </c>
      <c r="C171" s="250"/>
      <c r="F171" s="217">
        <f t="shared" si="6"/>
        <v>100</v>
      </c>
      <c r="G171" s="217">
        <v>0</v>
      </c>
      <c r="H171" s="217">
        <v>99880</v>
      </c>
      <c r="M171" s="440"/>
      <c r="N171" s="441"/>
    </row>
    <row r="172" spans="1:14" ht="15.75">
      <c r="A172" s="249"/>
      <c r="B172" s="251"/>
      <c r="C172" s="250"/>
      <c r="F172" s="217">
        <f t="shared" ref="F172:F204" si="8">ROUND(H172/1000,0)</f>
        <v>0</v>
      </c>
      <c r="G172" s="217">
        <v>0</v>
      </c>
      <c r="M172" s="440"/>
      <c r="N172" s="441"/>
    </row>
    <row r="173" spans="1:14" ht="15.75">
      <c r="A173" s="249"/>
      <c r="B173" s="251" t="s">
        <v>260</v>
      </c>
      <c r="C173" s="250"/>
      <c r="F173" s="217">
        <f t="shared" si="8"/>
        <v>0</v>
      </c>
      <c r="G173" s="217">
        <v>0</v>
      </c>
      <c r="M173" s="440"/>
      <c r="N173" s="441"/>
    </row>
    <row r="174" spans="1:14" ht="15.75">
      <c r="A174" s="252">
        <v>568000</v>
      </c>
      <c r="B174" s="251" t="s">
        <v>254</v>
      </c>
      <c r="C174" s="250"/>
      <c r="F174" s="217">
        <f t="shared" si="8"/>
        <v>520</v>
      </c>
      <c r="G174" s="217">
        <v>0</v>
      </c>
      <c r="H174" s="217">
        <v>520354</v>
      </c>
      <c r="M174" s="440"/>
      <c r="N174" s="441"/>
    </row>
    <row r="175" spans="1:14" ht="15.75">
      <c r="A175" s="252">
        <v>569000</v>
      </c>
      <c r="B175" s="251" t="s">
        <v>261</v>
      </c>
      <c r="C175" s="250"/>
      <c r="F175" s="217">
        <f t="shared" si="8"/>
        <v>246</v>
      </c>
      <c r="G175" s="217">
        <v>0</v>
      </c>
      <c r="H175" s="217">
        <v>246392</v>
      </c>
      <c r="M175" s="440"/>
      <c r="N175" s="441"/>
    </row>
    <row r="176" spans="1:14" ht="15.75">
      <c r="A176" s="252">
        <v>570000</v>
      </c>
      <c r="B176" s="251" t="s">
        <v>293</v>
      </c>
      <c r="C176" s="250"/>
      <c r="F176" s="217">
        <f t="shared" si="8"/>
        <v>924</v>
      </c>
      <c r="G176" s="217">
        <v>0</v>
      </c>
      <c r="H176" s="217">
        <v>923630</v>
      </c>
      <c r="M176" s="440"/>
      <c r="N176" s="441"/>
    </row>
    <row r="177" spans="1:14" ht="15.75">
      <c r="A177" s="252"/>
      <c r="B177" s="440" t="s">
        <v>604</v>
      </c>
      <c r="C177" s="250"/>
      <c r="F177" s="217">
        <f t="shared" ref="F177" si="9">ROUND(H177/1000,0)</f>
        <v>0</v>
      </c>
      <c r="G177" s="217">
        <v>0</v>
      </c>
      <c r="H177" s="217">
        <v>0</v>
      </c>
      <c r="M177" s="440"/>
      <c r="N177" s="441"/>
    </row>
    <row r="178" spans="1:14" ht="15.75">
      <c r="A178" s="252">
        <v>571000</v>
      </c>
      <c r="B178" s="251" t="s">
        <v>294</v>
      </c>
      <c r="C178" s="250"/>
      <c r="F178" s="217">
        <f t="shared" si="8"/>
        <v>1132</v>
      </c>
      <c r="G178" s="217">
        <v>0</v>
      </c>
      <c r="H178" s="217">
        <v>1132067</v>
      </c>
      <c r="M178" s="440"/>
      <c r="N178" s="441"/>
    </row>
    <row r="179" spans="1:14" ht="15.75">
      <c r="A179" s="252">
        <v>572000</v>
      </c>
      <c r="B179" s="251" t="s">
        <v>295</v>
      </c>
      <c r="C179" s="250"/>
      <c r="F179" s="217">
        <f t="shared" si="8"/>
        <v>-4</v>
      </c>
      <c r="G179" s="217">
        <v>0</v>
      </c>
      <c r="H179" s="217">
        <v>-4327</v>
      </c>
      <c r="M179" s="440"/>
      <c r="N179" s="441"/>
    </row>
    <row r="180" spans="1:14" ht="15.75">
      <c r="A180" s="252">
        <v>573000</v>
      </c>
      <c r="B180" s="251" t="s">
        <v>296</v>
      </c>
      <c r="C180" s="250"/>
      <c r="F180" s="217">
        <f t="shared" si="8"/>
        <v>74</v>
      </c>
      <c r="G180" s="217">
        <v>0</v>
      </c>
      <c r="H180" s="217">
        <v>73881</v>
      </c>
      <c r="M180" s="440"/>
      <c r="N180" s="441"/>
    </row>
    <row r="181" spans="1:14" ht="15.75">
      <c r="A181" s="249"/>
      <c r="B181" s="251" t="s">
        <v>297</v>
      </c>
      <c r="C181" s="250"/>
      <c r="F181" s="217">
        <f t="shared" si="8"/>
        <v>20190</v>
      </c>
      <c r="G181" s="217">
        <v>0</v>
      </c>
      <c r="H181" s="217">
        <v>20189858</v>
      </c>
      <c r="M181" s="440"/>
      <c r="N181" s="441"/>
    </row>
    <row r="182" spans="1:14" ht="15.75">
      <c r="A182" s="249"/>
      <c r="B182" s="251"/>
      <c r="C182" s="250"/>
      <c r="F182" s="217">
        <f t="shared" si="8"/>
        <v>0</v>
      </c>
      <c r="G182" s="217">
        <v>0</v>
      </c>
      <c r="M182" s="251"/>
      <c r="N182" s="441"/>
    </row>
    <row r="183" spans="1:14" ht="15.75">
      <c r="A183" s="249"/>
      <c r="B183" s="251" t="s">
        <v>298</v>
      </c>
      <c r="C183" s="250"/>
      <c r="F183" s="217">
        <f t="shared" si="8"/>
        <v>16426</v>
      </c>
      <c r="G183" s="217">
        <v>0</v>
      </c>
      <c r="H183" s="217">
        <v>16425894</v>
      </c>
      <c r="M183" s="440"/>
      <c r="N183" s="441"/>
    </row>
    <row r="184" spans="1:14" ht="15.75">
      <c r="A184" s="249"/>
      <c r="B184" s="251" t="s">
        <v>299</v>
      </c>
      <c r="C184" s="250"/>
      <c r="F184" s="217">
        <f t="shared" si="8"/>
        <v>6725</v>
      </c>
      <c r="G184" s="217">
        <v>0</v>
      </c>
      <c r="H184" s="217">
        <v>6725183</v>
      </c>
      <c r="M184" s="440"/>
    </row>
    <row r="185" spans="1:14" ht="15.75">
      <c r="A185" s="256"/>
      <c r="B185" s="254" t="s">
        <v>300</v>
      </c>
      <c r="C185" s="255"/>
      <c r="F185" s="217">
        <f t="shared" si="8"/>
        <v>710</v>
      </c>
      <c r="G185" s="217">
        <v>0</v>
      </c>
      <c r="H185" s="217">
        <v>709970</v>
      </c>
      <c r="M185" s="442"/>
    </row>
    <row r="186" spans="1:14" ht="15.75">
      <c r="A186" s="256"/>
      <c r="B186" s="251" t="s">
        <v>562</v>
      </c>
      <c r="C186" s="255"/>
      <c r="F186" s="217">
        <f t="shared" si="8"/>
        <v>-146</v>
      </c>
      <c r="G186" s="217">
        <v>0</v>
      </c>
      <c r="H186" s="217">
        <v>-145536</v>
      </c>
      <c r="M186" s="440"/>
    </row>
    <row r="187" spans="1:14" ht="15.75">
      <c r="A187" s="487">
        <v>405930</v>
      </c>
      <c r="B187" s="251" t="s">
        <v>301</v>
      </c>
      <c r="C187" s="250"/>
      <c r="F187" s="217">
        <f t="shared" si="8"/>
        <v>2450</v>
      </c>
      <c r="G187" s="217">
        <v>0</v>
      </c>
      <c r="H187" s="217">
        <v>2450031</v>
      </c>
      <c r="M187" s="440"/>
    </row>
    <row r="188" spans="1:14" ht="15.75">
      <c r="A188" s="487">
        <v>406100</v>
      </c>
      <c r="B188" s="251" t="s">
        <v>302</v>
      </c>
      <c r="C188" s="250"/>
      <c r="F188" s="217">
        <f t="shared" si="8"/>
        <v>32</v>
      </c>
      <c r="G188" s="217">
        <v>0</v>
      </c>
      <c r="H188" s="217">
        <v>31743</v>
      </c>
      <c r="M188" s="440"/>
    </row>
    <row r="189" spans="1:14" ht="15.75">
      <c r="A189" s="487">
        <v>407312</v>
      </c>
      <c r="B189" s="251" t="s">
        <v>303</v>
      </c>
      <c r="C189" s="250"/>
      <c r="F189" s="217">
        <f t="shared" si="8"/>
        <v>1360</v>
      </c>
      <c r="G189" s="217">
        <v>0</v>
      </c>
      <c r="H189" s="217">
        <v>1360000</v>
      </c>
      <c r="M189" s="440"/>
    </row>
    <row r="190" spans="1:14" ht="15.75">
      <c r="A190" s="488">
        <v>407320</v>
      </c>
      <c r="B190" s="254" t="s">
        <v>592</v>
      </c>
      <c r="C190" s="250"/>
      <c r="F190" s="217">
        <f t="shared" si="8"/>
        <v>-9</v>
      </c>
      <c r="G190" s="217">
        <v>0</v>
      </c>
      <c r="H190" s="217">
        <v>-9040</v>
      </c>
      <c r="M190" s="442"/>
    </row>
    <row r="191" spans="1:14" ht="15.75">
      <c r="A191" s="488">
        <v>407322</v>
      </c>
      <c r="B191" s="254" t="s">
        <v>304</v>
      </c>
      <c r="C191" s="255"/>
      <c r="F191" s="217">
        <f t="shared" si="8"/>
        <v>73</v>
      </c>
      <c r="G191" s="217">
        <v>0</v>
      </c>
      <c r="H191" s="217">
        <v>72939</v>
      </c>
      <c r="M191" s="442"/>
    </row>
    <row r="192" spans="1:14" ht="15.75">
      <c r="A192" s="488">
        <v>407324</v>
      </c>
      <c r="B192" s="254" t="s">
        <v>305</v>
      </c>
      <c r="C192" s="255"/>
      <c r="F192" s="217">
        <f t="shared" si="8"/>
        <v>140</v>
      </c>
      <c r="G192" s="217">
        <v>0</v>
      </c>
      <c r="H192" s="217">
        <v>140485</v>
      </c>
      <c r="M192" s="442"/>
    </row>
    <row r="193" spans="1:13" ht="15.75">
      <c r="A193" s="488">
        <v>407331</v>
      </c>
      <c r="B193" s="254" t="s">
        <v>563</v>
      </c>
      <c r="C193" s="255"/>
      <c r="F193" s="217">
        <f t="shared" si="8"/>
        <v>-1821</v>
      </c>
      <c r="G193" s="217">
        <v>0</v>
      </c>
      <c r="H193" s="217">
        <v>-1820585</v>
      </c>
      <c r="M193" s="442"/>
    </row>
    <row r="194" spans="1:13" ht="15.75">
      <c r="A194" s="488">
        <v>407333</v>
      </c>
      <c r="B194" s="254" t="s">
        <v>564</v>
      </c>
      <c r="C194" s="255"/>
      <c r="F194" s="217">
        <f t="shared" si="8"/>
        <v>21</v>
      </c>
      <c r="G194" s="217">
        <v>0</v>
      </c>
      <c r="H194" s="217">
        <v>21172</v>
      </c>
      <c r="M194" s="442"/>
    </row>
    <row r="195" spans="1:13" ht="15.75">
      <c r="A195" s="488">
        <v>407335</v>
      </c>
      <c r="B195" s="254" t="s">
        <v>306</v>
      </c>
      <c r="C195" s="250"/>
      <c r="F195" s="217">
        <f t="shared" si="8"/>
        <v>0</v>
      </c>
      <c r="G195" s="217">
        <v>0</v>
      </c>
      <c r="H195" s="217">
        <v>0</v>
      </c>
      <c r="M195" s="442"/>
    </row>
    <row r="196" spans="1:13" ht="15.75">
      <c r="A196" s="487">
        <v>407350</v>
      </c>
      <c r="B196" s="251" t="s">
        <v>565</v>
      </c>
      <c r="C196" s="250"/>
      <c r="F196" s="217">
        <f t="shared" si="8"/>
        <v>0</v>
      </c>
      <c r="G196" s="217">
        <v>0</v>
      </c>
      <c r="H196" s="217">
        <v>0</v>
      </c>
      <c r="M196" s="440"/>
    </row>
    <row r="197" spans="1:13" ht="15.75">
      <c r="A197" s="487">
        <v>407351</v>
      </c>
      <c r="B197" s="251" t="s">
        <v>307</v>
      </c>
      <c r="C197" s="255"/>
      <c r="F197" s="217">
        <f t="shared" si="8"/>
        <v>165</v>
      </c>
      <c r="G197" s="217">
        <v>0</v>
      </c>
      <c r="H197" s="217">
        <v>164618</v>
      </c>
      <c r="M197" s="440"/>
    </row>
    <row r="198" spans="1:13" ht="15.75">
      <c r="A198" s="487">
        <v>407360</v>
      </c>
      <c r="B198" s="251" t="s">
        <v>566</v>
      </c>
      <c r="C198" s="255"/>
      <c r="F198" s="217">
        <f t="shared" si="8"/>
        <v>974</v>
      </c>
      <c r="G198" s="217">
        <v>0</v>
      </c>
      <c r="H198" s="217">
        <v>973692</v>
      </c>
      <c r="M198" s="440"/>
    </row>
    <row r="199" spans="1:13" ht="15.75">
      <c r="A199" s="487">
        <v>407362</v>
      </c>
      <c r="B199" s="251" t="s">
        <v>567</v>
      </c>
      <c r="C199" s="255"/>
      <c r="F199" s="217">
        <f t="shared" si="8"/>
        <v>67</v>
      </c>
      <c r="G199" s="217">
        <v>0</v>
      </c>
      <c r="H199" s="217">
        <v>67365</v>
      </c>
      <c r="M199" s="440"/>
    </row>
    <row r="200" spans="1:13" ht="15.75">
      <c r="A200" s="487">
        <v>407365</v>
      </c>
      <c r="B200" s="251" t="s">
        <v>568</v>
      </c>
      <c r="C200" s="255"/>
      <c r="F200" s="217">
        <f t="shared" si="8"/>
        <v>0</v>
      </c>
      <c r="G200" s="217">
        <v>0</v>
      </c>
      <c r="H200" s="217">
        <v>0</v>
      </c>
      <c r="M200" s="440"/>
    </row>
    <row r="201" spans="1:13" ht="15.75">
      <c r="A201" s="487">
        <v>407380</v>
      </c>
      <c r="B201" s="251" t="s">
        <v>308</v>
      </c>
      <c r="C201" s="255"/>
      <c r="F201" s="217">
        <f t="shared" si="8"/>
        <v>153</v>
      </c>
      <c r="G201" s="217">
        <v>0</v>
      </c>
      <c r="H201" s="217">
        <v>153132</v>
      </c>
      <c r="M201" s="440"/>
    </row>
    <row r="202" spans="1:13" ht="15.75">
      <c r="A202" s="488">
        <v>407382</v>
      </c>
      <c r="B202" s="254" t="s">
        <v>309</v>
      </c>
      <c r="C202" s="255"/>
      <c r="F202" s="217">
        <f t="shared" si="8"/>
        <v>572</v>
      </c>
      <c r="G202" s="217">
        <v>0</v>
      </c>
      <c r="H202" s="217">
        <v>572092</v>
      </c>
      <c r="M202" s="442"/>
    </row>
    <row r="203" spans="1:13" ht="15.75">
      <c r="A203" s="488">
        <v>407382</v>
      </c>
      <c r="B203" s="254" t="s">
        <v>310</v>
      </c>
      <c r="C203" s="255"/>
      <c r="F203" s="217">
        <f t="shared" si="8"/>
        <v>152</v>
      </c>
      <c r="G203" s="217">
        <v>0</v>
      </c>
      <c r="H203" s="217">
        <v>152118</v>
      </c>
      <c r="M203" s="442"/>
    </row>
    <row r="204" spans="1:13" ht="15.75">
      <c r="A204" s="488">
        <v>407395</v>
      </c>
      <c r="B204" s="254" t="s">
        <v>311</v>
      </c>
      <c r="C204" s="255"/>
      <c r="F204" s="217">
        <f t="shared" si="8"/>
        <v>175</v>
      </c>
      <c r="G204" s="217">
        <v>0</v>
      </c>
      <c r="H204" s="217">
        <v>175140</v>
      </c>
      <c r="M204" s="442"/>
    </row>
    <row r="205" spans="1:13" ht="15.75">
      <c r="A205" s="487">
        <v>407403</v>
      </c>
      <c r="B205" s="251" t="s">
        <v>312</v>
      </c>
      <c r="C205" s="255"/>
      <c r="F205" s="217">
        <f t="shared" ref="F205:F239" si="10">ROUND(H205/1000,0)</f>
        <v>-135</v>
      </c>
      <c r="G205" s="217">
        <v>0</v>
      </c>
      <c r="H205" s="217">
        <v>-134592</v>
      </c>
      <c r="M205" s="440"/>
    </row>
    <row r="206" spans="1:13" ht="15.75">
      <c r="A206" s="487">
        <v>407405</v>
      </c>
      <c r="B206" s="251" t="s">
        <v>313</v>
      </c>
      <c r="C206" s="250"/>
      <c r="F206" s="217">
        <f t="shared" si="10"/>
        <v>0</v>
      </c>
      <c r="G206" s="217">
        <v>0</v>
      </c>
      <c r="H206" s="217">
        <v>0</v>
      </c>
      <c r="M206" s="440"/>
    </row>
    <row r="207" spans="1:13" ht="15.75">
      <c r="A207" s="487">
        <v>407420</v>
      </c>
      <c r="B207" s="251" t="s">
        <v>314</v>
      </c>
      <c r="C207" s="250"/>
      <c r="F207" s="217">
        <f t="shared" si="10"/>
        <v>0</v>
      </c>
      <c r="G207" s="217">
        <v>0</v>
      </c>
      <c r="H207" s="217">
        <v>0</v>
      </c>
      <c r="M207" s="440"/>
    </row>
    <row r="208" spans="1:13" ht="15.75">
      <c r="A208" s="489" t="s">
        <v>315</v>
      </c>
      <c r="B208" s="251" t="s">
        <v>316</v>
      </c>
      <c r="C208" s="250"/>
      <c r="F208" s="217">
        <f t="shared" si="10"/>
        <v>-5200</v>
      </c>
      <c r="G208" s="217">
        <v>0</v>
      </c>
      <c r="H208" s="217">
        <v>-5199904</v>
      </c>
      <c r="M208" s="440"/>
    </row>
    <row r="209" spans="1:13" ht="15.75">
      <c r="A209" s="488">
        <v>407460</v>
      </c>
      <c r="B209" s="254" t="s">
        <v>317</v>
      </c>
      <c r="C209" s="255"/>
      <c r="F209" s="217">
        <f t="shared" si="10"/>
        <v>0</v>
      </c>
      <c r="G209" s="217">
        <v>0</v>
      </c>
      <c r="H209" s="217">
        <v>0</v>
      </c>
      <c r="M209" s="442"/>
    </row>
    <row r="210" spans="1:13" ht="15.75">
      <c r="A210" s="488">
        <v>407462</v>
      </c>
      <c r="B210" s="254" t="s">
        <v>569</v>
      </c>
      <c r="C210" s="250"/>
      <c r="F210" s="217">
        <f t="shared" si="10"/>
        <v>0</v>
      </c>
      <c r="G210" s="217">
        <v>0</v>
      </c>
      <c r="H210" s="217">
        <v>0</v>
      </c>
      <c r="M210" s="442"/>
    </row>
    <row r="211" spans="1:13" ht="15.75">
      <c r="A211" s="488">
        <v>407495</v>
      </c>
      <c r="B211" s="254" t="s">
        <v>570</v>
      </c>
      <c r="C211" s="255"/>
      <c r="F211" s="217">
        <f t="shared" si="10"/>
        <v>-5</v>
      </c>
      <c r="G211" s="217">
        <v>0</v>
      </c>
      <c r="H211" s="217">
        <v>-5445</v>
      </c>
      <c r="M211" s="442"/>
    </row>
    <row r="212" spans="1:13" ht="15.75">
      <c r="A212" s="488">
        <v>407496</v>
      </c>
      <c r="B212" s="254" t="s">
        <v>571</v>
      </c>
      <c r="C212" s="255"/>
      <c r="F212" s="217">
        <f t="shared" si="10"/>
        <v>0</v>
      </c>
      <c r="G212" s="217">
        <v>0</v>
      </c>
      <c r="H212" s="217">
        <v>0</v>
      </c>
      <c r="M212" s="442"/>
    </row>
    <row r="213" spans="1:13" ht="15.75">
      <c r="A213" s="488">
        <v>407497</v>
      </c>
      <c r="B213" s="442" t="s">
        <v>605</v>
      </c>
      <c r="C213" s="255"/>
      <c r="F213" s="217">
        <f t="shared" ref="F213" si="11">ROUND(H213/1000,0)</f>
        <v>-303</v>
      </c>
      <c r="G213" s="217">
        <v>0</v>
      </c>
      <c r="H213" s="217">
        <v>-302722</v>
      </c>
      <c r="M213" s="442"/>
    </row>
    <row r="214" spans="1:13" ht="15.75">
      <c r="A214" s="249"/>
      <c r="B214" s="251" t="s">
        <v>318</v>
      </c>
      <c r="C214" s="250"/>
      <c r="F214" s="217">
        <f t="shared" si="10"/>
        <v>12844</v>
      </c>
      <c r="G214" s="217">
        <v>0</v>
      </c>
      <c r="H214" s="217">
        <v>12843675</v>
      </c>
      <c r="M214" s="440"/>
    </row>
    <row r="215" spans="1:13" ht="15.75">
      <c r="A215" s="249"/>
      <c r="B215" s="251" t="s">
        <v>319</v>
      </c>
      <c r="C215" s="250"/>
      <c r="F215" s="217">
        <f t="shared" si="10"/>
        <v>35421</v>
      </c>
      <c r="G215" s="217">
        <v>0</v>
      </c>
      <c r="H215" s="217">
        <v>35421425</v>
      </c>
      <c r="M215" s="440"/>
    </row>
    <row r="216" spans="1:13" ht="15.75">
      <c r="A216" s="249"/>
      <c r="B216" s="251"/>
      <c r="C216" s="250"/>
      <c r="F216" s="217">
        <f t="shared" si="10"/>
        <v>0</v>
      </c>
      <c r="G216" s="217">
        <v>0</v>
      </c>
      <c r="M216" s="440"/>
    </row>
    <row r="217" spans="1:13" ht="15.75">
      <c r="A217" s="249"/>
      <c r="B217" s="251" t="s">
        <v>320</v>
      </c>
      <c r="C217" s="250"/>
      <c r="F217" s="217">
        <f t="shared" si="10"/>
        <v>355936</v>
      </c>
      <c r="G217" s="217">
        <v>0</v>
      </c>
      <c r="H217" s="217">
        <v>355936249</v>
      </c>
      <c r="M217" s="440"/>
    </row>
    <row r="218" spans="1:13" ht="12.75">
      <c r="A218" s="249"/>
      <c r="B218" s="251"/>
      <c r="C218" s="250"/>
      <c r="F218" s="217">
        <f t="shared" si="10"/>
        <v>0</v>
      </c>
      <c r="G218" s="217">
        <v>0</v>
      </c>
      <c r="M218" s="251"/>
    </row>
    <row r="219" spans="1:13" ht="15.75">
      <c r="A219" s="252">
        <v>580000</v>
      </c>
      <c r="B219" s="251" t="s">
        <v>321</v>
      </c>
      <c r="C219" s="250"/>
      <c r="F219" s="217">
        <f t="shared" si="10"/>
        <v>0</v>
      </c>
      <c r="G219" s="217">
        <v>0</v>
      </c>
      <c r="M219" s="440"/>
    </row>
    <row r="220" spans="1:13" ht="15.75">
      <c r="A220" s="252">
        <v>582000</v>
      </c>
      <c r="B220" s="250" t="s">
        <v>322</v>
      </c>
      <c r="C220" s="250"/>
      <c r="F220" s="217">
        <f t="shared" si="10"/>
        <v>0</v>
      </c>
      <c r="G220" s="217">
        <v>0</v>
      </c>
      <c r="M220" s="441"/>
    </row>
    <row r="221" spans="1:13" ht="15.75">
      <c r="A221" s="252">
        <v>583000</v>
      </c>
      <c r="B221" s="251" t="s">
        <v>254</v>
      </c>
      <c r="C221" s="250"/>
      <c r="F221" s="217">
        <f t="shared" si="10"/>
        <v>2029</v>
      </c>
      <c r="G221" s="217">
        <v>0</v>
      </c>
      <c r="H221" s="217">
        <v>2029091</v>
      </c>
      <c r="M221" s="440"/>
    </row>
    <row r="222" spans="1:13" ht="15.75">
      <c r="A222" s="252">
        <v>584000</v>
      </c>
      <c r="B222" s="250" t="s">
        <v>289</v>
      </c>
      <c r="C222" s="250"/>
      <c r="F222" s="217">
        <f t="shared" si="10"/>
        <v>331</v>
      </c>
      <c r="G222" s="217">
        <v>0</v>
      </c>
      <c r="H222" s="217">
        <v>331092</v>
      </c>
      <c r="M222" s="441"/>
    </row>
    <row r="223" spans="1:13" ht="15.75">
      <c r="A223" s="252">
        <v>585000</v>
      </c>
      <c r="B223" s="251" t="s">
        <v>290</v>
      </c>
      <c r="C223" s="250"/>
      <c r="F223" s="217">
        <f t="shared" si="10"/>
        <v>1406</v>
      </c>
      <c r="G223" s="217">
        <v>0</v>
      </c>
      <c r="H223" s="217">
        <v>1406455</v>
      </c>
      <c r="M223" s="440"/>
    </row>
    <row r="224" spans="1:13" ht="15.75">
      <c r="A224" s="252"/>
      <c r="B224" s="251" t="s">
        <v>323</v>
      </c>
      <c r="C224" s="250"/>
      <c r="F224" s="217">
        <f t="shared" si="10"/>
        <v>890</v>
      </c>
      <c r="G224" s="217">
        <v>0</v>
      </c>
      <c r="H224" s="217">
        <v>889908</v>
      </c>
      <c r="M224" s="440"/>
    </row>
    <row r="225" spans="1:13" ht="15.75">
      <c r="A225" s="252">
        <v>586000</v>
      </c>
      <c r="B225" s="440" t="s">
        <v>604</v>
      </c>
      <c r="C225" s="250"/>
      <c r="F225" s="217">
        <f t="shared" ref="F225" si="12">ROUND(H225/1000,0)</f>
        <v>0</v>
      </c>
      <c r="G225" s="217">
        <v>0</v>
      </c>
      <c r="H225" s="217">
        <v>372</v>
      </c>
      <c r="M225" s="440"/>
    </row>
    <row r="226" spans="1:13" ht="15.75">
      <c r="A226" s="252">
        <v>587000</v>
      </c>
      <c r="B226" s="251" t="s">
        <v>324</v>
      </c>
      <c r="C226" s="250"/>
      <c r="F226" s="217">
        <f t="shared" si="10"/>
        <v>10</v>
      </c>
      <c r="G226" s="217">
        <v>0</v>
      </c>
      <c r="H226" s="217">
        <v>9515</v>
      </c>
      <c r="M226" s="440"/>
    </row>
    <row r="227" spans="1:13" ht="15.75">
      <c r="A227" s="252">
        <v>588000</v>
      </c>
      <c r="B227" s="251" t="s">
        <v>325</v>
      </c>
      <c r="C227" s="250"/>
      <c r="F227" s="217">
        <f t="shared" si="10"/>
        <v>1484</v>
      </c>
      <c r="G227" s="217">
        <v>0</v>
      </c>
      <c r="H227" s="217">
        <v>1484291</v>
      </c>
      <c r="M227" s="440"/>
    </row>
    <row r="228" spans="1:13" ht="15.75">
      <c r="A228" s="252">
        <v>589000</v>
      </c>
      <c r="B228" s="251" t="s">
        <v>326</v>
      </c>
      <c r="C228" s="250"/>
      <c r="F228" s="217">
        <f t="shared" si="10"/>
        <v>365</v>
      </c>
      <c r="G228" s="217">
        <v>0</v>
      </c>
      <c r="H228" s="217">
        <v>365091</v>
      </c>
      <c r="M228" s="440"/>
    </row>
    <row r="229" spans="1:13" ht="15.75">
      <c r="A229" s="257"/>
      <c r="B229" s="251" t="s">
        <v>327</v>
      </c>
      <c r="C229" s="250"/>
      <c r="F229" s="217">
        <f t="shared" si="10"/>
        <v>5121</v>
      </c>
      <c r="G229" s="217">
        <v>0</v>
      </c>
      <c r="H229" s="217">
        <v>5121442</v>
      </c>
      <c r="M229" s="440"/>
    </row>
    <row r="230" spans="1:13" ht="15.75">
      <c r="A230" s="249"/>
      <c r="B230" s="251" t="s">
        <v>259</v>
      </c>
      <c r="C230" s="250"/>
      <c r="F230" s="217">
        <f t="shared" si="10"/>
        <v>171</v>
      </c>
      <c r="G230" s="217">
        <v>0</v>
      </c>
      <c r="H230" s="217">
        <v>171301</v>
      </c>
      <c r="M230" s="440"/>
    </row>
    <row r="231" spans="1:13" ht="15.75">
      <c r="A231" s="252">
        <v>590000</v>
      </c>
      <c r="B231" s="251"/>
      <c r="C231" s="250"/>
      <c r="F231" s="217">
        <f t="shared" si="10"/>
        <v>0</v>
      </c>
      <c r="G231" s="217">
        <v>0</v>
      </c>
      <c r="M231" s="440"/>
    </row>
    <row r="232" spans="1:13" ht="15.75">
      <c r="A232" s="252">
        <v>591000</v>
      </c>
      <c r="B232" s="250" t="s">
        <v>328</v>
      </c>
      <c r="C232" s="250"/>
      <c r="F232" s="217">
        <f t="shared" si="10"/>
        <v>0</v>
      </c>
      <c r="G232" s="217">
        <v>0</v>
      </c>
      <c r="M232" s="441"/>
    </row>
    <row r="233" spans="1:13" ht="15.75">
      <c r="A233" s="252">
        <v>592000</v>
      </c>
      <c r="B233" s="251" t="s">
        <v>254</v>
      </c>
      <c r="C233" s="250"/>
      <c r="F233" s="217">
        <f t="shared" si="10"/>
        <v>1184</v>
      </c>
      <c r="G233" s="217">
        <v>0</v>
      </c>
      <c r="H233" s="217">
        <v>1184332</v>
      </c>
      <c r="M233" s="440"/>
    </row>
    <row r="234" spans="1:13" ht="15.75">
      <c r="A234" s="252">
        <v>593000</v>
      </c>
      <c r="B234" s="251" t="s">
        <v>261</v>
      </c>
      <c r="C234" s="250"/>
      <c r="F234" s="217">
        <f t="shared" si="10"/>
        <v>184</v>
      </c>
      <c r="G234" s="217">
        <v>0</v>
      </c>
      <c r="H234" s="217">
        <v>183564</v>
      </c>
      <c r="M234" s="440"/>
    </row>
    <row r="235" spans="1:13" ht="15.75">
      <c r="A235" s="252"/>
      <c r="B235" s="250" t="s">
        <v>293</v>
      </c>
      <c r="C235" s="250"/>
      <c r="F235" s="217">
        <f t="shared" si="10"/>
        <v>646</v>
      </c>
      <c r="G235" s="217">
        <v>0</v>
      </c>
      <c r="H235" s="217">
        <v>646067</v>
      </c>
      <c r="M235" s="441"/>
    </row>
    <row r="236" spans="1:13" ht="15.75">
      <c r="A236" s="252">
        <v>594000</v>
      </c>
      <c r="B236" s="440" t="s">
        <v>604</v>
      </c>
      <c r="C236" s="250"/>
      <c r="F236" s="217">
        <f t="shared" ref="F236" si="13">ROUND(H236/1000,0)</f>
        <v>0</v>
      </c>
      <c r="G236" s="217">
        <v>0</v>
      </c>
      <c r="H236" s="217">
        <v>0</v>
      </c>
      <c r="M236" s="440"/>
    </row>
    <row r="237" spans="1:13" ht="15.75">
      <c r="A237" s="252">
        <v>595000</v>
      </c>
      <c r="B237" s="251" t="s">
        <v>294</v>
      </c>
      <c r="C237" s="250"/>
      <c r="F237" s="217">
        <f t="shared" si="10"/>
        <v>5316</v>
      </c>
      <c r="G237" s="217">
        <v>0</v>
      </c>
      <c r="H237" s="217">
        <v>5316466</v>
      </c>
      <c r="M237" s="440"/>
    </row>
    <row r="238" spans="1:13" ht="15.75">
      <c r="A238" s="252">
        <v>596000</v>
      </c>
      <c r="B238" s="251" t="s">
        <v>295</v>
      </c>
      <c r="C238" s="250"/>
      <c r="F238" s="217">
        <f t="shared" si="10"/>
        <v>638</v>
      </c>
      <c r="G238" s="217">
        <v>0</v>
      </c>
      <c r="H238" s="217">
        <v>638062</v>
      </c>
      <c r="M238" s="440"/>
    </row>
    <row r="239" spans="1:13" ht="15.75">
      <c r="A239" s="252">
        <v>597000</v>
      </c>
      <c r="B239" s="251" t="s">
        <v>329</v>
      </c>
      <c r="C239" s="250"/>
      <c r="F239" s="217">
        <f t="shared" si="10"/>
        <v>612</v>
      </c>
      <c r="G239" s="217">
        <v>0</v>
      </c>
      <c r="H239" s="217">
        <v>612324</v>
      </c>
      <c r="M239" s="440"/>
    </row>
    <row r="240" spans="1:13" ht="15.75">
      <c r="A240" s="252">
        <v>598000</v>
      </c>
      <c r="B240" s="251" t="s">
        <v>330</v>
      </c>
      <c r="C240" s="250"/>
      <c r="F240" s="217">
        <f t="shared" ref="F240:F271" si="14">ROUND(H240/1000,0)</f>
        <v>470</v>
      </c>
      <c r="G240" s="217">
        <v>0</v>
      </c>
      <c r="H240" s="217">
        <v>470122</v>
      </c>
      <c r="M240" s="440"/>
    </row>
    <row r="241" spans="1:13" ht="15.75">
      <c r="A241" s="257"/>
      <c r="B241" s="251" t="s">
        <v>331</v>
      </c>
      <c r="C241" s="250"/>
      <c r="F241" s="217">
        <f t="shared" si="14"/>
        <v>12</v>
      </c>
      <c r="G241" s="217">
        <v>0</v>
      </c>
      <c r="H241" s="217">
        <v>11596</v>
      </c>
      <c r="M241" s="440"/>
    </row>
    <row r="242" spans="1:13" ht="15.75">
      <c r="A242" s="257"/>
      <c r="B242" s="251" t="s">
        <v>327</v>
      </c>
      <c r="C242" s="250"/>
      <c r="F242" s="217">
        <f t="shared" si="14"/>
        <v>430</v>
      </c>
      <c r="G242" s="217">
        <v>0</v>
      </c>
      <c r="H242" s="217">
        <v>429622</v>
      </c>
      <c r="M242" s="440"/>
    </row>
    <row r="243" spans="1:13" ht="15.75">
      <c r="A243" s="249"/>
      <c r="B243" s="251" t="s">
        <v>332</v>
      </c>
      <c r="C243" s="250"/>
      <c r="F243" s="217">
        <f t="shared" si="14"/>
        <v>21301</v>
      </c>
      <c r="G243" s="217">
        <v>0</v>
      </c>
      <c r="H243" s="217">
        <v>21300713</v>
      </c>
      <c r="M243" s="440"/>
    </row>
    <row r="244" spans="1:13" ht="15.75">
      <c r="A244" s="256"/>
      <c r="B244" s="251"/>
      <c r="C244" s="250"/>
      <c r="F244" s="217">
        <f t="shared" si="14"/>
        <v>0</v>
      </c>
      <c r="G244" s="217">
        <v>0</v>
      </c>
      <c r="M244" s="440"/>
    </row>
    <row r="245" spans="1:13" ht="15.75">
      <c r="A245" s="249"/>
      <c r="B245" s="251" t="s">
        <v>333</v>
      </c>
      <c r="C245" s="250"/>
      <c r="F245" s="217">
        <f t="shared" si="14"/>
        <v>23860</v>
      </c>
      <c r="G245" s="217">
        <v>0</v>
      </c>
      <c r="H245" s="217">
        <v>23859942</v>
      </c>
      <c r="M245" s="440"/>
    </row>
    <row r="246" spans="1:13" ht="15.75">
      <c r="A246" s="249"/>
      <c r="B246" s="254" t="s">
        <v>300</v>
      </c>
      <c r="C246" s="255"/>
      <c r="F246" s="217">
        <f t="shared" si="14"/>
        <v>27</v>
      </c>
      <c r="G246" s="217">
        <v>0</v>
      </c>
      <c r="H246" s="217">
        <v>26997</v>
      </c>
      <c r="M246" s="442"/>
    </row>
    <row r="247" spans="1:13" ht="15.75">
      <c r="A247" s="249"/>
      <c r="B247" s="251" t="s">
        <v>334</v>
      </c>
      <c r="C247" s="250"/>
      <c r="F247" s="217">
        <f t="shared" si="14"/>
        <v>43433</v>
      </c>
      <c r="G247" s="217">
        <v>0</v>
      </c>
      <c r="H247" s="217">
        <v>43432581</v>
      </c>
      <c r="M247" s="440"/>
    </row>
    <row r="248" spans="1:13" ht="15.75">
      <c r="A248" s="249"/>
      <c r="B248" s="251" t="s">
        <v>335</v>
      </c>
      <c r="C248" s="250"/>
      <c r="F248" s="217">
        <f t="shared" si="14"/>
        <v>67320</v>
      </c>
      <c r="G248" s="217">
        <v>0</v>
      </c>
      <c r="H248" s="217">
        <v>67319520</v>
      </c>
      <c r="M248" s="440"/>
    </row>
    <row r="249" spans="1:13" ht="15.75">
      <c r="A249" s="249"/>
      <c r="B249" s="251"/>
      <c r="C249" s="250"/>
      <c r="F249" s="217">
        <f t="shared" si="14"/>
        <v>0</v>
      </c>
      <c r="G249" s="217">
        <v>0</v>
      </c>
      <c r="M249" s="440"/>
    </row>
    <row r="250" spans="1:13" ht="15.75">
      <c r="A250" s="249"/>
      <c r="B250" s="251" t="s">
        <v>336</v>
      </c>
      <c r="C250" s="250"/>
      <c r="F250" s="217">
        <f t="shared" si="14"/>
        <v>88620</v>
      </c>
      <c r="G250" s="217">
        <v>0</v>
      </c>
      <c r="H250" s="217">
        <v>88620233</v>
      </c>
      <c r="M250" s="440"/>
    </row>
    <row r="251" spans="1:13" ht="15.75">
      <c r="A251" s="252">
        <v>901000</v>
      </c>
      <c r="B251" s="250"/>
      <c r="C251" s="250"/>
      <c r="F251" s="217">
        <f t="shared" si="14"/>
        <v>0</v>
      </c>
      <c r="G251" s="217">
        <v>0</v>
      </c>
      <c r="M251" s="441"/>
    </row>
    <row r="252" spans="1:13" ht="15.75">
      <c r="A252" s="252">
        <v>902000</v>
      </c>
      <c r="B252" s="251" t="s">
        <v>337</v>
      </c>
      <c r="C252" s="250"/>
      <c r="F252" s="217">
        <f t="shared" si="14"/>
        <v>0</v>
      </c>
      <c r="G252" s="217">
        <v>0</v>
      </c>
      <c r="M252" s="440"/>
    </row>
    <row r="253" spans="1:13" ht="15.75">
      <c r="A253" s="252" t="s">
        <v>340</v>
      </c>
      <c r="B253" s="251" t="s">
        <v>338</v>
      </c>
      <c r="C253" s="250"/>
      <c r="F253" s="217">
        <f t="shared" si="14"/>
        <v>213</v>
      </c>
      <c r="G253" s="217">
        <v>0</v>
      </c>
      <c r="H253" s="217">
        <v>212553</v>
      </c>
      <c r="M253" s="440"/>
    </row>
    <row r="254" spans="1:13" ht="15.75">
      <c r="A254" s="252">
        <v>904000</v>
      </c>
      <c r="B254" s="251" t="s">
        <v>339</v>
      </c>
      <c r="C254" s="250"/>
      <c r="F254" s="217">
        <f t="shared" si="14"/>
        <v>2544</v>
      </c>
      <c r="G254" s="217">
        <v>0</v>
      </c>
      <c r="H254" s="217">
        <v>2544384</v>
      </c>
      <c r="M254" s="440"/>
    </row>
    <row r="255" spans="1:13" ht="15.75">
      <c r="A255" s="252">
        <v>905000</v>
      </c>
      <c r="B255" s="251" t="s">
        <v>341</v>
      </c>
      <c r="C255" s="250"/>
      <c r="F255" s="217">
        <f t="shared" si="14"/>
        <v>5564</v>
      </c>
      <c r="G255" s="217">
        <v>0</v>
      </c>
      <c r="H255" s="217">
        <v>5564006</v>
      </c>
      <c r="M255" s="440"/>
    </row>
    <row r="256" spans="1:13" ht="15.75">
      <c r="A256" s="249"/>
      <c r="B256" s="251" t="s">
        <v>342</v>
      </c>
      <c r="C256" s="250"/>
      <c r="F256" s="217">
        <f t="shared" si="14"/>
        <v>1806</v>
      </c>
      <c r="G256" s="217">
        <v>0</v>
      </c>
      <c r="H256" s="217">
        <v>1806315</v>
      </c>
      <c r="M256" s="440"/>
    </row>
    <row r="257" spans="1:13" ht="15.75">
      <c r="A257" s="249"/>
      <c r="B257" s="251" t="s">
        <v>343</v>
      </c>
      <c r="C257" s="250"/>
      <c r="F257" s="217">
        <f t="shared" si="14"/>
        <v>129</v>
      </c>
      <c r="G257" s="217">
        <v>0</v>
      </c>
      <c r="H257" s="217">
        <v>129439</v>
      </c>
      <c r="M257" s="440"/>
    </row>
    <row r="258" spans="1:13" ht="15.75">
      <c r="A258" s="249"/>
      <c r="B258" s="251" t="s">
        <v>344</v>
      </c>
      <c r="C258" s="250"/>
      <c r="F258" s="217">
        <f t="shared" si="14"/>
        <v>10257</v>
      </c>
      <c r="G258" s="217">
        <v>0</v>
      </c>
      <c r="H258" s="217">
        <v>10256697</v>
      </c>
      <c r="M258" s="440"/>
    </row>
    <row r="259" spans="1:13" ht="15.75">
      <c r="A259" s="249" t="s">
        <v>346</v>
      </c>
      <c r="B259" s="251"/>
      <c r="C259" s="250"/>
      <c r="F259" s="217">
        <f t="shared" si="14"/>
        <v>0</v>
      </c>
      <c r="G259" s="217">
        <v>0</v>
      </c>
      <c r="M259" s="440"/>
    </row>
    <row r="260" spans="1:13" ht="15.75">
      <c r="A260" s="252">
        <v>909000</v>
      </c>
      <c r="B260" s="251" t="s">
        <v>345</v>
      </c>
      <c r="C260" s="250"/>
      <c r="F260" s="217">
        <f t="shared" si="14"/>
        <v>0</v>
      </c>
      <c r="G260" s="217">
        <v>0</v>
      </c>
      <c r="M260" s="440"/>
    </row>
    <row r="261" spans="1:13" ht="15.75">
      <c r="A261" s="252">
        <v>910000</v>
      </c>
      <c r="B261" s="251" t="s">
        <v>347</v>
      </c>
      <c r="C261" s="250"/>
      <c r="F261" s="217">
        <f t="shared" si="14"/>
        <v>19126</v>
      </c>
      <c r="G261" s="217">
        <v>0</v>
      </c>
      <c r="H261" s="217">
        <v>19126107</v>
      </c>
      <c r="M261" s="440"/>
    </row>
    <row r="262" spans="1:13" ht="15.75">
      <c r="A262" s="252"/>
      <c r="B262" s="251" t="s">
        <v>348</v>
      </c>
      <c r="C262" s="250"/>
      <c r="F262" s="217">
        <f t="shared" si="14"/>
        <v>573</v>
      </c>
      <c r="G262" s="217">
        <v>0</v>
      </c>
      <c r="H262" s="217">
        <v>573046</v>
      </c>
      <c r="M262" s="440"/>
    </row>
    <row r="263" spans="1:13" ht="15.75">
      <c r="A263" s="252"/>
      <c r="B263" s="251" t="s">
        <v>349</v>
      </c>
      <c r="C263" s="250"/>
      <c r="F263" s="217">
        <f t="shared" si="14"/>
        <v>117</v>
      </c>
      <c r="G263" s="217">
        <v>0</v>
      </c>
      <c r="H263" s="217">
        <v>116901</v>
      </c>
      <c r="M263" s="440"/>
    </row>
    <row r="264" spans="1:13" ht="15.75">
      <c r="A264" s="252"/>
      <c r="B264" s="251" t="s">
        <v>350</v>
      </c>
      <c r="C264" s="250"/>
      <c r="F264" s="217">
        <f t="shared" si="14"/>
        <v>19816</v>
      </c>
      <c r="G264" s="217">
        <v>0</v>
      </c>
      <c r="H264" s="217">
        <v>19816054</v>
      </c>
      <c r="M264" s="440"/>
    </row>
    <row r="265" spans="1:13" ht="15.75">
      <c r="A265" s="252">
        <v>912000</v>
      </c>
      <c r="B265" s="251"/>
      <c r="C265" s="250"/>
      <c r="F265" s="217">
        <f t="shared" si="14"/>
        <v>0</v>
      </c>
      <c r="G265" s="217">
        <v>0</v>
      </c>
      <c r="M265" s="440"/>
    </row>
    <row r="266" spans="1:13" ht="15.75">
      <c r="A266" s="252">
        <v>913000</v>
      </c>
      <c r="B266" s="251" t="s">
        <v>351</v>
      </c>
      <c r="C266" s="250"/>
      <c r="F266" s="217">
        <f t="shared" si="14"/>
        <v>0</v>
      </c>
      <c r="G266" s="217">
        <v>0</v>
      </c>
      <c r="M266" s="440"/>
    </row>
    <row r="267" spans="1:13" ht="15.75">
      <c r="A267" s="252">
        <v>916000</v>
      </c>
      <c r="B267" s="251" t="s">
        <v>352</v>
      </c>
      <c r="C267" s="250"/>
      <c r="F267" s="217">
        <f t="shared" si="14"/>
        <v>0</v>
      </c>
      <c r="G267" s="217">
        <v>0</v>
      </c>
      <c r="H267" s="217">
        <v>0</v>
      </c>
      <c r="M267" s="440"/>
    </row>
    <row r="268" spans="1:13" ht="15.75">
      <c r="A268" s="252"/>
      <c r="B268" s="251" t="s">
        <v>348</v>
      </c>
      <c r="C268" s="250"/>
      <c r="F268" s="217">
        <f t="shared" si="14"/>
        <v>0</v>
      </c>
      <c r="G268" s="217">
        <v>0</v>
      </c>
      <c r="H268" s="217">
        <v>0</v>
      </c>
      <c r="M268" s="440"/>
    </row>
    <row r="269" spans="1:13" ht="15.75">
      <c r="A269" s="252"/>
      <c r="B269" s="251" t="s">
        <v>353</v>
      </c>
      <c r="C269" s="250"/>
      <c r="F269" s="217">
        <f t="shared" si="14"/>
        <v>0</v>
      </c>
      <c r="G269" s="217">
        <v>0</v>
      </c>
      <c r="H269" s="217">
        <v>0</v>
      </c>
      <c r="M269" s="440"/>
    </row>
    <row r="270" spans="1:13" ht="15.75">
      <c r="A270" s="252"/>
      <c r="B270" s="251" t="s">
        <v>354</v>
      </c>
      <c r="C270" s="250"/>
      <c r="F270" s="217">
        <f t="shared" si="14"/>
        <v>0</v>
      </c>
      <c r="G270" s="217">
        <v>0</v>
      </c>
      <c r="H270" s="217">
        <v>0</v>
      </c>
      <c r="M270" s="440"/>
    </row>
    <row r="271" spans="1:13" ht="15.75">
      <c r="A271" s="252">
        <v>920000</v>
      </c>
      <c r="B271" s="251"/>
      <c r="C271" s="250"/>
      <c r="F271" s="217">
        <f t="shared" si="14"/>
        <v>0</v>
      </c>
      <c r="G271" s="217">
        <v>0</v>
      </c>
      <c r="M271" s="440"/>
    </row>
    <row r="272" spans="1:13" ht="15.75">
      <c r="A272" s="252">
        <v>921000</v>
      </c>
      <c r="B272" s="251" t="s">
        <v>355</v>
      </c>
      <c r="C272" s="250"/>
      <c r="F272" s="217">
        <f t="shared" ref="F272:F303" si="15">ROUND(H272/1000,0)</f>
        <v>0</v>
      </c>
      <c r="G272" s="217">
        <v>0</v>
      </c>
      <c r="M272" s="440"/>
    </row>
    <row r="273" spans="1:13" ht="15.75">
      <c r="A273" s="252">
        <v>922000</v>
      </c>
      <c r="B273" s="251" t="s">
        <v>356</v>
      </c>
      <c r="C273" s="250"/>
      <c r="F273" s="217">
        <f t="shared" si="15"/>
        <v>16894</v>
      </c>
      <c r="G273" s="217">
        <v>0</v>
      </c>
      <c r="H273" s="217">
        <v>16894461</v>
      </c>
      <c r="M273" s="440"/>
    </row>
    <row r="274" spans="1:13" ht="15.75">
      <c r="A274" s="252">
        <v>923000</v>
      </c>
      <c r="B274" s="251" t="s">
        <v>357</v>
      </c>
      <c r="C274" s="250"/>
      <c r="F274" s="217">
        <f t="shared" si="15"/>
        <v>3069</v>
      </c>
      <c r="G274" s="217">
        <v>0</v>
      </c>
      <c r="H274" s="217">
        <v>3069211</v>
      </c>
      <c r="M274" s="440"/>
    </row>
    <row r="275" spans="1:13" ht="15.75">
      <c r="A275" s="252">
        <v>924000</v>
      </c>
      <c r="B275" s="251" t="s">
        <v>358</v>
      </c>
      <c r="C275" s="250"/>
      <c r="F275" s="217">
        <f t="shared" si="15"/>
        <v>-92</v>
      </c>
      <c r="G275" s="217">
        <v>0</v>
      </c>
      <c r="H275" s="217">
        <v>-91755</v>
      </c>
      <c r="M275" s="440"/>
    </row>
    <row r="276" spans="1:13" ht="15.75">
      <c r="A276" s="249" t="s">
        <v>361</v>
      </c>
      <c r="B276" s="251" t="s">
        <v>359</v>
      </c>
      <c r="C276" s="250"/>
      <c r="F276" s="217">
        <f t="shared" si="15"/>
        <v>8074</v>
      </c>
      <c r="G276" s="217">
        <v>0</v>
      </c>
      <c r="H276" s="217">
        <v>8073682</v>
      </c>
      <c r="M276" s="440"/>
    </row>
    <row r="277" spans="1:13" ht="15.75">
      <c r="A277" s="249" t="s">
        <v>363</v>
      </c>
      <c r="B277" s="251" t="s">
        <v>360</v>
      </c>
      <c r="C277" s="250"/>
      <c r="F277" s="217">
        <f t="shared" si="15"/>
        <v>929</v>
      </c>
      <c r="G277" s="217">
        <v>0</v>
      </c>
      <c r="H277" s="217">
        <v>928649</v>
      </c>
      <c r="M277" s="440"/>
    </row>
    <row r="278" spans="1:13" ht="15.75">
      <c r="A278" s="252">
        <v>927000</v>
      </c>
      <c r="B278" s="251" t="s">
        <v>362</v>
      </c>
      <c r="C278" s="250"/>
      <c r="F278" s="217">
        <f t="shared" si="15"/>
        <v>2497</v>
      </c>
      <c r="G278" s="217">
        <v>0</v>
      </c>
      <c r="H278" s="217">
        <v>2496577</v>
      </c>
      <c r="M278" s="440"/>
    </row>
    <row r="279" spans="1:13" ht="15.75">
      <c r="A279" s="252">
        <v>928000</v>
      </c>
      <c r="B279" s="251" t="s">
        <v>364</v>
      </c>
      <c r="C279" s="250"/>
      <c r="F279" s="217">
        <f t="shared" si="15"/>
        <v>1424</v>
      </c>
      <c r="G279" s="217">
        <v>0</v>
      </c>
      <c r="H279" s="217">
        <v>1423855</v>
      </c>
      <c r="M279" s="440"/>
    </row>
    <row r="280" spans="1:13" ht="15.75">
      <c r="A280" s="252">
        <v>930000</v>
      </c>
      <c r="B280" s="251" t="s">
        <v>365</v>
      </c>
      <c r="C280" s="250"/>
      <c r="F280" s="217">
        <f t="shared" si="15"/>
        <v>0</v>
      </c>
      <c r="G280" s="217">
        <v>0</v>
      </c>
      <c r="H280" s="217">
        <v>0</v>
      </c>
      <c r="M280" s="440"/>
    </row>
    <row r="281" spans="1:13" ht="15.75">
      <c r="A281" s="252">
        <v>931000</v>
      </c>
      <c r="B281" s="251" t="s">
        <v>366</v>
      </c>
      <c r="C281" s="250"/>
      <c r="F281" s="217">
        <f t="shared" si="15"/>
        <v>4068</v>
      </c>
      <c r="G281" s="217">
        <v>0</v>
      </c>
      <c r="H281" s="217">
        <v>4067683</v>
      </c>
      <c r="M281" s="440"/>
    </row>
    <row r="282" spans="1:13" ht="15.75">
      <c r="A282" s="252">
        <v>935000</v>
      </c>
      <c r="B282" s="251" t="s">
        <v>367</v>
      </c>
      <c r="C282" s="250"/>
      <c r="F282" s="217">
        <f t="shared" si="15"/>
        <v>2191</v>
      </c>
      <c r="G282" s="217">
        <v>0</v>
      </c>
      <c r="H282" s="217">
        <v>2190693</v>
      </c>
      <c r="M282" s="440"/>
    </row>
    <row r="283" spans="1:13" ht="15.75">
      <c r="A283" s="249"/>
      <c r="B283" s="251" t="s">
        <v>368</v>
      </c>
      <c r="C283" s="250"/>
      <c r="F283" s="217">
        <f t="shared" si="15"/>
        <v>592</v>
      </c>
      <c r="G283" s="217">
        <v>0</v>
      </c>
      <c r="H283" s="217">
        <v>591841</v>
      </c>
      <c r="M283" s="440"/>
    </row>
    <row r="284" spans="1:13" ht="15.75">
      <c r="A284" s="249"/>
      <c r="B284" s="251" t="s">
        <v>369</v>
      </c>
      <c r="C284" s="250"/>
      <c r="F284" s="217">
        <f t="shared" si="15"/>
        <v>6339</v>
      </c>
      <c r="G284" s="217">
        <v>0</v>
      </c>
      <c r="H284" s="217">
        <v>6339116</v>
      </c>
      <c r="M284" s="440"/>
    </row>
    <row r="285" spans="1:13" ht="15.75">
      <c r="A285" s="249"/>
      <c r="B285" s="251" t="s">
        <v>370</v>
      </c>
      <c r="C285" s="250"/>
      <c r="F285" s="217">
        <f t="shared" si="15"/>
        <v>45984</v>
      </c>
      <c r="G285" s="217">
        <v>0</v>
      </c>
      <c r="H285" s="217">
        <v>45984013</v>
      </c>
      <c r="M285" s="440"/>
    </row>
    <row r="286" spans="1:13" ht="15.75">
      <c r="A286" s="249"/>
      <c r="B286" s="251"/>
      <c r="C286" s="250"/>
      <c r="F286" s="217">
        <f t="shared" si="15"/>
        <v>0</v>
      </c>
      <c r="G286" s="217">
        <v>0</v>
      </c>
      <c r="M286" s="440"/>
    </row>
    <row r="287" spans="1:13" ht="15.75">
      <c r="A287" s="249"/>
      <c r="B287" s="251" t="s">
        <v>371</v>
      </c>
      <c r="C287" s="250"/>
      <c r="F287" s="217">
        <f t="shared" si="15"/>
        <v>10290</v>
      </c>
      <c r="G287" s="217">
        <v>0</v>
      </c>
      <c r="H287" s="217">
        <v>10290298</v>
      </c>
      <c r="M287" s="440"/>
    </row>
    <row r="288" spans="1:13" ht="15.75">
      <c r="A288" s="249"/>
      <c r="B288" s="251" t="s">
        <v>372</v>
      </c>
      <c r="C288" s="250"/>
      <c r="F288" s="217">
        <f t="shared" si="15"/>
        <v>227</v>
      </c>
      <c r="G288" s="217">
        <v>0</v>
      </c>
      <c r="H288" s="217">
        <v>226543</v>
      </c>
      <c r="M288" s="440"/>
    </row>
    <row r="289" spans="1:13" ht="15.75">
      <c r="A289" s="249"/>
      <c r="B289" s="251" t="s">
        <v>373</v>
      </c>
      <c r="C289" s="250"/>
      <c r="F289" s="217">
        <f t="shared" si="15"/>
        <v>6410</v>
      </c>
      <c r="G289" s="217">
        <v>0</v>
      </c>
      <c r="H289" s="217">
        <v>6409812</v>
      </c>
      <c r="M289" s="440"/>
    </row>
    <row r="290" spans="1:13" ht="15.75">
      <c r="A290" s="249"/>
      <c r="B290" s="251" t="s">
        <v>374</v>
      </c>
      <c r="C290" s="250"/>
      <c r="F290" s="217">
        <f t="shared" si="15"/>
        <v>21</v>
      </c>
      <c r="G290" s="217">
        <v>0</v>
      </c>
      <c r="H290" s="217">
        <v>20717</v>
      </c>
      <c r="M290" s="440"/>
    </row>
    <row r="291" spans="1:13" ht="15.75">
      <c r="A291" s="249"/>
      <c r="B291" s="440" t="s">
        <v>606</v>
      </c>
      <c r="C291" s="250"/>
      <c r="H291" s="217">
        <v>0</v>
      </c>
      <c r="M291" s="440"/>
    </row>
    <row r="292" spans="1:13" ht="15.75">
      <c r="A292" s="252"/>
      <c r="B292" s="251" t="s">
        <v>375</v>
      </c>
      <c r="C292" s="250"/>
      <c r="F292" s="217">
        <f t="shared" si="15"/>
        <v>16947</v>
      </c>
      <c r="G292" s="217">
        <v>0</v>
      </c>
      <c r="H292" s="217">
        <v>16947370</v>
      </c>
      <c r="M292" s="440"/>
    </row>
    <row r="293" spans="1:13" ht="15.75">
      <c r="A293" s="252"/>
      <c r="B293" s="251"/>
      <c r="C293" s="250"/>
      <c r="F293" s="217">
        <f t="shared" si="15"/>
        <v>0</v>
      </c>
      <c r="G293" s="217">
        <v>0</v>
      </c>
      <c r="M293" s="440"/>
    </row>
    <row r="294" spans="1:13" ht="15.75">
      <c r="A294" s="252"/>
      <c r="B294" s="251" t="s">
        <v>376</v>
      </c>
      <c r="C294" s="250"/>
      <c r="F294" s="217">
        <f t="shared" si="15"/>
        <v>62931</v>
      </c>
      <c r="G294" s="217">
        <v>0</v>
      </c>
      <c r="H294" s="217">
        <v>62931383</v>
      </c>
      <c r="M294" s="440"/>
    </row>
    <row r="295" spans="1:13" ht="15.75">
      <c r="A295" s="252"/>
      <c r="B295" s="251"/>
      <c r="C295" s="250"/>
      <c r="F295" s="217">
        <f t="shared" si="15"/>
        <v>0</v>
      </c>
      <c r="G295" s="217">
        <v>0</v>
      </c>
      <c r="M295" s="440"/>
    </row>
    <row r="296" spans="1:13" ht="15.75">
      <c r="A296" s="252"/>
      <c r="B296" s="251" t="s">
        <v>377</v>
      </c>
      <c r="C296" s="250"/>
      <c r="F296" s="217">
        <f t="shared" si="15"/>
        <v>537561</v>
      </c>
      <c r="G296" s="217">
        <v>0</v>
      </c>
      <c r="H296" s="217">
        <v>537560616</v>
      </c>
      <c r="M296" s="440"/>
    </row>
    <row r="297" spans="1:13" ht="15.75">
      <c r="A297" s="252"/>
      <c r="B297" s="251"/>
      <c r="C297" s="250"/>
      <c r="F297" s="217">
        <f t="shared" si="15"/>
        <v>0</v>
      </c>
      <c r="G297" s="217">
        <v>0</v>
      </c>
      <c r="M297" s="440"/>
    </row>
    <row r="298" spans="1:13" ht="15.75">
      <c r="A298" s="252"/>
      <c r="B298" s="251" t="s">
        <v>378</v>
      </c>
      <c r="C298" s="250"/>
      <c r="F298" s="217">
        <f t="shared" si="15"/>
        <v>143388</v>
      </c>
      <c r="G298" s="217">
        <v>0</v>
      </c>
      <c r="H298" s="217">
        <v>143387530</v>
      </c>
      <c r="M298" s="440"/>
    </row>
    <row r="299" spans="1:13" ht="15.75">
      <c r="A299" s="252"/>
      <c r="B299" s="251"/>
      <c r="C299" s="250"/>
      <c r="F299" s="217">
        <f t="shared" si="15"/>
        <v>0</v>
      </c>
      <c r="G299" s="217">
        <v>0</v>
      </c>
      <c r="M299" s="440"/>
    </row>
    <row r="300" spans="1:13" ht="15.75">
      <c r="A300" s="252"/>
      <c r="B300" s="251" t="s">
        <v>379</v>
      </c>
      <c r="C300" s="250"/>
      <c r="F300" s="217">
        <f t="shared" si="15"/>
        <v>-5289</v>
      </c>
      <c r="G300" s="217">
        <v>0</v>
      </c>
      <c r="H300" s="217">
        <v>-5289114</v>
      </c>
      <c r="M300" s="440"/>
    </row>
    <row r="301" spans="1:13" ht="15.75">
      <c r="A301" s="249"/>
      <c r="B301" s="251" t="s">
        <v>380</v>
      </c>
      <c r="C301" s="250"/>
      <c r="F301" s="217">
        <f t="shared" si="15"/>
        <v>44620</v>
      </c>
      <c r="G301" s="217">
        <v>0</v>
      </c>
      <c r="H301" s="217">
        <v>44620071</v>
      </c>
      <c r="M301" s="440"/>
    </row>
    <row r="302" spans="1:13" ht="15.75">
      <c r="B302" s="251" t="s">
        <v>381</v>
      </c>
      <c r="C302" s="255"/>
      <c r="F302" s="217">
        <f t="shared" si="15"/>
        <v>-127</v>
      </c>
      <c r="G302" s="217">
        <v>0</v>
      </c>
      <c r="H302" s="217">
        <v>-126526</v>
      </c>
      <c r="M302" s="440"/>
    </row>
    <row r="303" spans="1:13" ht="15.75">
      <c r="A303" s="258"/>
      <c r="B303" s="251" t="s">
        <v>382</v>
      </c>
      <c r="C303" s="250"/>
      <c r="F303" s="217">
        <f t="shared" si="15"/>
        <v>104183</v>
      </c>
      <c r="G303" s="217">
        <v>0</v>
      </c>
      <c r="H303" s="217">
        <v>104183099</v>
      </c>
      <c r="M303" s="440"/>
    </row>
    <row r="304" spans="1:13" ht="12.75">
      <c r="A304" s="258"/>
      <c r="F304" s="217">
        <f t="shared" ref="F304:F358" si="16">ROUND(H304/1000,0)</f>
        <v>0</v>
      </c>
      <c r="G304" s="217">
        <v>0</v>
      </c>
      <c r="M304" s="254"/>
    </row>
    <row r="305" spans="1:13" ht="15.75">
      <c r="A305" s="259">
        <v>182324</v>
      </c>
      <c r="B305" s="251" t="s">
        <v>46</v>
      </c>
      <c r="F305" s="217">
        <f t="shared" si="16"/>
        <v>0</v>
      </c>
      <c r="G305" s="217">
        <v>0</v>
      </c>
      <c r="M305" s="440" t="s">
        <v>46</v>
      </c>
    </row>
    <row r="306" spans="1:13" ht="15.75">
      <c r="A306" s="259">
        <v>182325</v>
      </c>
      <c r="B306" s="251" t="s">
        <v>383</v>
      </c>
      <c r="F306" s="217">
        <f t="shared" si="16"/>
        <v>0</v>
      </c>
      <c r="G306" s="217">
        <v>0</v>
      </c>
      <c r="M306" s="440" t="s">
        <v>383</v>
      </c>
    </row>
    <row r="307" spans="1:13" ht="15.75">
      <c r="A307" s="259">
        <v>182333</v>
      </c>
      <c r="B307" s="254" t="s">
        <v>572</v>
      </c>
      <c r="F307" s="217">
        <f t="shared" si="16"/>
        <v>5856</v>
      </c>
      <c r="G307" s="217">
        <v>0</v>
      </c>
      <c r="H307" s="217">
        <v>5856255</v>
      </c>
      <c r="M307" s="442" t="s">
        <v>572</v>
      </c>
    </row>
    <row r="308" spans="1:13" ht="15.75">
      <c r="A308" s="259">
        <v>182381</v>
      </c>
      <c r="B308" s="254" t="s">
        <v>573</v>
      </c>
      <c r="F308" s="217">
        <f t="shared" si="16"/>
        <v>1294</v>
      </c>
      <c r="G308" s="217">
        <v>0</v>
      </c>
      <c r="H308" s="217">
        <v>1294200</v>
      </c>
      <c r="M308" s="442" t="s">
        <v>573</v>
      </c>
    </row>
    <row r="309" spans="1:13" ht="15.75">
      <c r="A309" s="260">
        <v>302000</v>
      </c>
      <c r="B309" s="254" t="s">
        <v>574</v>
      </c>
      <c r="F309" s="217">
        <f t="shared" ref="F309:F310" si="17">ROUND(H309/1000,0)</f>
        <v>837</v>
      </c>
      <c r="G309" s="217">
        <v>0</v>
      </c>
      <c r="H309" s="217">
        <v>837206</v>
      </c>
      <c r="M309" s="442" t="s">
        <v>574</v>
      </c>
    </row>
    <row r="310" spans="1:13" ht="15.75">
      <c r="A310" s="260">
        <v>303000</v>
      </c>
      <c r="B310" s="254" t="s">
        <v>575</v>
      </c>
      <c r="F310" s="217">
        <f t="shared" si="17"/>
        <v>22621</v>
      </c>
      <c r="G310" s="217">
        <v>0</v>
      </c>
      <c r="H310" s="217">
        <v>22621464</v>
      </c>
      <c r="M310" s="442" t="s">
        <v>575</v>
      </c>
    </row>
    <row r="311" spans="1:13" ht="15.75">
      <c r="A311" s="260">
        <v>303100</v>
      </c>
      <c r="B311" s="251" t="s">
        <v>384</v>
      </c>
      <c r="F311" s="217">
        <f t="shared" si="16"/>
        <v>29107</v>
      </c>
      <c r="G311" s="217">
        <v>0</v>
      </c>
      <c r="H311" s="217">
        <v>29106953</v>
      </c>
      <c r="M311" s="440" t="s">
        <v>384</v>
      </c>
    </row>
    <row r="312" spans="1:13" ht="15.75">
      <c r="A312" s="260">
        <v>303110</v>
      </c>
      <c r="B312" s="254" t="s">
        <v>385</v>
      </c>
      <c r="F312" s="217">
        <f t="shared" si="16"/>
        <v>8044</v>
      </c>
      <c r="G312" s="217">
        <v>0</v>
      </c>
      <c r="H312" s="217">
        <v>8043730</v>
      </c>
      <c r="M312" s="442" t="s">
        <v>607</v>
      </c>
    </row>
    <row r="313" spans="1:13" ht="15.75">
      <c r="A313" s="261"/>
      <c r="B313" s="251" t="s">
        <v>386</v>
      </c>
      <c r="F313" s="217">
        <f t="shared" si="16"/>
        <v>32626</v>
      </c>
      <c r="G313" s="217">
        <v>0</v>
      </c>
      <c r="H313" s="217">
        <v>32625793</v>
      </c>
      <c r="M313" s="440" t="s">
        <v>608</v>
      </c>
    </row>
    <row r="314" spans="1:13" ht="15.75">
      <c r="A314" s="258"/>
      <c r="B314" s="251" t="s">
        <v>387</v>
      </c>
      <c r="F314" s="217">
        <f t="shared" si="16"/>
        <v>2235</v>
      </c>
      <c r="G314" s="217">
        <v>0</v>
      </c>
      <c r="H314" s="217">
        <v>2234751</v>
      </c>
      <c r="M314" s="440" t="s">
        <v>609</v>
      </c>
    </row>
    <row r="315" spans="1:13" ht="15.75">
      <c r="A315" s="258"/>
      <c r="B315" s="251" t="s">
        <v>388</v>
      </c>
      <c r="F315" s="217">
        <f t="shared" si="16"/>
        <v>102620</v>
      </c>
      <c r="G315" s="217">
        <v>0</v>
      </c>
      <c r="H315" s="217">
        <v>102620352</v>
      </c>
      <c r="M315" s="440" t="s">
        <v>388</v>
      </c>
    </row>
    <row r="316" spans="1:13" ht="15.75">
      <c r="A316" s="260" t="s">
        <v>390</v>
      </c>
      <c r="B316" s="251"/>
      <c r="F316" s="217">
        <f t="shared" si="16"/>
        <v>0</v>
      </c>
      <c r="G316" s="217">
        <v>0</v>
      </c>
      <c r="M316" s="440"/>
    </row>
    <row r="317" spans="1:13" ht="15.75">
      <c r="A317" s="260" t="s">
        <v>392</v>
      </c>
      <c r="B317" s="251" t="s">
        <v>389</v>
      </c>
      <c r="F317" s="217">
        <f t="shared" si="16"/>
        <v>0</v>
      </c>
      <c r="G317" s="217">
        <v>0</v>
      </c>
      <c r="M317" s="440" t="s">
        <v>389</v>
      </c>
    </row>
    <row r="318" spans="1:13" ht="15.75">
      <c r="A318" s="260">
        <v>312000</v>
      </c>
      <c r="B318" s="251" t="s">
        <v>391</v>
      </c>
      <c r="F318" s="217">
        <f t="shared" si="16"/>
        <v>2312</v>
      </c>
      <c r="G318" s="217">
        <v>0</v>
      </c>
      <c r="H318" s="217">
        <v>2311831</v>
      </c>
      <c r="M318" s="440" t="s">
        <v>391</v>
      </c>
    </row>
    <row r="319" spans="1:13" ht="15.75">
      <c r="A319" s="260">
        <v>313000</v>
      </c>
      <c r="B319" s="251" t="s">
        <v>393</v>
      </c>
      <c r="F319" s="217">
        <f t="shared" si="16"/>
        <v>82715</v>
      </c>
      <c r="G319" s="217">
        <v>0</v>
      </c>
      <c r="H319" s="217">
        <v>82715068</v>
      </c>
      <c r="M319" s="440" t="s">
        <v>393</v>
      </c>
    </row>
    <row r="320" spans="1:13" ht="15.75">
      <c r="A320" s="260">
        <v>314000</v>
      </c>
      <c r="B320" s="251" t="s">
        <v>262</v>
      </c>
      <c r="F320" s="217">
        <f t="shared" si="16"/>
        <v>113266</v>
      </c>
      <c r="G320" s="217">
        <v>0</v>
      </c>
      <c r="H320" s="217">
        <v>113266494</v>
      </c>
      <c r="M320" s="440" t="s">
        <v>262</v>
      </c>
    </row>
    <row r="321" spans="1:13" ht="15.75">
      <c r="A321" s="260">
        <v>315000</v>
      </c>
      <c r="B321" s="251" t="s">
        <v>394</v>
      </c>
      <c r="F321" s="217">
        <f t="shared" si="16"/>
        <v>4</v>
      </c>
      <c r="G321" s="217">
        <v>0</v>
      </c>
      <c r="H321" s="217">
        <v>4381</v>
      </c>
      <c r="M321" s="440" t="s">
        <v>394</v>
      </c>
    </row>
    <row r="322" spans="1:13" ht="15.75">
      <c r="A322" s="260">
        <v>316000</v>
      </c>
      <c r="B322" s="251" t="s">
        <v>395</v>
      </c>
      <c r="F322" s="217">
        <f t="shared" si="16"/>
        <v>35513</v>
      </c>
      <c r="G322" s="217">
        <v>0</v>
      </c>
      <c r="H322" s="217">
        <v>35512848</v>
      </c>
      <c r="M322" s="440" t="s">
        <v>395</v>
      </c>
    </row>
    <row r="323" spans="1:13" ht="15.75">
      <c r="A323" s="262"/>
      <c r="B323" s="251" t="s">
        <v>396</v>
      </c>
      <c r="F323" s="217">
        <f t="shared" si="16"/>
        <v>17314</v>
      </c>
      <c r="G323" s="217">
        <v>0</v>
      </c>
      <c r="H323" s="217">
        <v>17314497</v>
      </c>
      <c r="M323" s="440" t="s">
        <v>396</v>
      </c>
    </row>
    <row r="324" spans="1:13" ht="15.75">
      <c r="A324" s="263"/>
      <c r="B324" s="251" t="s">
        <v>397</v>
      </c>
      <c r="F324" s="217">
        <f t="shared" si="16"/>
        <v>10789</v>
      </c>
      <c r="G324" s="217">
        <v>0</v>
      </c>
      <c r="H324" s="217">
        <v>10789303</v>
      </c>
      <c r="M324" s="440" t="s">
        <v>397</v>
      </c>
    </row>
    <row r="325" spans="1:13" ht="15.75">
      <c r="A325" s="258"/>
      <c r="B325" s="251" t="s">
        <v>398</v>
      </c>
      <c r="F325" s="217">
        <f t="shared" si="16"/>
        <v>261914</v>
      </c>
      <c r="G325" s="217">
        <v>0</v>
      </c>
      <c r="H325" s="217">
        <v>261914422</v>
      </c>
      <c r="M325" s="440" t="s">
        <v>398</v>
      </c>
    </row>
    <row r="326" spans="1:13" ht="15.75">
      <c r="A326" s="260" t="s">
        <v>400</v>
      </c>
      <c r="B326" s="251"/>
      <c r="F326" s="217">
        <f t="shared" si="16"/>
        <v>0</v>
      </c>
      <c r="G326" s="217">
        <v>0</v>
      </c>
      <c r="M326" s="440"/>
    </row>
    <row r="327" spans="1:13" ht="15.75">
      <c r="A327" s="260" t="s">
        <v>401</v>
      </c>
      <c r="B327" s="251" t="s">
        <v>399</v>
      </c>
      <c r="F327" s="217">
        <f t="shared" si="16"/>
        <v>0</v>
      </c>
      <c r="G327" s="217">
        <v>0</v>
      </c>
      <c r="M327" s="440" t="s">
        <v>399</v>
      </c>
    </row>
    <row r="328" spans="1:13" ht="15.75">
      <c r="A328" s="260" t="s">
        <v>402</v>
      </c>
      <c r="B328" s="251" t="s">
        <v>391</v>
      </c>
      <c r="F328" s="217">
        <f t="shared" si="16"/>
        <v>38209</v>
      </c>
      <c r="G328" s="217">
        <v>0</v>
      </c>
      <c r="H328" s="217">
        <v>38208813</v>
      </c>
      <c r="M328" s="440" t="s">
        <v>391</v>
      </c>
    </row>
    <row r="329" spans="1:13" ht="15.75">
      <c r="A329" s="260">
        <v>333000</v>
      </c>
      <c r="B329" s="251" t="s">
        <v>393</v>
      </c>
      <c r="F329" s="217">
        <f t="shared" si="16"/>
        <v>32954</v>
      </c>
      <c r="G329" s="217">
        <v>0</v>
      </c>
      <c r="H329" s="217">
        <v>32954251</v>
      </c>
      <c r="M329" s="440" t="s">
        <v>393</v>
      </c>
    </row>
    <row r="330" spans="1:13" ht="15.75">
      <c r="A330" s="260">
        <v>334000</v>
      </c>
      <c r="B330" s="251" t="s">
        <v>271</v>
      </c>
      <c r="F330" s="217">
        <f t="shared" si="16"/>
        <v>85885</v>
      </c>
      <c r="G330" s="217">
        <v>0</v>
      </c>
      <c r="H330" s="217">
        <v>85885392</v>
      </c>
      <c r="M330" s="440" t="s">
        <v>271</v>
      </c>
    </row>
    <row r="331" spans="1:13" ht="15.75">
      <c r="A331" s="260" t="s">
        <v>404</v>
      </c>
      <c r="B331" s="251" t="s">
        <v>403</v>
      </c>
      <c r="F331" s="217">
        <f t="shared" si="16"/>
        <v>105872</v>
      </c>
      <c r="G331" s="217">
        <v>0</v>
      </c>
      <c r="H331" s="217">
        <v>105872391</v>
      </c>
      <c r="M331" s="440" t="s">
        <v>403</v>
      </c>
    </row>
    <row r="332" spans="1:13" ht="15.75">
      <c r="A332" s="260">
        <v>336000</v>
      </c>
      <c r="B332" s="251" t="s">
        <v>396</v>
      </c>
      <c r="F332" s="217">
        <f t="shared" si="16"/>
        <v>24313</v>
      </c>
      <c r="G332" s="217">
        <v>0</v>
      </c>
      <c r="H332" s="217">
        <v>24313342</v>
      </c>
      <c r="M332" s="440" t="s">
        <v>396</v>
      </c>
    </row>
    <row r="333" spans="1:13" ht="15.75">
      <c r="A333" s="262"/>
      <c r="B333" s="251" t="s">
        <v>397</v>
      </c>
      <c r="F333" s="217">
        <f t="shared" si="16"/>
        <v>5997</v>
      </c>
      <c r="G333" s="217">
        <v>0</v>
      </c>
      <c r="H333" s="217">
        <v>5997456</v>
      </c>
      <c r="M333" s="440" t="s">
        <v>397</v>
      </c>
    </row>
    <row r="334" spans="1:13" ht="15.75">
      <c r="A334" s="263"/>
      <c r="B334" s="251" t="s">
        <v>405</v>
      </c>
      <c r="F334" s="217">
        <f t="shared" si="16"/>
        <v>1625</v>
      </c>
      <c r="G334" s="217">
        <v>0</v>
      </c>
      <c r="H334" s="217">
        <v>1625049</v>
      </c>
      <c r="M334" s="440" t="s">
        <v>405</v>
      </c>
    </row>
    <row r="335" spans="1:13" ht="15.75">
      <c r="A335" s="258"/>
      <c r="B335" s="251" t="s">
        <v>406</v>
      </c>
      <c r="F335" s="217">
        <f t="shared" si="16"/>
        <v>294857</v>
      </c>
      <c r="G335" s="217">
        <v>0</v>
      </c>
      <c r="H335" s="217">
        <v>294856694</v>
      </c>
      <c r="M335" s="440" t="s">
        <v>406</v>
      </c>
    </row>
    <row r="336" spans="1:13" ht="15.75">
      <c r="A336" s="260">
        <v>340200</v>
      </c>
      <c r="B336" s="251"/>
      <c r="F336" s="217">
        <f t="shared" si="16"/>
        <v>0</v>
      </c>
      <c r="G336" s="217">
        <v>0</v>
      </c>
      <c r="M336" s="440"/>
    </row>
    <row r="337" spans="1:13" ht="15.75">
      <c r="A337" s="260">
        <v>341000</v>
      </c>
      <c r="B337" s="251" t="s">
        <v>407</v>
      </c>
      <c r="F337" s="217">
        <f t="shared" si="16"/>
        <v>0</v>
      </c>
      <c r="G337" s="217">
        <v>0</v>
      </c>
      <c r="M337" s="440" t="s">
        <v>407</v>
      </c>
    </row>
    <row r="338" spans="1:13" ht="15.75">
      <c r="A338" s="260">
        <v>342000</v>
      </c>
      <c r="B338" s="251" t="s">
        <v>391</v>
      </c>
      <c r="F338" s="217">
        <f t="shared" si="16"/>
        <v>586</v>
      </c>
      <c r="G338" s="217">
        <v>0</v>
      </c>
      <c r="H338" s="217">
        <v>585734</v>
      </c>
      <c r="M338" s="440" t="s">
        <v>391</v>
      </c>
    </row>
    <row r="339" spans="1:13" ht="15.75">
      <c r="A339" s="260">
        <v>343000</v>
      </c>
      <c r="B339" s="251" t="s">
        <v>393</v>
      </c>
      <c r="F339" s="217">
        <f t="shared" si="16"/>
        <v>10850</v>
      </c>
      <c r="G339" s="217">
        <v>0</v>
      </c>
      <c r="H339" s="217">
        <v>10850084</v>
      </c>
      <c r="M339" s="440" t="s">
        <v>393</v>
      </c>
    </row>
    <row r="340" spans="1:13" ht="15.75">
      <c r="A340" s="260">
        <v>344000</v>
      </c>
      <c r="B340" s="251" t="s">
        <v>408</v>
      </c>
      <c r="F340" s="217">
        <f t="shared" si="16"/>
        <v>13718</v>
      </c>
      <c r="G340" s="217">
        <v>0</v>
      </c>
      <c r="H340" s="217">
        <v>13717712</v>
      </c>
      <c r="M340" s="440" t="s">
        <v>408</v>
      </c>
    </row>
    <row r="341" spans="1:13" ht="15.75">
      <c r="A341" s="260">
        <v>344010</v>
      </c>
      <c r="B341" s="251" t="s">
        <v>409</v>
      </c>
      <c r="F341" s="217">
        <f t="shared" si="16"/>
        <v>15472</v>
      </c>
      <c r="G341" s="217">
        <v>0</v>
      </c>
      <c r="H341" s="217">
        <v>15471818</v>
      </c>
      <c r="M341" s="440" t="s">
        <v>409</v>
      </c>
    </row>
    <row r="342" spans="1:13" ht="15.75">
      <c r="A342" s="260">
        <v>345000</v>
      </c>
      <c r="B342" s="251" t="s">
        <v>394</v>
      </c>
      <c r="F342" s="217">
        <f t="shared" ref="F342:F343" si="18">ROUND(H342/1000,0)</f>
        <v>134402</v>
      </c>
      <c r="G342" s="217">
        <v>0</v>
      </c>
      <c r="H342" s="217">
        <v>134401978</v>
      </c>
      <c r="M342" s="440" t="s">
        <v>394</v>
      </c>
    </row>
    <row r="343" spans="1:13" ht="15.75">
      <c r="A343" s="260">
        <v>345010</v>
      </c>
      <c r="B343" s="251" t="s">
        <v>576</v>
      </c>
      <c r="F343" s="217">
        <f t="shared" si="18"/>
        <v>97</v>
      </c>
      <c r="G343" s="217">
        <v>0</v>
      </c>
      <c r="H343" s="217">
        <v>96851</v>
      </c>
      <c r="M343" s="440" t="s">
        <v>576</v>
      </c>
    </row>
    <row r="344" spans="1:13" ht="15.75">
      <c r="A344" s="260">
        <v>346000</v>
      </c>
      <c r="B344" s="251" t="s">
        <v>396</v>
      </c>
      <c r="F344" s="217">
        <f t="shared" si="16"/>
        <v>13217</v>
      </c>
      <c r="G344" s="217">
        <v>0</v>
      </c>
      <c r="H344" s="217">
        <v>13217009</v>
      </c>
      <c r="M344" s="440" t="s">
        <v>396</v>
      </c>
    </row>
    <row r="345" spans="1:13" ht="15.75">
      <c r="A345" s="262"/>
      <c r="B345" s="251" t="s">
        <v>577</v>
      </c>
      <c r="F345" s="217">
        <f t="shared" si="16"/>
        <v>21</v>
      </c>
      <c r="G345" s="217">
        <v>0</v>
      </c>
      <c r="H345" s="217">
        <v>21490</v>
      </c>
      <c r="M345" s="440" t="s">
        <v>577</v>
      </c>
    </row>
    <row r="346" spans="1:13" ht="15.75">
      <c r="A346" s="260"/>
      <c r="B346" s="251" t="s">
        <v>397</v>
      </c>
      <c r="F346" s="217">
        <f t="shared" si="16"/>
        <v>967</v>
      </c>
      <c r="G346" s="217">
        <v>0</v>
      </c>
      <c r="H346" s="217">
        <v>967190</v>
      </c>
      <c r="M346" s="440" t="s">
        <v>397</v>
      </c>
    </row>
    <row r="347" spans="1:13" ht="15.75">
      <c r="A347" s="260"/>
      <c r="B347" s="251" t="s">
        <v>410</v>
      </c>
      <c r="F347" s="217">
        <f t="shared" si="16"/>
        <v>189330</v>
      </c>
      <c r="G347" s="217">
        <v>0</v>
      </c>
      <c r="H347" s="217">
        <v>189329866</v>
      </c>
      <c r="M347" s="440" t="s">
        <v>410</v>
      </c>
    </row>
    <row r="348" spans="1:13" ht="15.75">
      <c r="A348" s="264"/>
      <c r="B348" s="251" t="s">
        <v>411</v>
      </c>
      <c r="F348" s="217">
        <f t="shared" si="16"/>
        <v>746101</v>
      </c>
      <c r="G348" s="217">
        <v>0</v>
      </c>
      <c r="H348" s="217">
        <v>746100982</v>
      </c>
      <c r="M348" s="440" t="s">
        <v>411</v>
      </c>
    </row>
    <row r="349" spans="1:13" ht="15.75">
      <c r="A349" s="260" t="s">
        <v>413</v>
      </c>
      <c r="B349" s="251"/>
      <c r="F349" s="217">
        <f t="shared" si="16"/>
        <v>0</v>
      </c>
      <c r="G349" s="217">
        <v>0</v>
      </c>
      <c r="M349" s="440"/>
    </row>
    <row r="350" spans="1:13" ht="15.75">
      <c r="A350" s="260" t="s">
        <v>414</v>
      </c>
      <c r="B350" s="251" t="s">
        <v>412</v>
      </c>
      <c r="F350" s="217">
        <f t="shared" si="16"/>
        <v>0</v>
      </c>
      <c r="G350" s="217">
        <v>0</v>
      </c>
      <c r="M350" s="440" t="s">
        <v>412</v>
      </c>
    </row>
    <row r="351" spans="1:13" ht="15.75">
      <c r="A351" s="260"/>
      <c r="B351" s="251" t="s">
        <v>391</v>
      </c>
      <c r="F351" s="217">
        <f t="shared" si="16"/>
        <v>12856</v>
      </c>
      <c r="G351" s="217">
        <v>0</v>
      </c>
      <c r="H351" s="217">
        <v>12856364</v>
      </c>
      <c r="M351" s="440" t="s">
        <v>391</v>
      </c>
    </row>
    <row r="352" spans="1:13" ht="15.75">
      <c r="A352" s="260">
        <v>353000</v>
      </c>
      <c r="B352" s="440" t="s">
        <v>610</v>
      </c>
      <c r="H352" s="217">
        <v>0</v>
      </c>
      <c r="M352" s="440" t="s">
        <v>610</v>
      </c>
    </row>
    <row r="353" spans="1:13" ht="15.75">
      <c r="A353" s="260">
        <v>354000</v>
      </c>
      <c r="B353" s="251" t="s">
        <v>393</v>
      </c>
      <c r="F353" s="217">
        <f t="shared" si="16"/>
        <v>12613</v>
      </c>
      <c r="G353" s="217">
        <v>0</v>
      </c>
      <c r="H353" s="217">
        <v>12613384</v>
      </c>
      <c r="M353" s="440" t="s">
        <v>393</v>
      </c>
    </row>
    <row r="354" spans="1:13" ht="15.75">
      <c r="A354" s="260">
        <v>355000</v>
      </c>
      <c r="B354" s="251" t="s">
        <v>293</v>
      </c>
      <c r="F354" s="217">
        <f t="shared" si="16"/>
        <v>143370</v>
      </c>
      <c r="G354" s="217">
        <v>0</v>
      </c>
      <c r="H354" s="217">
        <v>143369914</v>
      </c>
      <c r="M354" s="440" t="s">
        <v>293</v>
      </c>
    </row>
    <row r="355" spans="1:13" ht="15.75">
      <c r="A355" s="260">
        <v>356000</v>
      </c>
      <c r="B355" s="251" t="s">
        <v>415</v>
      </c>
      <c r="F355" s="217">
        <f t="shared" si="16"/>
        <v>11082</v>
      </c>
      <c r="G355" s="217">
        <v>0</v>
      </c>
      <c r="H355" s="217">
        <v>11081538</v>
      </c>
      <c r="M355" s="440" t="s">
        <v>415</v>
      </c>
    </row>
    <row r="356" spans="1:13" ht="15.75">
      <c r="A356" s="260">
        <v>357000</v>
      </c>
      <c r="B356" s="251" t="s">
        <v>416</v>
      </c>
      <c r="F356" s="217">
        <f t="shared" si="16"/>
        <v>108197</v>
      </c>
      <c r="G356" s="217">
        <v>0</v>
      </c>
      <c r="H356" s="217">
        <v>108197216</v>
      </c>
      <c r="M356" s="440" t="s">
        <v>416</v>
      </c>
    </row>
    <row r="357" spans="1:13" ht="15.75">
      <c r="A357" s="260">
        <v>358000</v>
      </c>
      <c r="B357" s="251" t="s">
        <v>417</v>
      </c>
      <c r="F357" s="217">
        <f t="shared" si="16"/>
        <v>79142</v>
      </c>
      <c r="G357" s="217">
        <v>0</v>
      </c>
      <c r="H357" s="217">
        <v>79141985</v>
      </c>
      <c r="M357" s="440" t="s">
        <v>417</v>
      </c>
    </row>
    <row r="358" spans="1:13" ht="15.75">
      <c r="A358" s="260">
        <v>359000</v>
      </c>
      <c r="B358" s="251" t="s">
        <v>418</v>
      </c>
      <c r="F358" s="217">
        <f t="shared" si="16"/>
        <v>1939</v>
      </c>
      <c r="G358" s="217">
        <v>0</v>
      </c>
      <c r="H358" s="217">
        <v>1939449</v>
      </c>
      <c r="M358" s="440" t="s">
        <v>418</v>
      </c>
    </row>
    <row r="359" spans="1:13" ht="15.75">
      <c r="A359" s="262"/>
      <c r="B359" s="251" t="s">
        <v>419</v>
      </c>
      <c r="F359" s="217">
        <f t="shared" ref="F359:F425" si="19">ROUND(H359/1000,0)</f>
        <v>1509</v>
      </c>
      <c r="G359" s="217">
        <v>0</v>
      </c>
      <c r="H359" s="217">
        <v>1508588</v>
      </c>
      <c r="M359" s="440" t="s">
        <v>419</v>
      </c>
    </row>
    <row r="360" spans="1:13" ht="15.75">
      <c r="A360" s="263"/>
      <c r="B360" s="251" t="s">
        <v>420</v>
      </c>
      <c r="F360" s="217">
        <f t="shared" si="19"/>
        <v>1262</v>
      </c>
      <c r="G360" s="217">
        <v>0</v>
      </c>
      <c r="H360" s="217">
        <v>1262460</v>
      </c>
      <c r="M360" s="440" t="s">
        <v>420</v>
      </c>
    </row>
    <row r="361" spans="1:13" ht="15.75">
      <c r="A361" s="263"/>
      <c r="B361" s="251" t="s">
        <v>421</v>
      </c>
      <c r="F361" s="217">
        <f t="shared" si="19"/>
        <v>371971</v>
      </c>
      <c r="G361" s="217">
        <v>0</v>
      </c>
      <c r="H361" s="217">
        <v>371970898</v>
      </c>
      <c r="M361" s="440" t="s">
        <v>421</v>
      </c>
    </row>
    <row r="362" spans="1:13" ht="15.75">
      <c r="A362" s="260">
        <v>360200</v>
      </c>
      <c r="B362" s="251"/>
      <c r="F362" s="217">
        <f t="shared" si="19"/>
        <v>0</v>
      </c>
      <c r="G362" s="217">
        <v>0</v>
      </c>
      <c r="M362" s="440"/>
    </row>
    <row r="363" spans="1:13" ht="15.75">
      <c r="A363" s="259">
        <v>360400</v>
      </c>
      <c r="B363" s="251" t="s">
        <v>422</v>
      </c>
      <c r="F363" s="217">
        <f t="shared" si="19"/>
        <v>0</v>
      </c>
      <c r="G363" s="217">
        <v>0</v>
      </c>
      <c r="M363" s="440" t="s">
        <v>422</v>
      </c>
    </row>
    <row r="364" spans="1:13" ht="15.75">
      <c r="A364" s="260">
        <v>361000</v>
      </c>
      <c r="B364" s="251" t="s">
        <v>391</v>
      </c>
      <c r="F364" s="217">
        <f t="shared" si="19"/>
        <v>3433</v>
      </c>
      <c r="G364" s="217">
        <v>0</v>
      </c>
      <c r="H364" s="217">
        <v>3433321</v>
      </c>
      <c r="M364" s="440" t="s">
        <v>391</v>
      </c>
    </row>
    <row r="365" spans="1:13" ht="15.75">
      <c r="A365" s="260">
        <v>362000</v>
      </c>
      <c r="B365" s="254" t="s">
        <v>423</v>
      </c>
      <c r="F365" s="217">
        <f t="shared" si="19"/>
        <v>518</v>
      </c>
      <c r="G365" s="217">
        <v>0</v>
      </c>
      <c r="H365" s="217">
        <v>518338</v>
      </c>
      <c r="M365" s="442" t="s">
        <v>423</v>
      </c>
    </row>
    <row r="366" spans="1:13" ht="15.75">
      <c r="A366" s="260">
        <v>364000</v>
      </c>
      <c r="B366" s="251" t="s">
        <v>393</v>
      </c>
      <c r="F366" s="217">
        <f t="shared" si="19"/>
        <v>12874</v>
      </c>
      <c r="G366" s="217">
        <v>0</v>
      </c>
      <c r="H366" s="217">
        <v>12873592</v>
      </c>
      <c r="M366" s="440" t="s">
        <v>393</v>
      </c>
    </row>
    <row r="367" spans="1:13" ht="15.75">
      <c r="A367" s="260"/>
      <c r="B367" s="250" t="s">
        <v>293</v>
      </c>
      <c r="F367" s="217">
        <f t="shared" si="19"/>
        <v>77900</v>
      </c>
      <c r="G367" s="217">
        <v>0</v>
      </c>
      <c r="H367" s="217">
        <v>77899960</v>
      </c>
      <c r="M367" s="441" t="s">
        <v>293</v>
      </c>
    </row>
    <row r="368" spans="1:13" ht="15.75">
      <c r="A368" s="260">
        <v>365000</v>
      </c>
      <c r="B368" s="440" t="s">
        <v>604</v>
      </c>
      <c r="H368" s="217">
        <v>0</v>
      </c>
      <c r="M368" s="440" t="s">
        <v>604</v>
      </c>
    </row>
    <row r="369" spans="1:13" ht="15.75">
      <c r="A369" s="260">
        <v>366000</v>
      </c>
      <c r="B369" s="251" t="s">
        <v>424</v>
      </c>
      <c r="F369" s="217">
        <f t="shared" si="19"/>
        <v>182886</v>
      </c>
      <c r="G369" s="217">
        <v>0</v>
      </c>
      <c r="H369" s="217">
        <v>182886249</v>
      </c>
      <c r="M369" s="440" t="s">
        <v>424</v>
      </c>
    </row>
    <row r="370" spans="1:13" ht="15.75">
      <c r="A370" s="260">
        <v>367000</v>
      </c>
      <c r="B370" s="251" t="s">
        <v>417</v>
      </c>
      <c r="F370" s="217">
        <f t="shared" si="19"/>
        <v>122933</v>
      </c>
      <c r="G370" s="217">
        <v>0</v>
      </c>
      <c r="H370" s="217">
        <v>122933161</v>
      </c>
      <c r="M370" s="440" t="s">
        <v>417</v>
      </c>
    </row>
    <row r="371" spans="1:13" ht="15.75">
      <c r="A371" s="260">
        <v>368000</v>
      </c>
      <c r="B371" s="251" t="s">
        <v>418</v>
      </c>
      <c r="F371" s="217">
        <f t="shared" si="19"/>
        <v>57046</v>
      </c>
      <c r="G371" s="217">
        <v>0</v>
      </c>
      <c r="H371" s="217">
        <v>57046232</v>
      </c>
      <c r="M371" s="440" t="s">
        <v>418</v>
      </c>
    </row>
    <row r="372" spans="1:13" ht="15.75">
      <c r="A372" s="260" t="s">
        <v>425</v>
      </c>
      <c r="B372" s="251" t="s">
        <v>419</v>
      </c>
      <c r="F372" s="217">
        <f t="shared" si="19"/>
        <v>99465</v>
      </c>
      <c r="G372" s="217">
        <v>0</v>
      </c>
      <c r="H372" s="217">
        <v>99464645</v>
      </c>
      <c r="M372" s="440" t="s">
        <v>419</v>
      </c>
    </row>
    <row r="373" spans="1:13" ht="15.75">
      <c r="A373" s="259">
        <v>370000</v>
      </c>
      <c r="B373" s="251" t="s">
        <v>329</v>
      </c>
      <c r="F373" s="217">
        <f t="shared" si="19"/>
        <v>144168</v>
      </c>
      <c r="G373" s="217">
        <v>0</v>
      </c>
      <c r="H373" s="217">
        <v>144168105</v>
      </c>
      <c r="M373" s="440" t="s">
        <v>329</v>
      </c>
    </row>
    <row r="374" spans="1:13" ht="15.75">
      <c r="A374" s="260" t="s">
        <v>427</v>
      </c>
      <c r="B374" s="251" t="s">
        <v>426</v>
      </c>
      <c r="F374" s="217">
        <f t="shared" si="19"/>
        <v>90399</v>
      </c>
      <c r="G374" s="217">
        <v>0</v>
      </c>
      <c r="H374" s="217">
        <v>90399345</v>
      </c>
      <c r="M374" s="440" t="s">
        <v>426</v>
      </c>
    </row>
    <row r="375" spans="1:13" ht="15.75">
      <c r="A375" s="262"/>
      <c r="B375" s="254" t="s">
        <v>331</v>
      </c>
      <c r="F375" s="217">
        <f t="shared" si="19"/>
        <v>26575</v>
      </c>
      <c r="G375" s="217">
        <v>0</v>
      </c>
      <c r="H375" s="217">
        <v>26575086</v>
      </c>
      <c r="M375" s="442" t="s">
        <v>331</v>
      </c>
    </row>
    <row r="376" spans="1:13" ht="15.75">
      <c r="A376" s="263"/>
      <c r="B376" s="251" t="s">
        <v>428</v>
      </c>
      <c r="F376" s="217">
        <f t="shared" si="19"/>
        <v>24597</v>
      </c>
      <c r="G376" s="217">
        <v>0</v>
      </c>
      <c r="H376" s="217">
        <v>24596686</v>
      </c>
      <c r="M376" s="440" t="s">
        <v>428</v>
      </c>
    </row>
    <row r="377" spans="1:13" ht="15.75">
      <c r="A377" s="263"/>
      <c r="B377" s="251" t="s">
        <v>429</v>
      </c>
      <c r="F377" s="217">
        <f t="shared" si="19"/>
        <v>842795</v>
      </c>
      <c r="G377" s="217">
        <v>0</v>
      </c>
      <c r="H377" s="217">
        <v>842794720</v>
      </c>
      <c r="M377" s="440" t="s">
        <v>429</v>
      </c>
    </row>
    <row r="378" spans="1:13" ht="15.75">
      <c r="A378" s="260" t="s">
        <v>431</v>
      </c>
      <c r="B378" s="251"/>
      <c r="F378" s="217">
        <f t="shared" si="19"/>
        <v>0</v>
      </c>
      <c r="G378" s="217">
        <v>0</v>
      </c>
      <c r="M378" s="440"/>
    </row>
    <row r="379" spans="1:13" ht="15.75">
      <c r="A379" s="260" t="s">
        <v>432</v>
      </c>
      <c r="B379" s="251" t="s">
        <v>430</v>
      </c>
      <c r="F379" s="217">
        <f t="shared" si="19"/>
        <v>0</v>
      </c>
      <c r="G379" s="217">
        <v>0</v>
      </c>
      <c r="M379" s="440" t="s">
        <v>430</v>
      </c>
    </row>
    <row r="380" spans="1:13" ht="15.75">
      <c r="A380" s="260" t="s">
        <v>433</v>
      </c>
      <c r="B380" s="251" t="s">
        <v>391</v>
      </c>
      <c r="F380" s="217">
        <f t="shared" si="19"/>
        <v>2479</v>
      </c>
      <c r="G380" s="217">
        <v>0</v>
      </c>
      <c r="H380" s="217">
        <v>2478630</v>
      </c>
      <c r="M380" s="440" t="s">
        <v>391</v>
      </c>
    </row>
    <row r="381" spans="1:13" ht="15.75">
      <c r="A381" s="260" t="s">
        <v>435</v>
      </c>
      <c r="B381" s="251" t="s">
        <v>393</v>
      </c>
      <c r="F381" s="217">
        <f t="shared" si="19"/>
        <v>52226</v>
      </c>
      <c r="G381" s="217">
        <v>0</v>
      </c>
      <c r="H381" s="217">
        <v>52226251</v>
      </c>
      <c r="M381" s="440" t="s">
        <v>393</v>
      </c>
    </row>
    <row r="382" spans="1:13" ht="15.75">
      <c r="A382" s="260">
        <v>393000</v>
      </c>
      <c r="B382" s="251" t="s">
        <v>434</v>
      </c>
      <c r="F382" s="217">
        <f t="shared" si="19"/>
        <v>30790</v>
      </c>
      <c r="G382" s="217">
        <v>0</v>
      </c>
      <c r="H382" s="217">
        <v>30790102</v>
      </c>
      <c r="M382" s="440" t="s">
        <v>434</v>
      </c>
    </row>
    <row r="383" spans="1:13" ht="15.75">
      <c r="A383" s="260">
        <v>394000</v>
      </c>
      <c r="B383" s="251" t="s">
        <v>436</v>
      </c>
      <c r="F383" s="217">
        <f t="shared" si="19"/>
        <v>21929</v>
      </c>
      <c r="G383" s="217">
        <v>0</v>
      </c>
      <c r="H383" s="217">
        <v>21929117</v>
      </c>
      <c r="M383" s="440" t="s">
        <v>436</v>
      </c>
    </row>
    <row r="384" spans="1:13" ht="15.75">
      <c r="A384" s="260">
        <v>395000</v>
      </c>
      <c r="B384" s="251" t="s">
        <v>437</v>
      </c>
      <c r="F384" s="217">
        <f t="shared" si="19"/>
        <v>1640</v>
      </c>
      <c r="G384" s="217">
        <v>0</v>
      </c>
      <c r="H384" s="217">
        <v>1639603</v>
      </c>
      <c r="M384" s="440" t="s">
        <v>437</v>
      </c>
    </row>
    <row r="385" spans="1:13" ht="15.75">
      <c r="A385" s="260" t="s">
        <v>440</v>
      </c>
      <c r="B385" s="251" t="s">
        <v>438</v>
      </c>
      <c r="F385" s="217">
        <f t="shared" si="19"/>
        <v>6803</v>
      </c>
      <c r="G385" s="217">
        <v>0</v>
      </c>
      <c r="H385" s="217">
        <v>6803473</v>
      </c>
      <c r="M385" s="440" t="s">
        <v>438</v>
      </c>
    </row>
    <row r="386" spans="1:13" ht="15.75">
      <c r="A386" s="260" t="s">
        <v>442</v>
      </c>
      <c r="B386" s="251" t="s">
        <v>439</v>
      </c>
      <c r="F386" s="217">
        <f t="shared" si="19"/>
        <v>754</v>
      </c>
      <c r="G386" s="217">
        <v>0</v>
      </c>
      <c r="H386" s="217">
        <v>754043</v>
      </c>
      <c r="M386" s="440" t="s">
        <v>439</v>
      </c>
    </row>
    <row r="387" spans="1:13" ht="15.75">
      <c r="A387" s="260">
        <v>398000</v>
      </c>
      <c r="B387" s="251" t="s">
        <v>441</v>
      </c>
      <c r="F387" s="217">
        <f t="shared" si="19"/>
        <v>24307</v>
      </c>
      <c r="G387" s="217">
        <v>0</v>
      </c>
      <c r="H387" s="217">
        <v>24307389</v>
      </c>
      <c r="M387" s="440" t="s">
        <v>441</v>
      </c>
    </row>
    <row r="388" spans="1:13" ht="15.75">
      <c r="A388" s="262"/>
      <c r="B388" s="251" t="s">
        <v>443</v>
      </c>
      <c r="F388" s="217">
        <f t="shared" si="19"/>
        <v>55606</v>
      </c>
      <c r="G388" s="217">
        <v>0</v>
      </c>
      <c r="H388" s="217">
        <v>55605806</v>
      </c>
      <c r="M388" s="440" t="s">
        <v>443</v>
      </c>
    </row>
    <row r="389" spans="1:13" ht="15.75">
      <c r="A389" s="263"/>
      <c r="B389" s="251" t="s">
        <v>444</v>
      </c>
      <c r="F389" s="217">
        <f t="shared" si="19"/>
        <v>333</v>
      </c>
      <c r="G389" s="217">
        <v>0</v>
      </c>
      <c r="H389" s="217">
        <v>332525</v>
      </c>
      <c r="M389" s="440" t="s">
        <v>444</v>
      </c>
    </row>
    <row r="390" spans="1:13" ht="15.75">
      <c r="A390" s="263"/>
      <c r="B390" s="251" t="s">
        <v>445</v>
      </c>
      <c r="F390" s="217">
        <f t="shared" si="19"/>
        <v>196867</v>
      </c>
      <c r="G390" s="217">
        <v>0</v>
      </c>
      <c r="H390" s="217">
        <v>196866939</v>
      </c>
      <c r="M390" s="440" t="s">
        <v>445</v>
      </c>
    </row>
    <row r="391" spans="1:13" ht="15.75">
      <c r="A391" s="263"/>
      <c r="B391" s="251"/>
      <c r="F391" s="217">
        <f t="shared" si="19"/>
        <v>0</v>
      </c>
      <c r="G391" s="217">
        <v>0</v>
      </c>
      <c r="M391" s="440"/>
    </row>
    <row r="392" spans="1:13" ht="15.75">
      <c r="A392" s="263"/>
      <c r="B392" s="251" t="s">
        <v>446</v>
      </c>
      <c r="F392" s="217">
        <f t="shared" si="19"/>
        <v>2260354</v>
      </c>
      <c r="G392" s="217">
        <v>0</v>
      </c>
      <c r="H392" s="217">
        <v>2260353891</v>
      </c>
      <c r="M392" s="440" t="s">
        <v>446</v>
      </c>
    </row>
    <row r="393" spans="1:13" ht="15.75">
      <c r="A393" s="263"/>
      <c r="B393" s="251"/>
      <c r="F393" s="217">
        <f t="shared" si="19"/>
        <v>0</v>
      </c>
      <c r="G393" s="217">
        <v>0</v>
      </c>
      <c r="M393" s="440"/>
    </row>
    <row r="394" spans="1:13" ht="15.75">
      <c r="A394" s="263"/>
      <c r="B394" s="251"/>
      <c r="F394" s="217">
        <f t="shared" si="19"/>
        <v>0</v>
      </c>
      <c r="G394" s="217">
        <v>0</v>
      </c>
      <c r="M394" s="440"/>
    </row>
    <row r="395" spans="1:13" ht="15.75">
      <c r="A395" s="260"/>
      <c r="B395" s="251" t="s">
        <v>47</v>
      </c>
      <c r="F395" s="217">
        <f t="shared" si="19"/>
        <v>0</v>
      </c>
      <c r="G395" s="217">
        <v>0</v>
      </c>
      <c r="M395" s="440" t="s">
        <v>47</v>
      </c>
    </row>
    <row r="396" spans="1:13" ht="15.75">
      <c r="A396" s="263"/>
      <c r="B396" s="251" t="s">
        <v>447</v>
      </c>
      <c r="F396" s="217">
        <f t="shared" si="19"/>
        <v>-185826</v>
      </c>
      <c r="G396" s="217">
        <v>0</v>
      </c>
      <c r="H396" s="217">
        <v>-185825917</v>
      </c>
      <c r="M396" s="440" t="s">
        <v>447</v>
      </c>
    </row>
    <row r="397" spans="1:13" ht="15.75">
      <c r="A397" s="263"/>
      <c r="B397" s="251" t="s">
        <v>448</v>
      </c>
      <c r="F397" s="217">
        <f t="shared" si="19"/>
        <v>-82118</v>
      </c>
      <c r="G397" s="217">
        <v>0</v>
      </c>
      <c r="H397" s="217">
        <v>-82117921</v>
      </c>
      <c r="M397" s="440" t="s">
        <v>448</v>
      </c>
    </row>
    <row r="398" spans="1:13" ht="15.75">
      <c r="A398" s="263"/>
      <c r="B398" s="251" t="s">
        <v>449</v>
      </c>
      <c r="F398" s="217">
        <f t="shared" si="19"/>
        <v>-57587</v>
      </c>
      <c r="G398" s="217">
        <v>0</v>
      </c>
      <c r="H398" s="217">
        <v>-57586774</v>
      </c>
      <c r="M398" s="440" t="s">
        <v>449</v>
      </c>
    </row>
    <row r="399" spans="1:13" ht="15.75">
      <c r="A399" s="263"/>
      <c r="B399" s="251" t="s">
        <v>450</v>
      </c>
      <c r="F399" s="217">
        <f t="shared" si="19"/>
        <v>-123869</v>
      </c>
      <c r="G399" s="217">
        <v>0</v>
      </c>
      <c r="H399" s="217">
        <v>-123868525</v>
      </c>
      <c r="M399" s="440" t="s">
        <v>450</v>
      </c>
    </row>
    <row r="400" spans="1:13" ht="15.75">
      <c r="A400" s="258"/>
      <c r="B400" s="251" t="s">
        <v>451</v>
      </c>
      <c r="F400" s="217">
        <f t="shared" si="19"/>
        <v>-252722</v>
      </c>
      <c r="G400" s="217">
        <v>0</v>
      </c>
      <c r="H400" s="217">
        <v>-252722392</v>
      </c>
      <c r="M400" s="440" t="s">
        <v>451</v>
      </c>
    </row>
    <row r="401" spans="1:13" ht="15.75">
      <c r="A401" s="258"/>
      <c r="B401" s="251" t="s">
        <v>452</v>
      </c>
      <c r="F401" s="217">
        <f t="shared" si="19"/>
        <v>-65465</v>
      </c>
      <c r="G401" s="217">
        <v>0</v>
      </c>
      <c r="H401" s="217">
        <v>-65464705</v>
      </c>
      <c r="M401" s="440" t="s">
        <v>452</v>
      </c>
    </row>
    <row r="402" spans="1:13" ht="15.75">
      <c r="A402" s="258"/>
      <c r="B402" s="251" t="s">
        <v>453</v>
      </c>
      <c r="F402" s="217">
        <f t="shared" si="19"/>
        <v>-767586</v>
      </c>
      <c r="G402" s="217">
        <v>0</v>
      </c>
      <c r="H402" s="217">
        <v>-767586234</v>
      </c>
      <c r="M402" s="440" t="s">
        <v>453</v>
      </c>
    </row>
    <row r="403" spans="1:13" ht="15.75">
      <c r="A403" s="263"/>
      <c r="B403" s="251"/>
      <c r="F403" s="217">
        <f t="shared" si="19"/>
        <v>0</v>
      </c>
      <c r="G403" s="217">
        <v>0</v>
      </c>
      <c r="M403" s="440"/>
    </row>
    <row r="404" spans="1:13" ht="15.75">
      <c r="A404" s="263"/>
      <c r="B404" s="251" t="s">
        <v>85</v>
      </c>
      <c r="F404" s="217">
        <f t="shared" si="19"/>
        <v>0</v>
      </c>
      <c r="G404" s="217">
        <v>0</v>
      </c>
      <c r="M404" s="440" t="s">
        <v>85</v>
      </c>
    </row>
    <row r="405" spans="1:13" ht="15.75">
      <c r="A405" s="263"/>
      <c r="B405" s="251" t="s">
        <v>454</v>
      </c>
      <c r="F405" s="217">
        <f t="shared" si="19"/>
        <v>-5586</v>
      </c>
      <c r="G405" s="217">
        <v>0</v>
      </c>
      <c r="H405" s="217">
        <v>-5585920</v>
      </c>
      <c r="M405" s="440" t="s">
        <v>454</v>
      </c>
    </row>
    <row r="406" spans="1:13" ht="15.75">
      <c r="A406" s="263"/>
      <c r="B406" s="251" t="s">
        <v>455</v>
      </c>
      <c r="F406" s="217">
        <f t="shared" si="19"/>
        <v>-136</v>
      </c>
      <c r="G406" s="217">
        <v>0</v>
      </c>
      <c r="H406" s="217">
        <v>-135616</v>
      </c>
      <c r="M406" s="440" t="s">
        <v>455</v>
      </c>
    </row>
    <row r="407" spans="1:13" ht="15.75">
      <c r="A407" s="263"/>
      <c r="B407" s="251" t="s">
        <v>456</v>
      </c>
      <c r="F407" s="217">
        <f t="shared" si="19"/>
        <v>-258</v>
      </c>
      <c r="G407" s="217">
        <v>0</v>
      </c>
      <c r="H407" s="217">
        <v>-258474</v>
      </c>
      <c r="M407" s="440" t="s">
        <v>456</v>
      </c>
    </row>
    <row r="408" spans="1:13" ht="15.75">
      <c r="A408" s="263"/>
      <c r="B408" s="251" t="s">
        <v>457</v>
      </c>
      <c r="F408" s="217">
        <f t="shared" si="19"/>
        <v>-14262</v>
      </c>
      <c r="G408" s="217">
        <v>0</v>
      </c>
      <c r="H408" s="217">
        <v>-14262357</v>
      </c>
      <c r="M408" s="440" t="s">
        <v>457</v>
      </c>
    </row>
    <row r="409" spans="1:13" ht="15.75">
      <c r="A409" s="263"/>
      <c r="B409" s="251" t="s">
        <v>458</v>
      </c>
      <c r="F409" s="217">
        <f t="shared" si="19"/>
        <v>-255</v>
      </c>
      <c r="G409" s="217">
        <v>0</v>
      </c>
      <c r="H409" s="217">
        <v>-255183</v>
      </c>
      <c r="M409" s="440" t="s">
        <v>458</v>
      </c>
    </row>
    <row r="410" spans="1:13" ht="15.75">
      <c r="A410" s="263"/>
      <c r="B410" s="251" t="s">
        <v>459</v>
      </c>
      <c r="F410" s="217">
        <f t="shared" si="19"/>
        <v>-20498</v>
      </c>
      <c r="G410" s="217">
        <v>0</v>
      </c>
      <c r="H410" s="217">
        <v>-20497550</v>
      </c>
      <c r="M410" s="440" t="s">
        <v>459</v>
      </c>
    </row>
    <row r="411" spans="1:13" ht="15.75">
      <c r="A411" s="263"/>
      <c r="B411" s="251"/>
      <c r="F411" s="217">
        <f t="shared" si="19"/>
        <v>0</v>
      </c>
      <c r="G411" s="217">
        <v>0</v>
      </c>
      <c r="M411" s="440"/>
    </row>
    <row r="412" spans="1:13" ht="15.75">
      <c r="A412" s="258"/>
      <c r="B412" s="251" t="s">
        <v>460</v>
      </c>
      <c r="F412" s="217">
        <f t="shared" si="19"/>
        <v>-788084</v>
      </c>
      <c r="G412" s="217">
        <v>0</v>
      </c>
      <c r="H412" s="217">
        <v>-788083784</v>
      </c>
      <c r="M412" s="440" t="s">
        <v>460</v>
      </c>
    </row>
    <row r="413" spans="1:13" ht="15.75">
      <c r="A413" s="258"/>
      <c r="B413" s="251"/>
      <c r="F413" s="217">
        <f t="shared" si="19"/>
        <v>0</v>
      </c>
      <c r="G413" s="217">
        <v>0</v>
      </c>
      <c r="M413" s="440"/>
    </row>
    <row r="414" spans="1:13" ht="15.75">
      <c r="A414" s="265"/>
      <c r="B414" s="251" t="s">
        <v>461</v>
      </c>
      <c r="F414" s="217">
        <f t="shared" si="19"/>
        <v>1472270</v>
      </c>
      <c r="G414" s="217">
        <v>0</v>
      </c>
      <c r="H414" s="217">
        <v>1472270107</v>
      </c>
      <c r="M414" s="440" t="s">
        <v>461</v>
      </c>
    </row>
    <row r="415" spans="1:13" ht="15.75">
      <c r="A415" s="267"/>
      <c r="B415" s="251"/>
      <c r="F415" s="217">
        <f t="shared" si="19"/>
        <v>0</v>
      </c>
      <c r="G415" s="217">
        <v>0</v>
      </c>
      <c r="M415" s="440"/>
    </row>
    <row r="416" spans="1:13" ht="15.75">
      <c r="A416" s="267"/>
      <c r="B416" s="266" t="s">
        <v>462</v>
      </c>
      <c r="F416" s="217">
        <f t="shared" si="19"/>
        <v>0</v>
      </c>
      <c r="G416" s="217">
        <v>0</v>
      </c>
      <c r="M416" s="444" t="s">
        <v>462</v>
      </c>
    </row>
    <row r="417" spans="1:13" ht="15.75">
      <c r="A417" s="267"/>
      <c r="B417" s="265" t="s">
        <v>463</v>
      </c>
      <c r="F417" s="217">
        <f t="shared" si="19"/>
        <v>37</v>
      </c>
      <c r="G417" s="217">
        <v>0</v>
      </c>
      <c r="H417" s="217">
        <v>36645</v>
      </c>
      <c r="M417" s="445" t="s">
        <v>463</v>
      </c>
    </row>
    <row r="418" spans="1:13" ht="15.75">
      <c r="A418" s="267"/>
      <c r="B418" s="266" t="s">
        <v>464</v>
      </c>
      <c r="F418" s="217">
        <f t="shared" si="19"/>
        <v>-163</v>
      </c>
      <c r="G418" s="217">
        <v>0</v>
      </c>
      <c r="H418" s="217">
        <v>-163301</v>
      </c>
      <c r="M418" s="444" t="s">
        <v>464</v>
      </c>
    </row>
    <row r="419" spans="1:13" ht="15.75">
      <c r="A419" s="267"/>
      <c r="B419" s="266" t="s">
        <v>465</v>
      </c>
      <c r="F419" s="217">
        <f t="shared" si="19"/>
        <v>-202389</v>
      </c>
      <c r="G419" s="217">
        <v>0</v>
      </c>
      <c r="H419" s="217">
        <v>-202388548</v>
      </c>
      <c r="M419" s="444" t="s">
        <v>465</v>
      </c>
    </row>
    <row r="420" spans="1:13" ht="15.75">
      <c r="A420" s="267"/>
      <c r="B420" s="266" t="s">
        <v>466</v>
      </c>
      <c r="F420" s="217">
        <f t="shared" ref="F420:F421" si="20">ROUND(H420/1000,0)</f>
        <v>-36586</v>
      </c>
      <c r="G420" s="217">
        <v>0</v>
      </c>
      <c r="H420" s="217">
        <v>-36585632</v>
      </c>
      <c r="M420" s="444" t="s">
        <v>466</v>
      </c>
    </row>
    <row r="421" spans="1:13" ht="15.75">
      <c r="A421" s="267"/>
      <c r="B421" s="266" t="s">
        <v>578</v>
      </c>
      <c r="F421" s="217">
        <f t="shared" si="20"/>
        <v>-264</v>
      </c>
      <c r="G421" s="217">
        <v>0</v>
      </c>
      <c r="H421" s="217">
        <v>-264487</v>
      </c>
      <c r="M421" s="444" t="s">
        <v>578</v>
      </c>
    </row>
    <row r="422" spans="1:13" ht="15.75">
      <c r="A422" s="267"/>
      <c r="B422" s="266" t="s">
        <v>467</v>
      </c>
      <c r="F422" s="217">
        <f t="shared" si="19"/>
        <v>0</v>
      </c>
      <c r="G422" s="217">
        <v>0</v>
      </c>
      <c r="H422" s="217">
        <v>0</v>
      </c>
      <c r="M422" s="444" t="s">
        <v>467</v>
      </c>
    </row>
    <row r="423" spans="1:13" ht="15.75">
      <c r="A423" s="267"/>
      <c r="B423" s="266" t="s">
        <v>468</v>
      </c>
      <c r="F423" s="217">
        <f t="shared" si="19"/>
        <v>0</v>
      </c>
      <c r="G423" s="217">
        <v>0</v>
      </c>
      <c r="H423" s="217">
        <v>0</v>
      </c>
      <c r="M423" s="444" t="s">
        <v>468</v>
      </c>
    </row>
    <row r="424" spans="1:13" ht="15.75">
      <c r="A424" s="267"/>
      <c r="B424" s="266" t="s">
        <v>469</v>
      </c>
      <c r="F424" s="217">
        <f t="shared" si="19"/>
        <v>-7918</v>
      </c>
      <c r="G424" s="217">
        <v>0</v>
      </c>
      <c r="H424" s="217">
        <v>-7917512</v>
      </c>
      <c r="M424" s="444" t="s">
        <v>469</v>
      </c>
    </row>
    <row r="425" spans="1:13" ht="15.75">
      <c r="A425" s="263"/>
      <c r="B425" s="266" t="s">
        <v>579</v>
      </c>
      <c r="F425" s="217">
        <f t="shared" si="19"/>
        <v>235</v>
      </c>
      <c r="G425" s="217">
        <v>0</v>
      </c>
      <c r="H425" s="217">
        <v>235455</v>
      </c>
      <c r="M425" s="444" t="s">
        <v>579</v>
      </c>
    </row>
    <row r="426" spans="1:13" ht="15.75">
      <c r="A426" s="258"/>
      <c r="B426" s="266" t="s">
        <v>470</v>
      </c>
      <c r="F426" s="217">
        <f t="shared" ref="F426:F465" si="21">ROUND(H426/1000,0)</f>
        <v>-2516</v>
      </c>
      <c r="G426" s="217">
        <v>0</v>
      </c>
      <c r="H426" s="217">
        <v>-2516017</v>
      </c>
      <c r="M426" s="444" t="s">
        <v>470</v>
      </c>
    </row>
    <row r="427" spans="1:13" ht="15.75">
      <c r="A427" s="258"/>
      <c r="B427" s="251" t="s">
        <v>471</v>
      </c>
      <c r="F427" s="217">
        <f t="shared" si="21"/>
        <v>-249563</v>
      </c>
      <c r="G427" s="217">
        <v>0</v>
      </c>
      <c r="H427" s="217">
        <v>-249563397</v>
      </c>
      <c r="M427" s="440" t="s">
        <v>471</v>
      </c>
    </row>
    <row r="428" spans="1:13" ht="15.75">
      <c r="B428" s="251"/>
      <c r="F428" s="217">
        <f t="shared" si="21"/>
        <v>0</v>
      </c>
      <c r="G428" s="217">
        <v>0</v>
      </c>
      <c r="M428" s="440"/>
    </row>
    <row r="429" spans="1:13" ht="15.75">
      <c r="A429" s="250"/>
      <c r="B429" s="251" t="s">
        <v>472</v>
      </c>
      <c r="F429" s="217">
        <f t="shared" si="21"/>
        <v>1222707</v>
      </c>
      <c r="G429" s="217">
        <v>0</v>
      </c>
      <c r="H429" s="217">
        <v>1222706710</v>
      </c>
      <c r="M429" s="440" t="s">
        <v>472</v>
      </c>
    </row>
    <row r="430" spans="1:13" ht="12.75">
      <c r="A430" s="268"/>
      <c r="F430" s="217">
        <f t="shared" si="21"/>
        <v>0</v>
      </c>
      <c r="G430" s="217">
        <v>0</v>
      </c>
      <c r="M430" s="258"/>
    </row>
    <row r="431" spans="1:13" ht="15.75">
      <c r="A431" s="268"/>
      <c r="B431" s="251" t="s">
        <v>473</v>
      </c>
      <c r="C431" s="250"/>
      <c r="F431" s="217">
        <f t="shared" si="21"/>
        <v>0</v>
      </c>
      <c r="G431" s="217">
        <v>0</v>
      </c>
      <c r="M431" s="440" t="s">
        <v>473</v>
      </c>
    </row>
    <row r="432" spans="1:13" ht="15.75">
      <c r="A432" s="268"/>
      <c r="B432" s="251" t="s">
        <v>474</v>
      </c>
      <c r="C432" s="251"/>
      <c r="F432" s="217">
        <f t="shared" si="21"/>
        <v>0</v>
      </c>
      <c r="G432" s="217">
        <v>0</v>
      </c>
      <c r="H432" s="217">
        <v>0</v>
      </c>
      <c r="M432" s="440" t="s">
        <v>474</v>
      </c>
    </row>
    <row r="433" spans="1:13" ht="15.75">
      <c r="A433" s="268"/>
      <c r="B433" s="251" t="s">
        <v>475</v>
      </c>
      <c r="C433" s="251"/>
      <c r="F433" s="217">
        <f t="shared" si="21"/>
        <v>0</v>
      </c>
      <c r="G433" s="217">
        <v>0</v>
      </c>
      <c r="H433" s="217">
        <v>0</v>
      </c>
      <c r="M433" s="440" t="s">
        <v>475</v>
      </c>
    </row>
    <row r="434" spans="1:13" ht="15.75">
      <c r="A434" s="268"/>
      <c r="B434" s="258" t="s">
        <v>476</v>
      </c>
      <c r="C434" s="251"/>
      <c r="F434" s="217">
        <f t="shared" si="21"/>
        <v>-812</v>
      </c>
      <c r="G434" s="217">
        <v>0</v>
      </c>
      <c r="H434" s="217">
        <v>-812018</v>
      </c>
      <c r="M434" s="446" t="s">
        <v>476</v>
      </c>
    </row>
    <row r="435" spans="1:13" ht="15.75">
      <c r="A435" s="268"/>
      <c r="B435" s="258" t="s">
        <v>477</v>
      </c>
      <c r="C435" s="251"/>
      <c r="F435" s="217">
        <f t="shared" si="21"/>
        <v>1111</v>
      </c>
      <c r="G435" s="217">
        <v>0</v>
      </c>
      <c r="H435" s="217">
        <v>1110999</v>
      </c>
      <c r="M435" s="446" t="s">
        <v>477</v>
      </c>
    </row>
    <row r="436" spans="1:13" ht="15.75">
      <c r="A436" s="268"/>
      <c r="B436" s="258" t="s">
        <v>478</v>
      </c>
      <c r="C436" s="251"/>
      <c r="F436" s="217">
        <f t="shared" si="21"/>
        <v>-873</v>
      </c>
      <c r="G436" s="217">
        <v>0</v>
      </c>
      <c r="H436" s="217">
        <v>-872927</v>
      </c>
      <c r="M436" s="446" t="s">
        <v>478</v>
      </c>
    </row>
    <row r="437" spans="1:13" ht="15.75">
      <c r="A437" s="268"/>
      <c r="B437" s="258" t="s">
        <v>580</v>
      </c>
      <c r="C437" s="251"/>
      <c r="F437" s="217">
        <f t="shared" si="21"/>
        <v>-5248</v>
      </c>
      <c r="G437" s="217">
        <v>0</v>
      </c>
      <c r="H437" s="217">
        <v>-5247725</v>
      </c>
      <c r="M437" s="446" t="s">
        <v>580</v>
      </c>
    </row>
    <row r="438" spans="1:13" ht="15.75">
      <c r="A438" s="268"/>
      <c r="B438" s="258" t="s">
        <v>479</v>
      </c>
      <c r="C438" s="251"/>
      <c r="F438" s="217">
        <f t="shared" si="21"/>
        <v>4640</v>
      </c>
      <c r="G438" s="217">
        <v>0</v>
      </c>
      <c r="H438" s="217">
        <v>4639926</v>
      </c>
      <c r="M438" s="446" t="s">
        <v>479</v>
      </c>
    </row>
    <row r="439" spans="1:13" ht="15.75">
      <c r="A439" s="268"/>
      <c r="B439" s="251" t="s">
        <v>480</v>
      </c>
      <c r="C439" s="251"/>
      <c r="F439" s="217">
        <f t="shared" si="21"/>
        <v>247</v>
      </c>
      <c r="G439" s="217">
        <v>0</v>
      </c>
      <c r="H439" s="217">
        <v>247464</v>
      </c>
      <c r="M439" s="440" t="s">
        <v>480</v>
      </c>
    </row>
    <row r="440" spans="1:13" ht="15.75">
      <c r="A440" s="268"/>
      <c r="B440" s="258" t="s">
        <v>481</v>
      </c>
      <c r="C440" s="251"/>
      <c r="F440" s="217">
        <f t="shared" si="21"/>
        <v>0</v>
      </c>
      <c r="G440" s="217">
        <v>0</v>
      </c>
      <c r="H440" s="217">
        <v>0</v>
      </c>
      <c r="M440" s="446" t="s">
        <v>481</v>
      </c>
    </row>
    <row r="441" spans="1:13" ht="15.75">
      <c r="A441" s="268"/>
      <c r="B441" s="258" t="s">
        <v>482</v>
      </c>
      <c r="C441" s="251"/>
      <c r="F441" s="217">
        <f t="shared" si="21"/>
        <v>0</v>
      </c>
      <c r="G441" s="217">
        <v>0</v>
      </c>
      <c r="H441" s="217">
        <v>0</v>
      </c>
      <c r="M441" s="446" t="s">
        <v>482</v>
      </c>
    </row>
    <row r="442" spans="1:13" ht="15.75">
      <c r="A442" s="269"/>
      <c r="B442" s="251" t="s">
        <v>483</v>
      </c>
      <c r="C442" s="251"/>
      <c r="F442" s="217">
        <f t="shared" si="21"/>
        <v>0</v>
      </c>
      <c r="G442" s="217">
        <v>0</v>
      </c>
      <c r="H442" s="217">
        <v>0</v>
      </c>
      <c r="M442" s="440" t="s">
        <v>483</v>
      </c>
    </row>
    <row r="443" spans="1:13" ht="15.75">
      <c r="A443" s="269"/>
      <c r="B443" s="258" t="s">
        <v>484</v>
      </c>
      <c r="C443" s="251"/>
      <c r="F443" s="217">
        <f t="shared" si="21"/>
        <v>12658</v>
      </c>
      <c r="G443" s="217">
        <v>0</v>
      </c>
      <c r="H443" s="217">
        <v>12658100</v>
      </c>
      <c r="M443" s="446" t="s">
        <v>484</v>
      </c>
    </row>
    <row r="444" spans="1:13" ht="15.75">
      <c r="A444" s="269"/>
      <c r="B444" s="254" t="s">
        <v>485</v>
      </c>
      <c r="C444" s="254"/>
      <c r="F444" s="217">
        <f t="shared" si="21"/>
        <v>-2275</v>
      </c>
      <c r="G444" s="217">
        <v>0</v>
      </c>
      <c r="H444" s="217">
        <v>-2274891</v>
      </c>
      <c r="M444" s="442" t="s">
        <v>485</v>
      </c>
    </row>
    <row r="445" spans="1:13" ht="15.75">
      <c r="A445" s="270"/>
      <c r="B445" s="254" t="s">
        <v>486</v>
      </c>
      <c r="C445" s="254"/>
      <c r="F445" s="217">
        <f t="shared" si="21"/>
        <v>976</v>
      </c>
      <c r="G445" s="217">
        <v>0</v>
      </c>
      <c r="H445" s="217">
        <v>976092</v>
      </c>
      <c r="M445" s="442" t="s">
        <v>486</v>
      </c>
    </row>
    <row r="446" spans="1:13" ht="15.75">
      <c r="A446" s="269"/>
      <c r="B446" s="254" t="s">
        <v>487</v>
      </c>
      <c r="C446" s="254"/>
      <c r="F446" s="217">
        <f t="shared" si="21"/>
        <v>0</v>
      </c>
      <c r="G446" s="217">
        <v>0</v>
      </c>
      <c r="H446" s="217">
        <v>0</v>
      </c>
      <c r="M446" s="442" t="s">
        <v>487</v>
      </c>
    </row>
    <row r="447" spans="1:13" ht="15.75">
      <c r="A447" s="270"/>
      <c r="B447" s="266" t="s">
        <v>488</v>
      </c>
      <c r="C447" s="266"/>
      <c r="F447" s="217">
        <f t="shared" si="21"/>
        <v>-342</v>
      </c>
      <c r="G447" s="217">
        <v>0</v>
      </c>
      <c r="H447" s="217">
        <v>-341633</v>
      </c>
      <c r="M447" s="444" t="s">
        <v>488</v>
      </c>
    </row>
    <row r="448" spans="1:13" ht="15.75">
      <c r="A448" s="269"/>
      <c r="B448" s="254" t="s">
        <v>581</v>
      </c>
      <c r="C448" s="254"/>
      <c r="F448" s="217">
        <f t="shared" si="21"/>
        <v>71</v>
      </c>
      <c r="G448" s="217">
        <v>0</v>
      </c>
      <c r="H448" s="217">
        <v>71001</v>
      </c>
      <c r="M448" s="442" t="s">
        <v>581</v>
      </c>
    </row>
    <row r="449" spans="1:13" ht="15.75">
      <c r="A449" s="269"/>
      <c r="B449" s="266" t="s">
        <v>489</v>
      </c>
      <c r="C449" s="266"/>
      <c r="F449" s="217">
        <f t="shared" si="21"/>
        <v>0</v>
      </c>
      <c r="G449" s="217">
        <v>0</v>
      </c>
      <c r="H449" s="217">
        <v>0</v>
      </c>
      <c r="M449" s="444" t="s">
        <v>489</v>
      </c>
    </row>
    <row r="450" spans="1:13" ht="15.75">
      <c r="A450" s="269"/>
      <c r="B450" s="254" t="s">
        <v>490</v>
      </c>
      <c r="C450" s="254"/>
      <c r="F450" s="217">
        <f t="shared" si="21"/>
        <v>468</v>
      </c>
      <c r="G450" s="217">
        <v>0</v>
      </c>
      <c r="H450" s="217">
        <v>468028</v>
      </c>
      <c r="M450" s="442" t="s">
        <v>490</v>
      </c>
    </row>
    <row r="451" spans="1:13" ht="15.75">
      <c r="A451" s="269"/>
      <c r="B451" s="254" t="s">
        <v>491</v>
      </c>
      <c r="C451" s="254"/>
      <c r="F451" s="217">
        <f t="shared" si="21"/>
        <v>-164</v>
      </c>
      <c r="G451" s="217">
        <v>0</v>
      </c>
      <c r="H451" s="217">
        <v>-163791</v>
      </c>
      <c r="M451" s="442" t="s">
        <v>491</v>
      </c>
    </row>
    <row r="452" spans="1:13" ht="15.75">
      <c r="A452" s="269"/>
      <c r="B452" s="254" t="s">
        <v>492</v>
      </c>
      <c r="C452" s="254"/>
      <c r="F452" s="217">
        <f t="shared" ref="F452:F458" si="22">ROUND(H452/1000,0)</f>
        <v>297</v>
      </c>
      <c r="G452" s="217">
        <v>0</v>
      </c>
      <c r="H452" s="217">
        <v>297194</v>
      </c>
      <c r="M452" s="442" t="s">
        <v>492</v>
      </c>
    </row>
    <row r="453" spans="1:13" ht="15.75">
      <c r="A453" s="269"/>
      <c r="B453" s="254" t="s">
        <v>493</v>
      </c>
      <c r="C453" s="254"/>
      <c r="F453" s="217">
        <f t="shared" si="22"/>
        <v>-104</v>
      </c>
      <c r="G453" s="217">
        <v>0</v>
      </c>
      <c r="H453" s="217">
        <v>-104042</v>
      </c>
      <c r="M453" s="442" t="s">
        <v>493</v>
      </c>
    </row>
    <row r="454" spans="1:13" ht="15.75">
      <c r="A454" s="269"/>
      <c r="B454" s="271" t="s">
        <v>494</v>
      </c>
      <c r="C454" s="254"/>
      <c r="F454" s="217">
        <f t="shared" si="22"/>
        <v>1692</v>
      </c>
      <c r="G454" s="217">
        <v>0</v>
      </c>
      <c r="H454" s="217">
        <v>1691532</v>
      </c>
      <c r="M454" s="447" t="s">
        <v>494</v>
      </c>
    </row>
    <row r="455" spans="1:13" ht="15.75">
      <c r="A455" s="269"/>
      <c r="B455" s="254" t="s">
        <v>495</v>
      </c>
      <c r="C455" s="254"/>
      <c r="F455" s="217">
        <f t="shared" si="22"/>
        <v>-592</v>
      </c>
      <c r="G455" s="217">
        <v>0</v>
      </c>
      <c r="H455" s="217">
        <v>-592037</v>
      </c>
      <c r="M455" s="442" t="s">
        <v>495</v>
      </c>
    </row>
    <row r="456" spans="1:13" ht="15.75">
      <c r="A456" s="269"/>
      <c r="B456" s="258" t="s">
        <v>496</v>
      </c>
      <c r="C456" s="254"/>
      <c r="F456" s="217">
        <f t="shared" si="22"/>
        <v>1927</v>
      </c>
      <c r="G456" s="217">
        <v>0</v>
      </c>
      <c r="H456" s="217">
        <v>1926667</v>
      </c>
      <c r="M456" s="446" t="s">
        <v>496</v>
      </c>
    </row>
    <row r="457" spans="1:13" ht="15.75">
      <c r="A457" s="269"/>
      <c r="B457" s="254" t="s">
        <v>497</v>
      </c>
      <c r="C457" s="254"/>
      <c r="F457" s="217">
        <f t="shared" si="22"/>
        <v>-674</v>
      </c>
      <c r="G457" s="217">
        <v>0</v>
      </c>
      <c r="H457" s="217">
        <v>-674333</v>
      </c>
      <c r="M457" s="442" t="s">
        <v>497</v>
      </c>
    </row>
    <row r="458" spans="1:13" ht="15.75">
      <c r="A458" s="269"/>
      <c r="B458" s="258" t="s">
        <v>498</v>
      </c>
      <c r="C458" s="254"/>
      <c r="F458" s="217">
        <f t="shared" si="22"/>
        <v>0</v>
      </c>
      <c r="G458" s="217">
        <v>0</v>
      </c>
      <c r="H458" s="217">
        <v>0</v>
      </c>
      <c r="M458" s="446" t="s">
        <v>498</v>
      </c>
    </row>
    <row r="459" spans="1:13" ht="15.75">
      <c r="A459" s="269"/>
      <c r="B459" s="258" t="s">
        <v>499</v>
      </c>
      <c r="C459" s="254"/>
      <c r="F459" s="217">
        <f t="shared" si="21"/>
        <v>-438</v>
      </c>
      <c r="G459" s="217">
        <v>0</v>
      </c>
      <c r="H459" s="217">
        <v>-438107</v>
      </c>
      <c r="M459" s="446" t="s">
        <v>499</v>
      </c>
    </row>
    <row r="460" spans="1:13" ht="15.75">
      <c r="A460" s="269"/>
      <c r="B460" s="258" t="s">
        <v>500</v>
      </c>
      <c r="C460" s="254"/>
      <c r="F460" s="217">
        <f t="shared" si="21"/>
        <v>-1720</v>
      </c>
      <c r="G460" s="217">
        <v>0</v>
      </c>
      <c r="H460" s="217">
        <v>-1719791</v>
      </c>
      <c r="M460" s="446" t="s">
        <v>500</v>
      </c>
    </row>
    <row r="461" spans="1:13" ht="15.75">
      <c r="A461" s="268"/>
      <c r="B461" s="258" t="s">
        <v>501</v>
      </c>
      <c r="C461" s="254"/>
      <c r="F461" s="217">
        <f t="shared" si="21"/>
        <v>25402</v>
      </c>
      <c r="G461" s="217">
        <v>0</v>
      </c>
      <c r="H461" s="217">
        <v>25401795</v>
      </c>
      <c r="M461" s="446" t="s">
        <v>501</v>
      </c>
    </row>
    <row r="462" spans="1:13" ht="15.75">
      <c r="A462" s="268"/>
      <c r="B462" s="258" t="s">
        <v>502</v>
      </c>
      <c r="C462" s="254"/>
      <c r="F462" s="217">
        <f t="shared" si="21"/>
        <v>0</v>
      </c>
      <c r="G462" s="217">
        <v>0</v>
      </c>
      <c r="H462" s="217">
        <v>0</v>
      </c>
      <c r="M462" s="446" t="s">
        <v>502</v>
      </c>
    </row>
    <row r="463" spans="1:13" ht="15.75">
      <c r="A463" s="268"/>
      <c r="B463" s="251" t="s">
        <v>503</v>
      </c>
      <c r="C463" s="251"/>
      <c r="F463" s="217">
        <f t="shared" si="21"/>
        <v>36248</v>
      </c>
      <c r="G463" s="217">
        <v>0</v>
      </c>
      <c r="H463" s="217">
        <v>36247503</v>
      </c>
      <c r="M463" s="440" t="s">
        <v>503</v>
      </c>
    </row>
    <row r="464" spans="1:13" ht="15.75">
      <c r="B464" s="251"/>
      <c r="C464" s="251"/>
      <c r="F464" s="217">
        <f t="shared" si="21"/>
        <v>0</v>
      </c>
      <c r="G464" s="217">
        <v>0</v>
      </c>
      <c r="M464" s="440"/>
    </row>
    <row r="465" spans="2:13" ht="15.75">
      <c r="B465" s="251" t="s">
        <v>504</v>
      </c>
      <c r="C465" s="251"/>
      <c r="F465" s="217">
        <f t="shared" si="21"/>
        <v>1258954</v>
      </c>
      <c r="G465" s="217">
        <v>0</v>
      </c>
      <c r="H465" s="217">
        <v>1258954213</v>
      </c>
      <c r="M465" s="440" t="s">
        <v>504</v>
      </c>
    </row>
  </sheetData>
  <printOptions horizontalCentered="1"/>
  <pageMargins left="1" right="1" top="0.5" bottom="0.5" header="0.5" footer="0.5"/>
  <pageSetup scale="90" orientation="portrait" horizontalDpi="300" verticalDpi="300" r:id="rId1"/>
  <headerFooter alignWithMargins="0"/>
  <rowBreaks count="1" manualBreakCount="1">
    <brk id="56" max="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dimension ref="A1:L145"/>
  <sheetViews>
    <sheetView zoomScaleNormal="100" workbookViewId="0">
      <selection activeCell="E40" sqref="E40"/>
    </sheetView>
  </sheetViews>
  <sheetFormatPr defaultColWidth="10.7109375" defaultRowHeight="12.75"/>
  <cols>
    <col min="1" max="1" width="8.28515625" style="292" customWidth="1"/>
    <col min="2" max="2" width="18.7109375" style="65" customWidth="1"/>
    <col min="3" max="4" width="10.7109375" style="42" customWidth="1"/>
    <col min="5" max="5" width="10.140625" style="42" customWidth="1"/>
    <col min="6" max="6" width="14.7109375" style="45" customWidth="1"/>
    <col min="7" max="7" width="11.85546875" style="42" bestFit="1" customWidth="1"/>
    <col min="8" max="8" width="2.140625" style="42" customWidth="1"/>
    <col min="9" max="9" width="18.42578125" style="42" customWidth="1"/>
    <col min="10" max="10" width="19.140625" style="42" customWidth="1"/>
    <col min="11" max="11" width="10.85546875" style="42" bestFit="1" customWidth="1"/>
    <col min="12" max="16384" width="10.7109375" style="42"/>
  </cols>
  <sheetData>
    <row r="1" spans="1:9">
      <c r="A1" s="533" t="s">
        <v>86</v>
      </c>
      <c r="B1" s="533"/>
      <c r="C1" s="533"/>
      <c r="D1" s="533"/>
      <c r="E1" s="533"/>
      <c r="F1" s="533"/>
      <c r="G1" s="533"/>
      <c r="H1" s="533"/>
    </row>
    <row r="2" spans="1:9">
      <c r="A2" s="534" t="s">
        <v>518</v>
      </c>
      <c r="B2" s="534"/>
      <c r="C2" s="534"/>
      <c r="D2" s="534"/>
      <c r="E2" s="534"/>
      <c r="F2" s="534"/>
      <c r="G2" s="534"/>
      <c r="H2" s="534"/>
    </row>
    <row r="3" spans="1:9">
      <c r="A3" s="534" t="s">
        <v>138</v>
      </c>
      <c r="B3" s="534"/>
      <c r="C3" s="534"/>
      <c r="D3" s="534"/>
      <c r="E3" s="534"/>
      <c r="F3" s="534"/>
      <c r="G3" s="534"/>
      <c r="H3" s="534"/>
    </row>
    <row r="4" spans="1:9">
      <c r="A4" s="535" t="str">
        <f>'ADJ SUMMARY'!A4</f>
        <v>TWELVE MONTHS ENDED DECEMBER 31, 2014</v>
      </c>
      <c r="B4" s="535"/>
      <c r="C4" s="535"/>
      <c r="D4" s="535"/>
      <c r="E4" s="535"/>
      <c r="F4" s="535"/>
      <c r="G4" s="535"/>
      <c r="H4" s="535"/>
    </row>
    <row r="5" spans="1:9">
      <c r="A5" s="536" t="s">
        <v>117</v>
      </c>
      <c r="B5" s="536"/>
      <c r="C5" s="536"/>
      <c r="D5" s="536"/>
      <c r="E5" s="536"/>
      <c r="F5" s="536"/>
      <c r="G5" s="536"/>
      <c r="H5" s="536"/>
    </row>
    <row r="6" spans="1:9" ht="13.5" thickBot="1">
      <c r="A6" s="291"/>
      <c r="B6" s="298"/>
      <c r="C6" s="43"/>
      <c r="D6" s="44"/>
      <c r="E6" s="44"/>
      <c r="F6" s="44"/>
      <c r="I6" s="46" t="s">
        <v>519</v>
      </c>
    </row>
    <row r="7" spans="1:9" ht="13.5" thickBot="1">
      <c r="C7" s="45"/>
      <c r="D7" s="45"/>
      <c r="E7" s="530" t="s">
        <v>518</v>
      </c>
      <c r="F7" s="531"/>
      <c r="G7" s="532"/>
      <c r="I7" s="46" t="s">
        <v>520</v>
      </c>
    </row>
    <row r="8" spans="1:9">
      <c r="C8" s="45"/>
      <c r="D8" s="45"/>
      <c r="E8" s="292">
        <f>'ADJ DETAIL-INPUT'!W10</f>
        <v>2.1499999999999968</v>
      </c>
      <c r="F8" s="330"/>
      <c r="G8" s="330"/>
      <c r="I8" s="46"/>
    </row>
    <row r="9" spans="1:9">
      <c r="C9" s="45"/>
      <c r="D9" s="45"/>
      <c r="E9" s="47" t="s">
        <v>21</v>
      </c>
      <c r="F9" s="46" t="s">
        <v>542</v>
      </c>
      <c r="I9" s="46" t="s">
        <v>521</v>
      </c>
    </row>
    <row r="10" spans="1:9">
      <c r="B10" s="299" t="s">
        <v>118</v>
      </c>
      <c r="C10" s="45"/>
      <c r="D10" s="45"/>
      <c r="E10" s="303" t="s">
        <v>222</v>
      </c>
      <c r="F10" s="48" t="s">
        <v>119</v>
      </c>
      <c r="G10" s="48" t="s">
        <v>29</v>
      </c>
      <c r="I10" s="48" t="str">
        <f>F10</f>
        <v>Adjustments</v>
      </c>
    </row>
    <row r="11" spans="1:9">
      <c r="B11" s="65" t="str">
        <f>'ADJ SUMMARY'!C10</f>
        <v>Results of Operations</v>
      </c>
      <c r="C11" s="45"/>
      <c r="D11" s="45"/>
      <c r="E11" s="302">
        <f>'ADJ SUMMARY'!E10</f>
        <v>1258955</v>
      </c>
      <c r="F11" s="290"/>
      <c r="G11" s="42">
        <f>SUM(E11:F11)</f>
        <v>1258955</v>
      </c>
      <c r="I11" s="331">
        <f>ROUND(E11*$E$36*-$F$43,0)+(E40*0.35)</f>
        <v>435.94999999999891</v>
      </c>
    </row>
    <row r="12" spans="1:9">
      <c r="A12" s="292">
        <f>'ADJ SUMMARY'!A11</f>
        <v>1.01</v>
      </c>
      <c r="B12" s="300" t="str">
        <f>'ADJ SUMMARY'!C11</f>
        <v>Deferred FIT Rate Base</v>
      </c>
      <c r="C12" s="45"/>
      <c r="D12" s="45"/>
      <c r="E12" s="49"/>
      <c r="F12" s="302">
        <f>'ADJ SUMMARY'!E11</f>
        <v>-8203</v>
      </c>
      <c r="G12" s="42">
        <f>SUM(E12:F12)</f>
        <v>-8203</v>
      </c>
      <c r="I12" s="302">
        <f t="shared" ref="I12:I29" si="0">ROUND(F12*$E$36*-$F$43,0)</f>
        <v>79</v>
      </c>
    </row>
    <row r="13" spans="1:9">
      <c r="A13" s="292">
        <f>'ADJ SUMMARY'!A12</f>
        <v>1.02</v>
      </c>
      <c r="B13" s="300" t="str">
        <f>'ADJ SUMMARY'!C12</f>
        <v>Deferred Debits and Credits</v>
      </c>
      <c r="C13" s="45"/>
      <c r="D13" s="45"/>
      <c r="E13" s="49"/>
      <c r="F13" s="302">
        <f>'ADJ SUMMARY'!E12</f>
        <v>0</v>
      </c>
      <c r="G13" s="42">
        <f t="shared" ref="G13:G29" si="1">SUM(E13:F13)</f>
        <v>0</v>
      </c>
      <c r="I13" s="302">
        <f t="shared" si="0"/>
        <v>0</v>
      </c>
    </row>
    <row r="14" spans="1:9">
      <c r="A14" s="292">
        <f>'ADJ SUMMARY'!A13</f>
        <v>1.03</v>
      </c>
      <c r="B14" s="300" t="str">
        <f>'ADJ SUMMARY'!C13</f>
        <v>Working Capital</v>
      </c>
      <c r="C14" s="45"/>
      <c r="D14" s="45"/>
      <c r="E14" s="49"/>
      <c r="F14" s="302">
        <f>'ADJ SUMMARY'!E13</f>
        <v>22405</v>
      </c>
      <c r="G14" s="42">
        <f t="shared" si="1"/>
        <v>22405</v>
      </c>
      <c r="I14" s="302">
        <f t="shared" si="0"/>
        <v>-215</v>
      </c>
    </row>
    <row r="15" spans="1:9">
      <c r="A15" s="292">
        <f>'ADJ SUMMARY'!A14</f>
        <v>2.0099999999999998</v>
      </c>
      <c r="B15" s="300" t="str">
        <f>'ADJ SUMMARY'!C14</f>
        <v>Eliminate B &amp; O Taxes</v>
      </c>
      <c r="C15" s="45"/>
      <c r="D15" s="45"/>
      <c r="E15" s="49"/>
      <c r="F15" s="302">
        <f>'ADJ SUMMARY'!E14</f>
        <v>0</v>
      </c>
      <c r="G15" s="42">
        <f t="shared" si="1"/>
        <v>0</v>
      </c>
      <c r="I15" s="302">
        <f t="shared" si="0"/>
        <v>0</v>
      </c>
    </row>
    <row r="16" spans="1:9">
      <c r="A16" s="292">
        <f>'ADJ SUMMARY'!A15</f>
        <v>2.0199999999999996</v>
      </c>
      <c r="B16" s="300" t="str">
        <f>'ADJ SUMMARY'!C15</f>
        <v>Restate Property Tax</v>
      </c>
      <c r="C16" s="45"/>
      <c r="D16" s="45"/>
      <c r="E16" s="49"/>
      <c r="F16" s="302">
        <f>'ADJ SUMMARY'!E15</f>
        <v>0</v>
      </c>
      <c r="G16" s="42">
        <f t="shared" si="1"/>
        <v>0</v>
      </c>
      <c r="I16" s="302">
        <f t="shared" si="0"/>
        <v>0</v>
      </c>
    </row>
    <row r="17" spans="1:12">
      <c r="A17" s="292">
        <f>'ADJ SUMMARY'!A16</f>
        <v>2.0299999999999994</v>
      </c>
      <c r="B17" s="300" t="str">
        <f>'ADJ SUMMARY'!C16</f>
        <v>Uncollectible Expense</v>
      </c>
      <c r="C17" s="45"/>
      <c r="D17" s="45"/>
      <c r="E17" s="49"/>
      <c r="F17" s="302">
        <f>'ADJ SUMMARY'!E16</f>
        <v>0</v>
      </c>
      <c r="G17" s="42">
        <f t="shared" si="1"/>
        <v>0</v>
      </c>
      <c r="I17" s="302">
        <f t="shared" si="0"/>
        <v>0</v>
      </c>
    </row>
    <row r="18" spans="1:12">
      <c r="A18" s="292">
        <f>'ADJ SUMMARY'!A17</f>
        <v>2.0399999999999991</v>
      </c>
      <c r="B18" s="300" t="str">
        <f>'ADJ SUMMARY'!C17</f>
        <v>Regulatory Expense</v>
      </c>
      <c r="C18" s="45"/>
      <c r="D18" s="45"/>
      <c r="E18" s="49"/>
      <c r="F18" s="302">
        <f>'ADJ SUMMARY'!E17</f>
        <v>0</v>
      </c>
      <c r="G18" s="42">
        <f t="shared" si="1"/>
        <v>0</v>
      </c>
      <c r="I18" s="302">
        <f t="shared" si="0"/>
        <v>0</v>
      </c>
    </row>
    <row r="19" spans="1:12">
      <c r="A19" s="292">
        <f>'ADJ SUMMARY'!A18</f>
        <v>2.0499999999999989</v>
      </c>
      <c r="B19" s="300" t="str">
        <f>'ADJ SUMMARY'!C18</f>
        <v>Injuries and Damages</v>
      </c>
      <c r="C19" s="45"/>
      <c r="D19" s="45"/>
      <c r="E19" s="49"/>
      <c r="F19" s="302">
        <f>'ADJ SUMMARY'!E18</f>
        <v>0</v>
      </c>
      <c r="G19" s="42">
        <f t="shared" si="1"/>
        <v>0</v>
      </c>
      <c r="I19" s="302">
        <f t="shared" si="0"/>
        <v>0</v>
      </c>
    </row>
    <row r="20" spans="1:12">
      <c r="A20" s="292">
        <f>'ADJ SUMMARY'!A19</f>
        <v>2.0599999999999987</v>
      </c>
      <c r="B20" s="300" t="str">
        <f>'ADJ SUMMARY'!C19</f>
        <v>FIT/DFIT Expense</v>
      </c>
      <c r="C20" s="45"/>
      <c r="D20" s="45"/>
      <c r="E20" s="49"/>
      <c r="F20" s="302">
        <f>'ADJ SUMMARY'!E19</f>
        <v>0</v>
      </c>
      <c r="G20" s="42">
        <f t="shared" si="1"/>
        <v>0</v>
      </c>
      <c r="I20" s="302">
        <f t="shared" si="0"/>
        <v>0</v>
      </c>
    </row>
    <row r="21" spans="1:12">
      <c r="A21" s="292">
        <f>'ADJ SUMMARY'!A20</f>
        <v>2.0699999999999985</v>
      </c>
      <c r="B21" s="300" t="str">
        <f>'ADJ SUMMARY'!C20</f>
        <v>Office Space Charges to Subsidiaries</v>
      </c>
      <c r="C21" s="45"/>
      <c r="D21" s="45"/>
      <c r="E21" s="49"/>
      <c r="F21" s="302">
        <f>'ADJ SUMMARY'!E20</f>
        <v>0</v>
      </c>
      <c r="G21" s="42">
        <f t="shared" si="1"/>
        <v>0</v>
      </c>
      <c r="I21" s="302">
        <f t="shared" si="0"/>
        <v>0</v>
      </c>
    </row>
    <row r="22" spans="1:12">
      <c r="A22" s="292">
        <f>'ADJ SUMMARY'!A21</f>
        <v>2.0799999999999983</v>
      </c>
      <c r="B22" s="300" t="str">
        <f>'ADJ SUMMARY'!C21</f>
        <v>Restate Excise Taxes</v>
      </c>
      <c r="C22" s="45"/>
      <c r="D22" s="45"/>
      <c r="E22" s="49"/>
      <c r="F22" s="302">
        <f>'ADJ SUMMARY'!E21</f>
        <v>0</v>
      </c>
      <c r="G22" s="42">
        <f t="shared" si="1"/>
        <v>0</v>
      </c>
      <c r="I22" s="302">
        <f t="shared" si="0"/>
        <v>0</v>
      </c>
    </row>
    <row r="23" spans="1:12">
      <c r="A23" s="292">
        <f>'ADJ SUMMARY'!A22</f>
        <v>2.0899999999999981</v>
      </c>
      <c r="B23" s="300" t="str">
        <f>'ADJ SUMMARY'!C22</f>
        <v>Net Gains / Losses</v>
      </c>
      <c r="C23" s="45"/>
      <c r="D23" s="45"/>
      <c r="E23" s="49"/>
      <c r="F23" s="302">
        <f>'ADJ SUMMARY'!E22</f>
        <v>0</v>
      </c>
      <c r="G23" s="42">
        <f t="shared" si="1"/>
        <v>0</v>
      </c>
      <c r="I23" s="302">
        <f t="shared" si="0"/>
        <v>0</v>
      </c>
    </row>
    <row r="24" spans="1:12">
      <c r="A24" s="292">
        <f>'ADJ SUMMARY'!A23</f>
        <v>2.0999999999999979</v>
      </c>
      <c r="B24" s="300" t="str">
        <f>'ADJ SUMMARY'!C23</f>
        <v>Weather Normalization</v>
      </c>
      <c r="C24" s="45"/>
      <c r="D24" s="45"/>
      <c r="E24" s="49"/>
      <c r="F24" s="302">
        <f>'ADJ SUMMARY'!E23</f>
        <v>0</v>
      </c>
      <c r="G24" s="42">
        <f t="shared" si="1"/>
        <v>0</v>
      </c>
      <c r="I24" s="302">
        <f t="shared" si="0"/>
        <v>0</v>
      </c>
    </row>
    <row r="25" spans="1:12">
      <c r="A25" s="292">
        <f>'ADJ SUMMARY'!A24</f>
        <v>2.1099999999999977</v>
      </c>
      <c r="B25" s="300" t="str">
        <f>'ADJ SUMMARY'!C24</f>
        <v>Eliminate Adder Schedules</v>
      </c>
      <c r="C25" s="45"/>
      <c r="D25" s="45"/>
      <c r="E25" s="49"/>
      <c r="F25" s="302">
        <f>'ADJ SUMMARY'!E24</f>
        <v>0</v>
      </c>
      <c r="G25" s="42">
        <f t="shared" si="1"/>
        <v>0</v>
      </c>
      <c r="I25" s="302">
        <f t="shared" si="0"/>
        <v>0</v>
      </c>
    </row>
    <row r="26" spans="1:12">
      <c r="A26" s="292">
        <f>'ADJ SUMMARY'!A25</f>
        <v>2.1199999999999974</v>
      </c>
      <c r="B26" s="300" t="str">
        <f>'ADJ SUMMARY'!C25</f>
        <v>Miscellaneous Restating</v>
      </c>
      <c r="C26" s="45"/>
      <c r="D26" s="45"/>
      <c r="E26" s="49"/>
      <c r="F26" s="302">
        <f>'ADJ SUMMARY'!E25</f>
        <v>0</v>
      </c>
      <c r="G26" s="42">
        <f t="shared" si="1"/>
        <v>0</v>
      </c>
      <c r="I26" s="302">
        <f t="shared" si="0"/>
        <v>0</v>
      </c>
    </row>
    <row r="27" spans="1:12">
      <c r="A27" s="292">
        <f>'ADJ SUMMARY'!A26</f>
        <v>2.1299999999999972</v>
      </c>
      <c r="B27" s="300" t="str">
        <f>'ADJ SUMMARY'!C26</f>
        <v>Eliminate WA Power Cost Defer</v>
      </c>
      <c r="C27" s="45"/>
      <c r="D27" s="45"/>
      <c r="E27" s="49"/>
      <c r="F27" s="302">
        <f>'ADJ SUMMARY'!E26</f>
        <v>0</v>
      </c>
      <c r="G27" s="42">
        <f t="shared" si="1"/>
        <v>0</v>
      </c>
      <c r="I27" s="302">
        <f t="shared" si="0"/>
        <v>0</v>
      </c>
    </row>
    <row r="28" spans="1:12">
      <c r="A28" s="292">
        <f>'ADJ SUMMARY'!A27</f>
        <v>2.139999999999997</v>
      </c>
      <c r="B28" s="300" t="str">
        <f>'ADJ SUMMARY'!C27</f>
        <v>Nez Perce Settlement Adjustment</v>
      </c>
      <c r="C28" s="45"/>
      <c r="D28" s="45"/>
      <c r="E28" s="49"/>
      <c r="F28" s="302">
        <f>'ADJ SUMMARY'!E27</f>
        <v>0</v>
      </c>
      <c r="G28" s="42">
        <f t="shared" si="1"/>
        <v>0</v>
      </c>
      <c r="I28" s="302">
        <f t="shared" si="0"/>
        <v>0</v>
      </c>
    </row>
    <row r="29" spans="1:12">
      <c r="A29" s="292">
        <f>'ADJ SUMMARY'!A28</f>
        <v>2.1499999999999968</v>
      </c>
      <c r="B29" s="300" t="str">
        <f>'ADJ SUMMARY'!C28</f>
        <v>Restate Debt Interest</v>
      </c>
      <c r="C29" s="45"/>
      <c r="D29" s="45"/>
      <c r="E29" s="49"/>
      <c r="F29" s="302">
        <f>'ADJ SUMMARY'!E28</f>
        <v>0</v>
      </c>
      <c r="G29" s="42">
        <f t="shared" si="1"/>
        <v>0</v>
      </c>
      <c r="I29" s="302">
        <f t="shared" si="0"/>
        <v>0</v>
      </c>
    </row>
    <row r="30" spans="1:12">
      <c r="A30" s="292">
        <f>'ADJ SUMMARY'!A29</f>
        <v>2.1599999999999966</v>
      </c>
      <c r="B30" s="300" t="str">
        <f>'ADJ SUMMARY'!C29</f>
        <v>CB Power Supply</v>
      </c>
      <c r="C30" s="45"/>
      <c r="D30" s="45"/>
      <c r="E30" s="49"/>
      <c r="F30" s="302">
        <f>'ADJ SUMMARY'!E29</f>
        <v>0</v>
      </c>
      <c r="G30" s="42">
        <f t="shared" ref="G30" si="2">SUM(E30:F30)</f>
        <v>0</v>
      </c>
      <c r="I30" s="302">
        <f t="shared" ref="I30" si="3">ROUND(F30*$E$36*-$F$43,0)</f>
        <v>0</v>
      </c>
    </row>
    <row r="31" spans="1:12">
      <c r="B31" s="300"/>
      <c r="C31" s="45"/>
      <c r="D31" s="45"/>
      <c r="E31" s="49"/>
      <c r="F31" s="290"/>
      <c r="G31" s="61"/>
      <c r="H31" s="55"/>
    </row>
    <row r="32" spans="1:12" ht="13.5">
      <c r="A32" s="42"/>
      <c r="B32" s="300" t="s">
        <v>545</v>
      </c>
      <c r="C32" s="45"/>
      <c r="D32" s="45"/>
      <c r="E32" s="81">
        <f>SUM(E11:E29)</f>
        <v>1258955</v>
      </c>
      <c r="F32" s="81">
        <f>SUM(F11:F29)</f>
        <v>14202</v>
      </c>
      <c r="G32" s="81">
        <f>SUM(G11:G29)</f>
        <v>1273157</v>
      </c>
      <c r="H32" s="49"/>
      <c r="I32" s="49"/>
      <c r="K32" s="326">
        <f>G32-'ADJ SUMMARY'!E32</f>
        <v>0</v>
      </c>
      <c r="L32" s="401" t="s">
        <v>63</v>
      </c>
    </row>
    <row r="33" spans="1:10">
      <c r="A33" s="42"/>
      <c r="B33" s="300"/>
      <c r="C33" s="45"/>
      <c r="D33" s="45"/>
      <c r="E33" s="81"/>
      <c r="F33" s="304"/>
    </row>
    <row r="34" spans="1:10">
      <c r="A34" s="42"/>
      <c r="B34" s="300"/>
      <c r="C34" s="45"/>
      <c r="D34" s="45"/>
      <c r="E34" s="81"/>
      <c r="F34" s="304"/>
      <c r="G34" s="153"/>
    </row>
    <row r="35" spans="1:10" ht="5.25" customHeight="1">
      <c r="A35" s="42"/>
      <c r="C35" s="45"/>
      <c r="D35" s="45"/>
      <c r="E35" s="81"/>
      <c r="F35" s="81"/>
      <c r="G35" s="81"/>
    </row>
    <row r="36" spans="1:10">
      <c r="A36" s="42"/>
      <c r="B36" s="65" t="s">
        <v>139</v>
      </c>
      <c r="C36" s="45"/>
      <c r="D36" s="45"/>
      <c r="E36" s="400">
        <f>'RR SUMMARY'!N11</f>
        <v>2.7459999999999998E-2</v>
      </c>
      <c r="F36" s="400">
        <f>E36-I36</f>
        <v>2.7459999999999998E-2</v>
      </c>
      <c r="G36" s="86"/>
      <c r="I36" s="200"/>
    </row>
    <row r="37" spans="1:10" ht="6" customHeight="1">
      <c r="A37" s="42"/>
      <c r="C37" s="45"/>
      <c r="D37" s="45"/>
      <c r="E37" s="81" t="s">
        <v>611</v>
      </c>
      <c r="F37" s="81"/>
      <c r="G37" s="81"/>
    </row>
    <row r="38" spans="1:10">
      <c r="A38" s="42"/>
      <c r="B38" s="65" t="s">
        <v>120</v>
      </c>
      <c r="C38" s="45"/>
      <c r="D38" s="45"/>
      <c r="E38" s="81">
        <f>E32*E36</f>
        <v>34570.904299999995</v>
      </c>
      <c r="F38" s="81">
        <f>F32*F36</f>
        <v>389.98692</v>
      </c>
      <c r="G38" s="81">
        <f>SUM(E38:F38)</f>
        <v>34960.891219999998</v>
      </c>
      <c r="I38" s="81">
        <f>SUM(I11:I29)</f>
        <v>299.94999999999891</v>
      </c>
    </row>
    <row r="39" spans="1:10">
      <c r="A39" s="42"/>
      <c r="C39" s="45"/>
      <c r="D39" s="45"/>
      <c r="E39" s="81"/>
      <c r="F39" s="81"/>
      <c r="G39" s="81"/>
      <c r="I39" s="81"/>
    </row>
    <row r="40" spans="1:10">
      <c r="A40" s="42"/>
      <c r="B40" s="65" t="s">
        <v>517</v>
      </c>
      <c r="C40" s="45"/>
      <c r="D40" s="45"/>
      <c r="E40" s="305">
        <v>35817</v>
      </c>
      <c r="F40" s="305"/>
      <c r="G40" s="86">
        <f>SUM(E40:F40)</f>
        <v>35817</v>
      </c>
      <c r="I40" s="305"/>
    </row>
    <row r="41" spans="1:10" ht="5.25" customHeight="1">
      <c r="A41" s="42"/>
      <c r="C41" s="45"/>
      <c r="D41" s="45"/>
      <c r="E41" s="81"/>
      <c r="F41" s="81"/>
      <c r="G41" s="81"/>
      <c r="I41" s="81"/>
    </row>
    <row r="42" spans="1:10">
      <c r="A42" s="42"/>
      <c r="B42" s="65" t="s">
        <v>122</v>
      </c>
      <c r="C42" s="45"/>
      <c r="D42" s="45"/>
      <c r="E42" s="81">
        <f>E38-E40</f>
        <v>-1246.0957000000053</v>
      </c>
      <c r="F42" s="81">
        <f>F38-F40</f>
        <v>389.98692</v>
      </c>
      <c r="G42" s="81">
        <f>SUM(E42:F42)</f>
        <v>-856.10878000000525</v>
      </c>
      <c r="I42" s="81"/>
    </row>
    <row r="43" spans="1:10" ht="18" customHeight="1">
      <c r="A43" s="42"/>
      <c r="B43" s="65" t="s">
        <v>123</v>
      </c>
      <c r="D43" s="45"/>
      <c r="E43" s="307">
        <v>0.35</v>
      </c>
      <c r="F43" s="307">
        <v>0.35</v>
      </c>
      <c r="G43" s="86"/>
      <c r="I43" s="307"/>
    </row>
    <row r="44" spans="1:10" ht="5.25" customHeight="1" thickBot="1">
      <c r="A44" s="42"/>
      <c r="D44" s="45"/>
      <c r="E44" s="81"/>
      <c r="F44" s="81"/>
      <c r="G44" s="81"/>
      <c r="I44" s="81"/>
    </row>
    <row r="45" spans="1:10" ht="13.5" thickBot="1">
      <c r="A45" s="42"/>
      <c r="B45" s="65" t="s">
        <v>124</v>
      </c>
      <c r="D45" s="45"/>
      <c r="E45" s="333">
        <f>ROUND(E42*-E43,0)</f>
        <v>436</v>
      </c>
      <c r="F45" s="108">
        <f>ROUND(F42*-F43,0)</f>
        <v>-136</v>
      </c>
      <c r="G45" s="108">
        <f>SUM(E45:F45)</f>
        <v>300</v>
      </c>
      <c r="I45" s="108">
        <f>I38</f>
        <v>299.94999999999891</v>
      </c>
      <c r="J45" s="332" t="s">
        <v>600</v>
      </c>
    </row>
    <row r="46" spans="1:10" ht="13.5" thickTop="1">
      <c r="A46" s="42"/>
      <c r="D46" s="45"/>
      <c r="E46" s="334">
        <f>E8</f>
        <v>2.1499999999999968</v>
      </c>
      <c r="F46" s="85"/>
      <c r="G46" s="85"/>
      <c r="I46" s="85"/>
    </row>
    <row r="47" spans="1:10" ht="13.5" thickBot="1">
      <c r="A47" s="42"/>
      <c r="E47" s="335" t="s">
        <v>21</v>
      </c>
      <c r="F47" s="306"/>
    </row>
    <row r="48" spans="1:10" hidden="1">
      <c r="A48" s="293" t="s">
        <v>198</v>
      </c>
      <c r="B48" s="301" t="s">
        <v>197</v>
      </c>
    </row>
    <row r="49" spans="2:8" hidden="1">
      <c r="B49" s="299" t="s">
        <v>121</v>
      </c>
    </row>
    <row r="50" spans="2:8" hidden="1">
      <c r="B50" s="65" t="s">
        <v>125</v>
      </c>
      <c r="C50" s="96">
        <v>2430</v>
      </c>
      <c r="H50" s="42" t="s">
        <v>193</v>
      </c>
    </row>
    <row r="51" spans="2:8" hidden="1">
      <c r="B51" s="65" t="s">
        <v>126</v>
      </c>
      <c r="C51" s="95">
        <v>2935</v>
      </c>
      <c r="H51" s="42" t="s">
        <v>193</v>
      </c>
    </row>
    <row r="52" spans="2:8" hidden="1">
      <c r="B52" s="65" t="s">
        <v>127</v>
      </c>
      <c r="C52" s="50">
        <f>C50+C51</f>
        <v>5365</v>
      </c>
    </row>
    <row r="53" spans="2:8" hidden="1">
      <c r="C53" s="49"/>
    </row>
    <row r="54" spans="2:8" hidden="1">
      <c r="C54" s="54"/>
      <c r="D54" s="46"/>
      <c r="E54" s="46" t="s">
        <v>128</v>
      </c>
    </row>
    <row r="55" spans="2:8" hidden="1">
      <c r="C55" s="48" t="s">
        <v>96</v>
      </c>
      <c r="D55" s="48" t="s">
        <v>129</v>
      </c>
      <c r="E55" s="48" t="s">
        <v>27</v>
      </c>
    </row>
    <row r="56" spans="2:8" hidden="1">
      <c r="B56" s="65" t="s">
        <v>130</v>
      </c>
      <c r="C56" s="66" t="e">
        <f>#REF!</f>
        <v>#REF!</v>
      </c>
      <c r="D56" s="67" t="e">
        <f>ROUND(C56/$C$59,4)</f>
        <v>#REF!</v>
      </c>
      <c r="E56" s="66" t="e">
        <f>D56*E59</f>
        <v>#REF!</v>
      </c>
      <c r="F56" s="102"/>
    </row>
    <row r="57" spans="2:8" hidden="1">
      <c r="B57" s="65" t="s">
        <v>131</v>
      </c>
      <c r="C57" s="68" t="e">
        <f>#REF!</f>
        <v>#REF!</v>
      </c>
      <c r="D57" s="67" t="e">
        <f>ROUND(C57/$C$59,4)</f>
        <v>#REF!</v>
      </c>
      <c r="E57" s="68" t="e">
        <f>D57*E59</f>
        <v>#REF!</v>
      </c>
    </row>
    <row r="58" spans="2:8" hidden="1">
      <c r="B58" s="65" t="s">
        <v>132</v>
      </c>
      <c r="C58" s="68" t="e">
        <f>#REF!</f>
        <v>#REF!</v>
      </c>
      <c r="D58" s="67" t="e">
        <f>ROUND(C58/$C$59,4)-0.0001</f>
        <v>#REF!</v>
      </c>
      <c r="E58" s="68" t="e">
        <f>E59*D58</f>
        <v>#REF!</v>
      </c>
    </row>
    <row r="59" spans="2:8" hidden="1">
      <c r="B59" s="65" t="s">
        <v>133</v>
      </c>
      <c r="C59" s="69" t="e">
        <f>C56+C57+C58</f>
        <v>#REF!</v>
      </c>
      <c r="D59" s="70" t="e">
        <f>D56+D57+D58</f>
        <v>#REF!</v>
      </c>
      <c r="E59" s="69">
        <f>C52</f>
        <v>5365</v>
      </c>
    </row>
    <row r="60" spans="2:8" hidden="1">
      <c r="C60" s="71"/>
      <c r="D60" s="71"/>
      <c r="E60" s="71"/>
    </row>
    <row r="61" spans="2:8" hidden="1">
      <c r="B61" s="65" t="s">
        <v>134</v>
      </c>
      <c r="C61" s="66" t="e">
        <f>#REF!</f>
        <v>#REF!</v>
      </c>
      <c r="D61" s="67" t="e">
        <f>C61/C63</f>
        <v>#REF!</v>
      </c>
      <c r="E61" s="66" t="e">
        <f>D61*E63</f>
        <v>#REF!</v>
      </c>
    </row>
    <row r="62" spans="2:8" hidden="1">
      <c r="B62" s="65" t="s">
        <v>135</v>
      </c>
      <c r="C62" s="71" t="e">
        <f>#REF!</f>
        <v>#REF!</v>
      </c>
      <c r="D62" s="67" t="e">
        <f>C62/C63</f>
        <v>#REF!</v>
      </c>
      <c r="E62" s="71" t="e">
        <f>D62*E63</f>
        <v>#REF!</v>
      </c>
    </row>
    <row r="63" spans="2:8" hidden="1">
      <c r="B63" s="65" t="s">
        <v>133</v>
      </c>
      <c r="C63" s="69" t="e">
        <f>C61+C62</f>
        <v>#REF!</v>
      </c>
      <c r="D63" s="70" t="e">
        <f>D61+D62</f>
        <v>#REF!</v>
      </c>
      <c r="E63" s="69" t="e">
        <f>E56</f>
        <v>#REF!</v>
      </c>
    </row>
    <row r="64" spans="2:8" hidden="1">
      <c r="C64" s="71"/>
      <c r="D64" s="71"/>
      <c r="E64" s="71"/>
    </row>
    <row r="65" spans="1:6" hidden="1">
      <c r="B65" s="65" t="s">
        <v>136</v>
      </c>
      <c r="C65" s="66" t="e">
        <f>#REF!</f>
        <v>#REF!</v>
      </c>
      <c r="D65" s="72" t="e">
        <f>C65/C67</f>
        <v>#REF!</v>
      </c>
      <c r="E65" s="66" t="e">
        <f>E67*D65</f>
        <v>#REF!</v>
      </c>
    </row>
    <row r="66" spans="1:6" hidden="1">
      <c r="B66" s="65" t="s">
        <v>137</v>
      </c>
      <c r="C66" s="71" t="e">
        <f>#REF!</f>
        <v>#REF!</v>
      </c>
      <c r="D66" s="73" t="e">
        <f>C66/C67</f>
        <v>#REF!</v>
      </c>
      <c r="E66" s="71" t="e">
        <f>E67*D66</f>
        <v>#REF!</v>
      </c>
    </row>
    <row r="67" spans="1:6" hidden="1">
      <c r="B67" s="65" t="s">
        <v>133</v>
      </c>
      <c r="C67" s="69" t="e">
        <f>SUM(C65:C66)</f>
        <v>#REF!</v>
      </c>
      <c r="D67" s="74" t="e">
        <f>SUM(D65:D66)</f>
        <v>#REF!</v>
      </c>
      <c r="E67" s="69" t="e">
        <f>E57</f>
        <v>#REF!</v>
      </c>
    </row>
    <row r="68" spans="1:6" hidden="1">
      <c r="A68" s="294" t="str">
        <f>A1</f>
        <v>AVISTA UTILITIES</v>
      </c>
      <c r="C68" s="40"/>
      <c r="D68" s="41"/>
      <c r="E68" s="40"/>
      <c r="F68" s="41"/>
    </row>
    <row r="69" spans="1:6" hidden="1">
      <c r="A69" s="294" t="str">
        <f>A2</f>
        <v>Restate Debt Interest</v>
      </c>
      <c r="C69" s="40"/>
      <c r="D69" s="41"/>
      <c r="E69" s="40"/>
      <c r="F69" s="41"/>
    </row>
    <row r="70" spans="1:6" hidden="1">
      <c r="A70" s="294" t="s">
        <v>140</v>
      </c>
      <c r="C70" s="40"/>
      <c r="D70" s="41"/>
      <c r="E70" s="40"/>
      <c r="F70" s="41"/>
    </row>
    <row r="71" spans="1:6" hidden="1">
      <c r="A71" s="295" t="str">
        <f>A4</f>
        <v>TWELVE MONTHS ENDED DECEMBER 31, 2014</v>
      </c>
      <c r="C71" s="43"/>
      <c r="D71" s="41"/>
      <c r="E71" s="43"/>
      <c r="F71" s="41"/>
    </row>
    <row r="72" spans="1:6" hidden="1">
      <c r="A72" s="296" t="s">
        <v>117</v>
      </c>
      <c r="C72" s="40"/>
      <c r="D72" s="41"/>
      <c r="E72" s="41"/>
      <c r="F72" s="41"/>
    </row>
    <row r="73" spans="1:6" hidden="1">
      <c r="C73" s="45"/>
      <c r="D73" s="45"/>
      <c r="E73" s="47"/>
      <c r="F73" s="46" t="s">
        <v>20</v>
      </c>
    </row>
    <row r="74" spans="1:6" hidden="1">
      <c r="B74" s="299" t="s">
        <v>118</v>
      </c>
      <c r="C74" s="45"/>
      <c r="D74" s="45"/>
      <c r="E74" s="47"/>
      <c r="F74" s="48" t="s">
        <v>119</v>
      </c>
    </row>
    <row r="75" spans="1:6" hidden="1">
      <c r="A75" s="292" t="e">
        <f>'ADJ SUMMARY'!#REF!</f>
        <v>#REF!</v>
      </c>
      <c r="B75" s="65" t="e">
        <f>'ADJ SUMMARY'!#REF!</f>
        <v>#REF!</v>
      </c>
      <c r="C75" s="45"/>
      <c r="D75" s="45"/>
      <c r="E75" s="49"/>
      <c r="F75" s="98" t="e">
        <f>'ADJ SUMMARY'!#REF!</f>
        <v>#REF!</v>
      </c>
    </row>
    <row r="76" spans="1:6" hidden="1">
      <c r="A76" s="292" t="e">
        <f>'ADJ SUMMARY'!#REF!</f>
        <v>#REF!</v>
      </c>
      <c r="B76" s="65" t="e">
        <f>'ADJ SUMMARY'!#REF!</f>
        <v>#REF!</v>
      </c>
      <c r="C76" s="45"/>
      <c r="D76" s="45"/>
      <c r="E76" s="49"/>
      <c r="F76" s="98" t="e">
        <f>'ADJ SUMMARY'!#REF!</f>
        <v>#REF!</v>
      </c>
    </row>
    <row r="77" spans="1:6" hidden="1">
      <c r="A77" s="292" t="e">
        <f>'ADJ SUMMARY'!#REF!</f>
        <v>#REF!</v>
      </c>
      <c r="B77" s="65" t="e">
        <f>'ADJ SUMMARY'!#REF!</f>
        <v>#REF!</v>
      </c>
      <c r="C77" s="45"/>
      <c r="D77" s="45"/>
      <c r="E77" s="49"/>
      <c r="F77" s="98" t="e">
        <f>'ADJ SUMMARY'!#REF!</f>
        <v>#REF!</v>
      </c>
    </row>
    <row r="78" spans="1:6" hidden="1">
      <c r="A78" s="292" t="e">
        <f>'ADJ SUMMARY'!#REF!</f>
        <v>#REF!</v>
      </c>
      <c r="B78" s="65" t="e">
        <f>'ADJ SUMMARY'!#REF!</f>
        <v>#REF!</v>
      </c>
      <c r="C78" s="45"/>
      <c r="D78" s="45"/>
      <c r="E78" s="49"/>
      <c r="F78" s="98" t="e">
        <f>'ADJ SUMMARY'!#REF!</f>
        <v>#REF!</v>
      </c>
    </row>
    <row r="79" spans="1:6" hidden="1">
      <c r="A79" s="292" t="e">
        <f>'ADJ SUMMARY'!#REF!</f>
        <v>#REF!</v>
      </c>
      <c r="B79" s="65" t="e">
        <f>'ADJ SUMMARY'!#REF!</f>
        <v>#REF!</v>
      </c>
      <c r="C79" s="45"/>
      <c r="D79" s="45"/>
      <c r="E79" s="49"/>
      <c r="F79" s="98" t="e">
        <f>'ADJ SUMMARY'!#REF!</f>
        <v>#REF!</v>
      </c>
    </row>
    <row r="80" spans="1:6" hidden="1">
      <c r="A80" s="292" t="e">
        <f>'ADJ SUMMARY'!#REF!</f>
        <v>#REF!</v>
      </c>
      <c r="B80" s="65" t="e">
        <f>'ADJ SUMMARY'!#REF!</f>
        <v>#REF!</v>
      </c>
      <c r="C80" s="45"/>
      <c r="D80" s="45"/>
      <c r="E80" s="49"/>
      <c r="F80" s="98" t="e">
        <f>'ADJ SUMMARY'!#REF!</f>
        <v>#REF!</v>
      </c>
    </row>
    <row r="81" spans="1:6" hidden="1">
      <c r="A81" s="292" t="e">
        <f>'ADJ SUMMARY'!#REF!</f>
        <v>#REF!</v>
      </c>
      <c r="B81" s="65" t="e">
        <f>'ADJ SUMMARY'!#REF!</f>
        <v>#REF!</v>
      </c>
      <c r="C81" s="45"/>
      <c r="D81" s="45"/>
      <c r="E81" s="49"/>
      <c r="F81" s="98" t="e">
        <f>'ADJ SUMMARY'!#REF!</f>
        <v>#REF!</v>
      </c>
    </row>
    <row r="82" spans="1:6" hidden="1">
      <c r="A82" s="292" t="e">
        <f>'ADJ SUMMARY'!#REF!</f>
        <v>#REF!</v>
      </c>
      <c r="B82" s="65" t="e">
        <f>'ADJ SUMMARY'!#REF!</f>
        <v>#REF!</v>
      </c>
      <c r="C82" s="45"/>
      <c r="D82" s="45"/>
      <c r="E82" s="49"/>
      <c r="F82" s="98" t="e">
        <f>'ADJ SUMMARY'!#REF!</f>
        <v>#REF!</v>
      </c>
    </row>
    <row r="83" spans="1:6" hidden="1">
      <c r="A83" s="292" t="e">
        <f>'ADJ SUMMARY'!#REF!</f>
        <v>#REF!</v>
      </c>
      <c r="B83" s="65" t="e">
        <f>'ADJ SUMMARY'!#REF!</f>
        <v>#REF!</v>
      </c>
      <c r="C83" s="45"/>
      <c r="D83" s="45"/>
      <c r="E83" s="49"/>
      <c r="F83" s="98" t="e">
        <f>'ADJ SUMMARY'!#REF!</f>
        <v>#REF!</v>
      </c>
    </row>
    <row r="84" spans="1:6" hidden="1">
      <c r="A84" s="292" t="e">
        <f>'ADJ SUMMARY'!#REF!</f>
        <v>#REF!</v>
      </c>
      <c r="B84" s="65" t="e">
        <f>'ADJ SUMMARY'!#REF!</f>
        <v>#REF!</v>
      </c>
      <c r="C84" s="45"/>
      <c r="D84" s="45"/>
      <c r="E84" s="49"/>
      <c r="F84" s="98" t="e">
        <f>'ADJ SUMMARY'!#REF!</f>
        <v>#REF!</v>
      </c>
    </row>
    <row r="85" spans="1:6" hidden="1">
      <c r="A85" s="292" t="e">
        <f>'ADJ SUMMARY'!#REF!</f>
        <v>#REF!</v>
      </c>
      <c r="B85" s="65" t="e">
        <f>'ADJ SUMMARY'!#REF!</f>
        <v>#REF!</v>
      </c>
      <c r="C85" s="45"/>
      <c r="D85" s="45"/>
      <c r="E85" s="49"/>
      <c r="F85" s="98" t="e">
        <f>'ADJ SUMMARY'!#REF!</f>
        <v>#REF!</v>
      </c>
    </row>
    <row r="86" spans="1:6" hidden="1">
      <c r="A86" s="292" t="e">
        <f>'ADJ SUMMARY'!#REF!</f>
        <v>#REF!</v>
      </c>
      <c r="B86" s="65" t="e">
        <f>'ADJ SUMMARY'!#REF!</f>
        <v>#REF!</v>
      </c>
      <c r="C86" s="45"/>
      <c r="D86" s="45"/>
      <c r="E86" s="49"/>
      <c r="F86" s="98" t="e">
        <f>'ADJ SUMMARY'!#REF!</f>
        <v>#REF!</v>
      </c>
    </row>
    <row r="87" spans="1:6" hidden="1">
      <c r="A87" s="292" t="e">
        <f>'ADJ SUMMARY'!#REF!</f>
        <v>#REF!</v>
      </c>
      <c r="B87" s="65" t="e">
        <f>'ADJ SUMMARY'!#REF!</f>
        <v>#REF!</v>
      </c>
      <c r="C87" s="45"/>
      <c r="D87" s="45"/>
      <c r="E87" s="49"/>
      <c r="F87" s="98" t="e">
        <f>'ADJ SUMMARY'!#REF!</f>
        <v>#REF!</v>
      </c>
    </row>
    <row r="88" spans="1:6" hidden="1">
      <c r="A88" s="292" t="e">
        <f>'ADJ SUMMARY'!#REF!</f>
        <v>#REF!</v>
      </c>
      <c r="B88" s="65" t="e">
        <f>'ADJ SUMMARY'!#REF!</f>
        <v>#REF!</v>
      </c>
      <c r="C88" s="45"/>
      <c r="D88" s="45"/>
      <c r="E88" s="49"/>
      <c r="F88" s="98" t="e">
        <f>'ADJ SUMMARY'!#REF!</f>
        <v>#REF!</v>
      </c>
    </row>
    <row r="89" spans="1:6" hidden="1">
      <c r="A89" s="292" t="e">
        <f>'ADJ SUMMARY'!#REF!</f>
        <v>#REF!</v>
      </c>
      <c r="B89" s="65" t="e">
        <f>'ADJ SUMMARY'!#REF!</f>
        <v>#REF!</v>
      </c>
      <c r="C89" s="45"/>
      <c r="D89" s="45"/>
      <c r="E89" s="49"/>
      <c r="F89" s="98" t="e">
        <f>'ADJ SUMMARY'!#REF!</f>
        <v>#REF!</v>
      </c>
    </row>
    <row r="90" spans="1:6" hidden="1">
      <c r="A90" s="292" t="e">
        <f>'ADJ SUMMARY'!#REF!</f>
        <v>#REF!</v>
      </c>
      <c r="B90" s="65" t="e">
        <f>'ADJ SUMMARY'!#REF!</f>
        <v>#REF!</v>
      </c>
      <c r="C90" s="45"/>
      <c r="D90" s="45"/>
      <c r="E90" s="49"/>
      <c r="F90" s="98" t="e">
        <f>'ADJ SUMMARY'!#REF!</f>
        <v>#REF!</v>
      </c>
    </row>
    <row r="91" spans="1:6" hidden="1">
      <c r="A91" s="292" t="e">
        <f>'ADJ SUMMARY'!#REF!</f>
        <v>#REF!</v>
      </c>
      <c r="B91" s="65" t="e">
        <f>'ADJ SUMMARY'!#REF!</f>
        <v>#REF!</v>
      </c>
      <c r="C91" s="45"/>
      <c r="D91" s="45"/>
      <c r="E91" s="49"/>
      <c r="F91" s="98" t="e">
        <f>'ADJ SUMMARY'!#REF!</f>
        <v>#REF!</v>
      </c>
    </row>
    <row r="92" spans="1:6" hidden="1">
      <c r="A92" s="292" t="e">
        <f>'ADJ SUMMARY'!#REF!</f>
        <v>#REF!</v>
      </c>
      <c r="B92" s="65" t="e">
        <f>'ADJ SUMMARY'!#REF!</f>
        <v>#REF!</v>
      </c>
      <c r="C92" s="45"/>
      <c r="D92" s="45"/>
      <c r="E92" s="49"/>
      <c r="F92" s="98" t="e">
        <f>'ADJ SUMMARY'!#REF!</f>
        <v>#REF!</v>
      </c>
    </row>
    <row r="93" spans="1:6" hidden="1">
      <c r="A93" s="292" t="e">
        <f>'ADJ SUMMARY'!#REF!</f>
        <v>#REF!</v>
      </c>
      <c r="B93" s="65" t="e">
        <f>'ADJ SUMMARY'!#REF!</f>
        <v>#REF!</v>
      </c>
      <c r="C93" s="45"/>
      <c r="D93" s="45"/>
      <c r="E93" s="49"/>
      <c r="F93" s="98" t="e">
        <f>'ADJ SUMMARY'!#REF!</f>
        <v>#REF!</v>
      </c>
    </row>
    <row r="94" spans="1:6" hidden="1">
      <c r="A94" s="292" t="e">
        <f>'ADJ SUMMARY'!#REF!</f>
        <v>#REF!</v>
      </c>
      <c r="B94" s="65" t="e">
        <f>'ADJ SUMMARY'!#REF!</f>
        <v>#REF!</v>
      </c>
      <c r="C94" s="45"/>
      <c r="D94" s="45"/>
      <c r="E94" s="49"/>
      <c r="F94" s="98" t="e">
        <f>'ADJ SUMMARY'!#REF!</f>
        <v>#REF!</v>
      </c>
    </row>
    <row r="95" spans="1:6" hidden="1">
      <c r="A95" s="292" t="e">
        <f>'ADJ SUMMARY'!#REF!</f>
        <v>#REF!</v>
      </c>
      <c r="B95" s="65" t="e">
        <f>'ADJ SUMMARY'!#REF!</f>
        <v>#REF!</v>
      </c>
      <c r="C95" s="45"/>
      <c r="D95" s="45"/>
      <c r="E95" s="49"/>
      <c r="F95" s="98" t="e">
        <f>'ADJ SUMMARY'!#REF!</f>
        <v>#REF!</v>
      </c>
    </row>
    <row r="96" spans="1:6" ht="5.25" hidden="1" customHeight="1">
      <c r="C96" s="45"/>
      <c r="D96" s="45"/>
      <c r="E96" s="49"/>
      <c r="F96" s="98"/>
    </row>
    <row r="97" spans="1:6" ht="13.5" hidden="1" customHeight="1">
      <c r="A97" s="292" t="e">
        <f>'ADJ SUMMARY'!#REF!</f>
        <v>#REF!</v>
      </c>
      <c r="B97" s="65" t="e">
        <f>'ADJ SUMMARY'!#REF!</f>
        <v>#REF!</v>
      </c>
      <c r="C97" s="45"/>
      <c r="D97" s="45"/>
      <c r="E97" s="49"/>
      <c r="F97" s="98" t="e">
        <f>'ADJ SUMMARY'!#REF!</f>
        <v>#REF!</v>
      </c>
    </row>
    <row r="98" spans="1:6" hidden="1">
      <c r="A98" s="292" t="e">
        <f>'ADJ SUMMARY'!#REF!</f>
        <v>#REF!</v>
      </c>
      <c r="B98" s="65" t="e">
        <f>'ADJ SUMMARY'!#REF!</f>
        <v>#REF!</v>
      </c>
      <c r="C98" s="45"/>
      <c r="D98" s="45"/>
      <c r="E98" s="49"/>
      <c r="F98" s="98" t="e">
        <f>'ADJ SUMMARY'!#REF!</f>
        <v>#REF!</v>
      </c>
    </row>
    <row r="99" spans="1:6" hidden="1">
      <c r="A99" s="292" t="e">
        <f>'ADJ SUMMARY'!#REF!</f>
        <v>#REF!</v>
      </c>
      <c r="B99" s="65" t="e">
        <f>'ADJ SUMMARY'!#REF!</f>
        <v>#REF!</v>
      </c>
      <c r="C99" s="45"/>
      <c r="D99" s="45"/>
      <c r="E99" s="49"/>
      <c r="F99" s="98" t="e">
        <f>'ADJ SUMMARY'!#REF!</f>
        <v>#REF!</v>
      </c>
    </row>
    <row r="100" spans="1:6" hidden="1">
      <c r="A100" s="292" t="e">
        <f>'ADJ SUMMARY'!#REF!</f>
        <v>#REF!</v>
      </c>
      <c r="B100" s="65" t="e">
        <f>'ADJ SUMMARY'!#REF!</f>
        <v>#REF!</v>
      </c>
      <c r="C100" s="45"/>
      <c r="D100" s="45"/>
      <c r="E100" s="49"/>
      <c r="F100" s="98" t="e">
        <f>'ADJ SUMMARY'!#REF!</f>
        <v>#REF!</v>
      </c>
    </row>
    <row r="101" spans="1:6" hidden="1">
      <c r="A101" s="292" t="e">
        <f>'ADJ SUMMARY'!#REF!</f>
        <v>#REF!</v>
      </c>
      <c r="B101" s="65" t="e">
        <f>'ADJ SUMMARY'!#REF!</f>
        <v>#REF!</v>
      </c>
      <c r="C101" s="45"/>
      <c r="D101" s="45"/>
      <c r="E101" s="49"/>
      <c r="F101" s="98" t="e">
        <f>'ADJ SUMMARY'!#REF!</f>
        <v>#REF!</v>
      </c>
    </row>
    <row r="102" spans="1:6" hidden="1">
      <c r="A102" s="292" t="e">
        <f>'ADJ SUMMARY'!#REF!</f>
        <v>#REF!</v>
      </c>
      <c r="B102" s="65" t="e">
        <f>'ADJ SUMMARY'!#REF!</f>
        <v>#REF!</v>
      </c>
      <c r="C102" s="45"/>
      <c r="D102" s="45"/>
      <c r="E102" s="49"/>
      <c r="F102" s="98" t="e">
        <f>'ADJ SUMMARY'!#REF!</f>
        <v>#REF!</v>
      </c>
    </row>
    <row r="103" spans="1:6" hidden="1">
      <c r="A103" s="292" t="e">
        <f>'ADJ SUMMARY'!#REF!</f>
        <v>#REF!</v>
      </c>
      <c r="B103" s="65" t="e">
        <f>'ADJ SUMMARY'!#REF!</f>
        <v>#REF!</v>
      </c>
      <c r="C103" s="45"/>
      <c r="D103" s="45"/>
      <c r="E103" s="49"/>
      <c r="F103" s="98" t="e">
        <f>'ADJ SUMMARY'!#REF!</f>
        <v>#REF!</v>
      </c>
    </row>
    <row r="104" spans="1:6" hidden="1">
      <c r="A104" s="292" t="e">
        <f>'ADJ SUMMARY'!#REF!</f>
        <v>#REF!</v>
      </c>
      <c r="B104" s="65" t="e">
        <f>'ADJ SUMMARY'!#REF!</f>
        <v>#REF!</v>
      </c>
      <c r="C104" s="45"/>
      <c r="D104" s="45"/>
      <c r="E104" s="49"/>
      <c r="F104" s="98" t="e">
        <f>'ADJ SUMMARY'!#REF!</f>
        <v>#REF!</v>
      </c>
    </row>
    <row r="105" spans="1:6" hidden="1">
      <c r="A105" s="292" t="e">
        <f>'ADJ SUMMARY'!#REF!</f>
        <v>#REF!</v>
      </c>
      <c r="B105" s="65" t="e">
        <f>'ADJ SUMMARY'!#REF!</f>
        <v>#REF!</v>
      </c>
      <c r="C105" s="45"/>
      <c r="D105" s="45"/>
      <c r="E105" s="49"/>
      <c r="F105" s="98" t="e">
        <f>'ADJ SUMMARY'!#REF!</f>
        <v>#REF!</v>
      </c>
    </row>
    <row r="106" spans="1:6" hidden="1">
      <c r="A106" s="292" t="e">
        <f>'ADJ SUMMARY'!#REF!</f>
        <v>#REF!</v>
      </c>
      <c r="B106" s="65" t="e">
        <f>'ADJ SUMMARY'!#REF!</f>
        <v>#REF!</v>
      </c>
      <c r="C106" s="45"/>
      <c r="D106" s="45"/>
      <c r="E106" s="49"/>
      <c r="F106" s="98" t="e">
        <f>'ADJ SUMMARY'!#REF!</f>
        <v>#REF!</v>
      </c>
    </row>
    <row r="107" spans="1:6" hidden="1">
      <c r="A107" s="292" t="e">
        <f>'ADJ SUMMARY'!#REF!</f>
        <v>#REF!</v>
      </c>
      <c r="B107" s="65" t="e">
        <f>'ADJ SUMMARY'!#REF!</f>
        <v>#REF!</v>
      </c>
      <c r="C107" s="45"/>
      <c r="D107" s="45"/>
      <c r="E107" s="49"/>
      <c r="F107" s="98" t="e">
        <f>'ADJ SUMMARY'!#REF!</f>
        <v>#REF!</v>
      </c>
    </row>
    <row r="108" spans="1:6" hidden="1">
      <c r="A108" s="292" t="e">
        <f>'ADJ SUMMARY'!#REF!</f>
        <v>#REF!</v>
      </c>
      <c r="B108" s="65" t="e">
        <f>'ADJ SUMMARY'!#REF!</f>
        <v>#REF!</v>
      </c>
      <c r="C108" s="45"/>
      <c r="D108" s="45"/>
      <c r="E108" s="49"/>
      <c r="F108" s="98" t="e">
        <f>'ADJ SUMMARY'!#REF!</f>
        <v>#REF!</v>
      </c>
    </row>
    <row r="109" spans="1:6" hidden="1">
      <c r="A109" s="292" t="e">
        <f>'ADJ SUMMARY'!#REF!</f>
        <v>#REF!</v>
      </c>
      <c r="B109" s="65" t="e">
        <f>'ADJ SUMMARY'!#REF!</f>
        <v>#REF!</v>
      </c>
      <c r="C109" s="45"/>
      <c r="D109" s="45"/>
      <c r="E109" s="49"/>
      <c r="F109" s="98" t="e">
        <f>'ADJ SUMMARY'!#REF!</f>
        <v>#REF!</v>
      </c>
    </row>
    <row r="110" spans="1:6" hidden="1">
      <c r="A110" s="292" t="e">
        <f>'ADJ SUMMARY'!#REF!</f>
        <v>#REF!</v>
      </c>
      <c r="B110" s="65" t="e">
        <f>'ADJ SUMMARY'!#REF!</f>
        <v>#REF!</v>
      </c>
      <c r="C110" s="45"/>
      <c r="D110" s="45"/>
      <c r="E110" s="49"/>
      <c r="F110" s="98" t="e">
        <f>'ADJ SUMMARY'!#REF!</f>
        <v>#REF!</v>
      </c>
    </row>
    <row r="111" spans="1:6" ht="13.5" hidden="1" customHeight="1">
      <c r="A111" s="292" t="e">
        <f>'ADJ SUMMARY'!#REF!</f>
        <v>#REF!</v>
      </c>
      <c r="B111" s="65" t="e">
        <f>'ADJ SUMMARY'!#REF!</f>
        <v>#REF!</v>
      </c>
      <c r="C111" s="45"/>
      <c r="D111" s="45"/>
      <c r="E111" s="49"/>
      <c r="F111" s="98" t="e">
        <f>'ADJ SUMMARY'!#REF!</f>
        <v>#REF!</v>
      </c>
    </row>
    <row r="112" spans="1:6" ht="0.75" hidden="1" customHeight="1">
      <c r="A112" s="292" t="e">
        <f>'ADJ SUMMARY'!#REF!</f>
        <v>#REF!</v>
      </c>
      <c r="B112" s="65" t="e">
        <f>'ADJ SUMMARY'!#REF!</f>
        <v>#REF!</v>
      </c>
      <c r="C112" s="45"/>
      <c r="D112" s="45"/>
      <c r="E112" s="49"/>
      <c r="F112" s="98" t="e">
        <f>'ADJ SUMMARY'!#REF!</f>
        <v>#REF!</v>
      </c>
    </row>
    <row r="113" spans="1:9" ht="13.5" hidden="1" customHeight="1">
      <c r="B113" s="65" t="s">
        <v>154</v>
      </c>
      <c r="C113" s="45"/>
      <c r="D113" s="45"/>
      <c r="E113" s="49"/>
      <c r="F113" s="50" t="e">
        <f>SUM(F75:F112)</f>
        <v>#REF!</v>
      </c>
    </row>
    <row r="114" spans="1:9" hidden="1">
      <c r="C114" s="45"/>
      <c r="D114" s="45"/>
      <c r="E114" s="45"/>
      <c r="F114" s="42"/>
      <c r="G114" s="109"/>
    </row>
    <row r="115" spans="1:9" hidden="1">
      <c r="B115" s="65" t="str">
        <f>B36</f>
        <v>Weighted Average Cost of Debt</v>
      </c>
      <c r="C115" s="62"/>
      <c r="D115" s="62"/>
      <c r="E115" s="63"/>
      <c r="F115" s="122" t="e">
        <f>'RR SUMMARY'!#REF!</f>
        <v>#REF!</v>
      </c>
      <c r="H115" s="123" t="s">
        <v>196</v>
      </c>
      <c r="I115" s="71"/>
    </row>
    <row r="116" spans="1:9" hidden="1">
      <c r="C116" s="45"/>
      <c r="D116" s="45"/>
      <c r="F116" s="42"/>
    </row>
    <row r="117" spans="1:9" hidden="1">
      <c r="B117" s="65" t="s">
        <v>120</v>
      </c>
      <c r="C117" s="45"/>
      <c r="D117" s="45"/>
      <c r="E117" s="49"/>
      <c r="F117" s="49" t="e">
        <f>F113*F115</f>
        <v>#REF!</v>
      </c>
    </row>
    <row r="118" spans="1:9" hidden="1">
      <c r="C118" s="45"/>
      <c r="D118" s="45"/>
      <c r="E118" s="45"/>
      <c r="F118" s="42"/>
    </row>
    <row r="119" spans="1:9" hidden="1">
      <c r="B119" s="65" t="s">
        <v>199</v>
      </c>
      <c r="C119" s="45"/>
      <c r="D119" s="45"/>
      <c r="F119" s="111">
        <v>21469</v>
      </c>
      <c r="H119" s="115" t="s">
        <v>203</v>
      </c>
    </row>
    <row r="120" spans="1:9" hidden="1">
      <c r="C120" s="45"/>
      <c r="D120" s="45"/>
      <c r="E120" s="45"/>
      <c r="F120" s="42"/>
    </row>
    <row r="121" spans="1:9" hidden="1">
      <c r="B121" s="65" t="s">
        <v>122</v>
      </c>
      <c r="C121" s="45"/>
      <c r="D121" s="45"/>
      <c r="E121" s="49"/>
      <c r="F121" s="49" t="e">
        <f>F117-F119</f>
        <v>#REF!</v>
      </c>
    </row>
    <row r="122" spans="1:9" hidden="1">
      <c r="B122" s="65" t="s">
        <v>123</v>
      </c>
      <c r="D122" s="45"/>
      <c r="E122" s="52"/>
      <c r="F122" s="53">
        <v>0.35</v>
      </c>
    </row>
    <row r="123" spans="1:9" hidden="1">
      <c r="D123" s="45"/>
      <c r="E123" s="45"/>
      <c r="F123" s="42"/>
    </row>
    <row r="124" spans="1:9" hidden="1">
      <c r="B124" s="65" t="s">
        <v>124</v>
      </c>
      <c r="D124" s="45"/>
      <c r="E124" s="49"/>
      <c r="F124" s="49" t="e">
        <f>F121*-F122</f>
        <v>#REF!</v>
      </c>
      <c r="G124" s="49"/>
    </row>
    <row r="125" spans="1:9" ht="13.5" hidden="1" thickTop="1">
      <c r="D125" s="45"/>
      <c r="E125" s="49"/>
      <c r="F125" s="64"/>
    </row>
    <row r="126" spans="1:9" hidden="1">
      <c r="A126" s="297"/>
      <c r="F126" s="42"/>
    </row>
    <row r="127" spans="1:9" hidden="1">
      <c r="A127" s="297"/>
      <c r="B127" s="299" t="s">
        <v>121</v>
      </c>
      <c r="F127" s="42"/>
    </row>
    <row r="128" spans="1:9" hidden="1">
      <c r="A128" s="297"/>
      <c r="B128" s="65" t="s">
        <v>125</v>
      </c>
      <c r="C128" s="49">
        <f>C50</f>
        <v>2430</v>
      </c>
      <c r="F128" s="42"/>
    </row>
    <row r="129" spans="1:6" hidden="1">
      <c r="A129" s="297"/>
      <c r="B129" s="65" t="s">
        <v>126</v>
      </c>
      <c r="C129" s="42">
        <f>C51</f>
        <v>2935</v>
      </c>
      <c r="F129" s="42"/>
    </row>
    <row r="130" spans="1:6" hidden="1">
      <c r="A130" s="297"/>
      <c r="B130" s="65" t="s">
        <v>127</v>
      </c>
      <c r="C130" s="50">
        <f>C128+C129</f>
        <v>5365</v>
      </c>
      <c r="F130" s="42"/>
    </row>
    <row r="131" spans="1:6" hidden="1">
      <c r="A131" s="297"/>
      <c r="C131" s="49"/>
      <c r="F131" s="42"/>
    </row>
    <row r="132" spans="1:6" hidden="1">
      <c r="A132" s="297"/>
      <c r="C132" s="54"/>
      <c r="D132" s="46"/>
      <c r="E132" s="46" t="s">
        <v>128</v>
      </c>
      <c r="F132" s="42"/>
    </row>
    <row r="133" spans="1:6" hidden="1">
      <c r="A133" s="297"/>
      <c r="C133" s="48" t="s">
        <v>96</v>
      </c>
      <c r="D133" s="48" t="s">
        <v>129</v>
      </c>
      <c r="E133" s="48" t="s">
        <v>27</v>
      </c>
      <c r="F133" s="42"/>
    </row>
    <row r="134" spans="1:6" hidden="1">
      <c r="A134" s="297"/>
      <c r="B134" s="65" t="s">
        <v>130</v>
      </c>
      <c r="C134" s="49" t="e">
        <f>$C$56</f>
        <v>#REF!</v>
      </c>
      <c r="D134" s="51" t="e">
        <f>C134/C137</f>
        <v>#REF!</v>
      </c>
      <c r="E134" s="49" t="e">
        <f>D134*E137</f>
        <v>#REF!</v>
      </c>
      <c r="F134" s="42"/>
    </row>
    <row r="135" spans="1:6" hidden="1">
      <c r="A135" s="297"/>
      <c r="B135" s="65" t="s">
        <v>131</v>
      </c>
      <c r="C135" s="42" t="e">
        <f>$C$57</f>
        <v>#REF!</v>
      </c>
      <c r="D135" s="60" t="e">
        <f>C135/C137</f>
        <v>#REF!</v>
      </c>
      <c r="E135" s="55" t="e">
        <f>D135*E137</f>
        <v>#REF!</v>
      </c>
      <c r="F135" s="42"/>
    </row>
    <row r="136" spans="1:6" hidden="1">
      <c r="A136" s="297"/>
      <c r="B136" s="65" t="s">
        <v>132</v>
      </c>
      <c r="C136" s="42" t="e">
        <f>$C$58</f>
        <v>#REF!</v>
      </c>
      <c r="D136" s="60" t="e">
        <f>C136/C137</f>
        <v>#REF!</v>
      </c>
      <c r="E136" s="55" t="e">
        <f>E137*D136</f>
        <v>#REF!</v>
      </c>
      <c r="F136" s="42"/>
    </row>
    <row r="137" spans="1:6" hidden="1">
      <c r="A137" s="297"/>
      <c r="B137" s="65" t="s">
        <v>133</v>
      </c>
      <c r="C137" s="50" t="e">
        <f>C134+C135+C136</f>
        <v>#REF!</v>
      </c>
      <c r="D137" s="56" t="e">
        <f>D134+D135+D136</f>
        <v>#REF!</v>
      </c>
      <c r="E137" s="50">
        <f>C130</f>
        <v>5365</v>
      </c>
      <c r="F137" s="42"/>
    </row>
    <row r="138" spans="1:6" hidden="1">
      <c r="A138" s="297"/>
      <c r="F138" s="42"/>
    </row>
    <row r="139" spans="1:6" hidden="1">
      <c r="A139" s="297"/>
      <c r="B139" s="65" t="s">
        <v>134</v>
      </c>
      <c r="C139" s="49" t="e">
        <f>$C$61</f>
        <v>#REF!</v>
      </c>
      <c r="D139" s="51" t="e">
        <f>C139/C141</f>
        <v>#REF!</v>
      </c>
      <c r="E139" s="49" t="e">
        <f>D139*E141</f>
        <v>#REF!</v>
      </c>
      <c r="F139" s="42"/>
    </row>
    <row r="140" spans="1:6" hidden="1">
      <c r="A140" s="297"/>
      <c r="B140" s="65" t="s">
        <v>135</v>
      </c>
      <c r="C140" s="42" t="e">
        <f>$C$62</f>
        <v>#REF!</v>
      </c>
      <c r="D140" s="51" t="e">
        <f>C140/C141</f>
        <v>#REF!</v>
      </c>
      <c r="E140" s="42" t="e">
        <f>D140*E141</f>
        <v>#REF!</v>
      </c>
      <c r="F140" s="42"/>
    </row>
    <row r="141" spans="1:6" hidden="1">
      <c r="A141" s="297"/>
      <c r="B141" s="65" t="s">
        <v>133</v>
      </c>
      <c r="C141" s="50" t="e">
        <f>C139+C140</f>
        <v>#REF!</v>
      </c>
      <c r="D141" s="56" t="e">
        <f>D139+D140</f>
        <v>#REF!</v>
      </c>
      <c r="E141" s="50" t="e">
        <f>E134</f>
        <v>#REF!</v>
      </c>
      <c r="F141" s="42"/>
    </row>
    <row r="142" spans="1:6" hidden="1">
      <c r="A142" s="297"/>
      <c r="F142" s="42"/>
    </row>
    <row r="143" spans="1:6" hidden="1">
      <c r="A143" s="297"/>
      <c r="B143" s="65" t="s">
        <v>136</v>
      </c>
      <c r="C143" s="49" t="e">
        <f>$C$65</f>
        <v>#REF!</v>
      </c>
      <c r="D143" s="57" t="e">
        <f>C143/C145</f>
        <v>#REF!</v>
      </c>
      <c r="E143" s="49" t="e">
        <f>E145*D143</f>
        <v>#REF!</v>
      </c>
      <c r="F143" s="42"/>
    </row>
    <row r="144" spans="1:6" hidden="1">
      <c r="A144" s="297"/>
      <c r="B144" s="65" t="s">
        <v>137</v>
      </c>
      <c r="C144" s="42" t="e">
        <f>C$66</f>
        <v>#REF!</v>
      </c>
      <c r="D144" s="58" t="e">
        <f>C144/C145</f>
        <v>#REF!</v>
      </c>
      <c r="E144" s="42" t="e">
        <f>E145*D144</f>
        <v>#REF!</v>
      </c>
      <c r="F144" s="42"/>
    </row>
    <row r="145" spans="1:6" hidden="1">
      <c r="A145" s="297"/>
      <c r="B145" s="65" t="s">
        <v>133</v>
      </c>
      <c r="C145" s="50" t="e">
        <f>SUM(C143:C144)</f>
        <v>#REF!</v>
      </c>
      <c r="D145" s="59" t="e">
        <f>SUM(D143:D144)</f>
        <v>#REF!</v>
      </c>
      <c r="E145" s="50" t="e">
        <f>E135</f>
        <v>#REF!</v>
      </c>
      <c r="F145" s="42"/>
    </row>
  </sheetData>
  <mergeCells count="6">
    <mergeCell ref="E7:G7"/>
    <mergeCell ref="A1:H1"/>
    <mergeCell ref="A2:H2"/>
    <mergeCell ref="A3:H3"/>
    <mergeCell ref="A4:H4"/>
    <mergeCell ref="A5:H5"/>
  </mergeCells>
  <phoneticPr fontId="0" type="noConversion"/>
  <printOptions horizontalCentered="1"/>
  <pageMargins left="0.75" right="0.75" top="0.5" bottom="0.5" header="0.5" footer="0.25"/>
  <pageSetup scale="86" orientation="portrait" horizontalDpi="300" verticalDpi="300" r:id="rId1"/>
  <headerFooter alignWithMargins="0">
    <oddFooter>&amp;Lfile:  &amp;f&amp;Rkm &amp;d</oddFooter>
  </headerFooter>
  <rowBreaks count="1" manualBreakCount="1">
    <brk id="67" max="16383" man="1"/>
  </rowBreaks>
  <colBreaks count="1" manualBreakCount="1">
    <brk id="9" max="50"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2016-08-17T07:00:00+00:00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F78FA63B-D62E-4AE1-A07B-CA18A5FDBDFA}"/>
</file>

<file path=customXml/itemProps2.xml><?xml version="1.0" encoding="utf-8"?>
<ds:datastoreItem xmlns:ds="http://schemas.openxmlformats.org/officeDocument/2006/customXml" ds:itemID="{848D73D9-EB13-42BC-8BB0-F6D4A3DF3088}"/>
</file>

<file path=customXml/itemProps3.xml><?xml version="1.0" encoding="utf-8"?>
<ds:datastoreItem xmlns:ds="http://schemas.openxmlformats.org/officeDocument/2006/customXml" ds:itemID="{29C17DA8-152E-4381-B43D-1D76E66F9527}"/>
</file>

<file path=customXml/itemProps4.xml><?xml version="1.0" encoding="utf-8"?>
<ds:datastoreItem xmlns:ds="http://schemas.openxmlformats.org/officeDocument/2006/customXml" ds:itemID="{09B3ED8D-38D7-474B-8DF4-73A22FF558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ADJ DETAIL-INPUT</vt:lpstr>
      <vt:lpstr>RR SUMMARY</vt:lpstr>
      <vt:lpstr>CF </vt:lpstr>
      <vt:lpstr>ADJ SUMMARY</vt:lpstr>
      <vt:lpstr>LEAD SHEETS-DO NOT ENTER</vt:lpstr>
      <vt:lpstr>ROO INPUT</vt:lpstr>
      <vt:lpstr>DEBT CALC</vt:lpstr>
      <vt:lpstr>ID_Elec</vt:lpstr>
      <vt:lpstr>'ADJ DETAIL-INPUT'!Print_Area</vt:lpstr>
      <vt:lpstr>'ADJ SUMMARY'!Print_Area</vt:lpstr>
      <vt:lpstr>'CF '!Print_Area</vt:lpstr>
      <vt:lpstr>'DEBT CALC'!Print_Area</vt:lpstr>
      <vt:lpstr>'LEAD SHEETS-DO NOT ENTER'!Print_Area</vt:lpstr>
      <vt:lpstr>'ROO INPUT'!Print_Area</vt:lpstr>
      <vt:lpstr>'RR SUMMARY'!Print_Area</vt:lpstr>
      <vt:lpstr>Print_for_CBReport</vt:lpstr>
      <vt:lpstr>'ADJ DETAIL-INPUT'!Print_Titles</vt:lpstr>
      <vt:lpstr>'LEAD SHEETS-DO NOT ENTER'!Print_Titles</vt:lpstr>
      <vt:lpstr>'ROO INPUT'!Print_Titles</vt:lpstr>
      <vt:lpstr>WA_Elec</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Liz Andrews</cp:lastModifiedBy>
  <cp:lastPrinted>2015-06-18T00:04:11Z</cp:lastPrinted>
  <dcterms:created xsi:type="dcterms:W3CDTF">1997-05-15T21:41:44Z</dcterms:created>
  <dcterms:modified xsi:type="dcterms:W3CDTF">2016-05-10T20:36:15Z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