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7.2021 Final\"/>
    </mc:Choice>
  </mc:AlternateContent>
  <xr:revisionPtr revIDLastSave="0" documentId="13_ncr:1_{FD3EF667-0A71-477A-85A0-C12655E78E6A}" xr6:coauthVersionLast="45" xr6:coauthVersionMax="45" xr10:uidLastSave="{00000000-0000-0000-0000-000000000000}"/>
  <bookViews>
    <workbookView xWindow="40920" yWindow="-120" windowWidth="29040" windowHeight="15840" activeTab="2" xr2:uid="{56C0763E-20A2-4193-9F0E-2828F60E374A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3" l="1"/>
  <c r="B18" i="3"/>
  <c r="K15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J9" i="3"/>
  <c r="J11" i="3" s="1"/>
  <c r="B9" i="3"/>
  <c r="M8" i="3"/>
  <c r="M19" i="3" s="1"/>
  <c r="L8" i="3"/>
  <c r="K8" i="3"/>
  <c r="K19" i="3" s="1"/>
  <c r="K20" i="3" s="1"/>
  <c r="J8" i="3"/>
  <c r="J13" i="3" s="1"/>
  <c r="I8" i="3"/>
  <c r="H8" i="3"/>
  <c r="G8" i="3"/>
  <c r="F8" i="3"/>
  <c r="E8" i="3"/>
  <c r="D8" i="3"/>
  <c r="C8" i="3"/>
  <c r="B8" i="3"/>
  <c r="B11" i="3" s="1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D138" i="2" s="1"/>
  <c r="E138" i="2"/>
  <c r="R137" i="2"/>
  <c r="R138" i="2" s="1"/>
  <c r="D137" i="2"/>
  <c r="D136" i="2"/>
  <c r="R135" i="2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A117" i="2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A96" i="2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R95" i="2"/>
  <c r="D95" i="2"/>
  <c r="R94" i="2"/>
  <c r="D94" i="2"/>
  <c r="R93" i="2"/>
  <c r="D93" i="2"/>
  <c r="R92" i="2"/>
  <c r="D92" i="2"/>
  <c r="A92" i="2"/>
  <c r="A93" i="2" s="1"/>
  <c r="A94" i="2" s="1"/>
  <c r="A95" i="2" s="1"/>
  <c r="D91" i="2"/>
  <c r="A91" i="2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R81" i="2"/>
  <c r="D81" i="2"/>
  <c r="R80" i="2"/>
  <c r="D80" i="2"/>
  <c r="R79" i="2"/>
  <c r="D79" i="2"/>
  <c r="R78" i="2"/>
  <c r="D78" i="2"/>
  <c r="R77" i="2"/>
  <c r="D77" i="2"/>
  <c r="R76" i="2"/>
  <c r="D76" i="2"/>
  <c r="L73" i="2"/>
  <c r="P72" i="2"/>
  <c r="H72" i="2"/>
  <c r="P69" i="2"/>
  <c r="P73" i="2" s="1"/>
  <c r="O69" i="2"/>
  <c r="O73" i="2" s="1"/>
  <c r="N69" i="2"/>
  <c r="N73" i="2" s="1"/>
  <c r="M69" i="2"/>
  <c r="M73" i="2" s="1"/>
  <c r="L69" i="2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O72" i="2" s="1"/>
  <c r="N68" i="2"/>
  <c r="N72" i="2" s="1"/>
  <c r="M68" i="2"/>
  <c r="M72" i="2" s="1"/>
  <c r="L68" i="2"/>
  <c r="L72" i="2" s="1"/>
  <c r="K68" i="2"/>
  <c r="K72" i="2" s="1"/>
  <c r="J68" i="2"/>
  <c r="J72" i="2" s="1"/>
  <c r="I68" i="2"/>
  <c r="I72" i="2" s="1"/>
  <c r="H68" i="2"/>
  <c r="G68" i="2"/>
  <c r="G72" i="2" s="1"/>
  <c r="F68" i="2"/>
  <c r="F72" i="2" s="1"/>
  <c r="E68" i="2"/>
  <c r="P65" i="2"/>
  <c r="O65" i="2"/>
  <c r="N65" i="2"/>
  <c r="M65" i="2"/>
  <c r="L65" i="2"/>
  <c r="K65" i="2"/>
  <c r="J65" i="2"/>
  <c r="I65" i="2"/>
  <c r="H65" i="2"/>
  <c r="G65" i="2"/>
  <c r="F65" i="2"/>
  <c r="D65" i="2" s="1"/>
  <c r="E65" i="2"/>
  <c r="R65" i="2" s="1"/>
  <c r="R64" i="2"/>
  <c r="D64" i="2"/>
  <c r="R63" i="2"/>
  <c r="D63" i="2"/>
  <c r="R62" i="2"/>
  <c r="D62" i="2"/>
  <c r="R61" i="2"/>
  <c r="D61" i="2"/>
  <c r="R58" i="2"/>
  <c r="P58" i="2"/>
  <c r="O58" i="2"/>
  <c r="O47" i="2" s="1"/>
  <c r="O42" i="2" s="1"/>
  <c r="N58" i="2"/>
  <c r="M58" i="2"/>
  <c r="M47" i="2" s="1"/>
  <c r="L58" i="2"/>
  <c r="K58" i="2"/>
  <c r="K47" i="2" s="1"/>
  <c r="L7" i="1" s="1"/>
  <c r="J58" i="2"/>
  <c r="I58" i="2"/>
  <c r="I47" i="2" s="1"/>
  <c r="H58" i="2"/>
  <c r="G58" i="2"/>
  <c r="G47" i="2" s="1"/>
  <c r="G42" i="2" s="1"/>
  <c r="F58" i="2"/>
  <c r="E58" i="2"/>
  <c r="R57" i="2"/>
  <c r="D57" i="2"/>
  <c r="R56" i="2"/>
  <c r="D56" i="2"/>
  <c r="R55" i="2"/>
  <c r="D55" i="2"/>
  <c r="R54" i="2"/>
  <c r="D54" i="2"/>
  <c r="R53" i="2"/>
  <c r="D53" i="2"/>
  <c r="D52" i="2"/>
  <c r="R51" i="2"/>
  <c r="D51" i="2"/>
  <c r="P47" i="2"/>
  <c r="P42" i="2" s="1"/>
  <c r="N47" i="2"/>
  <c r="L47" i="2"/>
  <c r="J47" i="2"/>
  <c r="H47" i="2"/>
  <c r="H42" i="2" s="1"/>
  <c r="F47" i="2"/>
  <c r="P46" i="2"/>
  <c r="O46" i="2"/>
  <c r="N46" i="2"/>
  <c r="M46" i="2"/>
  <c r="L46" i="2"/>
  <c r="K46" i="2"/>
  <c r="J46" i="2"/>
  <c r="I46" i="2"/>
  <c r="H46" i="2"/>
  <c r="G46" i="2"/>
  <c r="F46" i="2"/>
  <c r="E46" i="2"/>
  <c r="P45" i="2"/>
  <c r="O45" i="2"/>
  <c r="N45" i="2"/>
  <c r="M45" i="2"/>
  <c r="L45" i="2"/>
  <c r="K45" i="2"/>
  <c r="J45" i="2"/>
  <c r="I45" i="2"/>
  <c r="H45" i="2"/>
  <c r="G45" i="2"/>
  <c r="F45" i="2"/>
  <c r="D45" i="2" s="1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P43" i="2"/>
  <c r="O43" i="2"/>
  <c r="N43" i="2"/>
  <c r="M43" i="2"/>
  <c r="L43" i="2"/>
  <c r="K43" i="2"/>
  <c r="J43" i="2"/>
  <c r="I43" i="2"/>
  <c r="H43" i="2"/>
  <c r="G43" i="2"/>
  <c r="F43" i="2"/>
  <c r="D43" i="2" s="1"/>
  <c r="E43" i="2"/>
  <c r="K42" i="2"/>
  <c r="J39" i="2"/>
  <c r="J24" i="2" s="1"/>
  <c r="K6" i="1" s="1"/>
  <c r="P38" i="2"/>
  <c r="P39" i="2" s="1"/>
  <c r="P24" i="2" s="1"/>
  <c r="O38" i="2"/>
  <c r="O39" i="2" s="1"/>
  <c r="O24" i="2" s="1"/>
  <c r="P6" i="1" s="1"/>
  <c r="N38" i="2"/>
  <c r="N39" i="2" s="1"/>
  <c r="N24" i="2" s="1"/>
  <c r="N128" i="2" s="1"/>
  <c r="M38" i="2"/>
  <c r="M39" i="2" s="1"/>
  <c r="M24" i="2" s="1"/>
  <c r="N6" i="1" s="1"/>
  <c r="N13" i="1" s="1"/>
  <c r="L38" i="2"/>
  <c r="L39" i="2" s="1"/>
  <c r="L24" i="2" s="1"/>
  <c r="K38" i="2"/>
  <c r="J38" i="2"/>
  <c r="I38" i="2"/>
  <c r="H38" i="2"/>
  <c r="G38" i="2"/>
  <c r="F38" i="2"/>
  <c r="E38" i="2"/>
  <c r="D38" i="2" s="1"/>
  <c r="K37" i="2"/>
  <c r="K39" i="2" s="1"/>
  <c r="J37" i="2"/>
  <c r="I37" i="2"/>
  <c r="I39" i="2" s="1"/>
  <c r="I24" i="2" s="1"/>
  <c r="H37" i="2"/>
  <c r="H39" i="2" s="1"/>
  <c r="H24" i="2" s="1"/>
  <c r="G37" i="2"/>
  <c r="G39" i="2" s="1"/>
  <c r="F37" i="2"/>
  <c r="F39" i="2" s="1"/>
  <c r="F24" i="2" s="1"/>
  <c r="G6" i="1" s="1"/>
  <c r="E37" i="2"/>
  <c r="E39" i="2" s="1"/>
  <c r="D39" i="2" s="1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K24" i="2"/>
  <c r="L6" i="1" s="1"/>
  <c r="G24" i="2"/>
  <c r="H6" i="1" s="1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R23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P17" i="2"/>
  <c r="O17" i="2"/>
  <c r="N17" i="2"/>
  <c r="M17" i="2"/>
  <c r="L17" i="2"/>
  <c r="K17" i="2"/>
  <c r="J17" i="2"/>
  <c r="I17" i="2"/>
  <c r="H17" i="2"/>
  <c r="G17" i="2"/>
  <c r="F17" i="2"/>
  <c r="E17" i="2"/>
  <c r="P16" i="2"/>
  <c r="O16" i="2"/>
  <c r="N16" i="2"/>
  <c r="M16" i="2"/>
  <c r="L16" i="2"/>
  <c r="K16" i="2"/>
  <c r="J16" i="2"/>
  <c r="I16" i="2"/>
  <c r="H16" i="2"/>
  <c r="G16" i="2"/>
  <c r="F16" i="2"/>
  <c r="E16" i="2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2" i="2"/>
  <c r="O12" i="2"/>
  <c r="N12" i="2"/>
  <c r="M12" i="2"/>
  <c r="L12" i="2"/>
  <c r="K12" i="2"/>
  <c r="J12" i="2"/>
  <c r="I12" i="2"/>
  <c r="H12" i="2"/>
  <c r="G12" i="2"/>
  <c r="F12" i="2"/>
  <c r="E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P8" i="2"/>
  <c r="O8" i="2"/>
  <c r="N8" i="2"/>
  <c r="M8" i="2"/>
  <c r="L8" i="2"/>
  <c r="K8" i="2"/>
  <c r="J8" i="2"/>
  <c r="I8" i="2"/>
  <c r="H8" i="2"/>
  <c r="G8" i="2"/>
  <c r="F8" i="2"/>
  <c r="E8" i="2"/>
  <c r="A7" i="2"/>
  <c r="G5" i="2"/>
  <c r="H5" i="2" s="1"/>
  <c r="I5" i="2" s="1"/>
  <c r="J5" i="2" s="1"/>
  <c r="K5" i="2" s="1"/>
  <c r="L5" i="2" s="1"/>
  <c r="M5" i="2" s="1"/>
  <c r="N5" i="2" s="1"/>
  <c r="O5" i="2" s="1"/>
  <c r="P5" i="2" s="1"/>
  <c r="F5" i="2"/>
  <c r="C36" i="1"/>
  <c r="C35" i="1"/>
  <c r="O30" i="1"/>
  <c r="Q29" i="1"/>
  <c r="P29" i="1"/>
  <c r="O29" i="1"/>
  <c r="N29" i="1"/>
  <c r="M29" i="1"/>
  <c r="L29" i="1"/>
  <c r="K29" i="1"/>
  <c r="J29" i="1"/>
  <c r="I29" i="1"/>
  <c r="H29" i="1"/>
  <c r="G29" i="1"/>
  <c r="F29" i="1"/>
  <c r="D29" i="1" s="1"/>
  <c r="Q27" i="1"/>
  <c r="P27" i="1"/>
  <c r="O27" i="1"/>
  <c r="N27" i="1"/>
  <c r="M27" i="1"/>
  <c r="L27" i="1"/>
  <c r="K27" i="1"/>
  <c r="J27" i="1"/>
  <c r="I27" i="1"/>
  <c r="H27" i="1"/>
  <c r="G27" i="1"/>
  <c r="F27" i="1"/>
  <c r="E24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 s="1"/>
  <c r="Q19" i="1"/>
  <c r="P19" i="1"/>
  <c r="O19" i="1"/>
  <c r="N19" i="1"/>
  <c r="M19" i="1"/>
  <c r="L19" i="1"/>
  <c r="K19" i="1"/>
  <c r="J19" i="1"/>
  <c r="I19" i="1"/>
  <c r="H19" i="1"/>
  <c r="G19" i="1"/>
  <c r="F19" i="1"/>
  <c r="Q18" i="1"/>
  <c r="P18" i="1"/>
  <c r="O18" i="1"/>
  <c r="N18" i="1"/>
  <c r="M18" i="1"/>
  <c r="L18" i="1"/>
  <c r="K18" i="1"/>
  <c r="J18" i="1"/>
  <c r="I18" i="1"/>
  <c r="H18" i="1"/>
  <c r="G18" i="1"/>
  <c r="D18" i="1" s="1"/>
  <c r="F18" i="1"/>
  <c r="Q17" i="1"/>
  <c r="P17" i="1"/>
  <c r="O17" i="1"/>
  <c r="N17" i="1"/>
  <c r="M17" i="1"/>
  <c r="L17" i="1"/>
  <c r="K17" i="1"/>
  <c r="J17" i="1"/>
  <c r="I17" i="1"/>
  <c r="H17" i="1"/>
  <c r="G17" i="1"/>
  <c r="F17" i="1"/>
  <c r="Q16" i="1"/>
  <c r="P16" i="1"/>
  <c r="O16" i="1"/>
  <c r="N16" i="1"/>
  <c r="M16" i="1"/>
  <c r="L16" i="1"/>
  <c r="K16" i="1"/>
  <c r="J16" i="1"/>
  <c r="I16" i="1"/>
  <c r="H16" i="1"/>
  <c r="D16" i="1" s="1"/>
  <c r="G16" i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F14" i="1"/>
  <c r="Q12" i="1"/>
  <c r="P12" i="1"/>
  <c r="O12" i="1"/>
  <c r="N12" i="1"/>
  <c r="M12" i="1"/>
  <c r="L12" i="1"/>
  <c r="K12" i="1"/>
  <c r="J12" i="1"/>
  <c r="I12" i="1"/>
  <c r="H12" i="1"/>
  <c r="G12" i="1"/>
  <c r="D12" i="1" s="1"/>
  <c r="F12" i="1"/>
  <c r="Q11" i="1"/>
  <c r="P11" i="1"/>
  <c r="O11" i="1"/>
  <c r="N11" i="1"/>
  <c r="M11" i="1"/>
  <c r="L11" i="1"/>
  <c r="K11" i="1"/>
  <c r="J11" i="1"/>
  <c r="I11" i="1"/>
  <c r="H11" i="1"/>
  <c r="G11" i="1"/>
  <c r="F11" i="1"/>
  <c r="D11" i="1"/>
  <c r="Q10" i="1"/>
  <c r="P10" i="1"/>
  <c r="O10" i="1"/>
  <c r="N10" i="1"/>
  <c r="M10" i="1"/>
  <c r="L10" i="1"/>
  <c r="K10" i="1"/>
  <c r="J10" i="1"/>
  <c r="I10" i="1"/>
  <c r="H10" i="1"/>
  <c r="G10" i="1"/>
  <c r="D10" i="1" s="1"/>
  <c r="F10" i="1"/>
  <c r="Q9" i="1"/>
  <c r="P9" i="1"/>
  <c r="O9" i="1"/>
  <c r="N9" i="1"/>
  <c r="M9" i="1"/>
  <c r="L9" i="1"/>
  <c r="K9" i="1"/>
  <c r="J9" i="1"/>
  <c r="I9" i="1"/>
  <c r="H9" i="1"/>
  <c r="G9" i="1"/>
  <c r="F9" i="1"/>
  <c r="D9" i="1"/>
  <c r="Q8" i="1"/>
  <c r="P8" i="1"/>
  <c r="O8" i="1"/>
  <c r="N8" i="1"/>
  <c r="M8" i="1"/>
  <c r="L8" i="1"/>
  <c r="K8" i="1"/>
  <c r="J8" i="1"/>
  <c r="I8" i="1"/>
  <c r="H8" i="1"/>
  <c r="G8" i="1"/>
  <c r="D8" i="1" s="1"/>
  <c r="F8" i="1"/>
  <c r="Q7" i="1"/>
  <c r="Q13" i="1" s="1"/>
  <c r="O7" i="1"/>
  <c r="N7" i="1"/>
  <c r="M7" i="1"/>
  <c r="K7" i="1"/>
  <c r="J7" i="1"/>
  <c r="I7" i="1"/>
  <c r="G7" i="1"/>
  <c r="A7" i="1"/>
  <c r="A8" i="1" s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Q6" i="1"/>
  <c r="M6" i="1"/>
  <c r="I6" i="1"/>
  <c r="I13" i="1" s="1"/>
  <c r="G5" i="1"/>
  <c r="G14" i="1" s="1"/>
  <c r="J6" i="1" l="1"/>
  <c r="J13" i="1" s="1"/>
  <c r="I7" i="2"/>
  <c r="H11" i="3"/>
  <c r="H13" i="3" s="1"/>
  <c r="H9" i="3"/>
  <c r="D9" i="3"/>
  <c r="D11" i="3" s="1"/>
  <c r="D13" i="3" s="1"/>
  <c r="D15" i="3" s="1"/>
  <c r="D19" i="3" s="1"/>
  <c r="M13" i="1"/>
  <c r="M39" i="1" s="1"/>
  <c r="F23" i="1"/>
  <c r="J23" i="1"/>
  <c r="N23" i="1"/>
  <c r="D9" i="2"/>
  <c r="R10" i="2"/>
  <c r="D11" i="2"/>
  <c r="M7" i="2"/>
  <c r="D16" i="2"/>
  <c r="D19" i="2"/>
  <c r="R20" i="2"/>
  <c r="D21" i="2"/>
  <c r="E24" i="2"/>
  <c r="F6" i="1" s="1"/>
  <c r="O6" i="1"/>
  <c r="G23" i="1"/>
  <c r="K23" i="1"/>
  <c r="O23" i="1"/>
  <c r="D17" i="1"/>
  <c r="R12" i="2"/>
  <c r="D20" i="2"/>
  <c r="L42" i="2"/>
  <c r="L9" i="3"/>
  <c r="L11" i="3" s="1"/>
  <c r="N12" i="3"/>
  <c r="H23" i="1"/>
  <c r="L23" i="1"/>
  <c r="P23" i="1"/>
  <c r="D19" i="1"/>
  <c r="D12" i="2"/>
  <c r="D14" i="2"/>
  <c r="R43" i="2"/>
  <c r="D44" i="2"/>
  <c r="I42" i="2"/>
  <c r="D69" i="2"/>
  <c r="F9" i="3"/>
  <c r="F11" i="3" s="1"/>
  <c r="F13" i="3" s="1"/>
  <c r="F15" i="3" s="1"/>
  <c r="F19" i="3" s="1"/>
  <c r="N10" i="3"/>
  <c r="L13" i="3"/>
  <c r="H5" i="1"/>
  <c r="M33" i="1"/>
  <c r="M36" i="1"/>
  <c r="M24" i="1"/>
  <c r="Q34" i="1"/>
  <c r="Q33" i="1"/>
  <c r="Q39" i="1"/>
  <c r="Q38" i="1"/>
  <c r="Q37" i="1"/>
  <c r="Q36" i="1"/>
  <c r="Q31" i="1"/>
  <c r="Q40" i="1"/>
  <c r="Q41" i="1"/>
  <c r="Q26" i="1"/>
  <c r="Q28" i="1" s="1"/>
  <c r="Q35" i="1"/>
  <c r="Q24" i="1"/>
  <c r="J24" i="1"/>
  <c r="K13" i="1"/>
  <c r="H14" i="1"/>
  <c r="I5" i="1"/>
  <c r="G13" i="1"/>
  <c r="D6" i="1"/>
  <c r="L13" i="1"/>
  <c r="I23" i="1"/>
  <c r="I24" i="1" s="1"/>
  <c r="I26" i="1" s="1"/>
  <c r="I28" i="1" s="1"/>
  <c r="M23" i="1"/>
  <c r="Q23" i="1"/>
  <c r="D21" i="1"/>
  <c r="N41" i="1"/>
  <c r="N40" i="1"/>
  <c r="N33" i="1"/>
  <c r="N26" i="1"/>
  <c r="N28" i="1" s="1"/>
  <c r="N39" i="1"/>
  <c r="N37" i="1"/>
  <c r="N34" i="1"/>
  <c r="N38" i="1"/>
  <c r="N36" i="1"/>
  <c r="N35" i="1"/>
  <c r="N24" i="1"/>
  <c r="N31" i="1"/>
  <c r="O13" i="1"/>
  <c r="R11" i="2"/>
  <c r="R72" i="2"/>
  <c r="K7" i="2"/>
  <c r="R16" i="2"/>
  <c r="R22" i="2"/>
  <c r="R39" i="2"/>
  <c r="H128" i="2"/>
  <c r="H140" i="2" s="1"/>
  <c r="I25" i="1" s="1"/>
  <c r="H84" i="2"/>
  <c r="H142" i="2" s="1"/>
  <c r="H7" i="2"/>
  <c r="L140" i="2"/>
  <c r="M25" i="1" s="1"/>
  <c r="L128" i="2"/>
  <c r="L142" i="2"/>
  <c r="L7" i="2"/>
  <c r="P140" i="2"/>
  <c r="Q25" i="1" s="1"/>
  <c r="P128" i="2"/>
  <c r="P142" i="2"/>
  <c r="P7" i="2"/>
  <c r="P84" i="2"/>
  <c r="B13" i="3"/>
  <c r="D15" i="1"/>
  <c r="R17" i="2"/>
  <c r="J84" i="2"/>
  <c r="J128" i="2"/>
  <c r="J140" i="2" s="1"/>
  <c r="K25" i="1" s="1"/>
  <c r="J7" i="2"/>
  <c r="R44" i="2"/>
  <c r="M42" i="2"/>
  <c r="D15" i="2"/>
  <c r="G128" i="2"/>
  <c r="G140" i="2" s="1"/>
  <c r="G84" i="2"/>
  <c r="O140" i="2"/>
  <c r="P25" i="1" s="1"/>
  <c r="O128" i="2"/>
  <c r="O84" i="2"/>
  <c r="O7" i="2"/>
  <c r="O142" i="2"/>
  <c r="H7" i="1"/>
  <c r="H13" i="1" s="1"/>
  <c r="P7" i="1"/>
  <c r="P13" i="1" s="1"/>
  <c r="G7" i="2"/>
  <c r="R8" i="2"/>
  <c r="R9" i="2"/>
  <c r="R13" i="2"/>
  <c r="R18" i="2"/>
  <c r="R19" i="2"/>
  <c r="M142" i="2"/>
  <c r="M84" i="2"/>
  <c r="M140" i="2"/>
  <c r="N25" i="1" s="1"/>
  <c r="M128" i="2"/>
  <c r="F84" i="2"/>
  <c r="F128" i="2"/>
  <c r="F140" i="2" s="1"/>
  <c r="F7" i="2"/>
  <c r="N84" i="2"/>
  <c r="N142" i="2"/>
  <c r="N140" i="2"/>
  <c r="O25" i="1" s="1"/>
  <c r="N7" i="2"/>
  <c r="L84" i="2"/>
  <c r="M20" i="3"/>
  <c r="Q30" i="1"/>
  <c r="D8" i="2"/>
  <c r="D10" i="2"/>
  <c r="D13" i="2"/>
  <c r="D17" i="2"/>
  <c r="R38" i="2"/>
  <c r="R45" i="2"/>
  <c r="J42" i="2"/>
  <c r="R73" i="2"/>
  <c r="R68" i="2"/>
  <c r="R82" i="2"/>
  <c r="R96" i="2"/>
  <c r="E9" i="3"/>
  <c r="E11" i="3" s="1"/>
  <c r="E13" i="3" s="1"/>
  <c r="E15" i="3" s="1"/>
  <c r="E19" i="3" s="1"/>
  <c r="I15" i="3"/>
  <c r="I13" i="3"/>
  <c r="I9" i="3"/>
  <c r="I11" i="3" s="1"/>
  <c r="M15" i="3"/>
  <c r="M13" i="3"/>
  <c r="M9" i="3"/>
  <c r="M11" i="3" s="1"/>
  <c r="E128" i="2"/>
  <c r="I84" i="2"/>
  <c r="I128" i="2"/>
  <c r="I140" i="2" s="1"/>
  <c r="R46" i="2"/>
  <c r="E47" i="2"/>
  <c r="D58" i="2"/>
  <c r="D82" i="2"/>
  <c r="R133" i="2"/>
  <c r="K140" i="2"/>
  <c r="L25" i="1" s="1"/>
  <c r="K128" i="2"/>
  <c r="K84" i="2"/>
  <c r="F42" i="2"/>
  <c r="N42" i="2"/>
  <c r="I19" i="3"/>
  <c r="E72" i="2"/>
  <c r="D7" i="3"/>
  <c r="C9" i="3"/>
  <c r="N9" i="3" s="1"/>
  <c r="G9" i="3"/>
  <c r="K9" i="3"/>
  <c r="K11" i="3" s="1"/>
  <c r="K13" i="3"/>
  <c r="J15" i="3"/>
  <c r="L19" i="3"/>
  <c r="D46" i="2"/>
  <c r="D68" i="2"/>
  <c r="R69" i="2"/>
  <c r="D96" i="2"/>
  <c r="D102" i="2"/>
  <c r="N8" i="3"/>
  <c r="G11" i="3"/>
  <c r="G13" i="3" s="1"/>
  <c r="G15" i="3" s="1"/>
  <c r="G19" i="3" s="1"/>
  <c r="H15" i="3"/>
  <c r="H19" i="3" s="1"/>
  <c r="L15" i="3"/>
  <c r="J19" i="3"/>
  <c r="E7" i="2" l="1"/>
  <c r="M35" i="1"/>
  <c r="M37" i="1"/>
  <c r="M34" i="1"/>
  <c r="D24" i="2"/>
  <c r="M31" i="1"/>
  <c r="M26" i="1"/>
  <c r="M28" i="1" s="1"/>
  <c r="M38" i="1"/>
  <c r="C11" i="3"/>
  <c r="C13" i="3" s="1"/>
  <c r="C15" i="3" s="1"/>
  <c r="C19" i="3" s="1"/>
  <c r="J142" i="2"/>
  <c r="M41" i="1"/>
  <c r="M40" i="1"/>
  <c r="D23" i="1"/>
  <c r="E20" i="3"/>
  <c r="I30" i="1"/>
  <c r="I31" i="1" s="1"/>
  <c r="G20" i="3"/>
  <c r="K30" i="1"/>
  <c r="H24" i="1"/>
  <c r="C20" i="3"/>
  <c r="G30" i="1"/>
  <c r="R140" i="2"/>
  <c r="G25" i="1"/>
  <c r="F142" i="2"/>
  <c r="J25" i="1"/>
  <c r="J26" i="1" s="1"/>
  <c r="J28" i="1" s="1"/>
  <c r="I142" i="2"/>
  <c r="H20" i="3"/>
  <c r="L30" i="1"/>
  <c r="F20" i="3"/>
  <c r="J30" i="1"/>
  <c r="D20" i="3"/>
  <c r="H30" i="1"/>
  <c r="P35" i="1"/>
  <c r="P26" i="1"/>
  <c r="P28" i="1" s="1"/>
  <c r="P24" i="1"/>
  <c r="P41" i="1"/>
  <c r="P40" i="1"/>
  <c r="P38" i="1"/>
  <c r="P36" i="1"/>
  <c r="P34" i="1"/>
  <c r="P31" i="1"/>
  <c r="P39" i="1"/>
  <c r="P37" i="1"/>
  <c r="P33" i="1"/>
  <c r="H25" i="1"/>
  <c r="H26" i="1" s="1"/>
  <c r="H28" i="1" s="1"/>
  <c r="H31" i="1" s="1"/>
  <c r="G142" i="2"/>
  <c r="N11" i="3"/>
  <c r="I20" i="3"/>
  <c r="M30" i="1"/>
  <c r="D128" i="2"/>
  <c r="R128" i="2"/>
  <c r="N13" i="3"/>
  <c r="B15" i="3"/>
  <c r="J5" i="1"/>
  <c r="I14" i="1"/>
  <c r="L20" i="3"/>
  <c r="P30" i="1"/>
  <c r="O39" i="1"/>
  <c r="O38" i="1"/>
  <c r="O37" i="1"/>
  <c r="O36" i="1"/>
  <c r="O31" i="1"/>
  <c r="O40" i="1"/>
  <c r="O35" i="1"/>
  <c r="O24" i="1"/>
  <c r="O33" i="1"/>
  <c r="O41" i="1"/>
  <c r="O34" i="1"/>
  <c r="O26" i="1"/>
  <c r="O28" i="1" s="1"/>
  <c r="K142" i="2"/>
  <c r="E140" i="2"/>
  <c r="D7" i="2"/>
  <c r="R7" i="2"/>
  <c r="R24" i="2" s="1"/>
  <c r="L24" i="1"/>
  <c r="L26" i="1" s="1"/>
  <c r="L28" i="1" s="1"/>
  <c r="G24" i="1"/>
  <c r="G26" i="1" s="1"/>
  <c r="G28" i="1" s="1"/>
  <c r="J20" i="3"/>
  <c r="N30" i="1"/>
  <c r="D18" i="3"/>
  <c r="E7" i="3"/>
  <c r="D47" i="2"/>
  <c r="E42" i="2"/>
  <c r="F7" i="1"/>
  <c r="E84" i="2"/>
  <c r="K24" i="1"/>
  <c r="K26" i="1" s="1"/>
  <c r="K28" i="1" s="1"/>
  <c r="K31" i="1" s="1"/>
  <c r="G31" i="1" l="1"/>
  <c r="L31" i="1"/>
  <c r="N15" i="3"/>
  <c r="N19" i="3" s="1"/>
  <c r="N20" i="3" s="1"/>
  <c r="B19" i="3"/>
  <c r="D7" i="1"/>
  <c r="F13" i="1"/>
  <c r="F7" i="3"/>
  <c r="E18" i="3"/>
  <c r="R42" i="2"/>
  <c r="R47" i="2" s="1"/>
  <c r="R84" i="2" s="1"/>
  <c r="D42" i="2"/>
  <c r="D140" i="2"/>
  <c r="F25" i="1"/>
  <c r="D25" i="1" s="1"/>
  <c r="D84" i="2"/>
  <c r="E142" i="2"/>
  <c r="D142" i="2" s="1"/>
  <c r="K5" i="1"/>
  <c r="J14" i="1"/>
  <c r="J31" i="1"/>
  <c r="B20" i="3" l="1"/>
  <c r="F30" i="1"/>
  <c r="D30" i="1" s="1"/>
  <c r="K14" i="1"/>
  <c r="L5" i="1"/>
  <c r="G7" i="3"/>
  <c r="F18" i="3"/>
  <c r="F24" i="1"/>
  <c r="D13" i="1"/>
  <c r="L14" i="1" l="1"/>
  <c r="M5" i="1"/>
  <c r="F26" i="1"/>
  <c r="D24" i="1"/>
  <c r="G18" i="3"/>
  <c r="H7" i="3"/>
  <c r="H18" i="3" l="1"/>
  <c r="I7" i="3"/>
  <c r="F28" i="1"/>
  <c r="D26" i="1"/>
  <c r="N5" i="1"/>
  <c r="M14" i="1"/>
  <c r="D28" i="1" l="1"/>
  <c r="F31" i="1"/>
  <c r="J7" i="3"/>
  <c r="I18" i="3"/>
  <c r="O5" i="1"/>
  <c r="N14" i="1"/>
  <c r="K7" i="3" l="1"/>
  <c r="J18" i="3"/>
  <c r="D31" i="1"/>
  <c r="F33" i="1"/>
  <c r="O14" i="1"/>
  <c r="P5" i="1"/>
  <c r="G33" i="1" l="1"/>
  <c r="F35" i="1"/>
  <c r="F34" i="1"/>
  <c r="F36" i="1"/>
  <c r="P14" i="1"/>
  <c r="Q5" i="1"/>
  <c r="Q14" i="1" s="1"/>
  <c r="K18" i="3"/>
  <c r="L7" i="3"/>
  <c r="F37" i="1" l="1"/>
  <c r="F38" i="1"/>
  <c r="F39" i="1" s="1"/>
  <c r="F40" i="1" s="1"/>
  <c r="L18" i="3"/>
  <c r="M7" i="3"/>
  <c r="M18" i="3" s="1"/>
  <c r="G36" i="1"/>
  <c r="G34" i="1"/>
  <c r="H33" i="1"/>
  <c r="G35" i="1"/>
  <c r="F41" i="1" l="1"/>
  <c r="G37" i="1"/>
  <c r="I33" i="1"/>
  <c r="H35" i="1"/>
  <c r="H36" i="1"/>
  <c r="H34" i="1"/>
  <c r="G38" i="1"/>
  <c r="H38" i="1" l="1"/>
  <c r="H39" i="1"/>
  <c r="H40" i="1" s="1"/>
  <c r="H41" i="1"/>
  <c r="G39" i="1"/>
  <c r="G40" i="1" s="1"/>
  <c r="G41" i="1"/>
  <c r="H37" i="1"/>
  <c r="I34" i="1"/>
  <c r="I38" i="1" s="1"/>
  <c r="I39" i="1" s="1"/>
  <c r="I40" i="1" s="1"/>
  <c r="I35" i="1"/>
  <c r="I36" i="1"/>
  <c r="J33" i="1"/>
  <c r="J36" i="1" l="1"/>
  <c r="J35" i="1"/>
  <c r="J34" i="1"/>
  <c r="J37" i="1" s="1"/>
  <c r="K33" i="1"/>
  <c r="I41" i="1"/>
  <c r="I37" i="1"/>
  <c r="L33" i="1" l="1"/>
  <c r="K34" i="1"/>
  <c r="K36" i="1"/>
  <c r="K35" i="1"/>
  <c r="J38" i="1"/>
  <c r="K38" i="1" l="1"/>
  <c r="K41" i="1" s="1"/>
  <c r="K37" i="1"/>
  <c r="K39" i="1"/>
  <c r="K40" i="1" s="1"/>
  <c r="J39" i="1"/>
  <c r="J40" i="1" s="1"/>
  <c r="J41" i="1"/>
  <c r="L35" i="1"/>
  <c r="L34" i="1"/>
  <c r="L36" i="1"/>
  <c r="L37" i="1" l="1"/>
  <c r="L38" i="1"/>
  <c r="L39" i="1" l="1"/>
  <c r="L40" i="1" s="1"/>
  <c r="D40" i="1" s="1"/>
  <c r="L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5C1994C5-AE8D-495C-A482-D71C34CD975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5629461F-D8C2-4343-917B-D357DE8E5A8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5EBD5F3B-CDD8-4868-8E7C-C340D86C750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411F9AB-7755-4129-B3AB-9DA9602ABF1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9AF3A68F-27A5-4508-BB10-5B3A637E21E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4AEB6089-A3CE-4F4D-954C-AD57A8074DC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C3993B6D-AFF7-4F6B-B2C7-63ADE78F90C3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9C95A89-D937-42A8-B4D1-2289C22122F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E5AF61FB-6179-46C7-BA1C-E21F429853E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9F43F816-D21E-4D23-ADC2-82A1A27B116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E9ED22B8-B44C-4176-9D0E-FDC019BEAEE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BD149D83-EE7E-4979-A93E-8DD037BA880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6ABCCF1F-DD5B-41D2-B44F-6F4303E8BCB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AAE40269-967E-4233-971A-9D06B024DD7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FD24A0EB-A22B-4A96-9391-0AD2975A6B8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B97B9B00-DA05-4A1F-86A5-BDCF06CAA8E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2AE6B7BA-58E5-4271-A941-B31D4CF9642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18714A30-F95A-4E58-931F-FC9B603BE4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C775ED38-2DD5-4EEB-8F4E-3AE6378AD48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EE0D4857-64E8-48ED-B11D-4F920573468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B38" authorId="0" shapeId="0" xr:uid="{12A07ACC-A17E-4A79-94EE-F04325B4868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BBE6DF6-1C9A-43E8-96AA-867BD869797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2B3AD948-1631-4AB0-BC25-9949AF93BBA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B4A88DB6-6297-4B2D-8946-21795F873FA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86F8C7E8-BD8B-4DD9-997F-6EC4A34589C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005FB780-36EB-4B44-A8D2-AF6D755F0ED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45857DBC-967E-454E-B64D-081021197A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AD0CB816-2809-473E-87BF-5C6D73CED54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3466D270-3043-4540-A68B-98548C46BB2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BDA611F1-30EA-47D0-83CF-B664687DB74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ABB1CBED-CA39-47FE-88CA-F0518F94100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325992D9-511B-42DD-956B-28792BF8E5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B455337B-9E71-41EC-9161-B881BB906CC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9138B25B-20CC-4D94-964D-7005D7A934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1FAFCED3-9DF9-4D4C-BA9E-D895928734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4D4C3207-FBF8-4FC1-9100-7E7ADA68F49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F0BC7180-D164-400A-94CE-034EB2009EE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85E89FF9-BBAE-4EAF-A789-7E6200E7F54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08D48942-DC2F-48A1-AD94-EB42E9EE817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A0820A68-0FA5-428D-865B-C1034207CF9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5C17F6C-BC91-47DE-9CFF-8E61791E2F5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7228CE96-F2C7-4606-830A-B761ADA5FB7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42CEAAA6-4909-4333-8036-90378450307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ED0BE77F-0FD8-455D-A4F7-E550398F81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8A387C0-9CDF-434F-8667-C980ACE4097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F7CD3BD5-C8BF-4EA0-9D09-D9171CB26B3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52463AAE-185A-470F-B0D3-638C4BF2D97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F33CFD9D-BDE0-4B9C-8586-0E492E1C6DA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20D90AA-263D-49AA-B484-ED0CC91A57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6D715D94-D969-44F3-9FB1-2BF086E404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<sst xmlns="http://schemas.openxmlformats.org/spreadsheetml/2006/main" count="198" uniqueCount="174">
  <si>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</si>
  <si>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</si>
  <si>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</si>
  <si>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</si>
  <si>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</si>
  <si>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</si>
  <si>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</si>
  <si>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</si>
  <si>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</si>
  <si>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</si>
  <si>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</si>
  <si>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</si>
  <si>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</si>
  <si>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</si>
  <si>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</si>
  <si>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Jul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</si>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</sst>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3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5" fontId="6" fillId="0" borderId="0" xfId="2" applyNumberFormat="1" applyFont="1" applyFill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1/07.2021%20Backup/July%202021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5">
          <cell r="C5">
            <v>11810646.23</v>
          </cell>
          <cell r="D5">
            <v>10948943.210000001</v>
          </cell>
          <cell r="E5">
            <v>10208755.66</v>
          </cell>
          <cell r="F5">
            <v>9754466.1899999995</v>
          </cell>
          <cell r="G5">
            <v>7204007.3300000001</v>
          </cell>
          <cell r="H5">
            <v>6832768.3600000003</v>
          </cell>
          <cell r="I5">
            <v>7367141.2599999998</v>
          </cell>
          <cell r="J5">
            <v>8064915.6600000001</v>
          </cell>
          <cell r="K5">
            <v>7448796.1699999999</v>
          </cell>
          <cell r="L5">
            <v>7999787.46</v>
          </cell>
          <cell r="M5">
            <v>11642227.199999999</v>
          </cell>
          <cell r="N5">
            <v>12112599.34</v>
          </cell>
        </row>
        <row r="6">
          <cell r="C6">
            <v>-5410854.46</v>
          </cell>
          <cell r="D6">
            <v>-3688134.45</v>
          </cell>
          <cell r="E6">
            <v>-4363040.83</v>
          </cell>
          <cell r="F6">
            <v>-6216671.5899999999</v>
          </cell>
          <cell r="G6">
            <v>-3992970.36</v>
          </cell>
          <cell r="H6">
            <v>-3782255.59</v>
          </cell>
          <cell r="I6">
            <v>-5325599.3499999996</v>
          </cell>
          <cell r="J6">
            <v>-3215250.64</v>
          </cell>
          <cell r="K6">
            <v>-4016772.06</v>
          </cell>
          <cell r="L6">
            <v>-3304258.83</v>
          </cell>
          <cell r="M6">
            <v>-4468024.59</v>
          </cell>
          <cell r="N6">
            <v>-6320022.7000000002</v>
          </cell>
        </row>
        <row r="7">
          <cell r="C7">
            <v>2892906.32</v>
          </cell>
          <cell r="D7">
            <v>2671552.1800000002</v>
          </cell>
          <cell r="E7">
            <v>2768328.21</v>
          </cell>
          <cell r="F7">
            <v>2491504.9500000002</v>
          </cell>
          <cell r="G7">
            <v>1551263.17</v>
          </cell>
          <cell r="H7">
            <v>1358750.78</v>
          </cell>
          <cell r="I7">
            <v>2219592.2200000002</v>
          </cell>
          <cell r="J7">
            <v>2478124.66</v>
          </cell>
          <cell r="K7">
            <v>2578207.41</v>
          </cell>
          <cell r="L7">
            <v>2592986.98</v>
          </cell>
          <cell r="M7">
            <v>2566832.77</v>
          </cell>
          <cell r="N7">
            <v>2703883.73</v>
          </cell>
        </row>
        <row r="8">
          <cell r="C8">
            <v>8800466.8599999994</v>
          </cell>
          <cell r="D8">
            <v>7046200.3099999996</v>
          </cell>
          <cell r="E8">
            <v>6405716.6299999999</v>
          </cell>
          <cell r="F8">
            <v>4139184.54</v>
          </cell>
          <cell r="G8">
            <v>1426182.27</v>
          </cell>
          <cell r="H8">
            <v>1698326.77</v>
          </cell>
          <cell r="I8">
            <v>5653252.0099999998</v>
          </cell>
          <cell r="J8">
            <v>7341418.3399999999</v>
          </cell>
          <cell r="K8">
            <v>6493557.54</v>
          </cell>
          <cell r="L8">
            <v>6103470.4500000002</v>
          </cell>
          <cell r="M8">
            <v>6561954.4000000004</v>
          </cell>
          <cell r="N8">
            <v>8397560.5700000003</v>
          </cell>
        </row>
        <row r="9">
          <cell r="C9">
            <v>-1062694.25</v>
          </cell>
          <cell r="D9">
            <v>-1178480.71</v>
          </cell>
          <cell r="E9">
            <v>-1177115.3999999999</v>
          </cell>
          <cell r="F9">
            <v>-1141305.3700000001</v>
          </cell>
          <cell r="G9">
            <v>-1253487.52</v>
          </cell>
          <cell r="H9">
            <v>-1398528.7</v>
          </cell>
          <cell r="I9">
            <v>-1450378.42</v>
          </cell>
          <cell r="J9">
            <v>-1346818.86</v>
          </cell>
          <cell r="K9">
            <v>-1372212.68</v>
          </cell>
          <cell r="L9">
            <v>-1319316.33</v>
          </cell>
          <cell r="M9">
            <v>-1257650.3400000001</v>
          </cell>
          <cell r="N9">
            <v>-1191496.26</v>
          </cell>
        </row>
        <row r="10">
          <cell r="C10">
            <v>1386858.05</v>
          </cell>
          <cell r="D10">
            <v>1618473.12</v>
          </cell>
          <cell r="E10">
            <v>1456728.23</v>
          </cell>
          <cell r="F10">
            <v>1423781.13</v>
          </cell>
          <cell r="G10">
            <v>1394142.28</v>
          </cell>
          <cell r="H10">
            <v>1391307.66</v>
          </cell>
          <cell r="I10">
            <v>1452951.07</v>
          </cell>
          <cell r="J10">
            <v>1443201.71</v>
          </cell>
          <cell r="K10">
            <v>1567440.78</v>
          </cell>
          <cell r="L10">
            <v>1406860.96</v>
          </cell>
          <cell r="M10">
            <v>1416448.5</v>
          </cell>
          <cell r="N10">
            <v>1446134.29</v>
          </cell>
        </row>
        <row r="11">
          <cell r="C11">
            <v>34250</v>
          </cell>
          <cell r="D11">
            <v>34250</v>
          </cell>
          <cell r="E11">
            <v>34250</v>
          </cell>
          <cell r="F11">
            <v>34250</v>
          </cell>
          <cell r="G11">
            <v>34250</v>
          </cell>
          <cell r="H11">
            <v>34250</v>
          </cell>
          <cell r="I11">
            <v>34250</v>
          </cell>
          <cell r="J11">
            <v>34250</v>
          </cell>
          <cell r="K11">
            <v>34250</v>
          </cell>
          <cell r="L11">
            <v>34250</v>
          </cell>
          <cell r="M11">
            <v>34250</v>
          </cell>
          <cell r="N11">
            <v>34250</v>
          </cell>
        </row>
        <row r="12">
          <cell r="C12">
            <v>-165583.32999999999</v>
          </cell>
          <cell r="D12">
            <v>-165583.32999999999</v>
          </cell>
          <cell r="E12">
            <v>-165583.32999999999</v>
          </cell>
          <cell r="F12">
            <v>-165583.32999999999</v>
          </cell>
          <cell r="G12">
            <v>-165583.32999999999</v>
          </cell>
          <cell r="H12">
            <v>-165583.32999999999</v>
          </cell>
          <cell r="I12">
            <v>-165583.32999999999</v>
          </cell>
          <cell r="J12">
            <v>-165583.32999999999</v>
          </cell>
          <cell r="K12">
            <v>-165583.32999999999</v>
          </cell>
          <cell r="L12">
            <v>-165583.32999999999</v>
          </cell>
          <cell r="M12">
            <v>-165583.32999999999</v>
          </cell>
          <cell r="N12">
            <v>-165583.32999999999</v>
          </cell>
        </row>
        <row r="13">
          <cell r="C13">
            <v>0.6573</v>
          </cell>
          <cell r="D13">
            <v>0.6573</v>
          </cell>
          <cell r="E13">
            <v>0.6573</v>
          </cell>
          <cell r="F13">
            <v>0.6573</v>
          </cell>
          <cell r="G13">
            <v>0.6573</v>
          </cell>
          <cell r="H13">
            <v>0.6573</v>
          </cell>
          <cell r="I13">
            <v>0.6573</v>
          </cell>
          <cell r="J13">
            <v>0.6573</v>
          </cell>
          <cell r="K13">
            <v>0.6573</v>
          </cell>
          <cell r="L13">
            <v>0.6573</v>
          </cell>
          <cell r="M13">
            <v>0.6573</v>
          </cell>
          <cell r="N13">
            <v>0.6573</v>
          </cell>
        </row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  <cell r="G19">
            <v>1191666.67</v>
          </cell>
          <cell r="H19">
            <v>1191666.67</v>
          </cell>
          <cell r="I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  <cell r="G20">
            <v>155367.44</v>
          </cell>
          <cell r="H20">
            <v>245358.07</v>
          </cell>
          <cell r="I20">
            <v>456636.14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  <cell r="G21">
            <v>181634</v>
          </cell>
          <cell r="H21">
            <v>181634</v>
          </cell>
          <cell r="I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  <cell r="G22">
            <v>939387.38</v>
          </cell>
          <cell r="H22">
            <v>939387.38</v>
          </cell>
          <cell r="I22">
            <v>939387.38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  <cell r="G24">
            <v>1112.3499999999999</v>
          </cell>
          <cell r="H24">
            <v>805.75</v>
          </cell>
          <cell r="I24">
            <v>751.15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120235.01</v>
          </cell>
          <cell r="H25">
            <v>120818.76</v>
          </cell>
          <cell r="I25">
            <v>60571.86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  <cell r="G35">
            <v>115695.75</v>
          </cell>
          <cell r="H35">
            <v>129806.86</v>
          </cell>
          <cell r="I35">
            <v>169734.83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  <cell r="G36">
            <v>244032</v>
          </cell>
          <cell r="H36">
            <v>128596.5</v>
          </cell>
          <cell r="I36">
            <v>922.4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  <cell r="G37">
            <v>341741.4</v>
          </cell>
          <cell r="H37">
            <v>419370.07</v>
          </cell>
          <cell r="I37">
            <v>510666.12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  <cell r="G38">
            <v>1534.39</v>
          </cell>
          <cell r="H38">
            <v>1287.56</v>
          </cell>
          <cell r="I38">
            <v>1342.82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  <cell r="G39">
            <v>2389642.5</v>
          </cell>
          <cell r="H39">
            <v>2177827.71</v>
          </cell>
          <cell r="I39">
            <v>2413749.92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  <cell r="G40">
            <v>1906563.12</v>
          </cell>
          <cell r="H40">
            <v>1407873.39</v>
          </cell>
          <cell r="I40">
            <v>1041029.99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  <cell r="G41">
            <v>1077367.31</v>
          </cell>
          <cell r="H41">
            <v>1028077.12</v>
          </cell>
          <cell r="I41">
            <v>649498.46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  <cell r="G45">
            <v>-89142.9</v>
          </cell>
          <cell r="H45">
            <v>-148389.9</v>
          </cell>
          <cell r="I45">
            <v>-419352.06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  <cell r="G46">
            <v>-11692.13</v>
          </cell>
          <cell r="H46">
            <v>-10899.36</v>
          </cell>
          <cell r="I46">
            <v>-11362.96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  <cell r="G47">
            <v>-27883.56</v>
          </cell>
          <cell r="H47">
            <v>-24943.78</v>
          </cell>
          <cell r="I47">
            <v>-23393.9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  <cell r="G50">
            <v>4045</v>
          </cell>
          <cell r="H50">
            <v>43491</v>
          </cell>
          <cell r="I50">
            <v>46910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  <cell r="G51">
            <v>45939</v>
          </cell>
          <cell r="H51">
            <v>49599</v>
          </cell>
          <cell r="I51">
            <v>88278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  <cell r="G54">
            <v>400880</v>
          </cell>
          <cell r="H54">
            <v>432739</v>
          </cell>
          <cell r="I54">
            <v>533586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  <cell r="G55">
            <v>224333</v>
          </cell>
          <cell r="H55">
            <v>285426</v>
          </cell>
          <cell r="I55">
            <v>298640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6207-13E3-4F23-BEC9-856A400408C4}">
  <sheetPr>
    <pageSetUpPr fitToPage="1"/>
  </sheetPr>
  <dimension ref="A1:S89"/>
  <sheetViews>
    <sheetView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12.73046875" defaultRowHeight="12.75" outlineLevelRow="1" outlineLevelCol="1"/>
  <cols>
    <col min="1" max="1" width="12.73046875" style="3"/>
    <col min="2" max="3" width="12.73046875" style="1"/>
    <col min="4" max="5" width="12.73046875" style="1" outlineLevel="1"/>
    <col min="6" max="16384" width="12.73046875" style="1"/>
  </cols>
  <sheetData>
    <row r="1" spans="1:19" ht="13.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54" t="s">
        <v>5</v>
      </c>
      <c r="E5" s="54"/>
      <c r="F5" s="7">
        <v>44227</v>
      </c>
      <c r="G5" s="7">
        <f>EOMONTH(F5,1)</f>
        <v>44255</v>
      </c>
      <c r="H5" s="7">
        <f t="shared" ref="H5:Q5" si="0">EOMONTH(G5,1)</f>
        <v>44286</v>
      </c>
      <c r="I5" s="7">
        <f t="shared" si="0"/>
        <v>44316</v>
      </c>
      <c r="J5" s="7">
        <f t="shared" si="0"/>
        <v>44347</v>
      </c>
      <c r="K5" s="7">
        <f t="shared" si="0"/>
        <v>44377</v>
      </c>
      <c r="L5" s="7">
        <f t="shared" si="0"/>
        <v>44408</v>
      </c>
      <c r="M5" s="7">
        <f t="shared" si="0"/>
        <v>44439</v>
      </c>
      <c r="N5" s="7">
        <f t="shared" si="0"/>
        <v>44469</v>
      </c>
      <c r="O5" s="7">
        <f t="shared" si="0"/>
        <v>44500</v>
      </c>
      <c r="P5" s="7">
        <f t="shared" si="0"/>
        <v>44530</v>
      </c>
      <c r="Q5" s="7">
        <f t="shared" si="0"/>
        <v>44561</v>
      </c>
    </row>
    <row r="6" spans="1:19" ht="15.95" customHeight="1">
      <c r="A6" s="3">
        <v>1</v>
      </c>
      <c r="B6" s="1" t="s">
        <v>6</v>
      </c>
      <c r="D6" s="175">
        <f>SUM(F6:Q6)</f>
        <v>85435432.08389999</v>
      </c>
      <c r="E6" s="175"/>
      <c r="F6" s="8">
        <f>'WA Monthly'!E24</f>
        <v>10842389.874600001</v>
      </c>
      <c r="G6" s="8">
        <f>'WA Monthly'!F24</f>
        <v>11196253.897</v>
      </c>
      <c r="H6" s="8">
        <f>'WA Monthly'!G24</f>
        <v>12433514.0331</v>
      </c>
      <c r="I6" s="8">
        <f>'WA Monthly'!H24</f>
        <v>11603998.428099999</v>
      </c>
      <c r="J6" s="8">
        <f>'WA Monthly'!I24</f>
        <v>10047314.4113</v>
      </c>
      <c r="K6" s="8">
        <f>'WA Monthly'!J24</f>
        <v>15128565.1768</v>
      </c>
      <c r="L6" s="8">
        <f>'WA Monthly'!K24</f>
        <v>14183396.263</v>
      </c>
      <c r="M6" s="8">
        <f>'WA Monthly'!L24</f>
        <v>0</v>
      </c>
      <c r="N6" s="8">
        <f>'WA Monthly'!M24</f>
        <v>0</v>
      </c>
      <c r="O6" s="8">
        <f>'WA Monthly'!N24</f>
        <v>0</v>
      </c>
      <c r="P6" s="8">
        <f>'WA Monthly'!O24</f>
        <v>0</v>
      </c>
      <c r="Q6" s="8">
        <f>'WA Monthly'!P24</f>
        <v>0</v>
      </c>
    </row>
    <row r="7" spans="1:19" ht="15.95" customHeight="1">
      <c r="A7" s="3">
        <f t="shared" ref="A7:A13" si="1">A6+1</f>
        <v>2</v>
      </c>
      <c r="B7" s="1" t="s">
        <v>7</v>
      </c>
      <c r="D7" s="176">
        <f t="shared" ref="D7:D13" si="2">SUM(F7:Q7)</f>
        <v>-36535643</v>
      </c>
      <c r="E7" s="176"/>
      <c r="F7" s="8">
        <f>'WA Monthly'!E47</f>
        <v>-6141300</v>
      </c>
      <c r="G7" s="8">
        <f>'WA Monthly'!F47</f>
        <v>-10652299</v>
      </c>
      <c r="H7" s="8">
        <f>'WA Monthly'!G47</f>
        <v>-4461531</v>
      </c>
      <c r="I7" s="8">
        <f>'WA Monthly'!H47</f>
        <v>-4528743</v>
      </c>
      <c r="J7" s="8">
        <f>'WA Monthly'!I47</f>
        <v>-9283538</v>
      </c>
      <c r="K7" s="8">
        <f>'WA Monthly'!J47</f>
        <v>782514</v>
      </c>
      <c r="L7" s="8">
        <f>'WA Monthly'!K47</f>
        <v>-2250746</v>
      </c>
      <c r="M7" s="8">
        <f>'WA Monthly'!L47</f>
        <v>0</v>
      </c>
      <c r="N7" s="8">
        <f>'WA Monthly'!M47</f>
        <v>0</v>
      </c>
      <c r="O7" s="8">
        <f>'WA Monthly'!N47</f>
        <v>0</v>
      </c>
      <c r="P7" s="8">
        <f>'WA Monthly'!O47</f>
        <v>0</v>
      </c>
      <c r="Q7" s="8">
        <f>'WA Monthly'!P47</f>
        <v>0</v>
      </c>
    </row>
    <row r="8" spans="1:19" ht="15.95" customHeight="1">
      <c r="A8" s="3">
        <f t="shared" si="1"/>
        <v>3</v>
      </c>
      <c r="B8" s="1" t="s">
        <v>8</v>
      </c>
      <c r="D8" s="177">
        <f t="shared" si="2"/>
        <v>16896987</v>
      </c>
      <c r="E8" s="177"/>
      <c r="F8" s="8">
        <f>'WA Monthly'!E65</f>
        <v>3076898</v>
      </c>
      <c r="G8" s="8">
        <f>'WA Monthly'!F65</f>
        <v>2528161</v>
      </c>
      <c r="H8" s="8">
        <f>'WA Monthly'!G65</f>
        <v>3256809</v>
      </c>
      <c r="I8" s="8">
        <f>'WA Monthly'!H65</f>
        <v>1685015</v>
      </c>
      <c r="J8" s="8">
        <f>'WA Monthly'!I65</f>
        <v>1349895</v>
      </c>
      <c r="K8" s="8">
        <f>'WA Monthly'!J65</f>
        <v>1969382</v>
      </c>
      <c r="L8" s="8">
        <f>'WA Monthly'!K65</f>
        <v>3030827</v>
      </c>
      <c r="M8" s="8">
        <f>'WA Monthly'!L65</f>
        <v>0</v>
      </c>
      <c r="N8" s="8">
        <f>'WA Monthly'!M65</f>
        <v>0</v>
      </c>
      <c r="O8" s="8">
        <f>'WA Monthly'!N65</f>
        <v>0</v>
      </c>
      <c r="P8" s="8">
        <f>'WA Monthly'!O65</f>
        <v>0</v>
      </c>
      <c r="Q8" s="8">
        <f>'WA Monthly'!P65</f>
        <v>0</v>
      </c>
    </row>
    <row r="9" spans="1:19" ht="15.95" customHeight="1">
      <c r="A9" s="3">
        <f t="shared" si="1"/>
        <v>4</v>
      </c>
      <c r="B9" s="1" t="s">
        <v>9</v>
      </c>
      <c r="D9" s="177">
        <f t="shared" si="2"/>
        <v>39196804</v>
      </c>
      <c r="E9" s="177"/>
      <c r="F9" s="8">
        <f>'WA Monthly'!E82</f>
        <v>6183441</v>
      </c>
      <c r="G9" s="8">
        <f>'WA Monthly'!F82</f>
        <v>9662506</v>
      </c>
      <c r="H9" s="8">
        <f>'WA Monthly'!G82</f>
        <v>3546107</v>
      </c>
      <c r="I9" s="8">
        <f>'WA Monthly'!H82</f>
        <v>4135657</v>
      </c>
      <c r="J9" s="8">
        <f>'WA Monthly'!I82</f>
        <v>3691972</v>
      </c>
      <c r="K9" s="8">
        <f>'WA Monthly'!J82</f>
        <v>2361505</v>
      </c>
      <c r="L9" s="8">
        <f>'WA Monthly'!K82</f>
        <v>9615616</v>
      </c>
      <c r="M9" s="8">
        <f>'WA Monthly'!L82</f>
        <v>0</v>
      </c>
      <c r="N9" s="8">
        <f>'WA Monthly'!M82</f>
        <v>0</v>
      </c>
      <c r="O9" s="8">
        <f>'WA Monthly'!N82</f>
        <v>0</v>
      </c>
      <c r="P9" s="8">
        <f>'WA Monthly'!O82</f>
        <v>0</v>
      </c>
      <c r="Q9" s="8">
        <f>'WA Monthly'!P82</f>
        <v>0</v>
      </c>
    </row>
    <row r="10" spans="1:19" ht="15.95" customHeight="1">
      <c r="A10" s="3">
        <f t="shared" si="1"/>
        <v>5</v>
      </c>
      <c r="B10" s="1" t="s">
        <v>10</v>
      </c>
      <c r="C10" s="9"/>
      <c r="D10" s="176">
        <f t="shared" si="2"/>
        <v>-11722186</v>
      </c>
      <c r="E10" s="176"/>
      <c r="F10" s="8">
        <f>'WA Monthly'!E96</f>
        <v>-1152745</v>
      </c>
      <c r="G10" s="8">
        <f>'WA Monthly'!F96</f>
        <v>-1459637</v>
      </c>
      <c r="H10" s="8">
        <f>'WA Monthly'!G96</f>
        <v>-1197340</v>
      </c>
      <c r="I10" s="8">
        <f>'WA Monthly'!H96</f>
        <v>-1166811</v>
      </c>
      <c r="J10" s="8">
        <f>'WA Monthly'!I96</f>
        <v>-1770478</v>
      </c>
      <c r="K10" s="8">
        <f>'WA Monthly'!J96</f>
        <v>-2216150</v>
      </c>
      <c r="L10" s="8">
        <f>'WA Monthly'!K96</f>
        <v>-2759025</v>
      </c>
      <c r="M10" s="8">
        <f>'WA Monthly'!L96</f>
        <v>0</v>
      </c>
      <c r="N10" s="8">
        <f>'WA Monthly'!M96</f>
        <v>0</v>
      </c>
      <c r="O10" s="8">
        <f>'WA Monthly'!N96</f>
        <v>0</v>
      </c>
      <c r="P10" s="8">
        <f>'WA Monthly'!O96</f>
        <v>0</v>
      </c>
      <c r="Q10" s="8">
        <f>'WA Monthly'!P96</f>
        <v>0</v>
      </c>
    </row>
    <row r="11" spans="1:19" ht="15.95" customHeight="1">
      <c r="A11" s="3">
        <f t="shared" si="1"/>
        <v>6</v>
      </c>
      <c r="B11" s="1" t="s">
        <v>11</v>
      </c>
      <c r="C11" s="9"/>
      <c r="D11" s="177">
        <f t="shared" si="2"/>
        <v>10159738</v>
      </c>
      <c r="E11" s="177"/>
      <c r="F11" s="8">
        <f>'WA Monthly'!E102</f>
        <v>1427937</v>
      </c>
      <c r="G11" s="8">
        <f>'WA Monthly'!F102</f>
        <v>1395907</v>
      </c>
      <c r="H11" s="8">
        <f>'WA Monthly'!G102</f>
        <v>1456732</v>
      </c>
      <c r="I11" s="8">
        <f>'WA Monthly'!H102</f>
        <v>1373241</v>
      </c>
      <c r="J11" s="8">
        <f>'WA Monthly'!I102</f>
        <v>1340017</v>
      </c>
      <c r="K11" s="8">
        <f>'WA Monthly'!J102</f>
        <v>1413349</v>
      </c>
      <c r="L11" s="8">
        <f>'WA Monthly'!K102</f>
        <v>1752555</v>
      </c>
      <c r="M11" s="8">
        <f>'WA Monthly'!L102</f>
        <v>0</v>
      </c>
      <c r="N11" s="8">
        <f>'WA Monthly'!M102</f>
        <v>0</v>
      </c>
      <c r="O11" s="8">
        <f>'WA Monthly'!N102</f>
        <v>0</v>
      </c>
      <c r="P11" s="8">
        <f>'WA Monthly'!O102</f>
        <v>0</v>
      </c>
      <c r="Q11" s="8">
        <f>'WA Monthly'!P102</f>
        <v>0</v>
      </c>
    </row>
    <row r="12" spans="1:19" ht="15.95" customHeight="1">
      <c r="A12" s="3">
        <f t="shared" si="1"/>
        <v>7</v>
      </c>
      <c r="B12" s="1" t="s">
        <v>12</v>
      </c>
      <c r="C12" s="9"/>
      <c r="D12" s="177">
        <f t="shared" si="2"/>
        <v>381747</v>
      </c>
      <c r="E12" s="177"/>
      <c r="F12" s="8">
        <f>'WA Monthly'!E109</f>
        <v>34336</v>
      </c>
      <c r="G12" s="8">
        <f>'WA Monthly'!F109</f>
        <v>44852</v>
      </c>
      <c r="H12" s="8">
        <f>'WA Monthly'!G109</f>
        <v>37143</v>
      </c>
      <c r="I12" s="8">
        <f>'WA Monthly'!H109</f>
        <v>39091</v>
      </c>
      <c r="J12" s="8">
        <f>'WA Monthly'!I109</f>
        <v>33946</v>
      </c>
      <c r="K12" s="8">
        <f>'WA Monthly'!J109</f>
        <v>48761</v>
      </c>
      <c r="L12" s="8">
        <f>'WA Monthly'!K109</f>
        <v>143618</v>
      </c>
      <c r="M12" s="8">
        <f>'WA Monthly'!L109</f>
        <v>0</v>
      </c>
      <c r="N12" s="8">
        <f>'WA Monthly'!M109</f>
        <v>0</v>
      </c>
      <c r="O12" s="8">
        <f>'WA Monthly'!N109</f>
        <v>0</v>
      </c>
      <c r="P12" s="8">
        <f>'WA Monthly'!O109</f>
        <v>0</v>
      </c>
      <c r="Q12" s="8">
        <f>'WA Monthly'!P109</f>
        <v>0</v>
      </c>
    </row>
    <row r="13" spans="1:19" ht="15.95" customHeight="1">
      <c r="A13" s="3">
        <f t="shared" si="1"/>
        <v>8</v>
      </c>
      <c r="B13" s="10" t="s">
        <v>13</v>
      </c>
      <c r="C13" s="10"/>
      <c r="D13" s="178">
        <f t="shared" si="2"/>
        <v>103812879.08389999</v>
      </c>
      <c r="E13" s="178"/>
      <c r="F13" s="11">
        <f t="shared" ref="F13:Q13" si="3">SUM(F6:F12)</f>
        <v>14270956.874600001</v>
      </c>
      <c r="G13" s="11">
        <f t="shared" si="3"/>
        <v>12715743.897</v>
      </c>
      <c r="H13" s="11">
        <f t="shared" si="3"/>
        <v>15071434.0331</v>
      </c>
      <c r="I13" s="11">
        <f t="shared" si="3"/>
        <v>13141448.428099999</v>
      </c>
      <c r="J13" s="11">
        <f t="shared" si="3"/>
        <v>5409128.4112999998</v>
      </c>
      <c r="K13" s="11">
        <f t="shared" si="3"/>
        <v>19487926.176799998</v>
      </c>
      <c r="L13" s="11">
        <f t="shared" si="3"/>
        <v>23716241.263</v>
      </c>
      <c r="M13" s="11">
        <f t="shared" si="3"/>
        <v>0</v>
      </c>
      <c r="N13" s="11">
        <f t="shared" si="3"/>
        <v>0</v>
      </c>
      <c r="O13" s="11">
        <f t="shared" si="3"/>
        <v>0</v>
      </c>
      <c r="P13" s="11">
        <f t="shared" si="3"/>
        <v>0</v>
      </c>
      <c r="Q13" s="11">
        <f t="shared" si="3"/>
        <v>0</v>
      </c>
    </row>
    <row r="14" spans="1:19" ht="37.5" customHeight="1">
      <c r="B14" s="5" t="s">
        <v>14</v>
      </c>
      <c r="C14" s="6"/>
      <c r="D14" s="179" t="s">
        <v>15</v>
      </c>
      <c r="E14" s="180"/>
      <c r="F14" s="12">
        <f>F5</f>
        <v>44227</v>
      </c>
      <c r="G14" s="12">
        <f>G5</f>
        <v>44255</v>
      </c>
      <c r="H14" s="12">
        <f t="shared" ref="H14:Q14" si="4">H5</f>
        <v>44286</v>
      </c>
      <c r="I14" s="12">
        <f t="shared" si="4"/>
        <v>44316</v>
      </c>
      <c r="J14" s="12">
        <f t="shared" si="4"/>
        <v>44347</v>
      </c>
      <c r="K14" s="12">
        <f t="shared" si="4"/>
        <v>44377</v>
      </c>
      <c r="L14" s="12">
        <f t="shared" si="4"/>
        <v>44408</v>
      </c>
      <c r="M14" s="12">
        <f t="shared" si="4"/>
        <v>44439</v>
      </c>
      <c r="N14" s="12">
        <f t="shared" si="4"/>
        <v>44469</v>
      </c>
      <c r="O14" s="12">
        <f t="shared" si="4"/>
        <v>44500</v>
      </c>
      <c r="P14" s="12">
        <f t="shared" si="4"/>
        <v>44530</v>
      </c>
      <c r="Q14" s="12">
        <f t="shared" si="4"/>
        <v>44561</v>
      </c>
    </row>
    <row r="15" spans="1:19" ht="15.95" customHeight="1">
      <c r="A15" s="3">
        <f>A13+1</f>
        <v>9</v>
      </c>
      <c r="B15" s="1" t="s">
        <v>6</v>
      </c>
      <c r="C15" s="9"/>
      <c r="D15" s="181">
        <f t="shared" ref="D15:D22" si="5">SUM(F15:L15)</f>
        <v>64126728.239999995</v>
      </c>
      <c r="E15" s="181"/>
      <c r="F15" s="13">
        <f>'[1]Input Tab'!C5</f>
        <v>11810646.23</v>
      </c>
      <c r="G15" s="13">
        <f>'[1]Input Tab'!D5</f>
        <v>10948943.210000001</v>
      </c>
      <c r="H15" s="13">
        <f>'[1]Input Tab'!E5</f>
        <v>10208755.66</v>
      </c>
      <c r="I15" s="13">
        <f>'[1]Input Tab'!F5</f>
        <v>9754466.1899999995</v>
      </c>
      <c r="J15" s="13">
        <f>'[1]Input Tab'!G5</f>
        <v>7204007.3300000001</v>
      </c>
      <c r="K15" s="13">
        <f>'[1]Input Tab'!H5</f>
        <v>6832768.3600000003</v>
      </c>
      <c r="L15" s="13">
        <f>'[1]Input Tab'!I5</f>
        <v>7367141.2599999998</v>
      </c>
      <c r="M15" s="13">
        <f>'[1]Input Tab'!J5</f>
        <v>8064915.6600000001</v>
      </c>
      <c r="N15" s="13">
        <f>'[1]Input Tab'!K5</f>
        <v>7448796.1699999999</v>
      </c>
      <c r="O15" s="13">
        <f>'[1]Input Tab'!L5</f>
        <v>7999787.46</v>
      </c>
      <c r="P15" s="13">
        <f>'[1]Input Tab'!M5</f>
        <v>11642227.199999999</v>
      </c>
      <c r="Q15" s="13">
        <f>'[1]Input Tab'!N5</f>
        <v>12112599.34</v>
      </c>
      <c r="R15" s="14"/>
      <c r="S15" s="15"/>
    </row>
    <row r="16" spans="1:19" ht="15.95" customHeight="1">
      <c r="A16" s="3">
        <f t="shared" ref="A16:A33" si="6">A15+1</f>
        <v>10</v>
      </c>
      <c r="B16" s="1" t="s">
        <v>7</v>
      </c>
      <c r="C16" s="9"/>
      <c r="D16" s="181">
        <f t="shared" si="5"/>
        <v>-32779526.629999995</v>
      </c>
      <c r="E16" s="181"/>
      <c r="F16" s="16">
        <f>'[1]Input Tab'!C6</f>
        <v>-5410854.46</v>
      </c>
      <c r="G16" s="16">
        <f>'[1]Input Tab'!D6</f>
        <v>-3688134.45</v>
      </c>
      <c r="H16" s="16">
        <f>'[1]Input Tab'!E6</f>
        <v>-4363040.83</v>
      </c>
      <c r="I16" s="16">
        <f>'[1]Input Tab'!F6</f>
        <v>-6216671.5899999999</v>
      </c>
      <c r="J16" s="16">
        <f>'[1]Input Tab'!G6</f>
        <v>-3992970.36</v>
      </c>
      <c r="K16" s="16">
        <f>'[1]Input Tab'!H6</f>
        <v>-3782255.59</v>
      </c>
      <c r="L16" s="16">
        <f>'[1]Input Tab'!I6</f>
        <v>-5325599.3499999996</v>
      </c>
      <c r="M16" s="16">
        <f>'[1]Input Tab'!J6</f>
        <v>-3215250.64</v>
      </c>
      <c r="N16" s="16">
        <f>'[1]Input Tab'!K6</f>
        <v>-4016772.06</v>
      </c>
      <c r="O16" s="16">
        <f>'[1]Input Tab'!L6</f>
        <v>-3304258.83</v>
      </c>
      <c r="P16" s="16">
        <f>'[1]Input Tab'!M6</f>
        <v>-4468024.59</v>
      </c>
      <c r="Q16" s="16">
        <f>'[1]Input Tab'!N6</f>
        <v>-6320022.7000000002</v>
      </c>
      <c r="R16" s="14"/>
      <c r="S16" s="15"/>
    </row>
    <row r="17" spans="1:19" ht="15.95" customHeight="1">
      <c r="A17" s="3">
        <f>A16+1</f>
        <v>11</v>
      </c>
      <c r="B17" s="1" t="s">
        <v>8</v>
      </c>
      <c r="C17" s="9"/>
      <c r="D17" s="181">
        <f t="shared" si="5"/>
        <v>15953897.83</v>
      </c>
      <c r="E17" s="181"/>
      <c r="F17" s="13">
        <f>'[1]Input Tab'!C7</f>
        <v>2892906.32</v>
      </c>
      <c r="G17" s="13">
        <f>'[1]Input Tab'!D7</f>
        <v>2671552.1800000002</v>
      </c>
      <c r="H17" s="13">
        <f>'[1]Input Tab'!E7</f>
        <v>2768328.21</v>
      </c>
      <c r="I17" s="13">
        <f>'[1]Input Tab'!F7</f>
        <v>2491504.9500000002</v>
      </c>
      <c r="J17" s="13">
        <f>'[1]Input Tab'!G7</f>
        <v>1551263.17</v>
      </c>
      <c r="K17" s="13">
        <f>'[1]Input Tab'!H7</f>
        <v>1358750.78</v>
      </c>
      <c r="L17" s="13">
        <f>'[1]Input Tab'!I7</f>
        <v>2219592.2200000002</v>
      </c>
      <c r="M17" s="13">
        <f>'[1]Input Tab'!J7</f>
        <v>2478124.66</v>
      </c>
      <c r="N17" s="13">
        <f>'[1]Input Tab'!K7</f>
        <v>2578207.41</v>
      </c>
      <c r="O17" s="13">
        <f>'[1]Input Tab'!L7</f>
        <v>2592986.98</v>
      </c>
      <c r="P17" s="13">
        <f>'[1]Input Tab'!M7</f>
        <v>2566832.77</v>
      </c>
      <c r="Q17" s="13">
        <f>'[1]Input Tab'!N7</f>
        <v>2703883.73</v>
      </c>
      <c r="R17" s="14"/>
      <c r="S17" s="15"/>
    </row>
    <row r="18" spans="1:19" ht="15.95" customHeight="1">
      <c r="A18" s="3">
        <f t="shared" si="6"/>
        <v>12</v>
      </c>
      <c r="B18" s="1" t="s">
        <v>9</v>
      </c>
      <c r="C18" s="9"/>
      <c r="D18" s="181">
        <f t="shared" si="5"/>
        <v>35169329.389999993</v>
      </c>
      <c r="E18" s="181"/>
      <c r="F18" s="13">
        <f>'[1]Input Tab'!C8</f>
        <v>8800466.8599999994</v>
      </c>
      <c r="G18" s="13">
        <f>'[1]Input Tab'!D8</f>
        <v>7046200.3099999996</v>
      </c>
      <c r="H18" s="13">
        <f>'[1]Input Tab'!E8</f>
        <v>6405716.6299999999</v>
      </c>
      <c r="I18" s="13">
        <f>'[1]Input Tab'!F8</f>
        <v>4139184.54</v>
      </c>
      <c r="J18" s="13">
        <f>'[1]Input Tab'!G8</f>
        <v>1426182.27</v>
      </c>
      <c r="K18" s="13">
        <f>'[1]Input Tab'!H8</f>
        <v>1698326.77</v>
      </c>
      <c r="L18" s="13">
        <f>'[1]Input Tab'!I8</f>
        <v>5653252.0099999998</v>
      </c>
      <c r="M18" s="13">
        <f>'[1]Input Tab'!J8</f>
        <v>7341418.3399999999</v>
      </c>
      <c r="N18" s="13">
        <f>'[1]Input Tab'!K8</f>
        <v>6493557.54</v>
      </c>
      <c r="O18" s="13">
        <f>'[1]Input Tab'!L8</f>
        <v>6103470.4500000002</v>
      </c>
      <c r="P18" s="13">
        <f>'[1]Input Tab'!M8</f>
        <v>6561954.4000000004</v>
      </c>
      <c r="Q18" s="13">
        <f>'[1]Input Tab'!N8</f>
        <v>8397560.5700000003</v>
      </c>
      <c r="R18" s="14"/>
    </row>
    <row r="19" spans="1:19" ht="15.95" customHeight="1">
      <c r="A19" s="3">
        <f t="shared" si="6"/>
        <v>13</v>
      </c>
      <c r="B19" s="1" t="s">
        <v>10</v>
      </c>
      <c r="C19" s="9"/>
      <c r="D19" s="181">
        <f t="shared" si="5"/>
        <v>-8661990.370000001</v>
      </c>
      <c r="E19" s="181"/>
      <c r="F19" s="16">
        <f>'[1]Input Tab'!C9</f>
        <v>-1062694.25</v>
      </c>
      <c r="G19" s="16">
        <f>'[1]Input Tab'!D9</f>
        <v>-1178480.71</v>
      </c>
      <c r="H19" s="16">
        <f>'[1]Input Tab'!E9</f>
        <v>-1177115.3999999999</v>
      </c>
      <c r="I19" s="16">
        <f>'[1]Input Tab'!F9</f>
        <v>-1141305.3700000001</v>
      </c>
      <c r="J19" s="16">
        <f>'[1]Input Tab'!G9</f>
        <v>-1253487.52</v>
      </c>
      <c r="K19" s="16">
        <f>'[1]Input Tab'!H9</f>
        <v>-1398528.7</v>
      </c>
      <c r="L19" s="16">
        <f>'[1]Input Tab'!I9</f>
        <v>-1450378.42</v>
      </c>
      <c r="M19" s="16">
        <f>'[1]Input Tab'!J9</f>
        <v>-1346818.86</v>
      </c>
      <c r="N19" s="16">
        <f>'[1]Input Tab'!K9</f>
        <v>-1372212.68</v>
      </c>
      <c r="O19" s="16">
        <f>'[1]Input Tab'!L9</f>
        <v>-1319316.33</v>
      </c>
      <c r="P19" s="16">
        <f>'[1]Input Tab'!M9</f>
        <v>-1257650.3400000001</v>
      </c>
      <c r="Q19" s="16">
        <f>'[1]Input Tab'!N9</f>
        <v>-1191496.26</v>
      </c>
      <c r="R19" s="14"/>
    </row>
    <row r="20" spans="1:19" ht="15.95" customHeight="1">
      <c r="A20" s="3">
        <f t="shared" si="6"/>
        <v>14</v>
      </c>
      <c r="B20" s="1" t="s">
        <v>11</v>
      </c>
      <c r="C20" s="9"/>
      <c r="D20" s="181">
        <f t="shared" si="5"/>
        <v>10124241.540000001</v>
      </c>
      <c r="E20" s="181"/>
      <c r="F20" s="17">
        <f>'[1]Input Tab'!C10</f>
        <v>1386858.05</v>
      </c>
      <c r="G20" s="17">
        <f>'[1]Input Tab'!D10</f>
        <v>1618473.12</v>
      </c>
      <c r="H20" s="17">
        <f>'[1]Input Tab'!E10</f>
        <v>1456728.23</v>
      </c>
      <c r="I20" s="17">
        <f>'[1]Input Tab'!F10</f>
        <v>1423781.13</v>
      </c>
      <c r="J20" s="17">
        <f>'[1]Input Tab'!G10</f>
        <v>1394142.28</v>
      </c>
      <c r="K20" s="17">
        <f>'[1]Input Tab'!H10</f>
        <v>1391307.66</v>
      </c>
      <c r="L20" s="17">
        <f>'[1]Input Tab'!I10</f>
        <v>1452951.07</v>
      </c>
      <c r="M20" s="17">
        <f>'[1]Input Tab'!J10</f>
        <v>1443201.71</v>
      </c>
      <c r="N20" s="17">
        <f>'[1]Input Tab'!K10</f>
        <v>1567440.78</v>
      </c>
      <c r="O20" s="17">
        <f>'[1]Input Tab'!L10</f>
        <v>1406860.96</v>
      </c>
      <c r="P20" s="17">
        <f>'[1]Input Tab'!M10</f>
        <v>1416448.5</v>
      </c>
      <c r="Q20" s="17">
        <f>'[1]Input Tab'!N10</f>
        <v>1446134.29</v>
      </c>
      <c r="R20" s="14"/>
    </row>
    <row r="21" spans="1:19" ht="15.95" customHeight="1">
      <c r="A21" s="3">
        <f t="shared" si="6"/>
        <v>15</v>
      </c>
      <c r="B21" s="1" t="s">
        <v>12</v>
      </c>
      <c r="D21" s="181">
        <f t="shared" si="5"/>
        <v>239750</v>
      </c>
      <c r="E21" s="181"/>
      <c r="F21" s="13">
        <f>'[1]Input Tab'!C11</f>
        <v>34250</v>
      </c>
      <c r="G21" s="13">
        <f>'[1]Input Tab'!D11</f>
        <v>34250</v>
      </c>
      <c r="H21" s="13">
        <f>'[1]Input Tab'!E11</f>
        <v>34250</v>
      </c>
      <c r="I21" s="13">
        <f>'[1]Input Tab'!F11</f>
        <v>34250</v>
      </c>
      <c r="J21" s="13">
        <f>'[1]Input Tab'!G11</f>
        <v>34250</v>
      </c>
      <c r="K21" s="13">
        <f>'[1]Input Tab'!H11</f>
        <v>34250</v>
      </c>
      <c r="L21" s="13">
        <f>'[1]Input Tab'!I11</f>
        <v>34250</v>
      </c>
      <c r="M21" s="13">
        <f>'[1]Input Tab'!J11</f>
        <v>34250</v>
      </c>
      <c r="N21" s="13">
        <f>'[1]Input Tab'!K11</f>
        <v>34250</v>
      </c>
      <c r="O21" s="13">
        <f>'[1]Input Tab'!L11</f>
        <v>34250</v>
      </c>
      <c r="P21" s="13">
        <f>'[1]Input Tab'!M11</f>
        <v>34250</v>
      </c>
      <c r="Q21" s="13">
        <f>'[1]Input Tab'!N11</f>
        <v>34250</v>
      </c>
      <c r="R21" s="14"/>
    </row>
    <row r="22" spans="1:19" ht="15.95" customHeight="1">
      <c r="A22" s="3">
        <f>A21+1</f>
        <v>16</v>
      </c>
      <c r="B22" s="1" t="s">
        <v>16</v>
      </c>
      <c r="D22" s="181">
        <f t="shared" si="5"/>
        <v>-1763400.7454739083</v>
      </c>
      <c r="E22" s="181"/>
      <c r="F22" s="13">
        <f>('[1]Input Tab'!C12)/'[1]Input Tab'!C13</f>
        <v>-251914.39221055832</v>
      </c>
      <c r="G22" s="13">
        <f>('[1]Input Tab'!D12)/'[1]Input Tab'!D13</f>
        <v>-251914.39221055832</v>
      </c>
      <c r="H22" s="13">
        <f>('[1]Input Tab'!E12)/'[1]Input Tab'!E13</f>
        <v>-251914.39221055832</v>
      </c>
      <c r="I22" s="13">
        <f>('[1]Input Tab'!F12)/'[1]Input Tab'!F13</f>
        <v>-251914.39221055832</v>
      </c>
      <c r="J22" s="13">
        <f>('[1]Input Tab'!G12)/'[1]Input Tab'!G13</f>
        <v>-251914.39221055832</v>
      </c>
      <c r="K22" s="13">
        <f>('[1]Input Tab'!H12)/'[1]Input Tab'!H13</f>
        <v>-251914.39221055832</v>
      </c>
      <c r="L22" s="13">
        <f>('[1]Input Tab'!I12)/'[1]Input Tab'!I13</f>
        <v>-251914.39221055832</v>
      </c>
      <c r="M22" s="13">
        <f>('[1]Input Tab'!J12)/'[1]Input Tab'!J13</f>
        <v>-251914.39221055832</v>
      </c>
      <c r="N22" s="13">
        <f>('[1]Input Tab'!K12)/'[1]Input Tab'!K13</f>
        <v>-251914.39221055832</v>
      </c>
      <c r="O22" s="13">
        <f>('[1]Input Tab'!L12)/'[1]Input Tab'!L13</f>
        <v>-251914.39221055832</v>
      </c>
      <c r="P22" s="13">
        <f>('[1]Input Tab'!M12)/'[1]Input Tab'!M13</f>
        <v>-251914.39221055832</v>
      </c>
      <c r="Q22" s="13">
        <f>('[1]Input Tab'!N12)/'[1]Input Tab'!N13</f>
        <v>-251914.39221055832</v>
      </c>
      <c r="R22" s="14"/>
    </row>
    <row r="23" spans="1:19" ht="20.25" customHeight="1">
      <c r="A23" s="3">
        <f>A22+1</f>
        <v>17</v>
      </c>
      <c r="B23" s="10" t="s">
        <v>17</v>
      </c>
      <c r="C23" s="10"/>
      <c r="D23" s="178">
        <f>SUM(D15:E22)</f>
        <v>82409029.254526079</v>
      </c>
      <c r="E23" s="178"/>
      <c r="F23" s="18">
        <f>SUM(F15:F22)</f>
        <v>18199664.357789442</v>
      </c>
      <c r="G23" s="18">
        <f t="shared" ref="G23:Q23" si="7">SUM(G15:G22)</f>
        <v>17200889.267789442</v>
      </c>
      <c r="H23" s="18">
        <f t="shared" si="7"/>
        <v>15081708.10778944</v>
      </c>
      <c r="I23" s="18">
        <f t="shared" si="7"/>
        <v>10233295.45778944</v>
      </c>
      <c r="J23" s="18">
        <f t="shared" si="7"/>
        <v>6111472.7777894428</v>
      </c>
      <c r="K23" s="18">
        <f t="shared" si="7"/>
        <v>5882704.8877894422</v>
      </c>
      <c r="L23" s="18">
        <f t="shared" si="7"/>
        <v>9699294.3977894429</v>
      </c>
      <c r="M23" s="18">
        <f t="shared" si="7"/>
        <v>14547926.477789443</v>
      </c>
      <c r="N23" s="18">
        <f t="shared" si="7"/>
        <v>12481352.76778944</v>
      </c>
      <c r="O23" s="18">
        <f t="shared" si="7"/>
        <v>13261866.29778944</v>
      </c>
      <c r="P23" s="18">
        <f t="shared" si="7"/>
        <v>16244123.547789441</v>
      </c>
      <c r="Q23" s="18">
        <f t="shared" si="7"/>
        <v>16930994.577789441</v>
      </c>
      <c r="R23" s="14"/>
    </row>
    <row r="24" spans="1:19" ht="28.5" customHeight="1">
      <c r="A24" s="3">
        <f t="shared" si="6"/>
        <v>18</v>
      </c>
      <c r="B24" s="10" t="s">
        <v>18</v>
      </c>
      <c r="C24" s="10"/>
      <c r="D24" s="182">
        <f>SUM(F24:L24)</f>
        <v>21403849.829373904</v>
      </c>
      <c r="E24" s="182" t="str">
        <f t="shared" ref="E24:Q24" si="8">IF(E13=0," ",E13-E23)</f>
        <v xml:space="preserve"> </v>
      </c>
      <c r="F24" s="18">
        <f t="shared" si="8"/>
        <v>-3928707.4831894413</v>
      </c>
      <c r="G24" s="18">
        <f t="shared" si="8"/>
        <v>-4485145.3707894422</v>
      </c>
      <c r="H24" s="18">
        <f t="shared" si="8"/>
        <v>-10274.074689440429</v>
      </c>
      <c r="I24" s="18">
        <f t="shared" si="8"/>
        <v>2908152.9703105595</v>
      </c>
      <c r="J24" s="18">
        <f t="shared" si="8"/>
        <v>-702344.366489443</v>
      </c>
      <c r="K24" s="18">
        <f t="shared" si="8"/>
        <v>13605221.289010555</v>
      </c>
      <c r="L24" s="18">
        <f t="shared" si="8"/>
        <v>14016946.865210557</v>
      </c>
      <c r="M24" s="18" t="str">
        <f t="shared" si="8"/>
        <v xml:space="preserve"> </v>
      </c>
      <c r="N24" s="18" t="str">
        <f t="shared" si="8"/>
        <v xml:space="preserve"> </v>
      </c>
      <c r="O24" s="18" t="str">
        <f t="shared" si="8"/>
        <v xml:space="preserve"> </v>
      </c>
      <c r="P24" s="18" t="str">
        <f t="shared" si="8"/>
        <v xml:space="preserve"> </v>
      </c>
      <c r="Q24" s="18" t="str">
        <f t="shared" si="8"/>
        <v xml:space="preserve"> </v>
      </c>
    </row>
    <row r="25" spans="1:19" ht="26.25" customHeight="1">
      <c r="A25" s="3">
        <f t="shared" si="6"/>
        <v>19</v>
      </c>
      <c r="B25" s="19" t="s">
        <v>19</v>
      </c>
      <c r="C25" s="19"/>
      <c r="D25" s="183">
        <f>SUM(F25:Q25)</f>
        <v>-2010207</v>
      </c>
      <c r="E25" s="183"/>
      <c r="F25" s="20">
        <f>'WA Monthly'!E140</f>
        <v>432811</v>
      </c>
      <c r="G25" s="20">
        <f>'WA Monthly'!F140</f>
        <v>-525048</v>
      </c>
      <c r="H25" s="20">
        <f>'WA Monthly'!G140</f>
        <v>-523916</v>
      </c>
      <c r="I25" s="20">
        <f>'WA Monthly'!H140</f>
        <v>-475697</v>
      </c>
      <c r="J25" s="20">
        <f>'WA Monthly'!I140</f>
        <v>-550303</v>
      </c>
      <c r="K25" s="20">
        <f>'WA Monthly'!J140</f>
        <v>-649665</v>
      </c>
      <c r="L25" s="20">
        <f>'WA Monthly'!K140</f>
        <v>281611</v>
      </c>
      <c r="M25" s="20" t="str">
        <f>'WA Monthly'!L140</f>
        <v xml:space="preserve"> </v>
      </c>
      <c r="N25" s="20" t="str">
        <f>'WA Monthly'!M140</f>
        <v xml:space="preserve"> </v>
      </c>
      <c r="O25" s="20" t="str">
        <f>'WA Monthly'!N140</f>
        <v xml:space="preserve"> </v>
      </c>
      <c r="P25" s="20" t="str">
        <f>'WA Monthly'!O140</f>
        <v xml:space="preserve"> </v>
      </c>
      <c r="Q25" s="20" t="str">
        <f>'WA Monthly'!P140</f>
        <v xml:space="preserve"> </v>
      </c>
      <c r="S25" s="21"/>
    </row>
    <row r="26" spans="1:19" ht="19.5" customHeight="1">
      <c r="A26" s="3">
        <f>A25+1</f>
        <v>20</v>
      </c>
      <c r="B26" s="19" t="s">
        <v>20</v>
      </c>
      <c r="C26" s="19"/>
      <c r="D26" s="183">
        <f>SUM(F26:L26)</f>
        <v>19393642.829373904</v>
      </c>
      <c r="E26" s="183"/>
      <c r="F26" s="20">
        <f>+F24+F25</f>
        <v>-3495896.4831894413</v>
      </c>
      <c r="G26" s="20">
        <f t="shared" ref="G26:Q26" si="9">IF(G13=0,0,+G24+G25)</f>
        <v>-5010193.3707894422</v>
      </c>
      <c r="H26" s="20">
        <f t="shared" si="9"/>
        <v>-534190.07468944043</v>
      </c>
      <c r="I26" s="20">
        <f t="shared" si="9"/>
        <v>2432455.9703105595</v>
      </c>
      <c r="J26" s="20">
        <f t="shared" si="9"/>
        <v>-1252647.366489443</v>
      </c>
      <c r="K26" s="20">
        <f t="shared" si="9"/>
        <v>12955556.289010555</v>
      </c>
      <c r="L26" s="20">
        <f t="shared" si="9"/>
        <v>14298557.865210557</v>
      </c>
      <c r="M26" s="20">
        <f t="shared" si="9"/>
        <v>0</v>
      </c>
      <c r="N26" s="20">
        <f t="shared" si="9"/>
        <v>0</v>
      </c>
      <c r="O26" s="20">
        <f t="shared" si="9"/>
        <v>0</v>
      </c>
      <c r="P26" s="20">
        <f t="shared" si="9"/>
        <v>0</v>
      </c>
      <c r="Q26" s="20">
        <f t="shared" si="9"/>
        <v>0</v>
      </c>
    </row>
    <row r="27" spans="1:19" ht="18.75" customHeight="1">
      <c r="A27" s="3">
        <f t="shared" si="6"/>
        <v>21</v>
      </c>
      <c r="B27" s="1" t="s">
        <v>21</v>
      </c>
      <c r="D27" s="22"/>
      <c r="E27" s="22"/>
      <c r="F27" s="23">
        <f>'[1]Input Tab'!C13</f>
        <v>0.6573</v>
      </c>
      <c r="G27" s="23">
        <f>'[1]Input Tab'!D13</f>
        <v>0.6573</v>
      </c>
      <c r="H27" s="23">
        <f>'[1]Input Tab'!E13</f>
        <v>0.6573</v>
      </c>
      <c r="I27" s="23">
        <f>'[1]Input Tab'!F13</f>
        <v>0.6573</v>
      </c>
      <c r="J27" s="23">
        <f>'[1]Input Tab'!G13</f>
        <v>0.6573</v>
      </c>
      <c r="K27" s="23">
        <f>'[1]Input Tab'!H13</f>
        <v>0.6573</v>
      </c>
      <c r="L27" s="23">
        <f>'[1]Input Tab'!I13</f>
        <v>0.6573</v>
      </c>
      <c r="M27" s="23">
        <f>'[1]Input Tab'!J13</f>
        <v>0.6573</v>
      </c>
      <c r="N27" s="23">
        <f>'[1]Input Tab'!K13</f>
        <v>0.6573</v>
      </c>
      <c r="O27" s="23">
        <f>'[1]Input Tab'!L13</f>
        <v>0.6573</v>
      </c>
      <c r="P27" s="23">
        <f>'[1]Input Tab'!M13</f>
        <v>0.6573</v>
      </c>
      <c r="Q27" s="23">
        <f>'[1]Input Tab'!N13</f>
        <v>0.6573</v>
      </c>
    </row>
    <row r="28" spans="1:19" ht="20.25" customHeight="1">
      <c r="A28" s="3">
        <f t="shared" si="6"/>
        <v>22</v>
      </c>
      <c r="B28" s="1" t="s">
        <v>22</v>
      </c>
      <c r="D28" s="184">
        <f>SUM(F28:L28)</f>
        <v>12747441.431747466</v>
      </c>
      <c r="E28" s="184"/>
      <c r="F28" s="24">
        <f>+F26*F27</f>
        <v>-2297852.7584004197</v>
      </c>
      <c r="G28" s="24">
        <f>+G26*G27</f>
        <v>-3293200.1026199004</v>
      </c>
      <c r="H28" s="24">
        <f>+H26*H27</f>
        <v>-351123.13609336922</v>
      </c>
      <c r="I28" s="24">
        <f t="shared" ref="I28:Q28" si="10">+I26*I27</f>
        <v>1598853.3092851308</v>
      </c>
      <c r="J28" s="24">
        <f t="shared" si="10"/>
        <v>-823365.11399351084</v>
      </c>
      <c r="K28" s="24">
        <f t="shared" si="10"/>
        <v>8515687.1487666368</v>
      </c>
      <c r="L28" s="24">
        <f t="shared" si="10"/>
        <v>9398442.0848028995</v>
      </c>
      <c r="M28" s="24">
        <f t="shared" si="10"/>
        <v>0</v>
      </c>
      <c r="N28" s="24">
        <f t="shared" si="10"/>
        <v>0</v>
      </c>
      <c r="O28" s="24">
        <f t="shared" si="10"/>
        <v>0</v>
      </c>
      <c r="P28" s="24">
        <f t="shared" si="10"/>
        <v>0</v>
      </c>
      <c r="Q28" s="24">
        <f t="shared" si="10"/>
        <v>0</v>
      </c>
    </row>
    <row r="29" spans="1:19" ht="20.25" customHeight="1">
      <c r="A29" s="3">
        <f>A28+1</f>
        <v>23</v>
      </c>
      <c r="B29" s="1" t="s">
        <v>23</v>
      </c>
      <c r="D29" s="184">
        <f>SUM(F29:Q29)</f>
        <v>0</v>
      </c>
      <c r="E29" s="184"/>
      <c r="F29" s="24">
        <f>'WA Monthly'!E138</f>
        <v>0</v>
      </c>
      <c r="G29" s="24">
        <f>'WA Monthly'!F138</f>
        <v>0</v>
      </c>
      <c r="H29" s="24">
        <f>'WA Monthly'!G138</f>
        <v>0</v>
      </c>
      <c r="I29" s="24">
        <f>'WA Monthly'!H138</f>
        <v>0</v>
      </c>
      <c r="J29" s="24">
        <f>'WA Monthly'!I138</f>
        <v>0</v>
      </c>
      <c r="K29" s="24">
        <f>'WA Monthly'!J138</f>
        <v>0</v>
      </c>
      <c r="L29" s="24">
        <f>'WA Monthly'!K138</f>
        <v>0</v>
      </c>
      <c r="M29" s="24">
        <f>'WA Monthly'!L138</f>
        <v>0</v>
      </c>
      <c r="N29" s="24">
        <f>'WA Monthly'!M138</f>
        <v>0</v>
      </c>
      <c r="O29" s="24">
        <f>'WA Monthly'!N138</f>
        <v>0</v>
      </c>
      <c r="P29" s="24">
        <f>'WA Monthly'!O138</f>
        <v>0</v>
      </c>
      <c r="Q29" s="24">
        <f>'WA Monthly'!P138</f>
        <v>0</v>
      </c>
    </row>
    <row r="30" spans="1:19" ht="29.25" customHeight="1">
      <c r="A30" s="3">
        <f t="shared" si="6"/>
        <v>24</v>
      </c>
      <c r="B30" s="185" t="s">
        <v>24</v>
      </c>
      <c r="C30" s="185"/>
      <c r="D30" s="186">
        <f>SUM(F30:Q30)</f>
        <v>-1063978.90766</v>
      </c>
      <c r="E30" s="186"/>
      <c r="F30" s="25">
        <f>'WA RRC'!B19</f>
        <v>936469.8023399997</v>
      </c>
      <c r="G30" s="25">
        <f>'WA RRC'!C19</f>
        <v>68582.569999999992</v>
      </c>
      <c r="H30" s="25">
        <f>'WA RRC'!D19</f>
        <v>-204389.46</v>
      </c>
      <c r="I30" s="25">
        <f>'WA RRC'!E19</f>
        <v>260331.25</v>
      </c>
      <c r="J30" s="25">
        <f>'WA RRC'!F19</f>
        <v>143648.51999999999</v>
      </c>
      <c r="K30" s="25">
        <f>'WA RRC'!G19</f>
        <v>-1252107.29</v>
      </c>
      <c r="L30" s="25">
        <f>'WA RRC'!H19</f>
        <v>-1016514.2999999999</v>
      </c>
      <c r="M30" s="25" t="str">
        <f>'WA RRC'!I19</f>
        <v xml:space="preserve"> </v>
      </c>
      <c r="N30" s="25" t="str">
        <f>'WA RRC'!J19</f>
        <v xml:space="preserve"> </v>
      </c>
      <c r="O30" s="25" t="str">
        <f>'WA RRC'!K19</f>
        <v xml:space="preserve"> </v>
      </c>
      <c r="P30" s="25" t="str">
        <f>'WA RRC'!L19</f>
        <v xml:space="preserve"> </v>
      </c>
      <c r="Q30" s="25" t="str">
        <f>'WA RRC'!M19</f>
        <v xml:space="preserve"> </v>
      </c>
    </row>
    <row r="31" spans="1:19" ht="27" customHeight="1">
      <c r="A31" s="3">
        <f t="shared" si="6"/>
        <v>25</v>
      </c>
      <c r="B31" s="187" t="s">
        <v>25</v>
      </c>
      <c r="C31" s="187"/>
      <c r="D31" s="27">
        <f>SUM(F31:L31)</f>
        <v>11683462.524087466</v>
      </c>
      <c r="E31" s="27"/>
      <c r="F31" s="26">
        <f>IF(F13=0," ",F28+F30+F29)</f>
        <v>-1361382.95606042</v>
      </c>
      <c r="G31" s="26">
        <f t="shared" ref="G31:Q31" si="11">IF(G13=0," ",G28+G30+G29)</f>
        <v>-3224617.5326199005</v>
      </c>
      <c r="H31" s="26">
        <f t="shared" si="11"/>
        <v>-555512.59609336918</v>
      </c>
      <c r="I31" s="26">
        <f t="shared" si="11"/>
        <v>1859184.5592851308</v>
      </c>
      <c r="J31" s="26">
        <f t="shared" si="11"/>
        <v>-679716.59399351082</v>
      </c>
      <c r="K31" s="26">
        <f t="shared" si="11"/>
        <v>7263579.8587666368</v>
      </c>
      <c r="L31" s="26">
        <f t="shared" si="11"/>
        <v>8381927.7848028997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3">
        <f t="shared" si="6"/>
        <v>26</v>
      </c>
      <c r="B32" s="188" t="s">
        <v>26</v>
      </c>
      <c r="C32" s="188"/>
      <c r="D32" s="27"/>
      <c r="E32" s="27"/>
      <c r="F32" s="26"/>
      <c r="G32" s="26"/>
      <c r="H32" s="26"/>
      <c r="I32" s="26"/>
      <c r="J32" s="26"/>
      <c r="K32" s="26"/>
      <c r="L32" s="28">
        <v>0</v>
      </c>
      <c r="M32" s="26"/>
      <c r="N32" s="26"/>
      <c r="O32" s="26"/>
      <c r="P32" s="26"/>
      <c r="Q32" s="26"/>
    </row>
    <row r="33" spans="1:19" ht="28.5" customHeight="1">
      <c r="A33" s="3">
        <f t="shared" si="6"/>
        <v>27</v>
      </c>
      <c r="B33" s="10" t="s">
        <v>27</v>
      </c>
      <c r="C33" s="10"/>
      <c r="D33" s="29"/>
      <c r="E33" s="29"/>
      <c r="F33" s="30">
        <f>IF(F13=0," ",F31)</f>
        <v>-1361382.95606042</v>
      </c>
      <c r="G33" s="30">
        <f t="shared" ref="G33:Q33" si="12">IF(G13=0," ",+F33+G31)</f>
        <v>-4586000.4886803208</v>
      </c>
      <c r="H33" s="30">
        <f t="shared" si="12"/>
        <v>-5141513.0847736895</v>
      </c>
      <c r="I33" s="30">
        <f t="shared" si="12"/>
        <v>-3282328.5254885587</v>
      </c>
      <c r="J33" s="30">
        <f t="shared" si="12"/>
        <v>-3962045.1194820693</v>
      </c>
      <c r="K33" s="30">
        <f t="shared" si="12"/>
        <v>3301534.7392845675</v>
      </c>
      <c r="L33" s="30">
        <f t="shared" si="12"/>
        <v>11683462.524087466</v>
      </c>
      <c r="M33" s="30" t="str">
        <f t="shared" si="12"/>
        <v xml:space="preserve"> </v>
      </c>
      <c r="N33" s="30" t="str">
        <f t="shared" si="12"/>
        <v xml:space="preserve"> </v>
      </c>
      <c r="O33" s="30" t="str">
        <f t="shared" si="12"/>
        <v xml:space="preserve"> </v>
      </c>
      <c r="P33" s="30" t="str">
        <f t="shared" si="12"/>
        <v xml:space="preserve"> </v>
      </c>
      <c r="Q33" s="30" t="str">
        <f t="shared" si="12"/>
        <v xml:space="preserve"> </v>
      </c>
      <c r="R33" s="21"/>
    </row>
    <row r="34" spans="1:19" ht="30.75" hidden="1" customHeight="1" outlineLevel="1">
      <c r="A34" s="1" t="s">
        <v>28</v>
      </c>
      <c r="B34" s="31">
        <v>10000000</v>
      </c>
      <c r="C34" s="32" t="s">
        <v>29</v>
      </c>
      <c r="D34" s="33">
        <v>0.9</v>
      </c>
      <c r="E34" s="33">
        <v>0.9</v>
      </c>
      <c r="F34" s="22">
        <f t="shared" ref="F34:Q34" si="13">IF(F13=0," ",IF(ABS(F$33)&lt;$B34,0,(ABS(F$33)-$B34)*SIGN(F$33)))</f>
        <v>0</v>
      </c>
      <c r="G34" s="22">
        <f t="shared" si="13"/>
        <v>0</v>
      </c>
      <c r="H34" s="22">
        <f t="shared" si="13"/>
        <v>0</v>
      </c>
      <c r="I34" s="22">
        <f t="shared" si="13"/>
        <v>0</v>
      </c>
      <c r="J34" s="22">
        <f t="shared" si="13"/>
        <v>0</v>
      </c>
      <c r="K34" s="22">
        <f t="shared" si="13"/>
        <v>0</v>
      </c>
      <c r="L34" s="22">
        <f t="shared" si="13"/>
        <v>1683462.5240874663</v>
      </c>
      <c r="M34" s="22" t="str">
        <f t="shared" si="13"/>
        <v xml:space="preserve"> </v>
      </c>
      <c r="N34" s="22" t="str">
        <f t="shared" si="13"/>
        <v xml:space="preserve"> </v>
      </c>
      <c r="O34" s="22" t="str">
        <f t="shared" si="13"/>
        <v xml:space="preserve"> </v>
      </c>
      <c r="P34" s="22" t="str">
        <f t="shared" si="13"/>
        <v xml:space="preserve"> </v>
      </c>
      <c r="Q34" s="22" t="str">
        <f t="shared" si="13"/>
        <v xml:space="preserve"> </v>
      </c>
      <c r="R34" s="34"/>
      <c r="S34" s="35"/>
    </row>
    <row r="35" spans="1:19" ht="19.5" hidden="1" customHeight="1" outlineLevel="1">
      <c r="A35" s="1" t="s">
        <v>28</v>
      </c>
      <c r="B35" s="31">
        <v>4000000</v>
      </c>
      <c r="C35" s="32" t="str">
        <f>"to "&amp;TEXT(B34,"$#,##0,,")&amp;"M"</f>
        <v>to $10M</v>
      </c>
      <c r="D35" s="33">
        <v>0.5</v>
      </c>
      <c r="E35" s="33">
        <v>0.75</v>
      </c>
      <c r="F35" s="22">
        <f t="shared" ref="F35:Q35" si="14">IF(F13=0," ",IF(ABS(F$33)&lt;$B35,0,MIN($B$34-$B$35,ABS(F$33)-$B35)*SIGN(F$33)))</f>
        <v>0</v>
      </c>
      <c r="G35" s="22">
        <f t="shared" si="14"/>
        <v>-586000.48868032079</v>
      </c>
      <c r="H35" s="22">
        <f t="shared" si="14"/>
        <v>-1141513.0847736895</v>
      </c>
      <c r="I35" s="22">
        <f t="shared" si="14"/>
        <v>0</v>
      </c>
      <c r="J35" s="22">
        <f t="shared" si="14"/>
        <v>0</v>
      </c>
      <c r="K35" s="22">
        <f t="shared" si="14"/>
        <v>0</v>
      </c>
      <c r="L35" s="22">
        <f t="shared" si="14"/>
        <v>6000000</v>
      </c>
      <c r="M35" s="22" t="str">
        <f t="shared" si="14"/>
        <v xml:space="preserve"> </v>
      </c>
      <c r="N35" s="22" t="str">
        <f t="shared" si="14"/>
        <v xml:space="preserve"> </v>
      </c>
      <c r="O35" s="22" t="str">
        <f t="shared" si="14"/>
        <v xml:space="preserve"> </v>
      </c>
      <c r="P35" s="22" t="str">
        <f t="shared" si="14"/>
        <v xml:space="preserve"> </v>
      </c>
      <c r="Q35" s="22" t="str">
        <f t="shared" si="14"/>
        <v xml:space="preserve"> </v>
      </c>
      <c r="R35" s="34"/>
      <c r="S35" s="35"/>
    </row>
    <row r="36" spans="1:19" ht="21.75" hidden="1" customHeight="1" outlineLevel="1">
      <c r="A36" s="1" t="s">
        <v>28</v>
      </c>
      <c r="B36" s="31">
        <v>0</v>
      </c>
      <c r="C36" s="32" t="str">
        <f>"to "&amp;TEXT(B35,"$#,##0,,")&amp;"M"</f>
        <v>to $4M</v>
      </c>
      <c r="D36" s="33">
        <v>0</v>
      </c>
      <c r="E36" s="33">
        <v>0</v>
      </c>
      <c r="F36" s="22">
        <f t="shared" ref="F36:Q36" si="15">IF(F13=0," ",IF(ABS(F$33)&lt;$B36,0,MIN($B$35-$B$36,ABS(F$33)-$B36)*SIGN(F$33)))</f>
        <v>-1361382.95606042</v>
      </c>
      <c r="G36" s="22">
        <f t="shared" si="15"/>
        <v>-4000000</v>
      </c>
      <c r="H36" s="22">
        <f t="shared" si="15"/>
        <v>-4000000</v>
      </c>
      <c r="I36" s="22">
        <f t="shared" si="15"/>
        <v>-3282328.5254885587</v>
      </c>
      <c r="J36" s="22">
        <f t="shared" si="15"/>
        <v>-3962045.1194820693</v>
      </c>
      <c r="K36" s="22">
        <f t="shared" si="15"/>
        <v>3301534.7392845675</v>
      </c>
      <c r="L36" s="22">
        <f t="shared" si="15"/>
        <v>4000000</v>
      </c>
      <c r="M36" s="22" t="str">
        <f t="shared" si="15"/>
        <v xml:space="preserve"> </v>
      </c>
      <c r="N36" s="22" t="str">
        <f t="shared" si="15"/>
        <v xml:space="preserve"> </v>
      </c>
      <c r="O36" s="22" t="str">
        <f t="shared" si="15"/>
        <v xml:space="preserve"> </v>
      </c>
      <c r="P36" s="22" t="str">
        <f t="shared" si="15"/>
        <v xml:space="preserve"> </v>
      </c>
      <c r="Q36" s="22" t="str">
        <f t="shared" si="15"/>
        <v xml:space="preserve"> </v>
      </c>
      <c r="R36" s="34"/>
    </row>
    <row r="37" spans="1:19" ht="15.95" hidden="1" customHeight="1" outlineLevel="1">
      <c r="A37" s="1"/>
      <c r="B37" s="36"/>
      <c r="C37" s="1" t="s">
        <v>30</v>
      </c>
      <c r="D37" s="37"/>
      <c r="E37" s="37"/>
      <c r="F37" s="21">
        <f t="shared" ref="F37:Q37" si="16">IF(F13=0," ",SUM(F34:F36)-F33)</f>
        <v>0</v>
      </c>
      <c r="G37" s="21">
        <f t="shared" si="16"/>
        <v>0</v>
      </c>
      <c r="H37" s="21">
        <f t="shared" si="16"/>
        <v>0</v>
      </c>
      <c r="I37" s="21">
        <f t="shared" si="16"/>
        <v>0</v>
      </c>
      <c r="J37" s="21">
        <f t="shared" si="16"/>
        <v>0</v>
      </c>
      <c r="K37" s="21">
        <f t="shared" si="16"/>
        <v>0</v>
      </c>
      <c r="L37" s="21">
        <f t="shared" si="16"/>
        <v>0</v>
      </c>
      <c r="M37" s="21" t="str">
        <f t="shared" si="16"/>
        <v xml:space="preserve"> </v>
      </c>
      <c r="N37" s="21" t="str">
        <f t="shared" si="16"/>
        <v xml:space="preserve"> </v>
      </c>
      <c r="O37" s="21" t="str">
        <f t="shared" si="16"/>
        <v xml:space="preserve"> </v>
      </c>
      <c r="P37" s="21" t="str">
        <f t="shared" si="16"/>
        <v xml:space="preserve"> </v>
      </c>
      <c r="Q37" s="21" t="str">
        <f t="shared" si="16"/>
        <v xml:space="preserve"> </v>
      </c>
      <c r="R37" s="38"/>
    </row>
    <row r="38" spans="1:19" ht="23.25" customHeight="1" collapsed="1">
      <c r="A38" s="1" t="s">
        <v>31</v>
      </c>
      <c r="D38" s="39"/>
      <c r="E38" s="39"/>
      <c r="F38" s="22">
        <f t="shared" ref="F38:Q38" si="17">IF(F13=0," ",SUMPRODUCT(IF(F33&gt;0,$D$34:$D$36,$E$34:$E$36),F34:F36))</f>
        <v>0</v>
      </c>
      <c r="G38" s="22">
        <f t="shared" si="17"/>
        <v>-439500.36651024059</v>
      </c>
      <c r="H38" s="22">
        <f t="shared" si="17"/>
        <v>-856134.81358026713</v>
      </c>
      <c r="I38" s="22">
        <f t="shared" si="17"/>
        <v>0</v>
      </c>
      <c r="J38" s="22">
        <f t="shared" si="17"/>
        <v>0</v>
      </c>
      <c r="K38" s="22">
        <f t="shared" si="17"/>
        <v>0</v>
      </c>
      <c r="L38" s="22">
        <f t="shared" si="17"/>
        <v>4515116.2716787197</v>
      </c>
      <c r="M38" s="22" t="str">
        <f t="shared" si="17"/>
        <v xml:space="preserve"> </v>
      </c>
      <c r="N38" s="22" t="str">
        <f t="shared" si="17"/>
        <v xml:space="preserve"> </v>
      </c>
      <c r="O38" s="22" t="str">
        <f t="shared" si="17"/>
        <v xml:space="preserve"> </v>
      </c>
      <c r="P38" s="22" t="str">
        <f t="shared" si="17"/>
        <v xml:space="preserve"> </v>
      </c>
      <c r="Q38" s="22" t="str">
        <f t="shared" si="17"/>
        <v xml:space="preserve"> </v>
      </c>
      <c r="R38" s="34" t="s">
        <v>32</v>
      </c>
    </row>
    <row r="39" spans="1:19" ht="20.25" customHeight="1">
      <c r="A39" s="1" t="s">
        <v>33</v>
      </c>
      <c r="F39" s="22">
        <f>IF(F13=0," ",F38-D38)</f>
        <v>0</v>
      </c>
      <c r="G39" s="22">
        <f t="shared" ref="G39:Q39" si="18">IF(G13=0," ",G38-F38)</f>
        <v>-439500.36651024059</v>
      </c>
      <c r="H39" s="22">
        <f t="shared" si="18"/>
        <v>-416634.44707002654</v>
      </c>
      <c r="I39" s="22">
        <f t="shared" si="18"/>
        <v>856134.81358026713</v>
      </c>
      <c r="J39" s="22">
        <f t="shared" si="18"/>
        <v>0</v>
      </c>
      <c r="K39" s="22">
        <f t="shared" si="18"/>
        <v>0</v>
      </c>
      <c r="L39" s="22">
        <f t="shared" si="18"/>
        <v>4515116.2716787197</v>
      </c>
      <c r="M39" s="22" t="str">
        <f t="shared" si="18"/>
        <v xml:space="preserve"> </v>
      </c>
      <c r="N39" s="22" t="str">
        <f t="shared" si="18"/>
        <v xml:space="preserve"> </v>
      </c>
      <c r="O39" s="22" t="str">
        <f t="shared" si="18"/>
        <v xml:space="preserve"> </v>
      </c>
      <c r="P39" s="22" t="str">
        <f t="shared" si="18"/>
        <v xml:space="preserve"> </v>
      </c>
      <c r="Q39" s="22" t="str">
        <f t="shared" si="18"/>
        <v xml:space="preserve"> </v>
      </c>
      <c r="R39" s="38"/>
    </row>
    <row r="40" spans="1:19" ht="24.75" customHeight="1">
      <c r="A40" s="188" t="s">
        <v>34</v>
      </c>
      <c r="B40" s="188"/>
      <c r="C40" s="188"/>
      <c r="D40" s="27">
        <f>SUM(F40:L40)</f>
        <v>-4515116.2716787197</v>
      </c>
      <c r="E40" s="27"/>
      <c r="F40" s="40">
        <f t="shared" ref="F40:Q40" si="19">IF(F13=0," ",-F39)</f>
        <v>0</v>
      </c>
      <c r="G40" s="40">
        <f t="shared" si="19"/>
        <v>439500.36651024059</v>
      </c>
      <c r="H40" s="40">
        <f t="shared" si="19"/>
        <v>416634.44707002654</v>
      </c>
      <c r="I40" s="40">
        <f t="shared" si="19"/>
        <v>-856134.81358026713</v>
      </c>
      <c r="J40" s="40">
        <f t="shared" si="19"/>
        <v>0</v>
      </c>
      <c r="K40" s="40">
        <f t="shared" si="19"/>
        <v>0</v>
      </c>
      <c r="L40" s="40">
        <f t="shared" si="19"/>
        <v>-4515116.2716787197</v>
      </c>
      <c r="M40" s="40" t="str">
        <f t="shared" si="19"/>
        <v xml:space="preserve"> </v>
      </c>
      <c r="N40" s="40" t="str">
        <f t="shared" si="19"/>
        <v xml:space="preserve"> </v>
      </c>
      <c r="O40" s="40" t="str">
        <f t="shared" si="19"/>
        <v xml:space="preserve"> </v>
      </c>
      <c r="P40" s="40" t="str">
        <f t="shared" si="19"/>
        <v xml:space="preserve"> </v>
      </c>
      <c r="Q40" s="40" t="str">
        <f t="shared" si="19"/>
        <v xml:space="preserve"> </v>
      </c>
      <c r="R40" s="34"/>
    </row>
    <row r="41" spans="1:19" ht="26.25" customHeight="1" thickBot="1">
      <c r="A41" s="189" t="s">
        <v>35</v>
      </c>
      <c r="B41" s="189"/>
      <c r="C41" s="189"/>
      <c r="D41" s="41"/>
      <c r="E41" s="41"/>
      <c r="F41" s="42">
        <f t="shared" ref="F41:Q41" si="20">IF(F13=0," ",F33-F38)</f>
        <v>-1361382.95606042</v>
      </c>
      <c r="G41" s="42">
        <f t="shared" si="20"/>
        <v>-4146500.1221700804</v>
      </c>
      <c r="H41" s="42">
        <f t="shared" si="20"/>
        <v>-4285378.2711934224</v>
      </c>
      <c r="I41" s="42">
        <f t="shared" si="20"/>
        <v>-3282328.5254885587</v>
      </c>
      <c r="J41" s="42">
        <f t="shared" si="20"/>
        <v>-3962045.1194820693</v>
      </c>
      <c r="K41" s="42">
        <f t="shared" si="20"/>
        <v>3301534.7392845675</v>
      </c>
      <c r="L41" s="42">
        <f t="shared" si="20"/>
        <v>7168346.2524087466</v>
      </c>
      <c r="M41" s="42" t="str">
        <f t="shared" si="20"/>
        <v xml:space="preserve"> </v>
      </c>
      <c r="N41" s="42" t="str">
        <f t="shared" si="20"/>
        <v xml:space="preserve"> </v>
      </c>
      <c r="O41" s="42" t="str">
        <f t="shared" si="20"/>
        <v xml:space="preserve"> </v>
      </c>
      <c r="P41" s="42" t="str">
        <f t="shared" si="20"/>
        <v xml:space="preserve"> </v>
      </c>
      <c r="Q41" s="42" t="str">
        <f t="shared" si="20"/>
        <v xml:space="preserve"> </v>
      </c>
      <c r="R41" s="1" t="s">
        <v>36</v>
      </c>
    </row>
    <row r="42" spans="1:19" ht="13.5" thickTop="1">
      <c r="A42" s="43"/>
    </row>
    <row r="43" spans="1:19" ht="13.15">
      <c r="E43" s="44"/>
      <c r="F43" s="45" t="s">
        <v>37</v>
      </c>
      <c r="Q43" s="22"/>
      <c r="R43" s="21"/>
    </row>
    <row r="44" spans="1:19" ht="13.15">
      <c r="E44" s="46"/>
      <c r="F44"/>
      <c r="H44" s="47"/>
      <c r="I44" s="47"/>
      <c r="J44" s="47"/>
      <c r="K44" s="47"/>
      <c r="Q44" s="48"/>
      <c r="R44" s="21"/>
    </row>
    <row r="45" spans="1:19" ht="13.15">
      <c r="E45" s="44"/>
      <c r="F45" s="49"/>
      <c r="H45" s="47"/>
      <c r="I45" s="47"/>
      <c r="J45" s="47"/>
      <c r="K45" s="47"/>
      <c r="Q45" s="48"/>
      <c r="R45" s="21"/>
    </row>
    <row r="46" spans="1:19">
      <c r="H46" s="47"/>
      <c r="I46" s="47"/>
      <c r="J46" s="47"/>
      <c r="K46" s="47"/>
    </row>
    <row r="47" spans="1:19">
      <c r="F47" s="50"/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  <c r="Q48" s="21"/>
    </row>
    <row r="49" spans="8:11">
      <c r="H49" s="47"/>
      <c r="I49" s="47"/>
      <c r="J49" s="47"/>
      <c r="K49" s="47"/>
    </row>
    <row r="50" spans="8:11">
      <c r="H50" s="47"/>
      <c r="I50" s="47"/>
      <c r="J50" s="47"/>
      <c r="K50" s="47"/>
    </row>
    <row r="51" spans="8:11">
      <c r="H51" s="47"/>
      <c r="I51" s="47"/>
      <c r="J51" s="47"/>
      <c r="K51" s="47"/>
    </row>
    <row r="55" spans="8:11" ht="12.75" hidden="1" customHeight="1"/>
    <row r="56" spans="8:11" ht="12.75" hidden="1" customHeight="1"/>
    <row r="57" spans="8:11" ht="12.75" hidden="1" customHeight="1"/>
    <row r="58" spans="8:11" ht="12.75" hidden="1" customHeight="1"/>
    <row r="59" spans="8:11" ht="12.75" hidden="1" customHeight="1"/>
    <row r="60" spans="8:11" ht="12.75" hidden="1" customHeight="1"/>
    <row r="61" spans="8:11" ht="12.75" hidden="1" customHeight="1"/>
    <row r="62" spans="8:11" ht="12.75" hidden="1" customHeight="1"/>
    <row r="63" spans="8:11" ht="12.75" hidden="1" customHeight="1"/>
    <row r="64" spans="8:11" ht="12.75" hidden="1" customHeight="1"/>
    <row r="65" s="3" customFormat="1" ht="12.75" hidden="1" customHeight="1"/>
    <row r="66" s="3" customFormat="1" ht="12.75" hidden="1" customHeight="1"/>
    <row r="67" s="3" customFormat="1" ht="12.75" hidden="1" customHeight="1"/>
    <row r="68" s="3" customFormat="1" ht="12.75" hidden="1" customHeight="1"/>
    <row r="69" s="3" customFormat="1" ht="12.75" hidden="1" customHeight="1"/>
    <row r="70" s="3" customFormat="1" ht="12.75" hidden="1" customHeight="1"/>
    <row r="71" s="3" customFormat="1" ht="12.75" hidden="1" customHeight="1"/>
    <row r="72" s="3" customFormat="1" ht="12.75" hidden="1" customHeight="1"/>
    <row r="73" s="3" customFormat="1" ht="12.75" hidden="1" customHeight="1"/>
    <row r="74" s="3" customFormat="1" ht="12.75" hidden="1" customHeight="1"/>
    <row r="75" s="3" customFormat="1" ht="12.75" hidden="1" customHeight="1"/>
    <row r="76" s="3" customFormat="1" ht="12.75" hidden="1" customHeight="1"/>
    <row r="77" s="3" customFormat="1" ht="12.75" hidden="1" customHeight="1"/>
    <row r="78" s="3" customFormat="1" ht="12.75" hidden="1" customHeight="1"/>
    <row r="79" s="3" customFormat="1" ht="12.75" hidden="1" customHeight="1"/>
    <row r="80" s="3" customFormat="1" ht="12.75" hidden="1" customHeight="1"/>
    <row r="81" s="3" customFormat="1" ht="12.75" hidden="1" customHeight="1"/>
    <row r="82" s="3" customFormat="1" ht="12.75" hidden="1" customHeight="1"/>
    <row r="83" s="3" customFormat="1" ht="12.75" hidden="1" customHeight="1"/>
    <row r="84" s="3" customFormat="1" ht="12.75" hidden="1" customHeight="1"/>
    <row r="85" s="3" customFormat="1" ht="12.75" hidden="1" customHeight="1"/>
    <row r="86" s="3" customFormat="1" ht="12.75" hidden="1" customHeight="1"/>
    <row r="87" s="3" customFormat="1" ht="12.75" hidden="1" customHeight="1"/>
    <row r="88" s="3" customFormat="1" ht="12.75" hidden="1" customHeight="1"/>
    <row r="89" s="3" customFormat="1" ht="12.75" hidden="1" customHeight="1"/>
  </sheetData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64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EACB-7945-49C5-A376-8F7ECA4E52E8}">
  <sheetPr>
    <tabColor theme="8" tint="-0.249977111117893"/>
  </sheetPr>
  <dimension ref="A1:T501"/>
  <sheetViews>
    <sheetView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6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3.15">
      <c r="A2" s="190" t="s">
        <v>38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3.15">
      <c r="A5" s="53" t="s">
        <v>3</v>
      </c>
      <c r="C5" t="s">
        <v>39</v>
      </c>
      <c r="D5" s="54" t="s">
        <v>5</v>
      </c>
      <c r="E5" s="7">
        <v>44227</v>
      </c>
      <c r="F5" s="7">
        <f t="shared" ref="F5:P5" si="0">EOMONTH(E5,1)</f>
        <v>44255</v>
      </c>
      <c r="G5" s="7">
        <f t="shared" si="0"/>
        <v>44286</v>
      </c>
      <c r="H5" s="7">
        <f t="shared" si="0"/>
        <v>44316</v>
      </c>
      <c r="I5" s="7">
        <f t="shared" si="0"/>
        <v>44347</v>
      </c>
      <c r="J5" s="7">
        <f t="shared" si="0"/>
        <v>44377</v>
      </c>
      <c r="K5" s="7">
        <f t="shared" si="0"/>
        <v>44408</v>
      </c>
      <c r="L5" s="7">
        <f t="shared" si="0"/>
        <v>44439</v>
      </c>
      <c r="M5" s="7">
        <f t="shared" si="0"/>
        <v>44469</v>
      </c>
      <c r="N5" s="7">
        <f t="shared" si="0"/>
        <v>44500</v>
      </c>
      <c r="O5" s="7">
        <f t="shared" si="0"/>
        <v>44530</v>
      </c>
      <c r="P5" s="7">
        <f t="shared" si="0"/>
        <v>44561</v>
      </c>
      <c r="Q5" s="55"/>
      <c r="R5" s="7" t="s">
        <v>40</v>
      </c>
    </row>
    <row r="6" spans="1:18" ht="13.15">
      <c r="A6" s="51"/>
      <c r="B6" s="56" t="s">
        <v>41</v>
      </c>
      <c r="C6" s="57"/>
    </row>
    <row r="7" spans="1:18">
      <c r="A7" s="51">
        <f>A6+1</f>
        <v>1</v>
      </c>
      <c r="B7" s="1" t="s">
        <v>42</v>
      </c>
      <c r="C7" s="2"/>
      <c r="D7" s="58">
        <f>SUM(E7:P7)</f>
        <v>23610038.493900001</v>
      </c>
      <c r="E7" s="58">
        <f>E24-SUM(E8:E23)</f>
        <v>1760596.9146000016</v>
      </c>
      <c r="F7" s="58">
        <f t="shared" ref="F7:P7" si="1">F24-SUM(F8:F23)</f>
        <v>1547991.0669999998</v>
      </c>
      <c r="G7" s="58">
        <f t="shared" si="1"/>
        <v>3311009.1330999993</v>
      </c>
      <c r="H7" s="58">
        <f t="shared" si="1"/>
        <v>2206989.4280999973</v>
      </c>
      <c r="I7" s="58">
        <f t="shared" si="1"/>
        <v>1289391.0912999995</v>
      </c>
      <c r="J7" s="58">
        <f t="shared" si="1"/>
        <v>7105736.3367999997</v>
      </c>
      <c r="K7" s="58">
        <f t="shared" si="1"/>
        <v>6388324.523000001</v>
      </c>
      <c r="L7" s="58">
        <f t="shared" si="1"/>
        <v>0</v>
      </c>
      <c r="M7" s="58">
        <f t="shared" si="1"/>
        <v>0</v>
      </c>
      <c r="N7" s="58">
        <f t="shared" si="1"/>
        <v>0</v>
      </c>
      <c r="O7" s="58">
        <f t="shared" si="1"/>
        <v>0</v>
      </c>
      <c r="P7" s="58">
        <f t="shared" si="1"/>
        <v>0</v>
      </c>
      <c r="Q7" s="59"/>
      <c r="R7" s="60">
        <f t="shared" ref="R7:R23" si="2">SUM(E7:P7)</f>
        <v>23610038.493900001</v>
      </c>
    </row>
    <row r="8" spans="1:18">
      <c r="A8" s="51">
        <v>2</v>
      </c>
      <c r="B8" s="61" t="s">
        <v>43</v>
      </c>
      <c r="C8" s="62">
        <v>100096</v>
      </c>
      <c r="D8" s="58">
        <f t="shared" ref="D8:D23" si="3">SUM(E8:P8)</f>
        <v>8341666.6899999995</v>
      </c>
      <c r="E8" s="63">
        <f>'[1]Input Tab'!C19</f>
        <v>1191666.67</v>
      </c>
      <c r="F8" s="63">
        <f>'[1]Input Tab'!D19</f>
        <v>1191666.67</v>
      </c>
      <c r="G8" s="63">
        <f>'[1]Input Tab'!E19</f>
        <v>1191666.67</v>
      </c>
      <c r="H8" s="63">
        <f>'[1]Input Tab'!F19</f>
        <v>1191666.67</v>
      </c>
      <c r="I8" s="63">
        <f>'[1]Input Tab'!G19</f>
        <v>1191666.67</v>
      </c>
      <c r="J8" s="63">
        <f>'[1]Input Tab'!H19</f>
        <v>1191666.67</v>
      </c>
      <c r="K8" s="63">
        <f>'[1]Input Tab'!I19</f>
        <v>1191666.67</v>
      </c>
      <c r="L8" s="63">
        <f>'[1]Input Tab'!J19</f>
        <v>0</v>
      </c>
      <c r="M8" s="63">
        <f>'[1]Input Tab'!K19</f>
        <v>0</v>
      </c>
      <c r="N8" s="63">
        <f>'[1]Input Tab'!L19</f>
        <v>0</v>
      </c>
      <c r="O8" s="63">
        <f>'[1]Input Tab'!M19</f>
        <v>0</v>
      </c>
      <c r="P8" s="63">
        <f>'[1]Input Tab'!N19</f>
        <v>0</v>
      </c>
      <c r="Q8" s="59"/>
      <c r="R8" s="60">
        <f t="shared" si="2"/>
        <v>8341666.6899999995</v>
      </c>
    </row>
    <row r="9" spans="1:18">
      <c r="A9" s="51">
        <v>3</v>
      </c>
      <c r="B9" s="61" t="s">
        <v>44</v>
      </c>
      <c r="C9" s="62">
        <v>107240</v>
      </c>
      <c r="D9" s="58">
        <f t="shared" si="3"/>
        <v>1515831.42</v>
      </c>
      <c r="E9" s="63">
        <f>'[1]Input Tab'!C20</f>
        <v>192121.58</v>
      </c>
      <c r="F9" s="63">
        <f>'[1]Input Tab'!D20</f>
        <v>210942.86</v>
      </c>
      <c r="G9" s="63">
        <f>'[1]Input Tab'!E20</f>
        <v>116947.51</v>
      </c>
      <c r="H9" s="63">
        <f>'[1]Input Tab'!F20</f>
        <v>138457.82</v>
      </c>
      <c r="I9" s="63">
        <f>'[1]Input Tab'!G20</f>
        <v>155367.44</v>
      </c>
      <c r="J9" s="63">
        <f>'[1]Input Tab'!H20</f>
        <v>245358.07</v>
      </c>
      <c r="K9" s="63">
        <f>'[1]Input Tab'!I20</f>
        <v>456636.14</v>
      </c>
      <c r="L9" s="63">
        <f>'[1]Input Tab'!J20</f>
        <v>0</v>
      </c>
      <c r="M9" s="63">
        <f>'[1]Input Tab'!K20</f>
        <v>0</v>
      </c>
      <c r="N9" s="63">
        <f>'[1]Input Tab'!L20</f>
        <v>0</v>
      </c>
      <c r="O9" s="63">
        <f>'[1]Input Tab'!M20</f>
        <v>0</v>
      </c>
      <c r="P9" s="63">
        <f>'[1]Input Tab'!N20</f>
        <v>0</v>
      </c>
      <c r="Q9" s="59"/>
      <c r="R9" s="60">
        <f>SUM(E9:P9)</f>
        <v>1515831.42</v>
      </c>
    </row>
    <row r="10" spans="1:18">
      <c r="A10" s="51">
        <v>4</v>
      </c>
      <c r="B10" s="1" t="s">
        <v>45</v>
      </c>
      <c r="C10" s="2">
        <v>100131</v>
      </c>
      <c r="D10" s="58">
        <f t="shared" si="3"/>
        <v>1271438</v>
      </c>
      <c r="E10" s="63">
        <f>'[1]Input Tab'!C21</f>
        <v>181634</v>
      </c>
      <c r="F10" s="63">
        <f>'[1]Input Tab'!D21</f>
        <v>181634</v>
      </c>
      <c r="G10" s="63">
        <f>'[1]Input Tab'!E21</f>
        <v>181634</v>
      </c>
      <c r="H10" s="63">
        <f>'[1]Input Tab'!F21</f>
        <v>181634</v>
      </c>
      <c r="I10" s="63">
        <f>'[1]Input Tab'!G21</f>
        <v>181634</v>
      </c>
      <c r="J10" s="63">
        <f>'[1]Input Tab'!H21</f>
        <v>181634</v>
      </c>
      <c r="K10" s="63">
        <f>'[1]Input Tab'!I21</f>
        <v>181634</v>
      </c>
      <c r="L10" s="63">
        <f>'[1]Input Tab'!J21</f>
        <v>0</v>
      </c>
      <c r="M10" s="63">
        <f>'[1]Input Tab'!K21</f>
        <v>0</v>
      </c>
      <c r="N10" s="63">
        <f>'[1]Input Tab'!L21</f>
        <v>0</v>
      </c>
      <c r="O10" s="63">
        <f>'[1]Input Tab'!M21</f>
        <v>0</v>
      </c>
      <c r="P10" s="63">
        <f>'[1]Input Tab'!N21</f>
        <v>0</v>
      </c>
      <c r="Q10" s="59"/>
      <c r="R10" s="60">
        <f t="shared" si="2"/>
        <v>1271438</v>
      </c>
    </row>
    <row r="11" spans="1:18" ht="13.5" customHeight="1">
      <c r="A11" s="51">
        <v>5</v>
      </c>
      <c r="B11" s="1" t="s">
        <v>46</v>
      </c>
      <c r="C11" s="2">
        <v>100085</v>
      </c>
      <c r="D11" s="58">
        <f t="shared" si="3"/>
        <v>6579246.2599999998</v>
      </c>
      <c r="E11" s="64">
        <f>'[1]Input Tab'!C22</f>
        <v>939387.38</v>
      </c>
      <c r="F11" s="64">
        <f>'[1]Input Tab'!D22</f>
        <v>939387.38</v>
      </c>
      <c r="G11" s="64">
        <f>'[1]Input Tab'!E22</f>
        <v>939387.38</v>
      </c>
      <c r="H11" s="64">
        <f>'[1]Input Tab'!F22</f>
        <v>942921.98</v>
      </c>
      <c r="I11" s="64">
        <f>'[1]Input Tab'!G22</f>
        <v>939387.38</v>
      </c>
      <c r="J11" s="64">
        <f>'[1]Input Tab'!H22</f>
        <v>939387.38</v>
      </c>
      <c r="K11" s="64">
        <f>'[1]Input Tab'!I22</f>
        <v>939387.38</v>
      </c>
      <c r="L11" s="64">
        <f>'[1]Input Tab'!J22</f>
        <v>0</v>
      </c>
      <c r="M11" s="64">
        <f>'[1]Input Tab'!K22</f>
        <v>0</v>
      </c>
      <c r="N11" s="64">
        <f>'[1]Input Tab'!L22</f>
        <v>0</v>
      </c>
      <c r="O11" s="64">
        <f>'[1]Input Tab'!M22</f>
        <v>0</v>
      </c>
      <c r="P11" s="64">
        <f>'[1]Input Tab'!N22</f>
        <v>0</v>
      </c>
      <c r="Q11" s="59"/>
      <c r="R11" s="60">
        <f t="shared" si="2"/>
        <v>6579246.2599999998</v>
      </c>
    </row>
    <row r="12" spans="1:18" ht="14.25">
      <c r="A12" s="51">
        <f>A11+1</f>
        <v>6</v>
      </c>
      <c r="B12" s="1" t="s">
        <v>47</v>
      </c>
      <c r="C12" s="65" t="s">
        <v>48</v>
      </c>
      <c r="D12" s="58">
        <f t="shared" si="3"/>
        <v>0</v>
      </c>
      <c r="E12" s="64">
        <f>'[1]Input Tab'!C23</f>
        <v>0</v>
      </c>
      <c r="F12" s="64">
        <f>'[1]Input Tab'!D23</f>
        <v>0</v>
      </c>
      <c r="G12" s="64">
        <f>'[1]Input Tab'!E23</f>
        <v>0</v>
      </c>
      <c r="H12" s="64">
        <f>'[1]Input Tab'!F23</f>
        <v>0</v>
      </c>
      <c r="I12" s="64">
        <f>'[1]Input Tab'!G23</f>
        <v>0</v>
      </c>
      <c r="J12" s="64">
        <f>'[1]Input Tab'!H23</f>
        <v>0</v>
      </c>
      <c r="K12" s="64">
        <f>'[1]Input Tab'!I23</f>
        <v>0</v>
      </c>
      <c r="L12" s="64">
        <f>'[1]Input Tab'!J23</f>
        <v>0</v>
      </c>
      <c r="M12" s="63">
        <f>'[1]Input Tab'!K23</f>
        <v>0</v>
      </c>
      <c r="N12" s="63">
        <f>'[1]Input Tab'!L23</f>
        <v>0</v>
      </c>
      <c r="O12" s="64">
        <f>'[1]Input Tab'!M23</f>
        <v>0</v>
      </c>
      <c r="P12" s="64">
        <f>'[1]Input Tab'!N23</f>
        <v>0</v>
      </c>
      <c r="Q12" s="59"/>
      <c r="R12" s="60">
        <f t="shared" si="2"/>
        <v>0</v>
      </c>
    </row>
    <row r="13" spans="1:18">
      <c r="A13" s="51">
        <f t="shared" ref="A13:A16" si="4">A12+1</f>
        <v>7</v>
      </c>
      <c r="B13" t="s">
        <v>49</v>
      </c>
      <c r="C13" s="65">
        <v>100137</v>
      </c>
      <c r="D13" s="58">
        <f t="shared" si="3"/>
        <v>7479.85</v>
      </c>
      <c r="E13" s="64">
        <f>'[1]Input Tab'!C24</f>
        <v>1259.3499999999999</v>
      </c>
      <c r="F13" s="64">
        <f>'[1]Input Tab'!D24</f>
        <v>1103.95</v>
      </c>
      <c r="G13" s="64">
        <f>'[1]Input Tab'!E24</f>
        <v>1364.35</v>
      </c>
      <c r="H13" s="64">
        <f>'[1]Input Tab'!F24</f>
        <v>1082.95</v>
      </c>
      <c r="I13" s="64">
        <f>'[1]Input Tab'!G24</f>
        <v>1112.3499999999999</v>
      </c>
      <c r="J13" s="64">
        <f>'[1]Input Tab'!H24</f>
        <v>805.75</v>
      </c>
      <c r="K13" s="64">
        <f>'[1]Input Tab'!I24</f>
        <v>751.15</v>
      </c>
      <c r="L13" s="64">
        <f>'[1]Input Tab'!J24</f>
        <v>0</v>
      </c>
      <c r="M13" s="64">
        <f>'[1]Input Tab'!K24</f>
        <v>0</v>
      </c>
      <c r="N13" s="64">
        <f>'[1]Input Tab'!L24</f>
        <v>0</v>
      </c>
      <c r="O13" s="64">
        <f>'[1]Input Tab'!M24</f>
        <v>0</v>
      </c>
      <c r="P13" s="64">
        <f>'[1]Input Tab'!N24</f>
        <v>0</v>
      </c>
      <c r="Q13" s="59"/>
      <c r="R13" s="60">
        <f t="shared" si="2"/>
        <v>7479.85</v>
      </c>
    </row>
    <row r="14" spans="1:18">
      <c r="A14" s="51">
        <f t="shared" si="4"/>
        <v>8</v>
      </c>
      <c r="B14" t="s">
        <v>50</v>
      </c>
      <c r="C14" s="2" t="s">
        <v>51</v>
      </c>
      <c r="D14" s="58">
        <f t="shared" si="3"/>
        <v>862576.42</v>
      </c>
      <c r="E14" s="64">
        <f>'[1]Input Tab'!C25</f>
        <v>156566.79999999999</v>
      </c>
      <c r="F14" s="64">
        <f>'[1]Input Tab'!D25</f>
        <v>140786.69</v>
      </c>
      <c r="G14" s="64">
        <f>'[1]Input Tab'!E25</f>
        <v>123151.94</v>
      </c>
      <c r="H14" s="64">
        <f>'[1]Input Tab'!F25</f>
        <v>140445.35999999999</v>
      </c>
      <c r="I14" s="64">
        <f>'[1]Input Tab'!G25</f>
        <v>120235.01</v>
      </c>
      <c r="J14" s="64">
        <f>'[1]Input Tab'!H25</f>
        <v>120818.76</v>
      </c>
      <c r="K14" s="64">
        <f>'[1]Input Tab'!I25</f>
        <v>60571.86</v>
      </c>
      <c r="L14" s="64">
        <f>'[1]Input Tab'!J25</f>
        <v>0</v>
      </c>
      <c r="M14" s="64">
        <f>'[1]Input Tab'!K25</f>
        <v>0</v>
      </c>
      <c r="N14" s="64">
        <f>'[1]Input Tab'!L25</f>
        <v>0</v>
      </c>
      <c r="O14" s="64">
        <f>'[1]Input Tab'!M25</f>
        <v>0</v>
      </c>
      <c r="P14" s="64">
        <f>'[1]Input Tab'!N25</f>
        <v>0</v>
      </c>
      <c r="Q14" s="59"/>
      <c r="R14" s="60">
        <f t="shared" si="2"/>
        <v>862576.42</v>
      </c>
    </row>
    <row r="15" spans="1:18">
      <c r="A15" s="51">
        <f t="shared" si="4"/>
        <v>9</v>
      </c>
      <c r="B15" s="1" t="s">
        <v>52</v>
      </c>
      <c r="C15" s="2">
        <v>185895</v>
      </c>
      <c r="D15" s="58">
        <f t="shared" si="3"/>
        <v>806712.08</v>
      </c>
      <c r="E15" s="64">
        <f>'[1]Input Tab'!C35</f>
        <v>136395.84</v>
      </c>
      <c r="F15" s="64">
        <f>'[1]Input Tab'!D35</f>
        <v>105545.8</v>
      </c>
      <c r="G15" s="64">
        <f>'[1]Input Tab'!E35</f>
        <v>101790.36</v>
      </c>
      <c r="H15" s="64">
        <f>'[1]Input Tab'!F35</f>
        <v>47742.64</v>
      </c>
      <c r="I15" s="64">
        <f>'[1]Input Tab'!G35</f>
        <v>115695.75</v>
      </c>
      <c r="J15" s="64">
        <f>'[1]Input Tab'!H35</f>
        <v>129806.86</v>
      </c>
      <c r="K15" s="64">
        <f>'[1]Input Tab'!I35</f>
        <v>169734.83</v>
      </c>
      <c r="L15" s="64">
        <f>'[1]Input Tab'!J35</f>
        <v>0</v>
      </c>
      <c r="M15" s="64">
        <f>'[1]Input Tab'!K35</f>
        <v>0</v>
      </c>
      <c r="N15" s="64">
        <f>'[1]Input Tab'!L35</f>
        <v>0</v>
      </c>
      <c r="O15" s="64">
        <f>'[1]Input Tab'!M35</f>
        <v>0</v>
      </c>
      <c r="P15" s="64">
        <f>'[1]Input Tab'!N35</f>
        <v>0</v>
      </c>
      <c r="Q15" s="59"/>
      <c r="R15" s="60">
        <f t="shared" si="2"/>
        <v>806712.08</v>
      </c>
    </row>
    <row r="16" spans="1:18" ht="12.75" customHeight="1">
      <c r="A16" s="51">
        <f t="shared" si="4"/>
        <v>10</v>
      </c>
      <c r="B16" t="s">
        <v>53</v>
      </c>
      <c r="C16" s="2">
        <v>186298</v>
      </c>
      <c r="D16" s="58">
        <f t="shared" si="3"/>
        <v>1414946.2</v>
      </c>
      <c r="E16" s="64">
        <f>'[1]Input Tab'!C36</f>
        <v>352910.24</v>
      </c>
      <c r="F16" s="64">
        <f>'[1]Input Tab'!D36</f>
        <v>210445.56</v>
      </c>
      <c r="G16" s="64">
        <f>'[1]Input Tab'!E36</f>
        <v>214419.75</v>
      </c>
      <c r="H16" s="64">
        <f>'[1]Input Tab'!F36</f>
        <v>263619.75</v>
      </c>
      <c r="I16" s="64">
        <f>'[1]Input Tab'!G36</f>
        <v>244032</v>
      </c>
      <c r="J16" s="64">
        <f>'[1]Input Tab'!H36</f>
        <v>128596.5</v>
      </c>
      <c r="K16" s="64">
        <f>'[1]Input Tab'!I36</f>
        <v>922.4</v>
      </c>
      <c r="L16" s="64">
        <f>'[1]Input Tab'!J36</f>
        <v>0</v>
      </c>
      <c r="M16" s="64">
        <f>'[1]Input Tab'!K36</f>
        <v>0</v>
      </c>
      <c r="N16" s="64">
        <f>'[1]Input Tab'!L36</f>
        <v>0</v>
      </c>
      <c r="O16" s="64">
        <f>'[1]Input Tab'!M36</f>
        <v>0</v>
      </c>
      <c r="P16" s="64">
        <f>'[1]Input Tab'!N36</f>
        <v>0</v>
      </c>
      <c r="Q16" s="59"/>
      <c r="R16" s="60">
        <f t="shared" si="2"/>
        <v>1414946.2</v>
      </c>
    </row>
    <row r="17" spans="1:20">
      <c r="A17" s="51">
        <f>A16+1</f>
        <v>11</v>
      </c>
      <c r="B17" s="1" t="s">
        <v>54</v>
      </c>
      <c r="C17" s="2">
        <v>223063</v>
      </c>
      <c r="D17" s="58">
        <f t="shared" si="3"/>
        <v>3343284.6799999997</v>
      </c>
      <c r="E17" s="64">
        <f>'[1]Input Tab'!C37</f>
        <v>553989.78</v>
      </c>
      <c r="F17" s="64">
        <f>'[1]Input Tab'!D37</f>
        <v>561159.18000000005</v>
      </c>
      <c r="G17" s="64">
        <f>'[1]Input Tab'!E37</f>
        <v>492537.78</v>
      </c>
      <c r="H17" s="64">
        <f>'[1]Input Tab'!F37</f>
        <v>463820.35</v>
      </c>
      <c r="I17" s="64">
        <f>'[1]Input Tab'!G37</f>
        <v>341741.4</v>
      </c>
      <c r="J17" s="64">
        <f>'[1]Input Tab'!H37</f>
        <v>419370.07</v>
      </c>
      <c r="K17" s="64">
        <f>'[1]Input Tab'!I37</f>
        <v>510666.12</v>
      </c>
      <c r="L17" s="64">
        <f>'[1]Input Tab'!J37</f>
        <v>0</v>
      </c>
      <c r="M17" s="64">
        <f>'[1]Input Tab'!K37</f>
        <v>0</v>
      </c>
      <c r="N17" s="64">
        <f>'[1]Input Tab'!L37</f>
        <v>0</v>
      </c>
      <c r="O17" s="64">
        <f>'[1]Input Tab'!M37</f>
        <v>0</v>
      </c>
      <c r="P17" s="64">
        <f>'[1]Input Tab'!N37</f>
        <v>0</v>
      </c>
      <c r="Q17" s="59"/>
      <c r="R17" s="60">
        <f t="shared" si="2"/>
        <v>3343284.6799999997</v>
      </c>
    </row>
    <row r="18" spans="1:20">
      <c r="A18" s="51">
        <f>A17+1</f>
        <v>12</v>
      </c>
      <c r="B18" s="1" t="s">
        <v>55</v>
      </c>
      <c r="C18" s="2">
        <v>102475</v>
      </c>
      <c r="D18" s="58">
        <f t="shared" si="3"/>
        <v>10541.78</v>
      </c>
      <c r="E18" s="63">
        <f>'[1]Input Tab'!C38</f>
        <v>1545.44</v>
      </c>
      <c r="F18" s="63">
        <f>'[1]Input Tab'!D38</f>
        <v>3341.39</v>
      </c>
      <c r="G18" s="63">
        <f>'[1]Input Tab'!E38</f>
        <v>0</v>
      </c>
      <c r="H18" s="63">
        <f>'[1]Input Tab'!F38</f>
        <v>1490.18</v>
      </c>
      <c r="I18" s="63">
        <f>'[1]Input Tab'!G38</f>
        <v>1534.39</v>
      </c>
      <c r="J18" s="63">
        <f>'[1]Input Tab'!H38</f>
        <v>1287.56</v>
      </c>
      <c r="K18" s="63">
        <f>'[1]Input Tab'!I38</f>
        <v>1342.82</v>
      </c>
      <c r="L18" s="63">
        <f>'[1]Input Tab'!J38</f>
        <v>0</v>
      </c>
      <c r="M18" s="63">
        <f>'[1]Input Tab'!K38</f>
        <v>0</v>
      </c>
      <c r="N18" s="63">
        <f>'[1]Input Tab'!L38</f>
        <v>0</v>
      </c>
      <c r="O18" s="63">
        <f>'[1]Input Tab'!M38</f>
        <v>0</v>
      </c>
      <c r="P18" s="63">
        <f>'[1]Input Tab'!N38</f>
        <v>0</v>
      </c>
      <c r="Q18" s="59"/>
      <c r="R18" s="60">
        <f t="shared" si="2"/>
        <v>10541.78</v>
      </c>
    </row>
    <row r="19" spans="1:20">
      <c r="A19" s="51">
        <f>A18+1</f>
        <v>13</v>
      </c>
      <c r="B19" s="1" t="s">
        <v>56</v>
      </c>
      <c r="C19" s="2" t="s">
        <v>57</v>
      </c>
      <c r="D19" s="58">
        <f t="shared" si="3"/>
        <v>16590783.26</v>
      </c>
      <c r="E19" s="63">
        <f>'[1]Input Tab'!C39</f>
        <v>2379924.42</v>
      </c>
      <c r="F19" s="63">
        <f>'[1]Input Tab'!D39</f>
        <v>2422368.9500000002</v>
      </c>
      <c r="G19" s="63">
        <f>'[1]Input Tab'!E39</f>
        <v>2400609.7400000002</v>
      </c>
      <c r="H19" s="63">
        <f>'[1]Input Tab'!F39</f>
        <v>2406660.02</v>
      </c>
      <c r="I19" s="63">
        <f>'[1]Input Tab'!G39</f>
        <v>2389642.5</v>
      </c>
      <c r="J19" s="63">
        <f>'[1]Input Tab'!H39</f>
        <v>2177827.71</v>
      </c>
      <c r="K19" s="63">
        <f>'[1]Input Tab'!I39</f>
        <v>2413749.92</v>
      </c>
      <c r="L19" s="63">
        <f>'[1]Input Tab'!J39</f>
        <v>0</v>
      </c>
      <c r="M19" s="63">
        <f>'[1]Input Tab'!K39</f>
        <v>0</v>
      </c>
      <c r="N19" s="63">
        <f>'[1]Input Tab'!L39</f>
        <v>0</v>
      </c>
      <c r="O19" s="63">
        <f>'[1]Input Tab'!M39</f>
        <v>0</v>
      </c>
      <c r="P19" s="63">
        <f>'[1]Input Tab'!N39</f>
        <v>0</v>
      </c>
      <c r="Q19" s="59"/>
      <c r="R19" s="60">
        <f t="shared" si="2"/>
        <v>16590783.26</v>
      </c>
    </row>
    <row r="20" spans="1:20">
      <c r="A20" s="51">
        <f>A19+1</f>
        <v>14</v>
      </c>
      <c r="B20" s="1" t="s">
        <v>58</v>
      </c>
      <c r="C20" s="2">
        <v>181462</v>
      </c>
      <c r="D20" s="58">
        <f t="shared" si="3"/>
        <v>12972899.17</v>
      </c>
      <c r="E20" s="63">
        <f>'[1]Input Tab'!C40</f>
        <v>2054962.14</v>
      </c>
      <c r="F20" s="63">
        <f>'[1]Input Tab'!D40</f>
        <v>2174857.2999999998</v>
      </c>
      <c r="G20" s="63">
        <f>'[1]Input Tab'!E40</f>
        <v>2096184.09</v>
      </c>
      <c r="H20" s="63">
        <f>'[1]Input Tab'!F40</f>
        <v>2291429.14</v>
      </c>
      <c r="I20" s="63">
        <f>'[1]Input Tab'!G40</f>
        <v>1906563.12</v>
      </c>
      <c r="J20" s="63">
        <f>'[1]Input Tab'!H40</f>
        <v>1407873.39</v>
      </c>
      <c r="K20" s="63">
        <f>'[1]Input Tab'!I40</f>
        <v>1041029.99</v>
      </c>
      <c r="L20" s="63">
        <f>'[1]Input Tab'!J40</f>
        <v>0</v>
      </c>
      <c r="M20" s="63">
        <f>'[1]Input Tab'!K40</f>
        <v>0</v>
      </c>
      <c r="N20" s="63">
        <f>'[1]Input Tab'!L40</f>
        <v>0</v>
      </c>
      <c r="O20" s="63">
        <f>'[1]Input Tab'!M40</f>
        <v>0</v>
      </c>
      <c r="P20" s="63">
        <f>'[1]Input Tab'!N40</f>
        <v>0</v>
      </c>
      <c r="Q20" s="59"/>
      <c r="R20" s="60">
        <f t="shared" si="2"/>
        <v>12972899.17</v>
      </c>
    </row>
    <row r="21" spans="1:20">
      <c r="A21" s="51">
        <f t="shared" ref="A21:A24" si="5">A20+1</f>
        <v>15</v>
      </c>
      <c r="B21" s="1" t="s">
        <v>59</v>
      </c>
      <c r="C21" s="2"/>
      <c r="D21" s="58">
        <f t="shared" si="3"/>
        <v>7104033.7799999993</v>
      </c>
      <c r="E21" s="63">
        <f>'[1]Input Tab'!C41</f>
        <v>741745.32</v>
      </c>
      <c r="F21" s="63">
        <f>'[1]Input Tab'!D41</f>
        <v>1257608.1000000001</v>
      </c>
      <c r="G21" s="63">
        <f>'[1]Input Tab'!E41</f>
        <v>1069731.33</v>
      </c>
      <c r="H21" s="63">
        <f>'[1]Input Tab'!F41</f>
        <v>1280006.1399999999</v>
      </c>
      <c r="I21" s="63">
        <f>'[1]Input Tab'!G41</f>
        <v>1077367.31</v>
      </c>
      <c r="J21" s="63">
        <f>'[1]Input Tab'!H41</f>
        <v>1028077.12</v>
      </c>
      <c r="K21" s="63">
        <f>'[1]Input Tab'!I41</f>
        <v>649498.46</v>
      </c>
      <c r="L21" s="63">
        <f>'[1]Input Tab'!J41</f>
        <v>0</v>
      </c>
      <c r="M21" s="63">
        <f>'[1]Input Tab'!K41</f>
        <v>0</v>
      </c>
      <c r="N21" s="63">
        <f>'[1]Input Tab'!L41</f>
        <v>0</v>
      </c>
      <c r="O21" s="63">
        <f>'[1]Input Tab'!M41</f>
        <v>0</v>
      </c>
      <c r="P21" s="63">
        <f>'[1]Input Tab'!N41</f>
        <v>0</v>
      </c>
      <c r="Q21" s="59"/>
      <c r="R21" s="60"/>
    </row>
    <row r="22" spans="1:20">
      <c r="A22" s="51">
        <f t="shared" si="5"/>
        <v>16</v>
      </c>
      <c r="B22" t="s">
        <v>60</v>
      </c>
      <c r="C22" s="65"/>
      <c r="D22" s="58">
        <f t="shared" si="3"/>
        <v>1065516</v>
      </c>
      <c r="E22" s="66">
        <f>E36</f>
        <v>216599</v>
      </c>
      <c r="F22" s="66">
        <f>F36</f>
        <v>267709</v>
      </c>
      <c r="G22" s="66">
        <f t="shared" ref="G22:P22" si="6">G36</f>
        <v>204121</v>
      </c>
      <c r="H22" s="66">
        <f t="shared" si="6"/>
        <v>87285</v>
      </c>
      <c r="I22" s="66">
        <f t="shared" si="6"/>
        <v>74164</v>
      </c>
      <c r="J22" s="66">
        <f t="shared" si="6"/>
        <v>111569</v>
      </c>
      <c r="K22" s="66">
        <f t="shared" si="6"/>
        <v>104069</v>
      </c>
      <c r="L22" s="66">
        <f t="shared" si="6"/>
        <v>0</v>
      </c>
      <c r="M22" s="66">
        <f>M36</f>
        <v>0</v>
      </c>
      <c r="N22" s="66">
        <f>N36</f>
        <v>0</v>
      </c>
      <c r="O22" s="66">
        <f t="shared" si="6"/>
        <v>0</v>
      </c>
      <c r="P22" s="66">
        <f t="shared" si="6"/>
        <v>0</v>
      </c>
      <c r="Q22" s="66"/>
      <c r="R22" s="60">
        <f t="shared" si="2"/>
        <v>1065516</v>
      </c>
    </row>
    <row r="23" spans="1:20">
      <c r="A23" s="51">
        <f t="shared" si="5"/>
        <v>17</v>
      </c>
      <c r="B23" s="1" t="s">
        <v>61</v>
      </c>
      <c r="C23" s="2"/>
      <c r="D23" s="58">
        <f t="shared" si="3"/>
        <v>-61562</v>
      </c>
      <c r="E23" s="67">
        <f>E34</f>
        <v>-18915</v>
      </c>
      <c r="F23" s="67">
        <f>F34</f>
        <v>-20294</v>
      </c>
      <c r="G23" s="67">
        <f t="shared" ref="G23:P23" si="7">G34</f>
        <v>-11041</v>
      </c>
      <c r="H23" s="67">
        <f t="shared" si="7"/>
        <v>-41253</v>
      </c>
      <c r="I23" s="67">
        <f t="shared" si="7"/>
        <v>17780</v>
      </c>
      <c r="J23" s="67">
        <f t="shared" si="7"/>
        <v>-61250</v>
      </c>
      <c r="K23" s="67">
        <f t="shared" si="7"/>
        <v>73411</v>
      </c>
      <c r="L23" s="67">
        <f t="shared" si="7"/>
        <v>0</v>
      </c>
      <c r="M23" s="67">
        <f t="shared" si="7"/>
        <v>0</v>
      </c>
      <c r="N23" s="67">
        <f>N34</f>
        <v>0</v>
      </c>
      <c r="O23" s="67">
        <f t="shared" si="7"/>
        <v>0</v>
      </c>
      <c r="P23" s="67">
        <f t="shared" si="7"/>
        <v>0</v>
      </c>
      <c r="Q23" s="67"/>
      <c r="R23" s="60">
        <f t="shared" si="2"/>
        <v>-61562</v>
      </c>
    </row>
    <row r="24" spans="1:20" s="73" customFormat="1" ht="13.5" thickBot="1">
      <c r="A24" s="51">
        <f t="shared" si="5"/>
        <v>18</v>
      </c>
      <c r="B24" s="68" t="s">
        <v>62</v>
      </c>
      <c r="C24" s="68"/>
      <c r="D24" s="69">
        <f>SUM(E24:P24)</f>
        <v>85435432.08389999</v>
      </c>
      <c r="E24" s="70">
        <f>E39</f>
        <v>10842389.874600001</v>
      </c>
      <c r="F24" s="70">
        <f t="shared" ref="F24:P24" si="8">F39</f>
        <v>11196253.897</v>
      </c>
      <c r="G24" s="70">
        <f>G39</f>
        <v>12433514.0331</v>
      </c>
      <c r="H24" s="70">
        <f t="shared" si="8"/>
        <v>11603998.428099999</v>
      </c>
      <c r="I24" s="70">
        <f t="shared" si="8"/>
        <v>10047314.4113</v>
      </c>
      <c r="J24" s="70">
        <f t="shared" si="8"/>
        <v>15128565.1768</v>
      </c>
      <c r="K24" s="70">
        <f t="shared" si="8"/>
        <v>14183396.263</v>
      </c>
      <c r="L24" s="70">
        <f t="shared" si="8"/>
        <v>0</v>
      </c>
      <c r="M24" s="70">
        <f>M39</f>
        <v>0</v>
      </c>
      <c r="N24" s="70">
        <f>N39</f>
        <v>0</v>
      </c>
      <c r="O24" s="70">
        <f t="shared" si="8"/>
        <v>0</v>
      </c>
      <c r="P24" s="70">
        <f t="shared" si="8"/>
        <v>0</v>
      </c>
      <c r="Q24" s="71"/>
      <c r="R24" s="72">
        <f>SUM(R7:R22)</f>
        <v>78392960.303900003</v>
      </c>
    </row>
    <row r="25" spans="1:20" ht="13.15" thickTop="1">
      <c r="A25" s="51"/>
      <c r="E25" s="74" t="s">
        <v>63</v>
      </c>
      <c r="F25" s="59" t="s">
        <v>63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64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41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f>SUM(E28:P28)</f>
        <v>85321993</v>
      </c>
      <c r="E28" s="22">
        <v>9888603</v>
      </c>
      <c r="F28" s="22">
        <v>12141354</v>
      </c>
      <c r="G28" s="22">
        <v>12196279</v>
      </c>
      <c r="H28" s="22">
        <v>11427486</v>
      </c>
      <c r="I28" s="22">
        <v>9609014</v>
      </c>
      <c r="J28" s="22">
        <v>15415880</v>
      </c>
      <c r="K28" s="22">
        <v>14643377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59"/>
      <c r="R28" s="60">
        <f t="shared" ref="R28:R38" si="9">SUM(E28:P28)</f>
        <v>85321993</v>
      </c>
    </row>
    <row r="29" spans="1:20" outlineLevel="1">
      <c r="A29" s="51"/>
      <c r="B29">
        <v>555030</v>
      </c>
      <c r="D29" s="59">
        <f>SUM(E29:P29)</f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65</v>
      </c>
      <c r="D30" s="59">
        <f t="shared" ref="D30:D38" si="10">SUM(E30:P30)</f>
        <v>-2520896</v>
      </c>
      <c r="E30" s="22">
        <v>515200</v>
      </c>
      <c r="F30" s="22">
        <v>-1494528</v>
      </c>
      <c r="G30" s="22">
        <v>-7020</v>
      </c>
      <c r="H30" s="22">
        <v>-76544</v>
      </c>
      <c r="I30" s="22">
        <v>-22700</v>
      </c>
      <c r="J30" s="22">
        <v>-443040</v>
      </c>
      <c r="K30" s="22">
        <v>-992264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59"/>
      <c r="R30" s="60">
        <f t="shared" si="9"/>
        <v>-2520896</v>
      </c>
    </row>
    <row r="31" spans="1:20" outlineLevel="1">
      <c r="A31" s="51"/>
      <c r="B31" s="1">
        <v>555312</v>
      </c>
      <c r="C31" s="1" t="s">
        <v>66</v>
      </c>
      <c r="D31" s="59">
        <f t="shared" si="10"/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f>SUM(E31:P31)</f>
        <v>0</v>
      </c>
    </row>
    <row r="32" spans="1:20" outlineLevel="1">
      <c r="A32" s="51"/>
      <c r="B32">
        <v>555313</v>
      </c>
      <c r="C32" t="s">
        <v>66</v>
      </c>
      <c r="D32" s="59">
        <f t="shared" si="1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f>SUM(E32:P32)</f>
        <v>0</v>
      </c>
    </row>
    <row r="33" spans="1:18" outlineLevel="1">
      <c r="A33" s="51"/>
      <c r="B33">
        <v>555380</v>
      </c>
      <c r="C33" t="s">
        <v>67</v>
      </c>
      <c r="D33" s="59">
        <f t="shared" si="10"/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f>SUM(E33:P33)</f>
        <v>0</v>
      </c>
    </row>
    <row r="34" spans="1:18" outlineLevel="1">
      <c r="A34" s="51"/>
      <c r="B34">
        <v>555550</v>
      </c>
      <c r="C34" t="s">
        <v>68</v>
      </c>
      <c r="D34" s="59">
        <f t="shared" si="10"/>
        <v>-61562</v>
      </c>
      <c r="E34" s="22">
        <v>-18915</v>
      </c>
      <c r="F34" s="22">
        <v>-20294</v>
      </c>
      <c r="G34" s="22">
        <v>-11041</v>
      </c>
      <c r="H34" s="22">
        <v>-41253</v>
      </c>
      <c r="I34" s="22">
        <v>17780</v>
      </c>
      <c r="J34" s="22">
        <v>-61250</v>
      </c>
      <c r="K34" s="22">
        <v>73411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59"/>
      <c r="R34" s="60">
        <f>SUM(E34:P34)</f>
        <v>-61562</v>
      </c>
    </row>
    <row r="35" spans="1:18" outlineLevel="1">
      <c r="A35" s="51"/>
      <c r="B35">
        <v>555700</v>
      </c>
      <c r="C35" t="s">
        <v>69</v>
      </c>
      <c r="D35" s="59">
        <f t="shared" si="10"/>
        <v>1683805</v>
      </c>
      <c r="E35" s="22">
        <v>245545</v>
      </c>
      <c r="F35" s="22">
        <v>307440</v>
      </c>
      <c r="G35" s="22">
        <v>58800</v>
      </c>
      <c r="H35" s="22">
        <v>215500</v>
      </c>
      <c r="I35" s="22">
        <v>378300</v>
      </c>
      <c r="J35" s="22">
        <v>114600</v>
      </c>
      <c r="K35" s="22">
        <v>363620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59"/>
      <c r="R35" s="60">
        <f t="shared" si="9"/>
        <v>1683805</v>
      </c>
    </row>
    <row r="36" spans="1:18" outlineLevel="1">
      <c r="A36" s="51"/>
      <c r="B36">
        <v>555710</v>
      </c>
      <c r="C36" t="s">
        <v>70</v>
      </c>
      <c r="D36" s="59">
        <f t="shared" si="10"/>
        <v>1065516</v>
      </c>
      <c r="E36" s="22">
        <v>216599</v>
      </c>
      <c r="F36" s="22">
        <v>267709</v>
      </c>
      <c r="G36" s="22">
        <v>204121</v>
      </c>
      <c r="H36" s="22">
        <v>87285</v>
      </c>
      <c r="I36" s="22">
        <v>74164</v>
      </c>
      <c r="J36" s="22">
        <v>111569</v>
      </c>
      <c r="K36" s="22">
        <v>104069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59"/>
      <c r="R36" s="60">
        <f t="shared" si="9"/>
        <v>1065516</v>
      </c>
    </row>
    <row r="37" spans="1:18" outlineLevel="1">
      <c r="A37" s="51"/>
      <c r="C37" t="s">
        <v>71</v>
      </c>
      <c r="D37" s="59">
        <f t="shared" si="10"/>
        <v>-53423.916099999995</v>
      </c>
      <c r="E37" s="22">
        <f>-SUM((42258/12)+(1.2*1048)-(E52*0.0063))</f>
        <v>-4642.1254000000008</v>
      </c>
      <c r="F37" s="22">
        <f>-SUM((42258/12)+(1.2*1841)-(F52*0.0063))</f>
        <v>-5427.1030000000001</v>
      </c>
      <c r="G37" s="22">
        <f>-SUM((42258/12)+(1.2*3908)-(G52*0.0063))</f>
        <v>-7624.9668999999985</v>
      </c>
      <c r="H37" s="22">
        <f>-SUM((42258/12)+(1.2*5014)-(H52*0.0063))</f>
        <v>-8475.571899999999</v>
      </c>
      <c r="I37" s="22">
        <f>-SUM((42258/12)+(1.2*5626)-(I52*0.0063))</f>
        <v>-9243.5887000000002</v>
      </c>
      <c r="J37" s="22">
        <f>-SUM((42258/12)+(1.2*6100)-(J52*0.0063))</f>
        <v>-9193.8232000000007</v>
      </c>
      <c r="K37" s="22">
        <f>-SUM((42258/12)+(1.2*6077)-(K52*0.0063))</f>
        <v>-8816.7369999999992</v>
      </c>
      <c r="L37" s="22"/>
      <c r="M37" s="22"/>
      <c r="N37" s="22"/>
      <c r="O37" s="22"/>
      <c r="P37" s="22"/>
      <c r="Q37" s="59"/>
      <c r="R37" s="60"/>
    </row>
    <row r="38" spans="1:18" outlineLevel="1">
      <c r="A38" s="51"/>
      <c r="B38" s="46" t="s">
        <v>72</v>
      </c>
      <c r="C38" s="2" t="s">
        <v>73</v>
      </c>
      <c r="D38" s="77">
        <f t="shared" si="10"/>
        <v>0</v>
      </c>
      <c r="E38" s="78">
        <f>'[1]Input Tab'!C42</f>
        <v>0</v>
      </c>
      <c r="F38" s="78">
        <f>'[1]Input Tab'!D42</f>
        <v>0</v>
      </c>
      <c r="G38" s="78">
        <f>'[1]Input Tab'!E42</f>
        <v>0</v>
      </c>
      <c r="H38" s="78">
        <f>'[1]Input Tab'!F42</f>
        <v>0</v>
      </c>
      <c r="I38" s="78">
        <f>'[1]Input Tab'!G42</f>
        <v>0</v>
      </c>
      <c r="J38" s="78">
        <f>'[1]Input Tab'!H42</f>
        <v>0</v>
      </c>
      <c r="K38" s="78">
        <f>'[1]Input Tab'!I42</f>
        <v>0</v>
      </c>
      <c r="L38" s="78">
        <f>'[1]Input Tab'!J42</f>
        <v>0</v>
      </c>
      <c r="M38" s="78">
        <f>'[1]Input Tab'!K42</f>
        <v>0</v>
      </c>
      <c r="N38" s="78">
        <f>'[1]Input Tab'!L42</f>
        <v>0</v>
      </c>
      <c r="O38" s="78">
        <f>'[1]Input Tab'!M42</f>
        <v>0</v>
      </c>
      <c r="P38" s="78">
        <f>'[1]Input Tab'!N42</f>
        <v>0</v>
      </c>
      <c r="Q38" s="16"/>
      <c r="R38" s="60">
        <f t="shared" si="9"/>
        <v>0</v>
      </c>
    </row>
    <row r="39" spans="1:18" s="73" customFormat="1" ht="13.15" outlineLevel="1">
      <c r="A39" s="4"/>
      <c r="B39" s="79"/>
      <c r="C39" s="79"/>
      <c r="D39" s="80">
        <f>SUM(E39:P39)</f>
        <v>85435432.08389999</v>
      </c>
      <c r="E39" s="80">
        <f t="shared" ref="E39:P39" si="11">SUM(E28:E38)</f>
        <v>10842389.874600001</v>
      </c>
      <c r="F39" s="80">
        <f t="shared" si="11"/>
        <v>11196253.897</v>
      </c>
      <c r="G39" s="80">
        <f t="shared" si="11"/>
        <v>12433514.0331</v>
      </c>
      <c r="H39" s="80">
        <f t="shared" si="11"/>
        <v>11603998.428099999</v>
      </c>
      <c r="I39" s="80">
        <f t="shared" si="11"/>
        <v>10047314.4113</v>
      </c>
      <c r="J39" s="80">
        <f t="shared" si="11"/>
        <v>15128565.1768</v>
      </c>
      <c r="K39" s="80">
        <f t="shared" si="11"/>
        <v>14183396.263</v>
      </c>
      <c r="L39" s="80">
        <f t="shared" si="11"/>
        <v>0</v>
      </c>
      <c r="M39" s="80">
        <f t="shared" si="11"/>
        <v>0</v>
      </c>
      <c r="N39" s="80">
        <f t="shared" si="11"/>
        <v>0</v>
      </c>
      <c r="O39" s="80">
        <f t="shared" si="11"/>
        <v>0</v>
      </c>
      <c r="P39" s="80">
        <f t="shared" si="11"/>
        <v>0</v>
      </c>
      <c r="Q39" s="80"/>
      <c r="R39" s="80">
        <f>SUM(R28:R38)</f>
        <v>85488856</v>
      </c>
    </row>
    <row r="40" spans="1:18" ht="13.15">
      <c r="A40" s="51"/>
      <c r="B40" s="79"/>
      <c r="C40" s="7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8" ht="19.5" customHeight="1">
      <c r="A41" s="51"/>
      <c r="B41" s="56" t="s">
        <v>74</v>
      </c>
      <c r="C41" s="5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2.95" customHeight="1">
      <c r="A42" s="51">
        <f>A24+1</f>
        <v>19</v>
      </c>
      <c r="B42" t="s">
        <v>75</v>
      </c>
      <c r="C42" s="65"/>
      <c r="D42" s="59">
        <f t="shared" ref="D42:D47" si="12">SUM(E42:P42)</f>
        <v>-25150442.890000001</v>
      </c>
      <c r="E42" s="67">
        <f t="shared" ref="E42:P42" si="13">E47-SUM(E43:E46)</f>
        <v>-4624428.37</v>
      </c>
      <c r="F42" s="67">
        <f t="shared" si="13"/>
        <v>-8898576.8900000006</v>
      </c>
      <c r="G42" s="67">
        <f t="shared" si="13"/>
        <v>-3005420.06</v>
      </c>
      <c r="H42" s="67">
        <f t="shared" si="13"/>
        <v>-3078047.12</v>
      </c>
      <c r="I42" s="67">
        <f t="shared" si="13"/>
        <v>-7154724.4100000001</v>
      </c>
      <c r="J42" s="67">
        <f t="shared" si="13"/>
        <v>2318837.04</v>
      </c>
      <c r="K42" s="67">
        <f t="shared" si="13"/>
        <v>-708083.08000000007</v>
      </c>
      <c r="L42" s="67">
        <f t="shared" si="13"/>
        <v>0</v>
      </c>
      <c r="M42" s="67">
        <f t="shared" si="13"/>
        <v>0</v>
      </c>
      <c r="N42" s="67">
        <f t="shared" si="13"/>
        <v>0</v>
      </c>
      <c r="O42" s="67">
        <f t="shared" si="13"/>
        <v>0</v>
      </c>
      <c r="P42" s="67">
        <f t="shared" si="13"/>
        <v>0</v>
      </c>
      <c r="Q42" s="81"/>
      <c r="R42" s="59">
        <f>SUM(E42:P42)</f>
        <v>-25150442.890000001</v>
      </c>
    </row>
    <row r="43" spans="1:18">
      <c r="A43" s="51">
        <f>A42+1</f>
        <v>20</v>
      </c>
      <c r="B43" t="s">
        <v>76</v>
      </c>
      <c r="C43" s="65" t="s">
        <v>77</v>
      </c>
      <c r="D43" s="59">
        <f t="shared" si="12"/>
        <v>-1004101.96</v>
      </c>
      <c r="E43" s="64">
        <f>'[1]Input Tab'!C45</f>
        <v>-60959.4</v>
      </c>
      <c r="F43" s="64">
        <f>'[1]Input Tab'!D45</f>
        <v>-111783.6</v>
      </c>
      <c r="G43" s="64">
        <f>'[1]Input Tab'!E45</f>
        <v>-73105.649999999994</v>
      </c>
      <c r="H43" s="64">
        <f>'[1]Input Tab'!F45</f>
        <v>-101368.45</v>
      </c>
      <c r="I43" s="64">
        <f>'[1]Input Tab'!G45</f>
        <v>-89142.9</v>
      </c>
      <c r="J43" s="64">
        <f>'[1]Input Tab'!H45</f>
        <v>-148389.9</v>
      </c>
      <c r="K43" s="64">
        <f>'[1]Input Tab'!I45</f>
        <v>-419352.06</v>
      </c>
      <c r="L43" s="64">
        <f>'[1]Input Tab'!J45</f>
        <v>0</v>
      </c>
      <c r="M43" s="64">
        <f>'[1]Input Tab'!K45</f>
        <v>0</v>
      </c>
      <c r="N43" s="64">
        <f>'[1]Input Tab'!L45</f>
        <v>0</v>
      </c>
      <c r="O43" s="64">
        <f>'[1]Input Tab'!M45</f>
        <v>0</v>
      </c>
      <c r="P43" s="64">
        <f>'[1]Input Tab'!N45</f>
        <v>0</v>
      </c>
      <c r="Q43" s="81"/>
      <c r="R43" s="59">
        <f>SUM(E43:P43)</f>
        <v>-1004101.96</v>
      </c>
    </row>
    <row r="44" spans="1:18">
      <c r="A44" s="51">
        <f>A43+1</f>
        <v>21</v>
      </c>
      <c r="B44" s="1" t="s">
        <v>78</v>
      </c>
      <c r="C44" s="2" t="s">
        <v>79</v>
      </c>
      <c r="D44" s="59">
        <f t="shared" si="12"/>
        <v>-76999.889999999985</v>
      </c>
      <c r="E44" s="64">
        <f>'[1]Input Tab'!C46</f>
        <v>-10658.53</v>
      </c>
      <c r="F44" s="64">
        <f>'[1]Input Tab'!D46</f>
        <v>-10197.77</v>
      </c>
      <c r="G44" s="64">
        <f>'[1]Input Tab'!E46</f>
        <v>-11351.07</v>
      </c>
      <c r="H44" s="64">
        <f>'[1]Input Tab'!F46</f>
        <v>-10838.07</v>
      </c>
      <c r="I44" s="64">
        <f>'[1]Input Tab'!G46</f>
        <v>-11692.13</v>
      </c>
      <c r="J44" s="64">
        <f>'[1]Input Tab'!H46</f>
        <v>-10899.36</v>
      </c>
      <c r="K44" s="64">
        <f>'[1]Input Tab'!I46</f>
        <v>-11362.96</v>
      </c>
      <c r="L44" s="64">
        <f>'[1]Input Tab'!J46</f>
        <v>0</v>
      </c>
      <c r="M44" s="64">
        <f>'[1]Input Tab'!K46</f>
        <v>0</v>
      </c>
      <c r="N44" s="64">
        <f>'[1]Input Tab'!L46</f>
        <v>0</v>
      </c>
      <c r="O44" s="64">
        <f>'[1]Input Tab'!M46</f>
        <v>0</v>
      </c>
      <c r="P44" s="64">
        <f>'[1]Input Tab'!N46</f>
        <v>0</v>
      </c>
      <c r="Q44" s="81"/>
      <c r="R44" s="59">
        <f>SUM(E44:P44)</f>
        <v>-76999.889999999985</v>
      </c>
    </row>
    <row r="45" spans="1:18">
      <c r="A45" s="51">
        <f>A44+1</f>
        <v>22</v>
      </c>
      <c r="B45" t="s">
        <v>80</v>
      </c>
      <c r="C45" s="82" t="s">
        <v>81</v>
      </c>
      <c r="D45" s="59">
        <f t="shared" si="12"/>
        <v>-187123.26</v>
      </c>
      <c r="E45" s="64">
        <f>'[1]Input Tab'!C47</f>
        <v>-31586.7</v>
      </c>
      <c r="F45" s="64">
        <f>'[1]Input Tab'!D47</f>
        <v>-29893.74</v>
      </c>
      <c r="G45" s="64">
        <f>'[1]Input Tab'!E47</f>
        <v>-25068.22</v>
      </c>
      <c r="H45" s="64">
        <f>'[1]Input Tab'!F47</f>
        <v>-24353.360000000001</v>
      </c>
      <c r="I45" s="64">
        <f>'[1]Input Tab'!G47</f>
        <v>-27883.56</v>
      </c>
      <c r="J45" s="64">
        <f>'[1]Input Tab'!H47</f>
        <v>-24943.78</v>
      </c>
      <c r="K45" s="64">
        <f>'[1]Input Tab'!I47</f>
        <v>-23393.9</v>
      </c>
      <c r="L45" s="64">
        <f>'[1]Input Tab'!J47</f>
        <v>0</v>
      </c>
      <c r="M45" s="64">
        <f>'[1]Input Tab'!K47</f>
        <v>0</v>
      </c>
      <c r="N45" s="64">
        <f>'[1]Input Tab'!L47</f>
        <v>0</v>
      </c>
      <c r="O45" s="64">
        <f>'[1]Input Tab'!M47</f>
        <v>0</v>
      </c>
      <c r="P45" s="64">
        <f>'[1]Input Tab'!N47</f>
        <v>0</v>
      </c>
      <c r="Q45" s="81"/>
      <c r="R45" s="59">
        <f>SUM(E45:P45)</f>
        <v>-187123.26</v>
      </c>
    </row>
    <row r="46" spans="1:18">
      <c r="A46" s="51">
        <f>A45+1</f>
        <v>23</v>
      </c>
      <c r="B46" t="s">
        <v>82</v>
      </c>
      <c r="C46" s="65"/>
      <c r="D46" s="59">
        <f t="shared" si="12"/>
        <v>-10116975</v>
      </c>
      <c r="E46" s="83">
        <f>E57</f>
        <v>-1413667</v>
      </c>
      <c r="F46" s="83">
        <f>F57</f>
        <v>-1601847</v>
      </c>
      <c r="G46" s="83">
        <f t="shared" ref="G46:P47" si="14">G57</f>
        <v>-1346586</v>
      </c>
      <c r="H46" s="83">
        <f t="shared" si="14"/>
        <v>-1314136</v>
      </c>
      <c r="I46" s="83">
        <f t="shared" si="14"/>
        <v>-2000095</v>
      </c>
      <c r="J46" s="83">
        <f>J57</f>
        <v>-1352090</v>
      </c>
      <c r="K46" s="83">
        <f>K57</f>
        <v>-1088554</v>
      </c>
      <c r="L46" s="83">
        <f t="shared" si="14"/>
        <v>0</v>
      </c>
      <c r="M46" s="83">
        <f t="shared" si="14"/>
        <v>0</v>
      </c>
      <c r="N46" s="83">
        <f t="shared" si="14"/>
        <v>0</v>
      </c>
      <c r="O46" s="83">
        <f t="shared" si="14"/>
        <v>0</v>
      </c>
      <c r="P46" s="83">
        <f t="shared" si="14"/>
        <v>0</v>
      </c>
      <c r="Q46" s="81"/>
      <c r="R46" s="59">
        <f>SUM(E46:P46)</f>
        <v>-10116975</v>
      </c>
    </row>
    <row r="47" spans="1:18" s="73" customFormat="1" ht="24.75" customHeight="1" thickBot="1">
      <c r="A47" s="84">
        <f>A46+1</f>
        <v>24</v>
      </c>
      <c r="B47" s="68" t="s">
        <v>83</v>
      </c>
      <c r="C47" s="68"/>
      <c r="D47" s="69">
        <f t="shared" si="12"/>
        <v>-36535643</v>
      </c>
      <c r="E47" s="70">
        <f>E58</f>
        <v>-6141300</v>
      </c>
      <c r="F47" s="70">
        <f>F58</f>
        <v>-10652299</v>
      </c>
      <c r="G47" s="70">
        <f t="shared" si="14"/>
        <v>-4461531</v>
      </c>
      <c r="H47" s="70">
        <f>H58</f>
        <v>-4528743</v>
      </c>
      <c r="I47" s="70">
        <f>I58</f>
        <v>-9283538</v>
      </c>
      <c r="J47" s="70">
        <f t="shared" si="14"/>
        <v>782514</v>
      </c>
      <c r="K47" s="70">
        <f t="shared" si="14"/>
        <v>-2250746</v>
      </c>
      <c r="L47" s="70">
        <f t="shared" si="14"/>
        <v>0</v>
      </c>
      <c r="M47" s="70">
        <f>M58</f>
        <v>0</v>
      </c>
      <c r="N47" s="70">
        <f t="shared" si="14"/>
        <v>0</v>
      </c>
      <c r="O47" s="70">
        <f t="shared" si="14"/>
        <v>0</v>
      </c>
      <c r="P47" s="70">
        <f t="shared" si="14"/>
        <v>0</v>
      </c>
      <c r="Q47" s="85"/>
      <c r="R47" s="72">
        <f>SUM(R42:R46)</f>
        <v>-36535643</v>
      </c>
    </row>
    <row r="48" spans="1:18" ht="13.15" thickTop="1">
      <c r="A48" s="5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6"/>
    </row>
    <row r="49" spans="1:18" outlineLevel="2">
      <c r="A49" s="51"/>
      <c r="E49" s="59"/>
      <c r="F49" s="59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B50" s="87" t="s">
        <v>74</v>
      </c>
      <c r="C50" s="87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>
        <v>447000</v>
      </c>
      <c r="D51" s="59">
        <f t="shared" ref="D51:D58" si="15">SUM(E51:P51)</f>
        <v>-32827540</v>
      </c>
      <c r="E51" s="22">
        <v>-2925963</v>
      </c>
      <c r="F51" s="22">
        <v>-6454601</v>
      </c>
      <c r="G51" s="22">
        <v>-1455960</v>
      </c>
      <c r="H51" s="22">
        <v>-4507136</v>
      </c>
      <c r="I51" s="22">
        <v>-8998055</v>
      </c>
      <c r="J51" s="22">
        <v>-4753084</v>
      </c>
      <c r="K51" s="22">
        <v>-3732741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88"/>
      <c r="R51" s="60">
        <f t="shared" ref="R51:R57" si="16">SUM(E51:P51)</f>
        <v>-32827540</v>
      </c>
    </row>
    <row r="52" spans="1:18" ht="13.15" outlineLevel="2">
      <c r="A52" s="51"/>
      <c r="B52" t="s">
        <v>84</v>
      </c>
      <c r="C52" s="73" t="s">
        <v>85</v>
      </c>
      <c r="D52" s="59">
        <f t="shared" si="15"/>
        <v>1073553</v>
      </c>
      <c r="E52" s="22">
        <v>21742</v>
      </c>
      <c r="F52" s="22">
        <v>48190</v>
      </c>
      <c r="G52" s="22">
        <v>93037</v>
      </c>
      <c r="H52" s="22">
        <v>168687</v>
      </c>
      <c r="I52" s="22">
        <v>163351</v>
      </c>
      <c r="J52" s="22">
        <v>261536</v>
      </c>
      <c r="K52" s="22">
        <v>317010</v>
      </c>
      <c r="L52" s="22"/>
      <c r="M52" s="22"/>
      <c r="N52" s="22"/>
      <c r="O52" s="22"/>
      <c r="P52" s="22"/>
      <c r="Q52" s="88"/>
      <c r="R52" s="60"/>
    </row>
    <row r="53" spans="1:18" outlineLevel="2">
      <c r="A53" s="51"/>
      <c r="B53">
        <v>447100</v>
      </c>
      <c r="D53" s="59">
        <f t="shared" si="15"/>
        <v>21510908</v>
      </c>
      <c r="E53" s="22">
        <v>-255100</v>
      </c>
      <c r="F53" s="22">
        <v>289632</v>
      </c>
      <c r="G53" s="22">
        <v>-253584</v>
      </c>
      <c r="H53" s="22">
        <v>2590380</v>
      </c>
      <c r="I53" s="22">
        <v>3263754</v>
      </c>
      <c r="J53" s="22">
        <v>9202904</v>
      </c>
      <c r="K53" s="22">
        <v>6672922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88"/>
      <c r="R53" s="60">
        <f t="shared" si="16"/>
        <v>21510908</v>
      </c>
    </row>
    <row r="54" spans="1:18" outlineLevel="2">
      <c r="A54" s="51"/>
      <c r="B54">
        <v>447150</v>
      </c>
      <c r="D54" s="59">
        <f t="shared" si="15"/>
        <v>-13384602</v>
      </c>
      <c r="E54" s="22">
        <v>-1163293</v>
      </c>
      <c r="F54" s="22">
        <v>-2319559</v>
      </c>
      <c r="G54" s="22">
        <v>-1243577</v>
      </c>
      <c r="H54" s="22">
        <v>-1123553</v>
      </c>
      <c r="I54" s="22">
        <v>-1261915</v>
      </c>
      <c r="J54" s="22">
        <v>-2365391</v>
      </c>
      <c r="K54" s="22">
        <v>-3907314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88"/>
      <c r="R54" s="60">
        <f t="shared" si="16"/>
        <v>-13384602</v>
      </c>
    </row>
    <row r="55" spans="1:18" outlineLevel="2">
      <c r="A55" s="51"/>
      <c r="B55">
        <v>447700</v>
      </c>
      <c r="D55" s="59">
        <f t="shared" si="15"/>
        <v>-1725471</v>
      </c>
      <c r="E55" s="22">
        <v>-188420</v>
      </c>
      <c r="F55" s="22">
        <v>-346405</v>
      </c>
      <c r="G55" s="22">
        <v>-50740</v>
      </c>
      <c r="H55" s="22">
        <v>-255700</v>
      </c>
      <c r="I55" s="22">
        <v>-376414</v>
      </c>
      <c r="J55" s="22">
        <v>-99792</v>
      </c>
      <c r="K55" s="22">
        <v>-408000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88"/>
      <c r="R55" s="60">
        <f t="shared" si="16"/>
        <v>-1725471</v>
      </c>
    </row>
    <row r="56" spans="1:18" outlineLevel="2">
      <c r="A56" s="51"/>
      <c r="B56">
        <v>447710</v>
      </c>
      <c r="D56" s="59">
        <f t="shared" si="15"/>
        <v>-1065516</v>
      </c>
      <c r="E56" s="22">
        <v>-216599</v>
      </c>
      <c r="F56" s="22">
        <v>-267709</v>
      </c>
      <c r="G56" s="22">
        <v>-204121</v>
      </c>
      <c r="H56" s="22">
        <v>-87285</v>
      </c>
      <c r="I56" s="22">
        <v>-74164</v>
      </c>
      <c r="J56" s="22">
        <v>-111569</v>
      </c>
      <c r="K56" s="22">
        <v>-104069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88"/>
      <c r="R56" s="60">
        <f t="shared" si="16"/>
        <v>-1065516</v>
      </c>
    </row>
    <row r="57" spans="1:18" outlineLevel="2">
      <c r="A57" s="51"/>
      <c r="B57">
        <v>447720</v>
      </c>
      <c r="C57" s="1" t="s">
        <v>86</v>
      </c>
      <c r="D57" s="77">
        <f t="shared" si="15"/>
        <v>-10116975</v>
      </c>
      <c r="E57" s="89">
        <v>-1413667</v>
      </c>
      <c r="F57" s="89">
        <v>-1601847</v>
      </c>
      <c r="G57" s="89">
        <v>-1346586</v>
      </c>
      <c r="H57" s="89">
        <v>-1314136</v>
      </c>
      <c r="I57" s="89">
        <v>-2000095</v>
      </c>
      <c r="J57" s="89">
        <v>-1352090</v>
      </c>
      <c r="K57" s="89">
        <v>-1088554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88"/>
      <c r="R57" s="90">
        <f t="shared" si="16"/>
        <v>-10116975</v>
      </c>
    </row>
    <row r="58" spans="1:18" s="73" customFormat="1" ht="13.15" outlineLevel="2">
      <c r="A58" s="4"/>
      <c r="D58" s="80">
        <f t="shared" si="15"/>
        <v>-36535643</v>
      </c>
      <c r="E58" s="91">
        <f t="shared" ref="E58:P58" si="17">SUM(E51:E57)</f>
        <v>-6141300</v>
      </c>
      <c r="F58" s="91">
        <f t="shared" si="17"/>
        <v>-10652299</v>
      </c>
      <c r="G58" s="91">
        <f t="shared" si="17"/>
        <v>-4461531</v>
      </c>
      <c r="H58" s="91">
        <f t="shared" si="17"/>
        <v>-4528743</v>
      </c>
      <c r="I58" s="91">
        <f t="shared" si="17"/>
        <v>-9283538</v>
      </c>
      <c r="J58" s="91">
        <f t="shared" si="17"/>
        <v>782514</v>
      </c>
      <c r="K58" s="91">
        <f t="shared" si="17"/>
        <v>-2250746</v>
      </c>
      <c r="L58" s="91">
        <f t="shared" si="17"/>
        <v>0</v>
      </c>
      <c r="M58" s="91">
        <f>SUM(M51:M57)</f>
        <v>0</v>
      </c>
      <c r="N58" s="91">
        <f t="shared" si="17"/>
        <v>0</v>
      </c>
      <c r="O58" s="91">
        <f t="shared" si="17"/>
        <v>0</v>
      </c>
      <c r="P58" s="91">
        <f t="shared" si="17"/>
        <v>0</v>
      </c>
      <c r="Q58" s="92"/>
      <c r="R58" s="80">
        <f>SUM(R51:R57)</f>
        <v>-37609196</v>
      </c>
    </row>
    <row r="59" spans="1:18" outlineLevel="2">
      <c r="A59" s="51"/>
      <c r="E59" s="59"/>
      <c r="F59" s="5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8"/>
      <c r="R59" s="59"/>
    </row>
    <row r="60" spans="1:18" ht="13.15">
      <c r="A60" s="51"/>
      <c r="B60" s="56" t="s">
        <v>87</v>
      </c>
      <c r="C60" s="5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8"/>
      <c r="R60" s="59"/>
    </row>
    <row r="61" spans="1:18">
      <c r="A61" s="51">
        <f>A47+1</f>
        <v>25</v>
      </c>
      <c r="B61" s="1" t="s">
        <v>88</v>
      </c>
      <c r="C61" s="1"/>
      <c r="D61" s="59">
        <f>SUM(E61:P61)</f>
        <v>3626492</v>
      </c>
      <c r="E61" s="22">
        <v>572049</v>
      </c>
      <c r="F61" s="22">
        <v>499776</v>
      </c>
      <c r="G61" s="22">
        <v>642433</v>
      </c>
      <c r="H61" s="22">
        <v>531571</v>
      </c>
      <c r="I61" s="22">
        <v>65737</v>
      </c>
      <c r="J61" s="22">
        <v>619807</v>
      </c>
      <c r="K61" s="22">
        <v>695119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93"/>
      <c r="R61" s="21">
        <f>SUM(E61:P61)</f>
        <v>3626492</v>
      </c>
    </row>
    <row r="62" spans="1:18">
      <c r="A62" s="51">
        <f>+A61+1</f>
        <v>26</v>
      </c>
      <c r="B62" s="1" t="s">
        <v>89</v>
      </c>
      <c r="C62" s="1"/>
      <c r="D62" s="59">
        <f>SUM(E62:P62)</f>
        <v>14773</v>
      </c>
      <c r="E62" s="22">
        <v>1028</v>
      </c>
      <c r="F62" s="22">
        <v>8827</v>
      </c>
      <c r="G62" s="22">
        <v>-4157</v>
      </c>
      <c r="H62" s="22">
        <v>529</v>
      </c>
      <c r="I62" s="22">
        <v>3152</v>
      </c>
      <c r="J62" s="22">
        <v>1765</v>
      </c>
      <c r="K62" s="22">
        <v>3629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93"/>
      <c r="R62" s="21">
        <f>SUM(E62:P62)</f>
        <v>14773</v>
      </c>
    </row>
    <row r="63" spans="1:18">
      <c r="A63" s="51">
        <f>+A62+1</f>
        <v>27</v>
      </c>
      <c r="B63" t="s">
        <v>90</v>
      </c>
      <c r="D63" s="59">
        <f>SUM(E63:P63)</f>
        <v>13150894</v>
      </c>
      <c r="E63" s="22">
        <v>2481260</v>
      </c>
      <c r="F63" s="22">
        <v>2015723</v>
      </c>
      <c r="G63" s="22">
        <v>2602101</v>
      </c>
      <c r="H63" s="22">
        <v>1151931</v>
      </c>
      <c r="I63" s="22">
        <v>1254952</v>
      </c>
      <c r="J63" s="22">
        <v>1346485</v>
      </c>
      <c r="K63" s="22">
        <v>2298442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93"/>
      <c r="R63" s="94">
        <f>SUM(E63:P63)</f>
        <v>13150894</v>
      </c>
    </row>
    <row r="64" spans="1:18">
      <c r="A64" s="51">
        <f>+A63+1</f>
        <v>28</v>
      </c>
      <c r="B64" t="s">
        <v>91</v>
      </c>
      <c r="D64" s="59">
        <f>SUM(E64:P64)</f>
        <v>104828</v>
      </c>
      <c r="E64" s="22">
        <v>22561</v>
      </c>
      <c r="F64" s="22">
        <v>3835</v>
      </c>
      <c r="G64" s="22">
        <v>16432</v>
      </c>
      <c r="H64" s="22">
        <v>984</v>
      </c>
      <c r="I64" s="22">
        <v>26054</v>
      </c>
      <c r="J64" s="22">
        <v>1325</v>
      </c>
      <c r="K64" s="22">
        <v>33637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93"/>
      <c r="R64" s="94">
        <f>SUM(E64:P64)</f>
        <v>104828</v>
      </c>
    </row>
    <row r="65" spans="1:18" s="73" customFormat="1" ht="27.75" customHeight="1" thickBot="1">
      <c r="A65" s="84">
        <f>+A64+1</f>
        <v>29</v>
      </c>
      <c r="B65" s="68" t="s">
        <v>92</v>
      </c>
      <c r="C65" s="68"/>
      <c r="D65" s="69">
        <f>SUM(E65:P65)</f>
        <v>16896987</v>
      </c>
      <c r="E65" s="40">
        <f>SUM(E61:E64)</f>
        <v>3076898</v>
      </c>
      <c r="F65" s="40">
        <f t="shared" ref="F65:P65" si="18">SUM(F61:F64)</f>
        <v>2528161</v>
      </c>
      <c r="G65" s="40">
        <f t="shared" si="18"/>
        <v>3256809</v>
      </c>
      <c r="H65" s="40">
        <f t="shared" si="18"/>
        <v>1685015</v>
      </c>
      <c r="I65" s="40">
        <f t="shared" si="18"/>
        <v>1349895</v>
      </c>
      <c r="J65" s="40">
        <f t="shared" si="18"/>
        <v>1969382</v>
      </c>
      <c r="K65" s="40">
        <f t="shared" si="18"/>
        <v>3030827</v>
      </c>
      <c r="L65" s="40">
        <f t="shared" si="18"/>
        <v>0</v>
      </c>
      <c r="M65" s="40">
        <f t="shared" si="18"/>
        <v>0</v>
      </c>
      <c r="N65" s="40">
        <f t="shared" si="18"/>
        <v>0</v>
      </c>
      <c r="O65" s="40">
        <f t="shared" si="18"/>
        <v>0</v>
      </c>
      <c r="P65" s="40">
        <f t="shared" si="18"/>
        <v>0</v>
      </c>
      <c r="Q65" s="95"/>
      <c r="R65" s="72">
        <f>SUM(E65:P65)</f>
        <v>16896987</v>
      </c>
    </row>
    <row r="66" spans="1:18" ht="13.15" thickTop="1">
      <c r="A66" s="5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6"/>
    </row>
    <row r="67" spans="1:18" ht="18.75" customHeight="1">
      <c r="A67" s="51"/>
      <c r="B67" s="56" t="s">
        <v>93</v>
      </c>
      <c r="C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6"/>
    </row>
    <row r="68" spans="1:18">
      <c r="A68" s="51">
        <f>A65+1</f>
        <v>30</v>
      </c>
      <c r="B68" t="s">
        <v>94</v>
      </c>
      <c r="C68" s="1" t="s">
        <v>95</v>
      </c>
      <c r="D68" s="96">
        <f>SUM(E68:P68)</f>
        <v>259580</v>
      </c>
      <c r="E68" s="97">
        <f>'[1]Input Tab'!C50</f>
        <v>42518</v>
      </c>
      <c r="F68" s="97">
        <f>'[1]Input Tab'!D50</f>
        <v>37569</v>
      </c>
      <c r="G68" s="97">
        <f>'[1]Input Tab'!E50</f>
        <v>47100</v>
      </c>
      <c r="H68" s="97">
        <f>'[1]Input Tab'!F50</f>
        <v>37947</v>
      </c>
      <c r="I68" s="97">
        <f>'[1]Input Tab'!G50</f>
        <v>4045</v>
      </c>
      <c r="J68" s="97">
        <f>'[1]Input Tab'!H50</f>
        <v>43491</v>
      </c>
      <c r="K68" s="97">
        <f>'[1]Input Tab'!I50</f>
        <v>46910</v>
      </c>
      <c r="L68" s="97">
        <f>'[1]Input Tab'!J50</f>
        <v>0</v>
      </c>
      <c r="M68" s="97">
        <f>'[1]Input Tab'!K50</f>
        <v>0</v>
      </c>
      <c r="N68" s="97">
        <f>'[1]Input Tab'!L50</f>
        <v>0</v>
      </c>
      <c r="O68" s="97">
        <f>'[1]Input Tab'!M50</f>
        <v>0</v>
      </c>
      <c r="P68" s="97">
        <f>'[1]Input Tab'!N50</f>
        <v>0</v>
      </c>
      <c r="Q68" s="86"/>
      <c r="R68" s="98">
        <f>SUM(E68:P68)</f>
        <v>259580</v>
      </c>
    </row>
    <row r="69" spans="1:18">
      <c r="A69" s="51">
        <f>A68+1</f>
        <v>31</v>
      </c>
      <c r="B69" t="s">
        <v>96</v>
      </c>
      <c r="C69" s="1" t="s">
        <v>97</v>
      </c>
      <c r="D69" s="96">
        <f>SUM(E69:P69)</f>
        <v>489173</v>
      </c>
      <c r="E69" s="97">
        <f>'[1]Input Tab'!C51</f>
        <v>89341</v>
      </c>
      <c r="F69" s="97">
        <f>'[1]Input Tab'!D51</f>
        <v>75697</v>
      </c>
      <c r="G69" s="97">
        <f>'[1]Input Tab'!E51</f>
        <v>96986</v>
      </c>
      <c r="H69" s="97">
        <f>'[1]Input Tab'!F51</f>
        <v>43333</v>
      </c>
      <c r="I69" s="97">
        <f>'[1]Input Tab'!G51</f>
        <v>45939</v>
      </c>
      <c r="J69" s="97">
        <f>'[1]Input Tab'!H51</f>
        <v>49599</v>
      </c>
      <c r="K69" s="97">
        <f>'[1]Input Tab'!I51</f>
        <v>88278</v>
      </c>
      <c r="L69" s="97">
        <f>'[1]Input Tab'!J51</f>
        <v>0</v>
      </c>
      <c r="M69" s="97">
        <f>'[1]Input Tab'!K51</f>
        <v>0</v>
      </c>
      <c r="N69" s="97">
        <f>'[1]Input Tab'!L51</f>
        <v>0</v>
      </c>
      <c r="O69" s="97">
        <f>'[1]Input Tab'!M51</f>
        <v>0</v>
      </c>
      <c r="P69" s="97">
        <f>'[1]Input Tab'!N51</f>
        <v>0</v>
      </c>
      <c r="Q69" s="86"/>
      <c r="R69" s="98">
        <f>SUM(E69:P69)</f>
        <v>489173</v>
      </c>
    </row>
    <row r="70" spans="1:18">
      <c r="A70" s="51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 ht="21" customHeight="1">
      <c r="A71" s="51"/>
      <c r="B71" s="56" t="s">
        <v>98</v>
      </c>
      <c r="C71" s="5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6"/>
    </row>
    <row r="72" spans="1:18">
      <c r="A72" s="51">
        <f>A69+1</f>
        <v>32</v>
      </c>
      <c r="B72" t="s">
        <v>94</v>
      </c>
      <c r="D72" s="51" t="s">
        <v>99</v>
      </c>
      <c r="E72" s="99">
        <f>IF(E68=0," ",E61/E68)</f>
        <v>13.454278188061528</v>
      </c>
      <c r="F72" s="99">
        <f>IF(F68=0," ",F61/F68)</f>
        <v>13.302882695839655</v>
      </c>
      <c r="G72" s="99">
        <f>IF(G68=0," ",G61/G68)</f>
        <v>13.639766454352442</v>
      </c>
      <c r="H72" s="99">
        <f t="shared" ref="H72:P72" si="19">IF(H68=0," ",H61/H68)</f>
        <v>14.008248346377842</v>
      </c>
      <c r="I72" s="99">
        <f>IF(I68=0," ",I61/I68)</f>
        <v>16.25142150803461</v>
      </c>
      <c r="J72" s="99">
        <f t="shared" si="19"/>
        <v>14.25138534409418</v>
      </c>
      <c r="K72" s="99">
        <f>IF(K68=0," ",K61/K68)</f>
        <v>14.818141121296099</v>
      </c>
      <c r="L72" s="99" t="str">
        <f t="shared" si="19"/>
        <v xml:space="preserve"> </v>
      </c>
      <c r="M72" s="99" t="str">
        <f t="shared" si="19"/>
        <v xml:space="preserve"> </v>
      </c>
      <c r="N72" s="99" t="str">
        <f t="shared" si="19"/>
        <v xml:space="preserve"> </v>
      </c>
      <c r="O72" s="99" t="str">
        <f t="shared" si="19"/>
        <v xml:space="preserve"> </v>
      </c>
      <c r="P72" s="99" t="str">
        <f t="shared" si="19"/>
        <v xml:space="preserve"> </v>
      </c>
      <c r="Q72" s="100"/>
      <c r="R72" s="101">
        <f>R61/R68</f>
        <v>13.970614068880499</v>
      </c>
    </row>
    <row r="73" spans="1:18">
      <c r="A73" s="51">
        <f>A72+1</f>
        <v>33</v>
      </c>
      <c r="B73" t="s">
        <v>100</v>
      </c>
      <c r="D73" s="51" t="s">
        <v>101</v>
      </c>
      <c r="E73" s="99">
        <f>IF(E69=0," ",E63/E69)</f>
        <v>27.772915011025173</v>
      </c>
      <c r="F73" s="99">
        <f>IF(F69=0," ",F63/F69)</f>
        <v>26.628836017279415</v>
      </c>
      <c r="G73" s="99">
        <f t="shared" ref="G73:P73" si="20">IF(G69=0," ",G63/G69)</f>
        <v>26.82965582661415</v>
      </c>
      <c r="H73" s="99">
        <f t="shared" si="20"/>
        <v>26.583227563288947</v>
      </c>
      <c r="I73" s="99">
        <f>IF(I69=0," ",I63/I69)</f>
        <v>27.317790983695769</v>
      </c>
      <c r="J73" s="99">
        <f t="shared" si="20"/>
        <v>27.147422327063044</v>
      </c>
      <c r="K73" s="99">
        <f t="shared" si="20"/>
        <v>26.036407712000724</v>
      </c>
      <c r="L73" s="99" t="str">
        <f t="shared" si="20"/>
        <v xml:space="preserve"> </v>
      </c>
      <c r="M73" s="99" t="str">
        <f t="shared" si="20"/>
        <v xml:space="preserve"> </v>
      </c>
      <c r="N73" s="99" t="str">
        <f t="shared" si="20"/>
        <v xml:space="preserve"> </v>
      </c>
      <c r="O73" s="99" t="str">
        <f t="shared" si="20"/>
        <v xml:space="preserve"> </v>
      </c>
      <c r="P73" s="99" t="str">
        <f t="shared" si="20"/>
        <v xml:space="preserve"> </v>
      </c>
      <c r="Q73" s="100"/>
      <c r="R73" s="101">
        <f>R63/R69</f>
        <v>26.883932678214048</v>
      </c>
    </row>
    <row r="74" spans="1:18">
      <c r="A74" s="51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 ht="13.15">
      <c r="A75" s="51"/>
      <c r="B75" s="56" t="s">
        <v>102</v>
      </c>
      <c r="C75" s="5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6"/>
    </row>
    <row r="76" spans="1:18">
      <c r="A76" s="51">
        <f>A73+1</f>
        <v>34</v>
      </c>
      <c r="B76" t="s">
        <v>103</v>
      </c>
      <c r="D76" s="59">
        <f t="shared" ref="D76:D82" si="21">SUM(E76:P76)</f>
        <v>35780</v>
      </c>
      <c r="E76" s="22">
        <v>113</v>
      </c>
      <c r="F76" s="22">
        <v>-12</v>
      </c>
      <c r="G76" s="22">
        <v>87</v>
      </c>
      <c r="H76" s="22">
        <v>-1</v>
      </c>
      <c r="I76" s="22">
        <v>772</v>
      </c>
      <c r="J76" s="22">
        <v>27234</v>
      </c>
      <c r="K76" s="22">
        <v>7587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102"/>
      <c r="R76" s="103">
        <f t="shared" ref="R76:R81" si="22">SUM(E76:P76)</f>
        <v>35780</v>
      </c>
    </row>
    <row r="77" spans="1:18">
      <c r="A77" s="51">
        <f t="shared" ref="A77:A82" si="23">A76+1</f>
        <v>35</v>
      </c>
      <c r="B77" t="s">
        <v>104</v>
      </c>
      <c r="D77" s="59">
        <f t="shared" si="21"/>
        <v>965894</v>
      </c>
      <c r="E77" s="22">
        <v>13515</v>
      </c>
      <c r="F77" s="22">
        <v>102792</v>
      </c>
      <c r="G77" s="22">
        <v>114417</v>
      </c>
      <c r="H77" s="22">
        <v>126490</v>
      </c>
      <c r="I77" s="22">
        <v>97758</v>
      </c>
      <c r="J77" s="22">
        <v>216747</v>
      </c>
      <c r="K77" s="22">
        <v>294175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102"/>
      <c r="R77" s="103">
        <f t="shared" si="22"/>
        <v>965894</v>
      </c>
    </row>
    <row r="78" spans="1:18">
      <c r="A78" s="51">
        <f t="shared" si="23"/>
        <v>36</v>
      </c>
      <c r="B78" t="s">
        <v>105</v>
      </c>
      <c r="D78" s="59">
        <f t="shared" si="21"/>
        <v>67199</v>
      </c>
      <c r="E78" s="22">
        <v>120</v>
      </c>
      <c r="F78" s="22">
        <v>-8703</v>
      </c>
      <c r="G78" s="22">
        <v>9978</v>
      </c>
      <c r="H78" s="22">
        <v>-113</v>
      </c>
      <c r="I78" s="22">
        <v>-1973</v>
      </c>
      <c r="J78" s="22">
        <v>24727</v>
      </c>
      <c r="K78" s="22">
        <v>43163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102"/>
      <c r="R78" s="103">
        <f t="shared" si="22"/>
        <v>67199</v>
      </c>
    </row>
    <row r="79" spans="1:18">
      <c r="A79" s="51">
        <f t="shared" si="23"/>
        <v>37</v>
      </c>
      <c r="B79" t="s">
        <v>106</v>
      </c>
      <c r="D79" s="59">
        <f t="shared" si="21"/>
        <v>13657829</v>
      </c>
      <c r="E79" s="22">
        <v>3313555</v>
      </c>
      <c r="F79" s="22">
        <v>4600091</v>
      </c>
      <c r="G79" s="22">
        <v>384055</v>
      </c>
      <c r="H79" s="22">
        <v>426040</v>
      </c>
      <c r="I79" s="22">
        <v>432238</v>
      </c>
      <c r="J79" s="22">
        <v>520235</v>
      </c>
      <c r="K79" s="22">
        <v>3981615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102"/>
      <c r="R79" s="103">
        <f t="shared" si="22"/>
        <v>13657829</v>
      </c>
    </row>
    <row r="80" spans="1:18">
      <c r="A80" s="51">
        <f>A79+1</f>
        <v>38</v>
      </c>
      <c r="B80" s="1" t="s">
        <v>107</v>
      </c>
      <c r="C80" s="1"/>
      <c r="D80" s="59">
        <f t="shared" si="21"/>
        <v>21125596</v>
      </c>
      <c r="E80" s="22">
        <v>2848373</v>
      </c>
      <c r="F80" s="22">
        <v>4650571</v>
      </c>
      <c r="G80" s="22">
        <v>2761100</v>
      </c>
      <c r="H80" s="22">
        <v>2921481</v>
      </c>
      <c r="I80" s="22">
        <v>3106537</v>
      </c>
      <c r="J80" s="22">
        <v>957420</v>
      </c>
      <c r="K80" s="22">
        <v>3880114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102"/>
      <c r="R80" s="103">
        <f>SUM(E80:P80)</f>
        <v>21125596</v>
      </c>
    </row>
    <row r="81" spans="1:18">
      <c r="A81" s="51">
        <f>A80+1</f>
        <v>39</v>
      </c>
      <c r="B81" s="104" t="s">
        <v>108</v>
      </c>
      <c r="C81" s="104"/>
      <c r="D81" s="59">
        <f t="shared" si="21"/>
        <v>3344506</v>
      </c>
      <c r="E81" s="89">
        <v>7765</v>
      </c>
      <c r="F81" s="89">
        <v>317767</v>
      </c>
      <c r="G81" s="89">
        <v>276470</v>
      </c>
      <c r="H81" s="89">
        <v>661760</v>
      </c>
      <c r="I81" s="89">
        <v>56640</v>
      </c>
      <c r="J81" s="89">
        <v>615142</v>
      </c>
      <c r="K81" s="89">
        <v>1408962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102"/>
      <c r="R81" s="105">
        <f t="shared" si="22"/>
        <v>3344506</v>
      </c>
    </row>
    <row r="82" spans="1:18" s="73" customFormat="1" ht="21.75" customHeight="1">
      <c r="A82" s="84">
        <f t="shared" si="23"/>
        <v>40</v>
      </c>
      <c r="B82" s="68" t="s">
        <v>109</v>
      </c>
      <c r="C82" s="68"/>
      <c r="D82" s="69">
        <f t="shared" si="21"/>
        <v>39196804</v>
      </c>
      <c r="E82" s="40">
        <f t="shared" ref="E82:P82" si="24">SUM(E76:E81)</f>
        <v>6183441</v>
      </c>
      <c r="F82" s="40">
        <f t="shared" si="24"/>
        <v>9662506</v>
      </c>
      <c r="G82" s="40">
        <f t="shared" si="24"/>
        <v>3546107</v>
      </c>
      <c r="H82" s="40">
        <f t="shared" si="24"/>
        <v>4135657</v>
      </c>
      <c r="I82" s="40">
        <f t="shared" si="24"/>
        <v>3691972</v>
      </c>
      <c r="J82" s="40">
        <f t="shared" si="24"/>
        <v>2361505</v>
      </c>
      <c r="K82" s="40">
        <f t="shared" si="24"/>
        <v>9615616</v>
      </c>
      <c r="L82" s="40">
        <f t="shared" si="24"/>
        <v>0</v>
      </c>
      <c r="M82" s="40">
        <f t="shared" si="24"/>
        <v>0</v>
      </c>
      <c r="N82" s="40">
        <f t="shared" si="24"/>
        <v>0</v>
      </c>
      <c r="O82" s="40">
        <f t="shared" si="24"/>
        <v>0</v>
      </c>
      <c r="P82" s="40">
        <f t="shared" si="24"/>
        <v>0</v>
      </c>
      <c r="Q82" s="106"/>
      <c r="R82" s="107">
        <f>SUM(R76:R81)</f>
        <v>39196804</v>
      </c>
    </row>
    <row r="83" spans="1:18" ht="15.75" customHeight="1">
      <c r="A83" s="5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02"/>
      <c r="R83" s="103"/>
    </row>
    <row r="84" spans="1:18" ht="21" customHeight="1">
      <c r="A84" s="84">
        <f>A82+1</f>
        <v>41</v>
      </c>
      <c r="B84" s="108" t="s">
        <v>110</v>
      </c>
      <c r="C84" s="108"/>
      <c r="D84" s="109">
        <f>SUM(E84:P84)</f>
        <v>104993580.08389999</v>
      </c>
      <c r="E84" s="40">
        <f t="shared" ref="E84:P84" si="25">E24+E47+E65+E82</f>
        <v>13961428.874600001</v>
      </c>
      <c r="F84" s="40">
        <f t="shared" si="25"/>
        <v>12734621.897</v>
      </c>
      <c r="G84" s="40">
        <f t="shared" si="25"/>
        <v>14774899.0331</v>
      </c>
      <c r="H84" s="40">
        <f t="shared" si="25"/>
        <v>12895927.428099999</v>
      </c>
      <c r="I84" s="40">
        <f t="shared" si="25"/>
        <v>5805643.4112999998</v>
      </c>
      <c r="J84" s="40">
        <f t="shared" si="25"/>
        <v>20241966.176799998</v>
      </c>
      <c r="K84" s="40">
        <f t="shared" si="25"/>
        <v>24579093.263</v>
      </c>
      <c r="L84" s="40">
        <f t="shared" si="25"/>
        <v>0</v>
      </c>
      <c r="M84" s="40">
        <f t="shared" si="25"/>
        <v>0</v>
      </c>
      <c r="N84" s="40">
        <f t="shared" si="25"/>
        <v>0</v>
      </c>
      <c r="O84" s="40">
        <f t="shared" si="25"/>
        <v>0</v>
      </c>
      <c r="P84" s="40">
        <f t="shared" si="25"/>
        <v>0</v>
      </c>
      <c r="Q84" s="110"/>
      <c r="R84" s="111">
        <f>R24-R47+R65+R82</f>
        <v>171022394.3039</v>
      </c>
    </row>
    <row r="85" spans="1:18" ht="12" customHeight="1"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6"/>
    </row>
    <row r="86" spans="1:18" outlineLevel="1">
      <c r="B86" s="112" t="s">
        <v>63</v>
      </c>
      <c r="C86" s="112"/>
      <c r="E86" s="113">
        <v>202101</v>
      </c>
      <c r="F86" s="113">
        <v>202102</v>
      </c>
      <c r="G86" s="113">
        <v>202103</v>
      </c>
      <c r="H86" s="113">
        <v>202104</v>
      </c>
      <c r="I86" s="113">
        <v>202105</v>
      </c>
      <c r="J86" s="113">
        <v>202106</v>
      </c>
      <c r="K86" s="113">
        <v>202107</v>
      </c>
      <c r="L86" s="113">
        <v>202108</v>
      </c>
      <c r="M86" s="113">
        <v>202109</v>
      </c>
      <c r="N86" s="113">
        <v>202110</v>
      </c>
      <c r="O86" s="113">
        <v>202111</v>
      </c>
      <c r="P86" s="113">
        <v>202112</v>
      </c>
      <c r="Q86" s="86"/>
    </row>
    <row r="87" spans="1:18" ht="13.15">
      <c r="B87" s="57" t="s">
        <v>111</v>
      </c>
      <c r="C87" s="57"/>
      <c r="D87" s="114"/>
      <c r="E87" s="81"/>
      <c r="F87" s="66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86"/>
    </row>
    <row r="88" spans="1:18">
      <c r="A88" s="51">
        <f>A84+1</f>
        <v>42</v>
      </c>
      <c r="B88" s="112" t="s">
        <v>112</v>
      </c>
      <c r="C88" s="112"/>
      <c r="D88" s="59">
        <f t="shared" ref="D88:D96" si="26">SUM(E88:P88)</f>
        <v>-8200532</v>
      </c>
      <c r="E88" s="22">
        <v>-593403</v>
      </c>
      <c r="F88" s="22">
        <v>-845855</v>
      </c>
      <c r="G88" s="22">
        <v>-644720</v>
      </c>
      <c r="H88" s="22">
        <v>-718854</v>
      </c>
      <c r="I88" s="22">
        <v>-1333515</v>
      </c>
      <c r="J88" s="22">
        <v>-1753682</v>
      </c>
      <c r="K88" s="22">
        <v>-2310503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102"/>
      <c r="R88" s="103">
        <f t="shared" ref="R88:R96" si="27">SUM(E88:P88)</f>
        <v>-8200532</v>
      </c>
    </row>
    <row r="89" spans="1:18">
      <c r="A89" s="51">
        <v>45</v>
      </c>
      <c r="B89" s="112" t="s">
        <v>113</v>
      </c>
      <c r="C89" s="112"/>
      <c r="D89" s="59">
        <f t="shared" si="26"/>
        <v>-539000</v>
      </c>
      <c r="E89" s="13">
        <v>-77000</v>
      </c>
      <c r="F89" s="13">
        <v>-77000</v>
      </c>
      <c r="G89" s="13">
        <v>-77000</v>
      </c>
      <c r="H89" s="13">
        <v>-77000</v>
      </c>
      <c r="I89" s="13">
        <v>-77000</v>
      </c>
      <c r="J89" s="13">
        <v>-77000</v>
      </c>
      <c r="K89" s="13">
        <v>-77000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02"/>
      <c r="R89" s="103">
        <f t="shared" si="27"/>
        <v>-539000</v>
      </c>
    </row>
    <row r="90" spans="1:18">
      <c r="A90" s="51">
        <f>A89+1</f>
        <v>46</v>
      </c>
      <c r="B90" s="112" t="s">
        <v>114</v>
      </c>
      <c r="C90" s="112"/>
      <c r="D90" s="59">
        <f t="shared" si="26"/>
        <v>-56929</v>
      </c>
      <c r="E90" s="22">
        <v>0</v>
      </c>
      <c r="F90" s="22">
        <v>0</v>
      </c>
      <c r="G90" s="22">
        <v>-7259</v>
      </c>
      <c r="H90" s="22">
        <v>-18490</v>
      </c>
      <c r="I90" s="22">
        <v>-21540</v>
      </c>
      <c r="J90" s="22">
        <v>-9640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/>
      <c r="R90" s="103">
        <f t="shared" si="27"/>
        <v>-56929</v>
      </c>
    </row>
    <row r="91" spans="1:18">
      <c r="A91" s="51">
        <f>A90+1</f>
        <v>47</v>
      </c>
      <c r="B91" s="112" t="s">
        <v>115</v>
      </c>
      <c r="C91" s="112"/>
      <c r="D91" s="59">
        <f t="shared" si="26"/>
        <v>-707202</v>
      </c>
      <c r="E91" s="22">
        <v>-101484</v>
      </c>
      <c r="F91" s="22">
        <v>-102584</v>
      </c>
      <c r="G91" s="22">
        <v>-102211</v>
      </c>
      <c r="H91" s="22">
        <v>-100923</v>
      </c>
      <c r="I91" s="22">
        <v>-100000</v>
      </c>
      <c r="J91" s="22">
        <v>-100000</v>
      </c>
      <c r="K91" s="22">
        <v>-100000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/>
      <c r="R91" s="103"/>
    </row>
    <row r="92" spans="1:18">
      <c r="A92" s="51">
        <f>A91+1</f>
        <v>48</v>
      </c>
      <c r="B92" s="112" t="s">
        <v>116</v>
      </c>
      <c r="C92" s="112"/>
      <c r="D92" s="59">
        <f t="shared" si="26"/>
        <v>-1065516</v>
      </c>
      <c r="E92" s="22">
        <v>-216599</v>
      </c>
      <c r="F92" s="22">
        <v>-269939</v>
      </c>
      <c r="G92" s="22">
        <v>-201891</v>
      </c>
      <c r="H92" s="22">
        <v>-87285</v>
      </c>
      <c r="I92" s="22">
        <v>-74164</v>
      </c>
      <c r="J92" s="22">
        <v>-111569</v>
      </c>
      <c r="K92" s="22">
        <v>-104069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102"/>
      <c r="R92" s="103">
        <f t="shared" si="27"/>
        <v>-1065516</v>
      </c>
    </row>
    <row r="93" spans="1:18">
      <c r="A93" s="51">
        <f>+A92+1</f>
        <v>49</v>
      </c>
      <c r="B93" s="1" t="s">
        <v>117</v>
      </c>
      <c r="C93" s="1"/>
      <c r="D93" s="21">
        <f>SUM(E93:P93)</f>
        <v>-43640</v>
      </c>
      <c r="E93" s="116">
        <v>-5778</v>
      </c>
      <c r="F93" s="116">
        <v>-5778</v>
      </c>
      <c r="G93" s="116">
        <v>-5778</v>
      </c>
      <c r="H93" s="116">
        <v>-5778</v>
      </c>
      <c r="I93" s="116">
        <v>-5778</v>
      </c>
      <c r="J93" s="116">
        <v>-5778</v>
      </c>
      <c r="K93" s="116">
        <v>-8972</v>
      </c>
      <c r="L93" s="116">
        <v>0</v>
      </c>
      <c r="M93" s="116">
        <v>0</v>
      </c>
      <c r="N93" s="116">
        <v>0</v>
      </c>
      <c r="O93" s="116">
        <v>0</v>
      </c>
      <c r="P93" s="116">
        <v>0</v>
      </c>
      <c r="Q93" s="102"/>
      <c r="R93" s="103">
        <f t="shared" si="27"/>
        <v>-43640</v>
      </c>
    </row>
    <row r="94" spans="1:18">
      <c r="A94" s="51">
        <f>+A93+1</f>
        <v>50</v>
      </c>
      <c r="B94" s="112" t="s">
        <v>118</v>
      </c>
      <c r="C94" s="112"/>
      <c r="D94" s="59">
        <f t="shared" si="26"/>
        <v>-66661</v>
      </c>
      <c r="E94" s="22">
        <v>-9523</v>
      </c>
      <c r="F94" s="22">
        <v>-9523</v>
      </c>
      <c r="G94" s="22">
        <v>-9523</v>
      </c>
      <c r="H94" s="22">
        <v>-9523</v>
      </c>
      <c r="I94" s="22">
        <v>-9523</v>
      </c>
      <c r="J94" s="22">
        <v>-9523</v>
      </c>
      <c r="K94" s="22">
        <v>-9523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117"/>
      <c r="R94" s="103">
        <f t="shared" si="27"/>
        <v>-66661</v>
      </c>
    </row>
    <row r="95" spans="1:18">
      <c r="A95" s="51">
        <f>+A94+1</f>
        <v>51</v>
      </c>
      <c r="B95" s="118" t="s">
        <v>119</v>
      </c>
      <c r="C95" s="118" t="s">
        <v>120</v>
      </c>
      <c r="D95" s="59">
        <f t="shared" si="26"/>
        <v>-1042706</v>
      </c>
      <c r="E95" s="89">
        <v>-148958</v>
      </c>
      <c r="F95" s="89">
        <v>-148958</v>
      </c>
      <c r="G95" s="89">
        <v>-148958</v>
      </c>
      <c r="H95" s="89">
        <v>-148958</v>
      </c>
      <c r="I95" s="89">
        <v>-148958</v>
      </c>
      <c r="J95" s="89">
        <v>-148958</v>
      </c>
      <c r="K95" s="89">
        <v>-148958</v>
      </c>
      <c r="L95" s="89">
        <v>0</v>
      </c>
      <c r="M95" s="89">
        <v>0</v>
      </c>
      <c r="N95" s="89">
        <v>0</v>
      </c>
      <c r="O95" s="89">
        <v>0</v>
      </c>
      <c r="P95" s="89">
        <v>0</v>
      </c>
      <c r="Q95" s="102"/>
      <c r="R95" s="105">
        <f t="shared" si="27"/>
        <v>-1042706</v>
      </c>
    </row>
    <row r="96" spans="1:18" s="73" customFormat="1" ht="20.25" customHeight="1">
      <c r="A96" s="84">
        <f>A95+1</f>
        <v>52</v>
      </c>
      <c r="B96" s="119" t="s">
        <v>121</v>
      </c>
      <c r="C96" s="119"/>
      <c r="D96" s="69">
        <f t="shared" si="26"/>
        <v>-11722186</v>
      </c>
      <c r="E96" s="69">
        <f>SUM(E88:E95)</f>
        <v>-1152745</v>
      </c>
      <c r="F96" s="69">
        <f t="shared" ref="F96:P96" si="28">SUM(F88:F95)</f>
        <v>-1459637</v>
      </c>
      <c r="G96" s="69">
        <f t="shared" si="28"/>
        <v>-1197340</v>
      </c>
      <c r="H96" s="69">
        <f t="shared" si="28"/>
        <v>-1166811</v>
      </c>
      <c r="I96" s="69">
        <f t="shared" si="28"/>
        <v>-1770478</v>
      </c>
      <c r="J96" s="69">
        <f t="shared" si="28"/>
        <v>-2216150</v>
      </c>
      <c r="K96" s="69">
        <f t="shared" si="28"/>
        <v>-2759025</v>
      </c>
      <c r="L96" s="69">
        <f t="shared" si="28"/>
        <v>0</v>
      </c>
      <c r="M96" s="69">
        <f t="shared" si="28"/>
        <v>0</v>
      </c>
      <c r="N96" s="69">
        <f t="shared" si="28"/>
        <v>0</v>
      </c>
      <c r="O96" s="69">
        <f t="shared" si="28"/>
        <v>0</v>
      </c>
      <c r="P96" s="69">
        <f t="shared" si="28"/>
        <v>0</v>
      </c>
      <c r="Q96" s="106"/>
      <c r="R96" s="107">
        <f t="shared" si="27"/>
        <v>-11722186</v>
      </c>
    </row>
    <row r="97" spans="1:18">
      <c r="A97" s="51"/>
      <c r="E97" s="59"/>
      <c r="F97" s="59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02"/>
      <c r="R97" s="103"/>
    </row>
    <row r="98" spans="1:18" ht="13.15">
      <c r="A98" s="51"/>
      <c r="B98" s="56" t="s">
        <v>122</v>
      </c>
      <c r="C98" s="56"/>
      <c r="E98" s="59"/>
      <c r="F98" s="59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2"/>
      <c r="R98" s="103"/>
    </row>
    <row r="99" spans="1:18">
      <c r="A99" s="51">
        <f>A96+1</f>
        <v>53</v>
      </c>
      <c r="B99" s="1" t="s">
        <v>123</v>
      </c>
      <c r="C99" s="1"/>
      <c r="D99" s="59">
        <f>SUM(E99:P99)</f>
        <v>10127986</v>
      </c>
      <c r="E99" s="22">
        <v>1423401</v>
      </c>
      <c r="F99" s="120">
        <v>1391371</v>
      </c>
      <c r="G99" s="120">
        <v>1452196</v>
      </c>
      <c r="H99" s="120">
        <v>1368705</v>
      </c>
      <c r="I99" s="120">
        <v>1335481</v>
      </c>
      <c r="J99" s="120">
        <v>1408813</v>
      </c>
      <c r="K99" s="120">
        <v>1748019</v>
      </c>
      <c r="L99" s="120">
        <v>0</v>
      </c>
      <c r="M99" s="120">
        <v>0</v>
      </c>
      <c r="N99" s="120">
        <v>0</v>
      </c>
      <c r="O99" s="120">
        <v>0</v>
      </c>
      <c r="P99" s="120">
        <v>0</v>
      </c>
      <c r="Q99" s="102"/>
      <c r="R99" s="103">
        <f>SUM(E99:P99)</f>
        <v>10127986</v>
      </c>
    </row>
    <row r="100" spans="1:18">
      <c r="A100" s="51">
        <f>A99+1</f>
        <v>54</v>
      </c>
      <c r="B100" s="1" t="s">
        <v>124</v>
      </c>
      <c r="C100" s="1" t="s">
        <v>66</v>
      </c>
      <c r="D100" s="59">
        <f>SUM(E100:P100)</f>
        <v>0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02"/>
      <c r="R100" s="103">
        <f>SUM(E100:P100)</f>
        <v>0</v>
      </c>
    </row>
    <row r="101" spans="1:18">
      <c r="A101" s="121">
        <f>A100+1</f>
        <v>55</v>
      </c>
      <c r="B101" s="6" t="s">
        <v>125</v>
      </c>
      <c r="C101" s="6"/>
      <c r="D101" s="59">
        <f>SUM(E101:P101)</f>
        <v>31752</v>
      </c>
      <c r="E101" s="89">
        <v>4536</v>
      </c>
      <c r="F101" s="89">
        <v>4536</v>
      </c>
      <c r="G101" s="89">
        <v>4536</v>
      </c>
      <c r="H101" s="89">
        <v>4536</v>
      </c>
      <c r="I101" s="89">
        <v>4536</v>
      </c>
      <c r="J101" s="89">
        <v>4536</v>
      </c>
      <c r="K101" s="89">
        <v>4536</v>
      </c>
      <c r="L101" s="89">
        <v>0</v>
      </c>
      <c r="M101" s="89">
        <v>0</v>
      </c>
      <c r="N101" s="89">
        <v>0</v>
      </c>
      <c r="O101" s="89">
        <v>0</v>
      </c>
      <c r="P101" s="89">
        <v>0</v>
      </c>
      <c r="Q101" s="102"/>
      <c r="R101" s="105">
        <f>SUM(E101:P101)</f>
        <v>31752</v>
      </c>
    </row>
    <row r="102" spans="1:18" s="73" customFormat="1" ht="20.25" customHeight="1">
      <c r="A102" s="84">
        <f>A101+1</f>
        <v>56</v>
      </c>
      <c r="B102" s="119" t="s">
        <v>126</v>
      </c>
      <c r="C102" s="119"/>
      <c r="D102" s="69">
        <f>SUM(E102:P102)</f>
        <v>10159738</v>
      </c>
      <c r="E102" s="40">
        <f t="shared" ref="E102:P102" si="29">SUM(E99:E101)</f>
        <v>1427937</v>
      </c>
      <c r="F102" s="40">
        <f t="shared" si="29"/>
        <v>1395907</v>
      </c>
      <c r="G102" s="40">
        <f t="shared" si="29"/>
        <v>1456732</v>
      </c>
      <c r="H102" s="40">
        <f t="shared" si="29"/>
        <v>1373241</v>
      </c>
      <c r="I102" s="40">
        <f t="shared" si="29"/>
        <v>1340017</v>
      </c>
      <c r="J102" s="40">
        <f t="shared" si="29"/>
        <v>1413349</v>
      </c>
      <c r="K102" s="40">
        <f t="shared" si="29"/>
        <v>1752555</v>
      </c>
      <c r="L102" s="40">
        <f t="shared" si="29"/>
        <v>0</v>
      </c>
      <c r="M102" s="40">
        <f t="shared" si="29"/>
        <v>0</v>
      </c>
      <c r="N102" s="40">
        <f t="shared" si="29"/>
        <v>0</v>
      </c>
      <c r="O102" s="40">
        <f t="shared" si="29"/>
        <v>0</v>
      </c>
      <c r="P102" s="40">
        <f t="shared" si="29"/>
        <v>0</v>
      </c>
      <c r="Q102" s="106"/>
      <c r="R102" s="107">
        <f>SUM(E102:P102)</f>
        <v>10159738</v>
      </c>
    </row>
    <row r="103" spans="1:18">
      <c r="A103" s="51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02"/>
      <c r="R103" s="103"/>
    </row>
    <row r="104" spans="1:18" ht="13.15">
      <c r="A104" s="51"/>
      <c r="B104" s="56" t="s">
        <v>127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02"/>
      <c r="R104" s="103"/>
    </row>
    <row r="105" spans="1:18">
      <c r="A105" s="51">
        <f>A102+1</f>
        <v>57</v>
      </c>
      <c r="B105" s="1" t="s">
        <v>128</v>
      </c>
      <c r="D105" s="59">
        <f>SUM(E105:P105)</f>
        <v>192696</v>
      </c>
      <c r="E105" s="66">
        <v>25242</v>
      </c>
      <c r="F105" s="66">
        <v>20273</v>
      </c>
      <c r="G105" s="66">
        <v>25053</v>
      </c>
      <c r="H105" s="66">
        <v>26076</v>
      </c>
      <c r="I105" s="66">
        <v>30279</v>
      </c>
      <c r="J105" s="66">
        <v>33496</v>
      </c>
      <c r="K105" s="66">
        <v>32277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102"/>
      <c r="R105" s="103"/>
    </row>
    <row r="106" spans="1:18">
      <c r="A106" s="51">
        <f>A105+1</f>
        <v>58</v>
      </c>
      <c r="B106" t="s">
        <v>129</v>
      </c>
      <c r="D106" s="59">
        <f>SUM(E106:P106)</f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102"/>
      <c r="R106" s="103"/>
    </row>
    <row r="107" spans="1:18">
      <c r="A107" s="51">
        <f>A106+1</f>
        <v>59</v>
      </c>
      <c r="B107" t="s">
        <v>130</v>
      </c>
      <c r="C107" t="s">
        <v>131</v>
      </c>
      <c r="D107" s="59">
        <f>SUM(E107:P107)</f>
        <v>157365</v>
      </c>
      <c r="E107" s="66">
        <v>5456</v>
      </c>
      <c r="F107" s="66">
        <v>20823</v>
      </c>
      <c r="G107" s="66">
        <v>8041</v>
      </c>
      <c r="H107" s="66">
        <v>8813</v>
      </c>
      <c r="I107" s="66">
        <v>-2262</v>
      </c>
      <c r="J107" s="66">
        <v>9894</v>
      </c>
      <c r="K107" s="66">
        <v>106600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102"/>
      <c r="R107" s="103"/>
    </row>
    <row r="108" spans="1:18">
      <c r="A108" s="51">
        <f>A107+1</f>
        <v>60</v>
      </c>
      <c r="B108" t="s">
        <v>132</v>
      </c>
      <c r="C108" t="s">
        <v>133</v>
      </c>
      <c r="D108" s="59">
        <f>SUM(E108:P108)</f>
        <v>31686</v>
      </c>
      <c r="E108" s="66">
        <v>3638</v>
      </c>
      <c r="F108" s="66">
        <v>3756</v>
      </c>
      <c r="G108" s="66">
        <v>4049</v>
      </c>
      <c r="H108" s="66">
        <v>4202</v>
      </c>
      <c r="I108" s="66">
        <v>5929</v>
      </c>
      <c r="J108" s="66">
        <v>5371</v>
      </c>
      <c r="K108" s="66">
        <v>4741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102"/>
      <c r="R108" s="103"/>
    </row>
    <row r="109" spans="1:18" s="73" customFormat="1" ht="20.25" customHeight="1">
      <c r="A109" s="51">
        <f>A108+1</f>
        <v>61</v>
      </c>
      <c r="B109" s="119" t="s">
        <v>134</v>
      </c>
      <c r="C109" s="119"/>
      <c r="D109" s="69">
        <f>D105+D106+D107+D108</f>
        <v>381747</v>
      </c>
      <c r="E109" s="69">
        <f>E105+E106+E107+E108</f>
        <v>34336</v>
      </c>
      <c r="F109" s="69">
        <f t="shared" ref="F109:P109" si="30">F105+F106+F107+F108</f>
        <v>44852</v>
      </c>
      <c r="G109" s="69">
        <f t="shared" si="30"/>
        <v>37143</v>
      </c>
      <c r="H109" s="69">
        <f t="shared" si="30"/>
        <v>39091</v>
      </c>
      <c r="I109" s="69">
        <f t="shared" si="30"/>
        <v>33946</v>
      </c>
      <c r="J109" s="69">
        <f t="shared" si="30"/>
        <v>48761</v>
      </c>
      <c r="K109" s="69">
        <f t="shared" si="30"/>
        <v>143618</v>
      </c>
      <c r="L109" s="69">
        <f t="shared" si="30"/>
        <v>0</v>
      </c>
      <c r="M109" s="69">
        <f t="shared" si="30"/>
        <v>0</v>
      </c>
      <c r="N109" s="69">
        <f t="shared" si="30"/>
        <v>0</v>
      </c>
      <c r="O109" s="69">
        <f t="shared" si="30"/>
        <v>0</v>
      </c>
      <c r="P109" s="69">
        <f t="shared" si="30"/>
        <v>0</v>
      </c>
      <c r="Q109" s="106"/>
      <c r="R109" s="107"/>
    </row>
    <row r="110" spans="1:18" ht="9" customHeight="1">
      <c r="A110" s="51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02"/>
      <c r="R110" s="103"/>
    </row>
    <row r="111" spans="1:18" ht="13.15">
      <c r="A111" s="51"/>
      <c r="B111" s="122" t="s">
        <v>135</v>
      </c>
      <c r="C111" s="12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02"/>
      <c r="R111" s="103"/>
    </row>
    <row r="112" spans="1:18">
      <c r="A112" s="51">
        <f>A109+1</f>
        <v>62</v>
      </c>
      <c r="B112" t="s">
        <v>136</v>
      </c>
      <c r="D112" s="59">
        <f>SUM(E112:P112)</f>
        <v>-5201523</v>
      </c>
      <c r="E112" s="58">
        <v>-674103</v>
      </c>
      <c r="F112" s="58">
        <v>-364175</v>
      </c>
      <c r="G112" s="58">
        <v>-1034253</v>
      </c>
      <c r="H112" s="58">
        <v>-754555</v>
      </c>
      <c r="I112" s="58">
        <v>-641382</v>
      </c>
      <c r="J112" s="58">
        <v>-841845</v>
      </c>
      <c r="K112" s="58">
        <v>-891210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102"/>
      <c r="R112" s="103">
        <f t="shared" ref="R112:R123" si="31">SUM(E112:P112)</f>
        <v>-5201523</v>
      </c>
    </row>
    <row r="113" spans="1:18">
      <c r="A113" s="51">
        <f>A112+1</f>
        <v>63</v>
      </c>
      <c r="B113" t="s">
        <v>137</v>
      </c>
      <c r="D113" s="59">
        <f t="shared" ref="D113:D123" si="32">SUM(E113:P113)</f>
        <v>8637091</v>
      </c>
      <c r="E113" s="58">
        <v>834483</v>
      </c>
      <c r="F113" s="58">
        <v>-577904</v>
      </c>
      <c r="G113" s="58">
        <v>1001213</v>
      </c>
      <c r="H113" s="58">
        <v>1293782</v>
      </c>
      <c r="I113" s="58">
        <v>1389459</v>
      </c>
      <c r="J113" s="58">
        <v>4059673</v>
      </c>
      <c r="K113" s="58">
        <v>636385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102"/>
      <c r="R113" s="103">
        <f t="shared" si="31"/>
        <v>8637091</v>
      </c>
    </row>
    <row r="114" spans="1:18">
      <c r="A114" s="51">
        <f t="shared" ref="A114:A123" si="33">A113+1</f>
        <v>64</v>
      </c>
      <c r="B114" t="s">
        <v>138</v>
      </c>
      <c r="D114" s="59">
        <f t="shared" si="32"/>
        <v>225955</v>
      </c>
      <c r="E114" s="58">
        <v>0</v>
      </c>
      <c r="F114" s="58">
        <v>0</v>
      </c>
      <c r="G114" s="58">
        <v>0</v>
      </c>
      <c r="H114" s="58">
        <v>73308</v>
      </c>
      <c r="I114" s="58">
        <v>0</v>
      </c>
      <c r="J114" s="58">
        <v>49163</v>
      </c>
      <c r="K114" s="58">
        <v>103484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102"/>
      <c r="R114" s="103">
        <f t="shared" si="31"/>
        <v>225955</v>
      </c>
    </row>
    <row r="115" spans="1:18">
      <c r="A115" s="51">
        <f t="shared" si="33"/>
        <v>65</v>
      </c>
      <c r="B115" s="1" t="s">
        <v>139</v>
      </c>
      <c r="C115" s="1"/>
      <c r="D115" s="59">
        <f t="shared" si="32"/>
        <v>-225955</v>
      </c>
      <c r="E115" s="58">
        <v>0</v>
      </c>
      <c r="F115" s="58">
        <v>0</v>
      </c>
      <c r="G115" s="58">
        <v>0</v>
      </c>
      <c r="H115" s="58">
        <v>-73308</v>
      </c>
      <c r="I115" s="58">
        <v>0</v>
      </c>
      <c r="J115" s="58">
        <v>-49163</v>
      </c>
      <c r="K115" s="58">
        <v>-103484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102"/>
      <c r="R115" s="103">
        <f>SUM(E115:P115)</f>
        <v>-225955</v>
      </c>
    </row>
    <row r="116" spans="1:18">
      <c r="A116" s="51">
        <f t="shared" si="33"/>
        <v>66</v>
      </c>
      <c r="B116" t="s">
        <v>140</v>
      </c>
      <c r="D116" s="59">
        <f t="shared" si="32"/>
        <v>31056926</v>
      </c>
      <c r="E116" s="58">
        <v>2868984</v>
      </c>
      <c r="F116" s="58">
        <v>6447097</v>
      </c>
      <c r="G116" s="58">
        <v>3205749</v>
      </c>
      <c r="H116" s="58">
        <v>3411503</v>
      </c>
      <c r="I116" s="58">
        <v>7102618</v>
      </c>
      <c r="J116" s="58">
        <v>3544693</v>
      </c>
      <c r="K116" s="58">
        <v>4476282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102"/>
      <c r="R116" s="103">
        <f t="shared" si="31"/>
        <v>31056926</v>
      </c>
    </row>
    <row r="117" spans="1:18">
      <c r="A117" s="51">
        <f t="shared" si="33"/>
        <v>67</v>
      </c>
      <c r="B117" s="1" t="s">
        <v>141</v>
      </c>
      <c r="C117" s="1"/>
      <c r="D117" s="59">
        <f t="shared" si="32"/>
        <v>4618232</v>
      </c>
      <c r="E117" s="58">
        <v>1567174</v>
      </c>
      <c r="F117" s="58">
        <v>293860</v>
      </c>
      <c r="G117" s="58">
        <v>489761</v>
      </c>
      <c r="H117" s="58">
        <v>343965</v>
      </c>
      <c r="I117" s="58">
        <v>433706</v>
      </c>
      <c r="J117" s="58">
        <v>531060</v>
      </c>
      <c r="K117" s="58">
        <v>958706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102"/>
      <c r="R117" s="103">
        <f t="shared" si="31"/>
        <v>4618232</v>
      </c>
    </row>
    <row r="118" spans="1:18">
      <c r="A118" s="51">
        <f t="shared" si="33"/>
        <v>68</v>
      </c>
      <c r="B118" t="s">
        <v>142</v>
      </c>
      <c r="D118" s="59">
        <f t="shared" si="32"/>
        <v>-26505656</v>
      </c>
      <c r="E118" s="58">
        <v>-2909737</v>
      </c>
      <c r="F118" s="58">
        <v>-2249977</v>
      </c>
      <c r="G118" s="58">
        <v>-3422134</v>
      </c>
      <c r="H118" s="58">
        <v>-3100295</v>
      </c>
      <c r="I118" s="58">
        <v>-5998152</v>
      </c>
      <c r="J118" s="58">
        <v>-5830647</v>
      </c>
      <c r="K118" s="58">
        <v>-2994714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102"/>
      <c r="R118" s="103">
        <f t="shared" si="31"/>
        <v>-26505656</v>
      </c>
    </row>
    <row r="119" spans="1:18">
      <c r="A119" s="51">
        <f t="shared" si="33"/>
        <v>69</v>
      </c>
      <c r="B119" t="s">
        <v>143</v>
      </c>
      <c r="D119" s="59">
        <f t="shared" si="32"/>
        <v>-278804</v>
      </c>
      <c r="E119" s="58">
        <v>-2367</v>
      </c>
      <c r="F119" s="58">
        <v>-63628</v>
      </c>
      <c r="G119" s="58">
        <v>-33745</v>
      </c>
      <c r="H119" s="58">
        <v>-50779</v>
      </c>
      <c r="I119" s="58">
        <v>-48174</v>
      </c>
      <c r="J119" s="58">
        <v>-50266</v>
      </c>
      <c r="K119" s="58">
        <v>-29845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102"/>
      <c r="R119" s="103"/>
    </row>
    <row r="120" spans="1:18">
      <c r="A120" s="51">
        <f t="shared" si="33"/>
        <v>70</v>
      </c>
      <c r="B120" t="s">
        <v>144</v>
      </c>
      <c r="D120" s="59">
        <f t="shared" si="32"/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2"/>
      <c r="R120" s="103"/>
    </row>
    <row r="121" spans="1:18">
      <c r="A121" s="51">
        <f t="shared" si="33"/>
        <v>71</v>
      </c>
      <c r="B121" t="s">
        <v>145</v>
      </c>
      <c r="D121" s="59">
        <f t="shared" si="32"/>
        <v>-14628593</v>
      </c>
      <c r="E121" s="58">
        <v>-1251637</v>
      </c>
      <c r="F121" s="58">
        <v>-4010362</v>
      </c>
      <c r="G121" s="58">
        <v>-731747</v>
      </c>
      <c r="H121" s="58">
        <v>-1619411</v>
      </c>
      <c r="I121" s="58">
        <v>-2788465</v>
      </c>
      <c r="J121" s="58">
        <v>-2062515</v>
      </c>
      <c r="K121" s="58">
        <v>-2164456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102"/>
      <c r="R121" s="103">
        <f t="shared" si="31"/>
        <v>-14628593</v>
      </c>
    </row>
    <row r="122" spans="1:18">
      <c r="A122" s="51">
        <f t="shared" si="33"/>
        <v>72</v>
      </c>
      <c r="B122" s="1" t="s">
        <v>146</v>
      </c>
      <c r="C122" s="1"/>
      <c r="D122" s="59">
        <f t="shared" si="32"/>
        <v>421157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32275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102"/>
      <c r="R122" s="103">
        <f>SUM(E122:P122)</f>
        <v>421157</v>
      </c>
    </row>
    <row r="123" spans="1:18">
      <c r="A123" s="51">
        <f t="shared" si="33"/>
        <v>73</v>
      </c>
      <c r="B123" s="104" t="s">
        <v>147</v>
      </c>
      <c r="C123" s="104"/>
      <c r="D123" s="59">
        <f t="shared" si="32"/>
        <v>-421157</v>
      </c>
      <c r="E123" s="123">
        <v>-111045</v>
      </c>
      <c r="F123" s="123">
        <v>-177323</v>
      </c>
      <c r="G123" s="123">
        <v>-100514</v>
      </c>
      <c r="H123" s="123">
        <v>0</v>
      </c>
      <c r="I123" s="123">
        <v>0</v>
      </c>
      <c r="J123" s="123">
        <v>-32275</v>
      </c>
      <c r="K123" s="123">
        <v>0</v>
      </c>
      <c r="L123" s="123">
        <v>0</v>
      </c>
      <c r="M123" s="123">
        <v>0</v>
      </c>
      <c r="N123" s="123">
        <v>0</v>
      </c>
      <c r="O123" s="123">
        <v>0</v>
      </c>
      <c r="P123" s="123">
        <v>0</v>
      </c>
      <c r="Q123" s="102"/>
      <c r="R123" s="105">
        <f t="shared" si="31"/>
        <v>-421157</v>
      </c>
    </row>
    <row r="124" spans="1:18" ht="22.5" customHeight="1">
      <c r="A124" s="124">
        <f>+A123+1</f>
        <v>74</v>
      </c>
      <c r="B124" s="119" t="s">
        <v>148</v>
      </c>
      <c r="C124" s="119"/>
      <c r="D124" s="69">
        <f>SUM(E124:P124)</f>
        <v>-2302327</v>
      </c>
      <c r="E124" s="125">
        <f>SUM(E112:E123)</f>
        <v>432797</v>
      </c>
      <c r="F124" s="125">
        <f t="shared" ref="F124:P124" si="34">SUM(F112:F123)</f>
        <v>-525089</v>
      </c>
      <c r="G124" s="125">
        <f t="shared" si="34"/>
        <v>-525156</v>
      </c>
      <c r="H124" s="125">
        <f t="shared" si="34"/>
        <v>-475790</v>
      </c>
      <c r="I124" s="125">
        <f t="shared" si="34"/>
        <v>-550390</v>
      </c>
      <c r="J124" s="125">
        <f t="shared" si="34"/>
        <v>-649847</v>
      </c>
      <c r="K124" s="125">
        <f t="shared" si="34"/>
        <v>-8852</v>
      </c>
      <c r="L124" s="125">
        <f t="shared" si="34"/>
        <v>0</v>
      </c>
      <c r="M124" s="125">
        <f t="shared" si="34"/>
        <v>0</v>
      </c>
      <c r="N124" s="125">
        <f t="shared" si="34"/>
        <v>0</v>
      </c>
      <c r="O124" s="125">
        <f t="shared" si="34"/>
        <v>0</v>
      </c>
      <c r="P124" s="125">
        <f t="shared" si="34"/>
        <v>0</v>
      </c>
      <c r="Q124" s="102"/>
      <c r="R124" s="126">
        <f>SUM(R112:R123)</f>
        <v>-2023523</v>
      </c>
    </row>
    <row r="125" spans="1:18" ht="9" customHeight="1">
      <c r="A125" s="5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102"/>
      <c r="R125" s="103"/>
    </row>
    <row r="126" spans="1:18" ht="9" customHeight="1">
      <c r="A126" s="5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02"/>
      <c r="R126" s="103"/>
    </row>
    <row r="127" spans="1:18">
      <c r="A127" s="51">
        <f>A124+1</f>
        <v>75</v>
      </c>
      <c r="B127" s="2" t="s">
        <v>149</v>
      </c>
      <c r="C127" s="2"/>
      <c r="D127" s="127">
        <f>SUM(E127:P127)</f>
        <v>291326</v>
      </c>
      <c r="E127" s="128">
        <v>0</v>
      </c>
      <c r="F127" s="128">
        <v>0</v>
      </c>
      <c r="G127" s="128">
        <v>1189</v>
      </c>
      <c r="H127" s="128">
        <v>0</v>
      </c>
      <c r="I127" s="128">
        <v>0</v>
      </c>
      <c r="J127" s="128">
        <v>0</v>
      </c>
      <c r="K127" s="128">
        <v>290137</v>
      </c>
      <c r="L127" s="128">
        <v>0</v>
      </c>
      <c r="M127" s="128">
        <v>0</v>
      </c>
      <c r="N127" s="128">
        <v>0</v>
      </c>
      <c r="O127" s="128">
        <v>0</v>
      </c>
      <c r="P127" s="128">
        <v>0</v>
      </c>
      <c r="Q127" s="102"/>
      <c r="R127" s="103">
        <f>SUM(E127:P127)</f>
        <v>291326</v>
      </c>
    </row>
    <row r="128" spans="1:18" ht="18.75" customHeight="1">
      <c r="A128" s="124">
        <f>A127+1</f>
        <v>76</v>
      </c>
      <c r="B128" s="119" t="s">
        <v>150</v>
      </c>
      <c r="C128" s="119"/>
      <c r="D128" s="129">
        <f>SUM(E128:P128)</f>
        <v>291326</v>
      </c>
      <c r="E128" s="40">
        <f t="shared" ref="E128:P128" si="35">IF(E24=0," ",E127)</f>
        <v>0</v>
      </c>
      <c r="F128" s="40">
        <f t="shared" si="35"/>
        <v>0</v>
      </c>
      <c r="G128" s="40">
        <f t="shared" si="35"/>
        <v>1189</v>
      </c>
      <c r="H128" s="40">
        <f t="shared" si="35"/>
        <v>0</v>
      </c>
      <c r="I128" s="40">
        <f t="shared" si="35"/>
        <v>0</v>
      </c>
      <c r="J128" s="40">
        <f t="shared" si="35"/>
        <v>0</v>
      </c>
      <c r="K128" s="40">
        <f t="shared" si="35"/>
        <v>290137</v>
      </c>
      <c r="L128" s="40" t="str">
        <f t="shared" si="35"/>
        <v xml:space="preserve"> </v>
      </c>
      <c r="M128" s="40" t="str">
        <f t="shared" si="35"/>
        <v xml:space="preserve"> </v>
      </c>
      <c r="N128" s="40" t="str">
        <f t="shared" si="35"/>
        <v xml:space="preserve"> </v>
      </c>
      <c r="O128" s="40" t="str">
        <f t="shared" si="35"/>
        <v xml:space="preserve"> </v>
      </c>
      <c r="P128" s="40" t="str">
        <f t="shared" si="35"/>
        <v xml:space="preserve"> </v>
      </c>
      <c r="Q128" s="102"/>
      <c r="R128" s="103">
        <f>SUM(E128:P128)</f>
        <v>291326</v>
      </c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2"/>
      <c r="R129" s="103"/>
    </row>
    <row r="130" spans="1:19" ht="9" customHeight="1">
      <c r="A130" s="51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02"/>
      <c r="R130" s="103"/>
    </row>
    <row r="131" spans="1:19">
      <c r="A131" s="51">
        <f>A128+1</f>
        <v>77</v>
      </c>
      <c r="B131" s="112" t="s">
        <v>151</v>
      </c>
      <c r="C131" s="112"/>
      <c r="D131" s="128">
        <f>SUM(E131:P131)</f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02"/>
      <c r="R131" s="103">
        <f>SUM(E131:P131)</f>
        <v>0</v>
      </c>
      <c r="S131" s="131" t="s">
        <v>63</v>
      </c>
    </row>
    <row r="132" spans="1:19">
      <c r="A132" s="121">
        <f>A131+1</f>
        <v>78</v>
      </c>
      <c r="B132" s="132" t="s">
        <v>152</v>
      </c>
      <c r="C132" s="132"/>
      <c r="D132" s="129">
        <f>SUM(E132:P132)</f>
        <v>794</v>
      </c>
      <c r="E132" s="89">
        <v>14</v>
      </c>
      <c r="F132" s="89">
        <v>41</v>
      </c>
      <c r="G132" s="89">
        <v>51</v>
      </c>
      <c r="H132" s="89">
        <v>93</v>
      </c>
      <c r="I132" s="89">
        <v>87</v>
      </c>
      <c r="J132" s="89">
        <v>182</v>
      </c>
      <c r="K132" s="89">
        <v>326</v>
      </c>
      <c r="L132" s="89">
        <v>0</v>
      </c>
      <c r="M132" s="89">
        <v>0</v>
      </c>
      <c r="N132" s="89">
        <v>0</v>
      </c>
      <c r="O132" s="89">
        <v>0</v>
      </c>
      <c r="P132" s="89">
        <v>0</v>
      </c>
      <c r="Q132" s="102"/>
      <c r="R132" s="105">
        <f>SUM(E132:P132)</f>
        <v>794</v>
      </c>
    </row>
    <row r="133" spans="1:19" ht="17.25" customHeight="1">
      <c r="A133" s="51">
        <f>A132+1</f>
        <v>79</v>
      </c>
      <c r="B133" s="43" t="s">
        <v>153</v>
      </c>
      <c r="C133" s="43"/>
      <c r="D133" s="91">
        <f>SUM(E133:P133)</f>
        <v>794</v>
      </c>
      <c r="E133" s="91">
        <f>E132-E131</f>
        <v>14</v>
      </c>
      <c r="F133" s="91">
        <f t="shared" ref="F133:P133" si="36">F132-F131</f>
        <v>41</v>
      </c>
      <c r="G133" s="91">
        <f t="shared" si="36"/>
        <v>51</v>
      </c>
      <c r="H133" s="91">
        <f t="shared" si="36"/>
        <v>93</v>
      </c>
      <c r="I133" s="91">
        <f t="shared" si="36"/>
        <v>87</v>
      </c>
      <c r="J133" s="91">
        <f t="shared" si="36"/>
        <v>182</v>
      </c>
      <c r="K133" s="91">
        <f t="shared" si="36"/>
        <v>326</v>
      </c>
      <c r="L133" s="91">
        <f t="shared" si="36"/>
        <v>0</v>
      </c>
      <c r="M133" s="91">
        <f t="shared" si="36"/>
        <v>0</v>
      </c>
      <c r="N133" s="91">
        <f t="shared" si="36"/>
        <v>0</v>
      </c>
      <c r="O133" s="91">
        <f t="shared" si="36"/>
        <v>0</v>
      </c>
      <c r="P133" s="91">
        <f t="shared" si="36"/>
        <v>0</v>
      </c>
      <c r="Q133" s="102"/>
      <c r="R133" s="103">
        <f>SUM(E133:P133)</f>
        <v>794</v>
      </c>
    </row>
    <row r="134" spans="1:19" ht="17.25" customHeight="1">
      <c r="A134" s="51"/>
      <c r="B134" s="43"/>
      <c r="C134" s="43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02"/>
      <c r="R134" s="103"/>
    </row>
    <row r="135" spans="1:19">
      <c r="A135" s="51">
        <f>A133+1</f>
        <v>80</v>
      </c>
      <c r="B135" s="112" t="s">
        <v>154</v>
      </c>
      <c r="C135" s="112"/>
      <c r="D135" s="128">
        <f>SUM(E135:P135)</f>
        <v>0</v>
      </c>
      <c r="E135" s="120">
        <v>0</v>
      </c>
      <c r="F135" s="120">
        <v>0</v>
      </c>
      <c r="G135" s="120">
        <v>0</v>
      </c>
      <c r="H135" s="120">
        <v>0</v>
      </c>
      <c r="I135" s="120">
        <v>0</v>
      </c>
      <c r="J135" s="120">
        <v>0</v>
      </c>
      <c r="K135" s="120">
        <v>0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02"/>
      <c r="R135" s="103">
        <f>SUM(E135:P135)</f>
        <v>0</v>
      </c>
      <c r="S135" s="131" t="s">
        <v>63</v>
      </c>
    </row>
    <row r="136" spans="1:19">
      <c r="A136" s="51">
        <f>A135+1</f>
        <v>81</v>
      </c>
      <c r="B136" s="112" t="s">
        <v>155</v>
      </c>
      <c r="C136" s="112"/>
      <c r="D136" s="128">
        <f>SUM(E136:P136)</f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02"/>
      <c r="R136" s="103"/>
      <c r="S136" s="131"/>
    </row>
    <row r="137" spans="1:19">
      <c r="A137" s="121">
        <f>A136+1</f>
        <v>82</v>
      </c>
      <c r="B137" s="118" t="s">
        <v>156</v>
      </c>
      <c r="C137" s="132"/>
      <c r="D137" s="129">
        <f>SUM(E137:P137)</f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102"/>
      <c r="R137" s="105">
        <f>SUM(E137:P137)</f>
        <v>0</v>
      </c>
    </row>
    <row r="138" spans="1:19" ht="17.25" customHeight="1">
      <c r="A138" s="51">
        <f>A137+1</f>
        <v>83</v>
      </c>
      <c r="B138" s="43" t="s">
        <v>157</v>
      </c>
      <c r="C138" s="43"/>
      <c r="D138" s="91">
        <f>E138+F138+G138+H138+I138+J138+K138</f>
        <v>0</v>
      </c>
      <c r="E138" s="91">
        <f>E135+E136+E137</f>
        <v>0</v>
      </c>
      <c r="F138" s="91">
        <f t="shared" ref="F138:P138" si="37">F135+F136+F137</f>
        <v>0</v>
      </c>
      <c r="G138" s="91">
        <f t="shared" si="37"/>
        <v>0</v>
      </c>
      <c r="H138" s="91">
        <f t="shared" si="37"/>
        <v>0</v>
      </c>
      <c r="I138" s="91">
        <f t="shared" si="37"/>
        <v>0</v>
      </c>
      <c r="J138" s="91">
        <f t="shared" si="37"/>
        <v>0</v>
      </c>
      <c r="K138" s="91">
        <f t="shared" si="37"/>
        <v>0</v>
      </c>
      <c r="L138" s="91">
        <f t="shared" si="37"/>
        <v>0</v>
      </c>
      <c r="M138" s="91">
        <f t="shared" si="37"/>
        <v>0</v>
      </c>
      <c r="N138" s="91">
        <f t="shared" si="37"/>
        <v>0</v>
      </c>
      <c r="O138" s="91">
        <f t="shared" si="37"/>
        <v>0</v>
      </c>
      <c r="P138" s="91">
        <f t="shared" si="37"/>
        <v>0</v>
      </c>
      <c r="Q138" s="91">
        <f>Q135+Q136+Q137</f>
        <v>0</v>
      </c>
      <c r="R138" s="91">
        <f>R135+R136+R137</f>
        <v>0</v>
      </c>
    </row>
    <row r="139" spans="1:19" ht="7.5" customHeight="1">
      <c r="A139" s="51"/>
      <c r="B139" s="133"/>
      <c r="C139" s="133"/>
      <c r="D139" s="134"/>
      <c r="E139" s="128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02"/>
      <c r="R139" s="103"/>
    </row>
    <row r="140" spans="1:19" ht="23.25" customHeight="1">
      <c r="A140" s="84">
        <f>A138+1</f>
        <v>84</v>
      </c>
      <c r="B140" s="68" t="s">
        <v>158</v>
      </c>
      <c r="C140" s="68"/>
      <c r="D140" s="69">
        <f>SUM(E140:P140)</f>
        <v>-2010207</v>
      </c>
      <c r="E140" s="40">
        <f t="shared" ref="E140:P140" si="38">IF(E24=0," ",E124+E128+E133)</f>
        <v>432811</v>
      </c>
      <c r="F140" s="40">
        <f t="shared" si="38"/>
        <v>-525048</v>
      </c>
      <c r="G140" s="40">
        <f t="shared" si="38"/>
        <v>-523916</v>
      </c>
      <c r="H140" s="40">
        <f t="shared" si="38"/>
        <v>-475697</v>
      </c>
      <c r="I140" s="40">
        <f t="shared" si="38"/>
        <v>-550303</v>
      </c>
      <c r="J140" s="40">
        <f t="shared" si="38"/>
        <v>-649665</v>
      </c>
      <c r="K140" s="40">
        <f t="shared" si="38"/>
        <v>281611</v>
      </c>
      <c r="L140" s="40" t="str">
        <f t="shared" si="38"/>
        <v xml:space="preserve"> </v>
      </c>
      <c r="M140" s="40" t="str">
        <f t="shared" si="38"/>
        <v xml:space="preserve"> </v>
      </c>
      <c r="N140" s="40" t="str">
        <f t="shared" si="38"/>
        <v xml:space="preserve"> </v>
      </c>
      <c r="O140" s="40" t="str">
        <f t="shared" si="38"/>
        <v xml:space="preserve"> </v>
      </c>
      <c r="P140" s="40" t="str">
        <f t="shared" si="38"/>
        <v xml:space="preserve"> </v>
      </c>
      <c r="Q140" s="102"/>
      <c r="R140" s="103">
        <f>SUM(F140:Q140)</f>
        <v>-2443018</v>
      </c>
    </row>
    <row r="141" spans="1:19" ht="9.75" customHeight="1">
      <c r="B141" s="1"/>
      <c r="C141" s="1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102"/>
      <c r="R141" s="103"/>
    </row>
    <row r="142" spans="1:19" s="73" customFormat="1" ht="25.5" customHeight="1" thickBot="1">
      <c r="A142" s="135">
        <f>A140+1</f>
        <v>85</v>
      </c>
      <c r="B142" s="136" t="s">
        <v>13</v>
      </c>
      <c r="C142" s="136"/>
      <c r="D142" s="137">
        <f>SUM(E142:P142)</f>
        <v>101802672.08389999</v>
      </c>
      <c r="E142" s="138">
        <f t="shared" ref="E142:P142" si="39">IF(E24=0," ",E84+E96+E102+E109+E140+E138)</f>
        <v>14703767.874600001</v>
      </c>
      <c r="F142" s="138">
        <f t="shared" si="39"/>
        <v>12190695.897</v>
      </c>
      <c r="G142" s="138">
        <f t="shared" si="39"/>
        <v>14547518.0331</v>
      </c>
      <c r="H142" s="138">
        <f t="shared" si="39"/>
        <v>12665751.428099999</v>
      </c>
      <c r="I142" s="138">
        <f t="shared" si="39"/>
        <v>4858825.4112999998</v>
      </c>
      <c r="J142" s="138">
        <f t="shared" si="39"/>
        <v>18838261.176799998</v>
      </c>
      <c r="K142" s="138">
        <f t="shared" si="39"/>
        <v>23997852.263</v>
      </c>
      <c r="L142" s="138" t="str">
        <f t="shared" si="39"/>
        <v xml:space="preserve"> </v>
      </c>
      <c r="M142" s="138" t="str">
        <f t="shared" si="39"/>
        <v xml:space="preserve"> </v>
      </c>
      <c r="N142" s="138" t="str">
        <f t="shared" si="39"/>
        <v xml:space="preserve"> </v>
      </c>
      <c r="O142" s="138" t="str">
        <f t="shared" si="39"/>
        <v xml:space="preserve"> </v>
      </c>
      <c r="P142" s="138" t="str">
        <f t="shared" si="39"/>
        <v xml:space="preserve"> </v>
      </c>
      <c r="Q142" s="106"/>
      <c r="R142" s="139"/>
    </row>
    <row r="143" spans="1:19" ht="13.15" thickTop="1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86"/>
    </row>
    <row r="144" spans="1:19">
      <c r="Q144" s="86"/>
    </row>
    <row r="145" spans="5:17">
      <c r="E145" s="75"/>
      <c r="F145" s="75"/>
      <c r="G145" s="75"/>
      <c r="H145" s="75"/>
      <c r="I145" s="75"/>
      <c r="J145" s="140"/>
      <c r="K145" s="75"/>
      <c r="L145" s="75"/>
      <c r="M145" s="75"/>
      <c r="N145" s="75"/>
      <c r="O145" s="75"/>
      <c r="P145" s="75"/>
      <c r="Q145" s="86"/>
    </row>
    <row r="146" spans="5:17">
      <c r="E146" s="75"/>
      <c r="F146" s="75"/>
      <c r="G146" s="75"/>
      <c r="H146" s="75"/>
      <c r="I146" s="75"/>
      <c r="J146" s="140"/>
      <c r="K146" s="75"/>
      <c r="L146" s="75"/>
      <c r="M146" s="75"/>
      <c r="N146" s="75"/>
      <c r="O146" s="75"/>
      <c r="P146" s="75"/>
      <c r="Q146" s="86"/>
    </row>
    <row r="147" spans="5:17">
      <c r="E147" s="75"/>
      <c r="F147" s="75"/>
      <c r="G147" s="75"/>
      <c r="H147" s="75"/>
      <c r="I147" s="75"/>
      <c r="J147" s="140"/>
      <c r="K147" s="75"/>
      <c r="L147" s="75"/>
      <c r="M147" s="75"/>
      <c r="N147" s="75"/>
      <c r="O147" s="75"/>
      <c r="P147" s="75"/>
      <c r="Q147" s="86"/>
    </row>
    <row r="148" spans="5:17">
      <c r="E148" s="75"/>
      <c r="F148" s="75"/>
      <c r="G148" s="75"/>
      <c r="H148" s="75"/>
      <c r="I148" s="75"/>
      <c r="J148" s="140"/>
      <c r="K148" s="75"/>
      <c r="L148" s="75"/>
      <c r="M148" s="75"/>
      <c r="N148" s="75"/>
      <c r="O148" s="75"/>
      <c r="P148" s="75"/>
      <c r="Q148" s="86"/>
    </row>
    <row r="149" spans="5:17">
      <c r="E149" s="75"/>
      <c r="F149" s="75"/>
      <c r="G149" s="75"/>
      <c r="H149" s="75"/>
      <c r="I149" s="75"/>
      <c r="J149" s="140"/>
      <c r="K149" s="75"/>
      <c r="L149" s="75"/>
      <c r="M149" s="75"/>
      <c r="N149" s="75"/>
      <c r="O149" s="75"/>
      <c r="P149" s="75"/>
      <c r="Q149" s="86"/>
    </row>
    <row r="150" spans="5:17">
      <c r="E150" s="75"/>
      <c r="F150" s="75"/>
      <c r="G150" s="75"/>
      <c r="H150" s="75"/>
      <c r="I150" s="75"/>
      <c r="J150" s="140"/>
      <c r="K150" s="75"/>
      <c r="L150" s="75"/>
      <c r="M150" s="75"/>
      <c r="N150" s="75"/>
      <c r="O150" s="75"/>
      <c r="P150" s="75"/>
      <c r="Q150" s="86"/>
    </row>
    <row r="151" spans="5:17">
      <c r="E151" s="75"/>
      <c r="F151" s="75"/>
      <c r="G151" s="75"/>
      <c r="H151" s="75"/>
      <c r="I151" s="75"/>
      <c r="J151" s="140"/>
      <c r="K151" s="75"/>
      <c r="L151" s="75"/>
      <c r="M151" s="75"/>
      <c r="N151" s="75"/>
      <c r="O151" s="75"/>
      <c r="P151" s="75"/>
      <c r="Q151" s="86"/>
    </row>
    <row r="152" spans="5:17">
      <c r="E152" s="75"/>
      <c r="F152" s="75"/>
      <c r="G152" s="75"/>
      <c r="H152" s="75"/>
      <c r="I152" s="75"/>
      <c r="J152" s="140"/>
      <c r="K152" s="75"/>
      <c r="L152" s="75"/>
      <c r="M152" s="75"/>
      <c r="N152" s="75"/>
      <c r="O152" s="75"/>
      <c r="P152" s="75"/>
      <c r="Q152" s="86"/>
    </row>
    <row r="153" spans="5:17">
      <c r="E153" s="75"/>
      <c r="F153" s="75"/>
      <c r="G153" s="75"/>
      <c r="H153" s="75"/>
      <c r="I153" s="75"/>
      <c r="J153" s="140"/>
      <c r="K153" s="75"/>
      <c r="L153" s="75"/>
      <c r="M153" s="75"/>
      <c r="N153" s="75"/>
      <c r="O153" s="75"/>
      <c r="P153" s="75"/>
      <c r="Q153" s="86"/>
    </row>
    <row r="154" spans="5:17">
      <c r="E154" s="75"/>
      <c r="F154" s="75"/>
      <c r="G154" s="75"/>
      <c r="H154" s="75"/>
      <c r="I154" s="75"/>
      <c r="J154" s="140"/>
      <c r="K154" s="75"/>
      <c r="L154" s="75"/>
      <c r="M154" s="75"/>
      <c r="N154" s="75"/>
      <c r="O154" s="75"/>
      <c r="P154" s="75"/>
      <c r="Q154" s="86"/>
    </row>
    <row r="155" spans="5:17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6"/>
    </row>
    <row r="156" spans="5:17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6"/>
    </row>
    <row r="157" spans="5:17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6"/>
    </row>
    <row r="158" spans="5:17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5:17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5:17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C40C-FD09-4343-A581-B1FBB6258B88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41" customWidth="1"/>
    <col min="2" max="2" width="15.73046875" style="141" bestFit="1" customWidth="1"/>
    <col min="3" max="3" width="15.86328125" style="141" bestFit="1" customWidth="1"/>
    <col min="4" max="4" width="15.1328125" style="141" bestFit="1" customWidth="1"/>
    <col min="5" max="5" width="16.3984375" style="141" bestFit="1" customWidth="1"/>
    <col min="6" max="6" width="16.59765625" style="141" bestFit="1" customWidth="1"/>
    <col min="7" max="7" width="15" style="141" bestFit="1" customWidth="1"/>
    <col min="8" max="8" width="15.1328125" style="141" bestFit="1" customWidth="1"/>
    <col min="9" max="9" width="16.3984375" style="141" bestFit="1" customWidth="1"/>
    <col min="10" max="10" width="15" style="141" bestFit="1" customWidth="1"/>
    <col min="11" max="11" width="15.1328125" style="141" bestFit="1" customWidth="1"/>
    <col min="12" max="12" width="15.59765625" style="141" customWidth="1"/>
    <col min="13" max="13" width="15" style="141" bestFit="1" customWidth="1"/>
    <col min="14" max="14" width="17" style="141" bestFit="1" customWidth="1"/>
    <col min="15" max="15" width="7.73046875" style="141"/>
    <col min="16" max="16" width="23" style="141" bestFit="1" customWidth="1"/>
    <col min="17" max="17" width="10.86328125" style="141" bestFit="1" customWidth="1"/>
    <col min="18" max="16384" width="7.73046875" style="141"/>
  </cols>
  <sheetData>
    <row r="1" spans="1:17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7" ht="20.65">
      <c r="A2" s="192" t="s">
        <v>159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7" ht="22.5">
      <c r="A3" s="193" t="s">
        <v>160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7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7" spans="1:17" ht="27" customHeight="1">
      <c r="A7" s="142" t="s">
        <v>161</v>
      </c>
      <c r="B7" s="143">
        <v>44227</v>
      </c>
      <c r="C7" s="143">
        <f>EOMONTH(B7,1)</f>
        <v>44255</v>
      </c>
      <c r="D7" s="143">
        <f t="shared" ref="D7:M7" si="0">EOMONTH(C7,1)</f>
        <v>44286</v>
      </c>
      <c r="E7" s="143">
        <f t="shared" si="0"/>
        <v>44316</v>
      </c>
      <c r="F7" s="143">
        <f t="shared" si="0"/>
        <v>44347</v>
      </c>
      <c r="G7" s="143">
        <f t="shared" si="0"/>
        <v>44377</v>
      </c>
      <c r="H7" s="143">
        <f t="shared" si="0"/>
        <v>44408</v>
      </c>
      <c r="I7" s="143">
        <f t="shared" si="0"/>
        <v>44439</v>
      </c>
      <c r="J7" s="143">
        <f t="shared" si="0"/>
        <v>44469</v>
      </c>
      <c r="K7" s="143">
        <f t="shared" si="0"/>
        <v>44500</v>
      </c>
      <c r="L7" s="143">
        <f t="shared" si="0"/>
        <v>44530</v>
      </c>
      <c r="M7" s="143">
        <f t="shared" si="0"/>
        <v>44561</v>
      </c>
      <c r="N7" s="144" t="s">
        <v>162</v>
      </c>
    </row>
    <row r="8" spans="1:17" ht="24.95" customHeight="1">
      <c r="A8" s="145" t="s">
        <v>163</v>
      </c>
      <c r="B8" s="146">
        <f>'[1]Input Tab'!C54</f>
        <v>523729</v>
      </c>
      <c r="C8" s="146">
        <f>'[1]Input Tab'!D54</f>
        <v>501047</v>
      </c>
      <c r="D8" s="146">
        <f>'[1]Input Tab'!E54</f>
        <v>536506</v>
      </c>
      <c r="E8" s="146">
        <f>'[1]Input Tab'!F54</f>
        <v>441255</v>
      </c>
      <c r="F8" s="146">
        <f>'[1]Input Tab'!G54</f>
        <v>400880</v>
      </c>
      <c r="G8" s="146">
        <f>'[1]Input Tab'!H54</f>
        <v>432739</v>
      </c>
      <c r="H8" s="146">
        <f>'[1]Input Tab'!I54</f>
        <v>533586</v>
      </c>
      <c r="I8" s="146">
        <f>'[1]Input Tab'!J54</f>
        <v>0</v>
      </c>
      <c r="J8" s="146">
        <f>'[1]Input Tab'!K54</f>
        <v>0</v>
      </c>
      <c r="K8" s="146">
        <f>'[1]Input Tab'!L54</f>
        <v>0</v>
      </c>
      <c r="L8" s="146">
        <f>'[1]Input Tab'!M54</f>
        <v>0</v>
      </c>
      <c r="M8" s="146">
        <f>'[1]Input Tab'!N54</f>
        <v>0</v>
      </c>
      <c r="N8" s="147">
        <f t="shared" ref="N8:N13" si="1">SUM(B8:M8)</f>
        <v>3369742</v>
      </c>
      <c r="P8" s="148"/>
    </row>
    <row r="9" spans="1:17" ht="24.95" customHeight="1">
      <c r="A9" s="149" t="s">
        <v>164</v>
      </c>
      <c r="B9" s="150">
        <f>-310534094/1000</f>
        <v>-310534.09399999998</v>
      </c>
      <c r="C9" s="151">
        <f>IF(C8=0,0,-B10)</f>
        <v>-291212</v>
      </c>
      <c r="D9" s="151">
        <f t="shared" ref="D9:M9" si="2">IF(D8=0,0,-C10)</f>
        <v>-272741</v>
      </c>
      <c r="E9" s="151">
        <f t="shared" si="2"/>
        <v>-225056</v>
      </c>
      <c r="F9" s="151">
        <f t="shared" si="2"/>
        <v>-200672</v>
      </c>
      <c r="G9" s="151">
        <f t="shared" si="2"/>
        <v>-224333</v>
      </c>
      <c r="H9" s="151">
        <f t="shared" si="2"/>
        <v>-285426</v>
      </c>
      <c r="I9" s="151">
        <f t="shared" si="2"/>
        <v>0</v>
      </c>
      <c r="J9" s="151">
        <f t="shared" si="2"/>
        <v>0</v>
      </c>
      <c r="K9" s="151">
        <f t="shared" si="2"/>
        <v>0</v>
      </c>
      <c r="L9" s="151">
        <f t="shared" si="2"/>
        <v>0</v>
      </c>
      <c r="M9" s="151">
        <f t="shared" si="2"/>
        <v>0</v>
      </c>
      <c r="N9" s="147">
        <f t="shared" si="1"/>
        <v>-1809974.094</v>
      </c>
    </row>
    <row r="10" spans="1:17" ht="24.95" customHeight="1">
      <c r="A10" s="149" t="s">
        <v>165</v>
      </c>
      <c r="B10" s="146">
        <f>'[1]Input Tab'!C55</f>
        <v>291212</v>
      </c>
      <c r="C10" s="146">
        <f>'[1]Input Tab'!D55</f>
        <v>272741</v>
      </c>
      <c r="D10" s="146">
        <f>'[1]Input Tab'!E55</f>
        <v>225056</v>
      </c>
      <c r="E10" s="146">
        <f>'[1]Input Tab'!F55</f>
        <v>200672</v>
      </c>
      <c r="F10" s="146">
        <f>'[1]Input Tab'!G55</f>
        <v>224333</v>
      </c>
      <c r="G10" s="146">
        <f>'[1]Input Tab'!H55</f>
        <v>285426</v>
      </c>
      <c r="H10" s="146">
        <f>'[1]Input Tab'!I55</f>
        <v>298640</v>
      </c>
      <c r="I10" s="146">
        <f>'[1]Input Tab'!J55</f>
        <v>0</v>
      </c>
      <c r="J10" s="146">
        <f>'[1]Input Tab'!K55</f>
        <v>0</v>
      </c>
      <c r="K10" s="146">
        <f>'[1]Input Tab'!L55</f>
        <v>0</v>
      </c>
      <c r="L10" s="146">
        <f>'[1]Input Tab'!M55</f>
        <v>0</v>
      </c>
      <c r="M10" s="146">
        <f>'[1]Input Tab'!N55</f>
        <v>0</v>
      </c>
      <c r="N10" s="147">
        <f t="shared" si="1"/>
        <v>1798080</v>
      </c>
      <c r="P10" s="152"/>
      <c r="Q10" s="152"/>
    </row>
    <row r="11" spans="1:17" ht="30.75" customHeight="1">
      <c r="A11" s="153" t="s">
        <v>166</v>
      </c>
      <c r="B11" s="154">
        <f t="shared" ref="B11:L11" si="3">SUM(B8:B10)</f>
        <v>504406.90600000002</v>
      </c>
      <c r="C11" s="154">
        <f t="shared" si="3"/>
        <v>482576</v>
      </c>
      <c r="D11" s="154">
        <f t="shared" si="3"/>
        <v>488821</v>
      </c>
      <c r="E11" s="154">
        <f t="shared" si="3"/>
        <v>416871</v>
      </c>
      <c r="F11" s="154">
        <f t="shared" si="3"/>
        <v>424541</v>
      </c>
      <c r="G11" s="154">
        <f t="shared" si="3"/>
        <v>493832</v>
      </c>
      <c r="H11" s="154">
        <f t="shared" si="3"/>
        <v>546800</v>
      </c>
      <c r="I11" s="154">
        <f t="shared" si="3"/>
        <v>0</v>
      </c>
      <c r="J11" s="154">
        <f t="shared" si="3"/>
        <v>0</v>
      </c>
      <c r="K11" s="154">
        <f t="shared" si="3"/>
        <v>0</v>
      </c>
      <c r="L11" s="154">
        <f t="shared" si="3"/>
        <v>0</v>
      </c>
      <c r="M11" s="154">
        <f>SUM(M8:M10)</f>
        <v>0</v>
      </c>
      <c r="N11" s="155">
        <f t="shared" si="1"/>
        <v>3357847.906</v>
      </c>
      <c r="P11" s="150"/>
      <c r="Q11" s="148"/>
    </row>
    <row r="12" spans="1:17" ht="32.25" customHeight="1">
      <c r="A12" s="156" t="s">
        <v>167</v>
      </c>
      <c r="B12" s="157">
        <f>'[1]Input Tab'!C56</f>
        <v>556117</v>
      </c>
      <c r="C12" s="157">
        <f>'[1]Input Tab'!D56</f>
        <v>486363</v>
      </c>
      <c r="D12" s="157">
        <f>'[1]Input Tab'!E56</f>
        <v>477535</v>
      </c>
      <c r="E12" s="157">
        <f>'[1]Input Tab'!F56</f>
        <v>431246</v>
      </c>
      <c r="F12" s="157">
        <f>'[1]Input Tab'!G56</f>
        <v>432473</v>
      </c>
      <c r="G12" s="157">
        <f>'[1]Input Tab'!H56</f>
        <v>424693</v>
      </c>
      <c r="H12" s="157">
        <f>'[1]Input Tab'!I56</f>
        <v>490670</v>
      </c>
      <c r="I12" s="157">
        <f>'[1]Input Tab'!J56</f>
        <v>464617</v>
      </c>
      <c r="J12" s="157">
        <f>'[1]Input Tab'!K56</f>
        <v>435934</v>
      </c>
      <c r="K12" s="157">
        <f>'[1]Input Tab'!L56</f>
        <v>436959</v>
      </c>
      <c r="L12" s="157">
        <f>'[1]Input Tab'!M56</f>
        <v>468856</v>
      </c>
      <c r="M12" s="157">
        <f>'[1]Input Tab'!N56</f>
        <v>553150</v>
      </c>
      <c r="N12" s="158">
        <f>SUM(B12:H12)</f>
        <v>3299097</v>
      </c>
      <c r="P12" s="96" t="s">
        <v>168</v>
      </c>
    </row>
    <row r="13" spans="1:17" ht="38.25" customHeight="1">
      <c r="A13" s="159" t="s">
        <v>169</v>
      </c>
      <c r="B13" s="160">
        <f>B11-B12</f>
        <v>-51710.093999999983</v>
      </c>
      <c r="C13" s="160">
        <f>IF(C8=0," ",C11-C12)</f>
        <v>-3787</v>
      </c>
      <c r="D13" s="160">
        <f t="shared" ref="D13:M13" si="4">IF(D8=0," ",D11-D12)</f>
        <v>11286</v>
      </c>
      <c r="E13" s="160">
        <f t="shared" si="4"/>
        <v>-14375</v>
      </c>
      <c r="F13" s="160">
        <f t="shared" si="4"/>
        <v>-7932</v>
      </c>
      <c r="G13" s="160">
        <f t="shared" si="4"/>
        <v>69139</v>
      </c>
      <c r="H13" s="160">
        <f t="shared" si="4"/>
        <v>56130</v>
      </c>
      <c r="I13" s="160" t="str">
        <f t="shared" si="4"/>
        <v xml:space="preserve"> </v>
      </c>
      <c r="J13" s="160" t="str">
        <f t="shared" si="4"/>
        <v xml:space="preserve"> </v>
      </c>
      <c r="K13" s="160" t="str">
        <f t="shared" si="4"/>
        <v xml:space="preserve"> </v>
      </c>
      <c r="L13" s="160" t="str">
        <f t="shared" si="4"/>
        <v xml:space="preserve"> </v>
      </c>
      <c r="M13" s="160" t="str">
        <f t="shared" si="4"/>
        <v xml:space="preserve"> </v>
      </c>
      <c r="N13" s="161">
        <f t="shared" si="1"/>
        <v>58750.906000000017</v>
      </c>
    </row>
    <row r="14" spans="1:17" ht="42.75" customHeight="1">
      <c r="A14" s="159" t="s">
        <v>170</v>
      </c>
      <c r="B14" s="162">
        <f>'[1]Input Tab'!C57</f>
        <v>18.11</v>
      </c>
      <c r="C14" s="162">
        <f>'[1]Input Tab'!D57</f>
        <v>18.11</v>
      </c>
      <c r="D14" s="162">
        <f>'[1]Input Tab'!E57</f>
        <v>18.11</v>
      </c>
      <c r="E14" s="162">
        <f>'[1]Input Tab'!F57</f>
        <v>18.11</v>
      </c>
      <c r="F14" s="162">
        <f>'[1]Input Tab'!G57</f>
        <v>18.11</v>
      </c>
      <c r="G14" s="162">
        <f>'[1]Input Tab'!H57</f>
        <v>18.11</v>
      </c>
      <c r="H14" s="162">
        <f>'[1]Input Tab'!I57</f>
        <v>18.11</v>
      </c>
      <c r="I14" s="162">
        <f>'[1]Input Tab'!J57</f>
        <v>18.11</v>
      </c>
      <c r="J14" s="162">
        <f>'[1]Input Tab'!K57</f>
        <v>18.11</v>
      </c>
      <c r="K14" s="162">
        <f>'[1]Input Tab'!L57</f>
        <v>18.11</v>
      </c>
      <c r="L14" s="162">
        <f>'[1]Input Tab'!M57</f>
        <v>18.11</v>
      </c>
      <c r="M14" s="162">
        <f>'[1]Input Tab'!N57</f>
        <v>18.11</v>
      </c>
      <c r="N14" s="147"/>
    </row>
    <row r="15" spans="1:17" ht="30.75" customHeight="1" thickBot="1">
      <c r="A15" s="163" t="s">
        <v>171</v>
      </c>
      <c r="B15" s="164">
        <f>B13*B14</f>
        <v>-936469.8023399997</v>
      </c>
      <c r="C15" s="164">
        <f>IF(C8=0,0,C13*C14)</f>
        <v>-68582.569999999992</v>
      </c>
      <c r="D15" s="164">
        <f t="shared" ref="D15:M15" si="5">IF(D8=0,0,D13*D14)</f>
        <v>204389.46</v>
      </c>
      <c r="E15" s="164">
        <f t="shared" si="5"/>
        <v>-260331.25</v>
      </c>
      <c r="F15" s="164">
        <f t="shared" si="5"/>
        <v>-143648.51999999999</v>
      </c>
      <c r="G15" s="164">
        <f t="shared" si="5"/>
        <v>1252107.29</v>
      </c>
      <c r="H15" s="164">
        <f t="shared" si="5"/>
        <v>1016514.2999999999</v>
      </c>
      <c r="I15" s="164">
        <f t="shared" si="5"/>
        <v>0</v>
      </c>
      <c r="J15" s="164">
        <f t="shared" si="5"/>
        <v>0</v>
      </c>
      <c r="K15" s="164">
        <f t="shared" si="5"/>
        <v>0</v>
      </c>
      <c r="L15" s="164">
        <f t="shared" si="5"/>
        <v>0</v>
      </c>
      <c r="M15" s="164">
        <f t="shared" si="5"/>
        <v>0</v>
      </c>
      <c r="N15" s="164">
        <f>SUM(B15:M15)</f>
        <v>1063978.90766</v>
      </c>
    </row>
    <row r="16" spans="1:17" ht="20.100000000000001" customHeight="1" thickTop="1">
      <c r="G16" s="165"/>
      <c r="N16" s="148"/>
    </row>
    <row r="17" spans="1:14" ht="20.100000000000001" customHeight="1">
      <c r="A17" s="166"/>
      <c r="N17" s="148"/>
    </row>
    <row r="18" spans="1:14" ht="36.75" customHeight="1">
      <c r="A18" s="167" t="s">
        <v>172</v>
      </c>
      <c r="B18" s="168">
        <f>B7</f>
        <v>44227</v>
      </c>
      <c r="C18" s="168">
        <f t="shared" ref="C18:N18" si="6">C7</f>
        <v>44255</v>
      </c>
      <c r="D18" s="168">
        <f t="shared" si="6"/>
        <v>44286</v>
      </c>
      <c r="E18" s="168">
        <f t="shared" si="6"/>
        <v>44316</v>
      </c>
      <c r="F18" s="168">
        <f t="shared" si="6"/>
        <v>44347</v>
      </c>
      <c r="G18" s="168">
        <f t="shared" si="6"/>
        <v>44377</v>
      </c>
      <c r="H18" s="168">
        <f t="shared" si="6"/>
        <v>44408</v>
      </c>
      <c r="I18" s="168">
        <f t="shared" si="6"/>
        <v>44439</v>
      </c>
      <c r="J18" s="168">
        <f t="shared" si="6"/>
        <v>44469</v>
      </c>
      <c r="K18" s="168">
        <f t="shared" si="6"/>
        <v>44500</v>
      </c>
      <c r="L18" s="168">
        <f t="shared" si="6"/>
        <v>44530</v>
      </c>
      <c r="M18" s="168">
        <f t="shared" si="6"/>
        <v>44561</v>
      </c>
      <c r="N18" s="143" t="str">
        <f t="shared" si="6"/>
        <v>YTD</v>
      </c>
    </row>
    <row r="19" spans="1:14" ht="29.25" customHeight="1">
      <c r="A19" s="169" t="s">
        <v>173</v>
      </c>
      <c r="B19" s="170">
        <f>IF(B8=0," ",B15*-1)</f>
        <v>936469.8023399997</v>
      </c>
      <c r="C19" s="170">
        <f>IF(C8=0," ",C15*-1)</f>
        <v>68582.569999999992</v>
      </c>
      <c r="D19" s="170">
        <f t="shared" ref="D19:M19" si="7">IF(D8=0," ",D15*-1)</f>
        <v>-204389.46</v>
      </c>
      <c r="E19" s="170">
        <f t="shared" si="7"/>
        <v>260331.25</v>
      </c>
      <c r="F19" s="170">
        <f t="shared" si="7"/>
        <v>143648.51999999999</v>
      </c>
      <c r="G19" s="170">
        <f t="shared" si="7"/>
        <v>-1252107.29</v>
      </c>
      <c r="H19" s="170">
        <f t="shared" si="7"/>
        <v>-1016514.2999999999</v>
      </c>
      <c r="I19" s="170" t="str">
        <f t="shared" si="7"/>
        <v xml:space="preserve"> </v>
      </c>
      <c r="J19" s="170" t="str">
        <f t="shared" si="7"/>
        <v xml:space="preserve"> </v>
      </c>
      <c r="K19" s="170" t="str">
        <f t="shared" si="7"/>
        <v xml:space="preserve"> </v>
      </c>
      <c r="L19" s="170" t="str">
        <f t="shared" si="7"/>
        <v xml:space="preserve"> </v>
      </c>
      <c r="M19" s="170" t="str">
        <f t="shared" si="7"/>
        <v xml:space="preserve"> </v>
      </c>
      <c r="N19" s="170">
        <f>N15*-1</f>
        <v>-1063978.90766</v>
      </c>
    </row>
    <row r="20" spans="1:14">
      <c r="A20" s="171"/>
      <c r="B20" s="172" t="str">
        <f>IF(B19&lt;0,"Rebate","Surcharge")</f>
        <v>Surcharge</v>
      </c>
      <c r="C20" s="172" t="str">
        <f t="shared" ref="C20:N20" si="8">IF(C19&lt;0,"Rebate","Surcharge")</f>
        <v>Surcharge</v>
      </c>
      <c r="D20" s="172" t="str">
        <f t="shared" si="8"/>
        <v>Rebate</v>
      </c>
      <c r="E20" s="172" t="str">
        <f t="shared" si="8"/>
        <v>Surcharge</v>
      </c>
      <c r="F20" s="172" t="str">
        <f t="shared" si="8"/>
        <v>Surcharge</v>
      </c>
      <c r="G20" s="172" t="str">
        <f t="shared" si="8"/>
        <v>Rebate</v>
      </c>
      <c r="H20" s="172" t="str">
        <f t="shared" si="8"/>
        <v>Rebate</v>
      </c>
      <c r="I20" s="172" t="str">
        <f t="shared" si="8"/>
        <v>Surcharge</v>
      </c>
      <c r="J20" s="172" t="str">
        <f t="shared" si="8"/>
        <v>Surcharge</v>
      </c>
      <c r="K20" s="172" t="str">
        <f t="shared" si="8"/>
        <v>Surcharge</v>
      </c>
      <c r="L20" s="172" t="str">
        <f t="shared" si="8"/>
        <v>Surcharge</v>
      </c>
      <c r="M20" s="172" t="str">
        <f t="shared" si="8"/>
        <v>Surcharge</v>
      </c>
      <c r="N20" s="172" t="str">
        <f t="shared" si="8"/>
        <v>Rebate</v>
      </c>
    </row>
    <row r="23" spans="1:14">
      <c r="G23" s="148"/>
    </row>
    <row r="32" spans="1:14" ht="15.4">
      <c r="A32" s="17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E65B74-2819-4D4E-A2D4-4397A3DEE43B}"/>
</file>

<file path=customXml/itemProps2.xml><?xml version="1.0" encoding="utf-8"?>
<ds:datastoreItem xmlns:ds="http://schemas.openxmlformats.org/officeDocument/2006/customXml" ds:itemID="{FBEF87A5-80A4-4A72-B350-03AAFCA5CDBC}"/>
</file>

<file path=customXml/itemProps3.xml><?xml version="1.0" encoding="utf-8"?>
<ds:datastoreItem xmlns:ds="http://schemas.openxmlformats.org/officeDocument/2006/customXml" ds:itemID="{B28DF974-C690-48AE-BF97-1A792A8D5B96}"/>
</file>

<file path=customXml/itemProps4.xml><?xml version="1.0" encoding="utf-8"?>
<ds:datastoreItem xmlns:ds="http://schemas.openxmlformats.org/officeDocument/2006/customXml" ds:itemID="{B79B709F-C41E-4EE6-BC2E-372B69C13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2021-08-16T13:48:59Z</dcterms:created>
  <dcterms:modified xsi:type="dcterms:W3CDTF">2021-08-16T13:51:06Z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