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xl/externalLinks/externalLink1.xml" ContentType="application/vnd.openxmlformats-officedocument.spreadsheetml.externalLink+xml"/>
  <Override PartName="/xl/comments8.xml" ContentType="application/vnd.openxmlformats-officedocument.spreadsheetml.comments+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omments7.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60" windowWidth="12120" windowHeight="8580" firstSheet="4" activeTab="4"/>
  </bookViews>
  <sheets>
    <sheet name="Adj 7.9 Current YrDef FIT Norm" sheetId="1" r:id="rId1"/>
    <sheet name="Revised Exhibit KHB-2" sheetId="9" r:id="rId2"/>
    <sheet name="Adj 7.9 Summary" sheetId="10" r:id="rId3"/>
    <sheet name="DIT Summary" sheetId="5" r:id="rId4"/>
    <sheet name="KHB-6 Pg 1" sheetId="16" r:id="rId5"/>
    <sheet name="KHB-6 Pg 2" sheetId="15" r:id="rId6"/>
    <sheet name="KHB-6 Page 3" sheetId="14" r:id="rId7"/>
    <sheet name="KHB-6 Page 4" sheetId="13" r:id="rId8"/>
    <sheet name="KHB-6 Page 5" sheetId="17" r:id="rId9"/>
    <sheet name="KHB-6 Page 6" sheetId="18" r:id="rId10"/>
    <sheet name="KHB-6 Page 7" sheetId="19" r:id="rId11"/>
    <sheet name="Expense Support" sheetId="8" r:id="rId12"/>
    <sheet name="Rate Base Support" sheetId="4" r:id="rId13"/>
    <sheet name="Sheet1" sheetId="20" r:id="rId14"/>
  </sheets>
  <externalReferences>
    <externalReference r:id="rId15"/>
  </externalReferences>
  <definedNames>
    <definedName name="__123Graph_ECURRENT" localSheetId="6" hidden="1">[1]ConsolidatingPL!#REF!</definedName>
    <definedName name="__123Graph_ECURRENT" localSheetId="7" hidden="1">[1]ConsolidatingPL!#REF!</definedName>
    <definedName name="__123Graph_ECURRENT" localSheetId="8" hidden="1">[1]ConsolidatingPL!#REF!</definedName>
    <definedName name="__123Graph_ECURRENT" localSheetId="9" hidden="1">[1]ConsolidatingPL!#REF!</definedName>
    <definedName name="__123Graph_ECURRENT" localSheetId="10" hidden="1">[1]ConsolidatingPL!#REF!</definedName>
    <definedName name="__123Graph_ECURRENT" localSheetId="4" hidden="1">[1]ConsolidatingPL!#REF!</definedName>
    <definedName name="__123Graph_ECURRENT" localSheetId="5" hidden="1">[1]ConsolidatingPL!#REF!</definedName>
    <definedName name="__123Graph_ECURRENT" hidden="1">[1]ConsolidatingPL!#REF!</definedName>
    <definedName name="_xlnm._FilterDatabase" localSheetId="11" hidden="1">'Expense Support'!$A$5:$D$105</definedName>
    <definedName name="_xlnm._FilterDatabase" localSheetId="6" hidden="1">'KHB-6 Page 3'!$A$6:$C$107</definedName>
    <definedName name="_xlnm._FilterDatabase" localSheetId="7" hidden="1">'KHB-6 Page 4'!$A$5:$C$106</definedName>
    <definedName name="_xlnm._FilterDatabase" localSheetId="8" hidden="1">'KHB-6 Page 5'!$A$10:$I$104</definedName>
    <definedName name="_xlnm._FilterDatabase" localSheetId="9" hidden="1">'KHB-6 Page 6'!$A$10:$I$104</definedName>
    <definedName name="_xlnm._FilterDatabase" localSheetId="10" hidden="1">'KHB-6 Page 7'!$A$10:$I$104</definedName>
    <definedName name="_xlnm._FilterDatabase" localSheetId="4" hidden="1">'KHB-6 Pg 1'!$A$9:$C$13</definedName>
    <definedName name="_xlnm._FilterDatabase" localSheetId="5" hidden="1">'KHB-6 Pg 2'!$A$5:$C$104</definedName>
    <definedName name="_xlnm._FilterDatabase" localSheetId="12" hidden="1">'Rate Base Support'!$A$10:$I$104</definedName>
    <definedName name="_Order1" hidden="1">255</definedName>
    <definedName name="_Order2" hidden="1">255</definedName>
    <definedName name="_six6" hidden="1">{#N/A,#N/A,FALSE,"CRPT";#N/A,#N/A,FALSE,"TREND";#N/A,#N/A,FALSE,"%Curve"}</definedName>
    <definedName name="a" hidden="1">{#N/A,#N/A,FALSE,"Coversheet";#N/A,#N/A,FALSE,"QA"}</definedName>
    <definedName name="AccessDatabase" hidden="1">"I:\COMTREL\FINICLE\TradeSummary.mdb"</definedName>
    <definedName name="b" hidden="1">{#N/A,#N/A,FALSE,"Coversheet";#N/A,#N/A,FALSE,"QA"}</definedName>
    <definedName name="CBWorkbookPriority" hidden="1">-2060790043</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IT" hidden="1">{#N/A,#N/A,FALSE,"Coversheet";#N/A,#N/A,FALSE,"QA"}</definedName>
    <definedName name="Estimate" hidden="1">{#N/A,#N/A,FALSE,"Summ";#N/A,#N/A,FALSE,"General"}</definedName>
    <definedName name="ex" hidden="1">{#N/A,#N/A,FALSE,"Summ";#N/A,#N/A,FALSE,"General"}</definedName>
    <definedName name="kat" localSheetId="8" hidden="1">[1]ConsolidatingPL!#REF!</definedName>
    <definedName name="kat" localSheetId="9" hidden="1">[1]ConsolidatingPL!#REF!</definedName>
    <definedName name="kat" localSheetId="10" hidden="1">[1]ConsolidatingPL!#REF!</definedName>
    <definedName name="kat" localSheetId="4" hidden="1">[1]ConsolidatingPL!#REF!</definedName>
    <definedName name="kat" hidden="1">[1]ConsolidatingPL!#REF!</definedName>
    <definedName name="new" hidden="1">{#N/A,#N/A,FALSE,"Summ";#N/A,#N/A,FALSE,"General"}</definedName>
    <definedName name="_xlnm.Print_Area" localSheetId="11">'Expense Support'!$E$7:$AG$59</definedName>
    <definedName name="_xlnm.Print_Area" localSheetId="6">'KHB-6 Page 3'!$D$9:$W$109</definedName>
    <definedName name="_xlnm.Print_Area" localSheetId="7">'KHB-6 Page 4'!$D$8:$N$111</definedName>
    <definedName name="_xlnm.Print_Area" localSheetId="8">'KHB-6 Page 5'!$H$9:$R$109</definedName>
    <definedName name="_xlnm.Print_Area" localSheetId="9">'KHB-6 Page 6'!$I$10:$Z$109</definedName>
    <definedName name="_xlnm.Print_Area" localSheetId="10">'KHB-6 Page 7'!$H$9:$U$109</definedName>
    <definedName name="_xlnm.Print_Area" localSheetId="4">'KHB-6 Pg 1'!#REF!</definedName>
    <definedName name="_xlnm.Print_Area" localSheetId="5">'KHB-6 Pg 2'!$C$7:$K$105</definedName>
    <definedName name="_xlnm.Print_Area" localSheetId="12">'Rate Base Support'!$H$9:$AI$109</definedName>
    <definedName name="_xlnm.Print_Titles" localSheetId="11">'Expense Support'!$A:$B,'Expense Support'!$1:$6</definedName>
    <definedName name="_xlnm.Print_Titles" localSheetId="6">'KHB-6 Page 3'!$A:$B,'KHB-6 Page 3'!$1:$8</definedName>
    <definedName name="_xlnm.Print_Titles" localSheetId="7">'KHB-6 Page 4'!$A:$B,'KHB-6 Page 4'!$1:$7</definedName>
    <definedName name="_xlnm.Print_Titles" localSheetId="8">'KHB-6 Page 5'!$A:$F,'KHB-6 Page 5'!$1:$8</definedName>
    <definedName name="_xlnm.Print_Titles" localSheetId="9">'KHB-6 Page 6'!$A:$F,'KHB-6 Page 6'!$1:$8</definedName>
    <definedName name="_xlnm.Print_Titles" localSheetId="10">'KHB-6 Page 7'!$A:$F,'KHB-6 Page 7'!$1:$8</definedName>
    <definedName name="_xlnm.Print_Titles" localSheetId="4">'KHB-6 Pg 1'!$A:$B,'KHB-6 Pg 1'!$1:$10</definedName>
    <definedName name="_xlnm.Print_Titles" localSheetId="5">'KHB-6 Pg 2'!$A:$B,'KHB-6 Pg 2'!$1:$6</definedName>
    <definedName name="_xlnm.Print_Titles" localSheetId="12">'Rate Base Support'!$A:$F,'Rate Base Support'!$1:$8</definedName>
    <definedName name="SAPBEXrevision" hidden="1">1</definedName>
    <definedName name="SAPBEXsysID" hidden="1">"BWP"</definedName>
    <definedName name="SAPBEXwbID" localSheetId="8" hidden="1">"45GG33WDQ8RE9RB5CAQIR3097"</definedName>
    <definedName name="SAPBEXwbID" localSheetId="9" hidden="1">"45GG33WDQ8RE9RB5CAQIR3097"</definedName>
    <definedName name="SAPBEXwbID" localSheetId="10" hidden="1">"45GG33WDQ8RE9RB5CAQIR3097"</definedName>
    <definedName name="SAPBEXwbID" localSheetId="12" hidden="1">"45GG33WDQ8RE9RB5CAQIR3097"</definedName>
    <definedName name="SAPBEXwbID" hidden="1">"45O1HHOX47FKP1VJT6F169P1D"</definedName>
    <definedName name="six" hidden="1">{#N/A,#N/A,FALSE,"Drill Sites";"WP 212",#N/A,FALSE,"MWAG EOR";"WP 213",#N/A,FALSE,"MWAG EOR";#N/A,#N/A,FALSE,"Misc. Facility";#N/A,#N/A,FALSE,"WWTP"}</definedName>
    <definedName name="t" hidden="1">{#N/A,#N/A,FALSE,"CESTSUM";#N/A,#N/A,FALSE,"est sum A";#N/A,#N/A,FALSE,"est detail A"}</definedName>
    <definedName name="TEMP" hidden="1">{#N/A,#N/A,FALSE,"Summ";#N/A,#N/A,FALSE,"General"}</definedName>
    <definedName name="Temp1" hidden="1">{#N/A,#N/A,FALSE,"CESTSUM";#N/A,#N/A,FALSE,"est sum A";#N/A,#N/A,FALSE,"est detail A"}</definedName>
    <definedName name="u" hidden="1">{#N/A,#N/A,FALSE,"Summ";#N/A,#N/A,FALSE,"General"}</definedName>
    <definedName name="wrn.1._.Bi._.Monthly._.CR." hidden="1">{#N/A,#N/A,FALSE,"Drill Sites";"WP 212",#N/A,FALSE,"MWAG EOR";"WP 213",#N/A,FALSE,"MWAG EOR";#N/A,#N/A,FALSE,"Misc. Facility";#N/A,#N/A,FALSE,"WWTP"}</definedName>
    <definedName name="wrn.AAI." hidden="1">{#N/A,#N/A,FALSE,"CRPT";#N/A,#N/A,FALSE,"TREND";#N/A,#N/A,FALSE,"%Curve"}</definedName>
    <definedName name="wrn.AAI._.Report." hidden="1">{#N/A,#N/A,FALSE,"CRPT";#N/A,#N/A,FALSE,"TREND";#N/A,#N/A,FALSE,"% CURVE"}</definedName>
    <definedName name="wrn.Anvil." hidden="1">{#N/A,#N/A,FALSE,"CRPT";#N/A,#N/A,FALSE,"PCS ";#N/A,#N/A,FALSE,"TREND";#N/A,#N/A,FALSE,"% CURVE";#N/A,#N/A,FALSE,"FWICALC";#N/A,#N/A,FALSE,"CONTINGENCY";#N/A,#N/A,FALSE,"7616 Fab";#N/A,#N/A,FALSE,"7616 NSK"}</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ESTIMATE." hidden="1">{#N/A,#N/A,FALSE,"CESTSUM";#N/A,#N/A,FALSE,"est sum A";#N/A,#N/A,FALSE,"est detail A"}</definedName>
    <definedName name="wrn.Fundamental." hidden="1">{#N/A,#N/A,TRUE,"CoverPage";#N/A,#N/A,TRUE,"Gas";#N/A,#N/A,TRUE,"Power";#N/A,#N/A,TRUE,"Historical DJ Mthly Prices"}</definedName>
    <definedName name="wrn.IEO." hidden="1">{#N/A,#N/A,FALSE,"SUMMARY";#N/A,#N/A,FALSE,"AE7616";#N/A,#N/A,FALSE,"AE7617";#N/A,#N/A,FALSE,"AE7618";#N/A,#N/A,FALSE,"AE7619"}</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Project._.Services." hidden="1">{#N/A,#N/A,FALSE,"BASE";#N/A,#N/A,FALSE,"LOOPS";#N/A,#N/A,FALSE,"PLC"}</definedName>
    <definedName name="wrn.SCHEDULE." hidden="1">{#N/A,#N/A,FALSE,"7617 Fab";#N/A,#N/A,FALSE,"7617 NSK"}</definedName>
    <definedName name="wrn.SLB." hidden="1">{#N/A,#N/A,FALSE,"SUMMARY";#N/A,#N/A,FALSE,"AE7616";#N/A,#N/A,FALSE,"AE7617";#N/A,#N/A,FALSE,"AE7618";#N/A,#N/A,FALSE,"AE7619";#N/A,#N/A,FALSE,"Target Materials"}</definedName>
    <definedName name="wrn.Small._.Tools._.Overhead." hidden="1">{#N/A,#N/A,FALSE,"2002 Small Tool OH";#N/A,#N/A,FALSE,"QA"}</definedName>
    <definedName name="wrn.Summary." hidden="1">{#N/A,#N/A,FALSE,"Summ";#N/A,#N/A,FALSE,"General"}</definedName>
  </definedNames>
  <calcPr calcId="125725"/>
</workbook>
</file>

<file path=xl/calcChain.xml><?xml version="1.0" encoding="utf-8"?>
<calcChain xmlns="http://schemas.openxmlformats.org/spreadsheetml/2006/main">
  <c r="K79" i="15"/>
  <c r="K79" i="14"/>
  <c r="K79" i="17"/>
  <c r="K79" i="18"/>
  <c r="K79" i="19"/>
  <c r="G65" i="15"/>
  <c r="G64"/>
  <c r="G63"/>
  <c r="G62"/>
  <c r="G61"/>
  <c r="G60"/>
  <c r="F12" i="10" l="1"/>
  <c r="D57" i="9"/>
  <c r="J13" i="16"/>
  <c r="H13"/>
  <c r="I13"/>
  <c r="G13"/>
  <c r="I12" i="1" s="1"/>
  <c r="F13" i="16"/>
  <c r="E13"/>
  <c r="D13"/>
  <c r="C13"/>
  <c r="S108" i="19"/>
  <c r="S107"/>
  <c r="S106"/>
  <c r="S105"/>
  <c r="S103"/>
  <c r="S102"/>
  <c r="S101"/>
  <c r="S100"/>
  <c r="S99"/>
  <c r="S98"/>
  <c r="S97"/>
  <c r="S96"/>
  <c r="S95"/>
  <c r="S94"/>
  <c r="S93"/>
  <c r="S92"/>
  <c r="S91"/>
  <c r="S90"/>
  <c r="S89"/>
  <c r="S88"/>
  <c r="S87"/>
  <c r="S86"/>
  <c r="S85"/>
  <c r="S84"/>
  <c r="S83"/>
  <c r="S82"/>
  <c r="S81"/>
  <c r="S80"/>
  <c r="S79"/>
  <c r="S78"/>
  <c r="S77"/>
  <c r="S76"/>
  <c r="S75"/>
  <c r="S74"/>
  <c r="S73"/>
  <c r="S72"/>
  <c r="S71"/>
  <c r="S70"/>
  <c r="S69"/>
  <c r="S67"/>
  <c r="S66"/>
  <c r="S65"/>
  <c r="S64"/>
  <c r="S63"/>
  <c r="S62"/>
  <c r="S60"/>
  <c r="S59"/>
  <c r="S11"/>
  <c r="S12"/>
  <c r="S13"/>
  <c r="S14"/>
  <c r="S15"/>
  <c r="S16"/>
  <c r="S17"/>
  <c r="S18"/>
  <c r="S19"/>
  <c r="S20"/>
  <c r="S21"/>
  <c r="S22"/>
  <c r="S23"/>
  <c r="S24"/>
  <c r="S25"/>
  <c r="S26"/>
  <c r="S27"/>
  <c r="S28"/>
  <c r="S29"/>
  <c r="S30"/>
  <c r="S31"/>
  <c r="S32"/>
  <c r="S33"/>
  <c r="S34"/>
  <c r="S35"/>
  <c r="S36"/>
  <c r="S37"/>
  <c r="S38"/>
  <c r="S39"/>
  <c r="S40"/>
  <c r="S41"/>
  <c r="S42"/>
  <c r="S43"/>
  <c r="S44"/>
  <c r="S45"/>
  <c r="S46"/>
  <c r="S47"/>
  <c r="S48"/>
  <c r="S49"/>
  <c r="S50"/>
  <c r="S51"/>
  <c r="S52"/>
  <c r="S53"/>
  <c r="S54"/>
  <c r="S55"/>
  <c r="S56"/>
  <c r="S57"/>
  <c r="S10"/>
  <c r="T108"/>
  <c r="T107"/>
  <c r="T106"/>
  <c r="T105"/>
  <c r="T103"/>
  <c r="T102"/>
  <c r="T101"/>
  <c r="T100"/>
  <c r="T99"/>
  <c r="T98"/>
  <c r="T97"/>
  <c r="T96"/>
  <c r="T95"/>
  <c r="T94"/>
  <c r="T93"/>
  <c r="T92"/>
  <c r="T91"/>
  <c r="T90"/>
  <c r="T89"/>
  <c r="T88"/>
  <c r="T87"/>
  <c r="T86"/>
  <c r="T85"/>
  <c r="T84"/>
  <c r="T83"/>
  <c r="T82"/>
  <c r="T81"/>
  <c r="T80"/>
  <c r="T79"/>
  <c r="T78"/>
  <c r="T77"/>
  <c r="T76"/>
  <c r="T75"/>
  <c r="T74"/>
  <c r="T73"/>
  <c r="T72"/>
  <c r="T71"/>
  <c r="T70"/>
  <c r="T69"/>
  <c r="T67"/>
  <c r="T66"/>
  <c r="T65"/>
  <c r="T64"/>
  <c r="T63"/>
  <c r="T62"/>
  <c r="T60"/>
  <c r="T59"/>
  <c r="T11"/>
  <c r="T12"/>
  <c r="T13"/>
  <c r="T14"/>
  <c r="T15"/>
  <c r="T16"/>
  <c r="T17"/>
  <c r="T18"/>
  <c r="T19"/>
  <c r="T20"/>
  <c r="T21"/>
  <c r="T22"/>
  <c r="T23"/>
  <c r="T24"/>
  <c r="T25"/>
  <c r="T26"/>
  <c r="T27"/>
  <c r="T28"/>
  <c r="T29"/>
  <c r="T30"/>
  <c r="T31"/>
  <c r="T32"/>
  <c r="T33"/>
  <c r="T34"/>
  <c r="T35"/>
  <c r="T36"/>
  <c r="T37"/>
  <c r="T38"/>
  <c r="T39"/>
  <c r="T40"/>
  <c r="T41"/>
  <c r="T42"/>
  <c r="T43"/>
  <c r="T44"/>
  <c r="T45"/>
  <c r="T46"/>
  <c r="T47"/>
  <c r="T48"/>
  <c r="T49"/>
  <c r="T50"/>
  <c r="T51"/>
  <c r="T52"/>
  <c r="T53"/>
  <c r="T54"/>
  <c r="T55"/>
  <c r="T56"/>
  <c r="T57"/>
  <c r="T10"/>
  <c r="Q108"/>
  <c r="R108" s="1"/>
  <c r="O108"/>
  <c r="O107"/>
  <c r="O106"/>
  <c r="O105"/>
  <c r="O103"/>
  <c r="O102"/>
  <c r="O101"/>
  <c r="O100"/>
  <c r="O99"/>
  <c r="O98"/>
  <c r="O97"/>
  <c r="O96"/>
  <c r="O95"/>
  <c r="O94"/>
  <c r="O93"/>
  <c r="O92"/>
  <c r="O91"/>
  <c r="O90"/>
  <c r="O89"/>
  <c r="O88"/>
  <c r="O87"/>
  <c r="O86"/>
  <c r="O85"/>
  <c r="O84"/>
  <c r="O83"/>
  <c r="O82"/>
  <c r="O81"/>
  <c r="O80"/>
  <c r="O79"/>
  <c r="O78"/>
  <c r="O77"/>
  <c r="O76"/>
  <c r="O75"/>
  <c r="O74"/>
  <c r="O73"/>
  <c r="O72"/>
  <c r="O71"/>
  <c r="O70"/>
  <c r="O69"/>
  <c r="O67"/>
  <c r="O66"/>
  <c r="O65"/>
  <c r="O64"/>
  <c r="O63"/>
  <c r="O62"/>
  <c r="O60"/>
  <c r="O59"/>
  <c r="O11"/>
  <c r="O12"/>
  <c r="O13"/>
  <c r="O14"/>
  <c r="O15"/>
  <c r="O16"/>
  <c r="O17"/>
  <c r="O18"/>
  <c r="O19"/>
  <c r="O20"/>
  <c r="O21"/>
  <c r="O22"/>
  <c r="O23"/>
  <c r="O24"/>
  <c r="O25"/>
  <c r="O26"/>
  <c r="O27"/>
  <c r="O28"/>
  <c r="O29"/>
  <c r="O30"/>
  <c r="O31"/>
  <c r="O32"/>
  <c r="O33"/>
  <c r="O34"/>
  <c r="O35"/>
  <c r="O36"/>
  <c r="O37"/>
  <c r="O38"/>
  <c r="O39"/>
  <c r="O40"/>
  <c r="O41"/>
  <c r="O42"/>
  <c r="O43"/>
  <c r="O44"/>
  <c r="O45"/>
  <c r="O46"/>
  <c r="O47"/>
  <c r="O48"/>
  <c r="O49"/>
  <c r="O50"/>
  <c r="O51"/>
  <c r="O52"/>
  <c r="O53"/>
  <c r="O54"/>
  <c r="O55"/>
  <c r="O56"/>
  <c r="O57"/>
  <c r="O10"/>
  <c r="N106"/>
  <c r="M108"/>
  <c r="J108"/>
  <c r="J107"/>
  <c r="J106"/>
  <c r="J105"/>
  <c r="J103"/>
  <c r="J102"/>
  <c r="J101"/>
  <c r="J100"/>
  <c r="J99"/>
  <c r="J98"/>
  <c r="J97"/>
  <c r="J96"/>
  <c r="J95"/>
  <c r="J94"/>
  <c r="J93"/>
  <c r="J92"/>
  <c r="J91"/>
  <c r="J90"/>
  <c r="J89"/>
  <c r="J88"/>
  <c r="J87"/>
  <c r="J86"/>
  <c r="J85"/>
  <c r="J84"/>
  <c r="J83"/>
  <c r="J82"/>
  <c r="J81"/>
  <c r="J80"/>
  <c r="J79"/>
  <c r="J78"/>
  <c r="J77"/>
  <c r="J76"/>
  <c r="J75"/>
  <c r="J74"/>
  <c r="J73"/>
  <c r="J72"/>
  <c r="J71"/>
  <c r="J70"/>
  <c r="J69"/>
  <c r="J67"/>
  <c r="J66"/>
  <c r="J65"/>
  <c r="J64"/>
  <c r="J63"/>
  <c r="J62"/>
  <c r="J60"/>
  <c r="J59"/>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10"/>
  <c r="P107"/>
  <c r="K107"/>
  <c r="M107" s="1"/>
  <c r="P106"/>
  <c r="K106"/>
  <c r="M106" s="1"/>
  <c r="P105"/>
  <c r="K105"/>
  <c r="M105" s="1"/>
  <c r="T104"/>
  <c r="Q104"/>
  <c r="Q109" s="1"/>
  <c r="N104"/>
  <c r="L104"/>
  <c r="P103"/>
  <c r="K103"/>
  <c r="M103" s="1"/>
  <c r="P102"/>
  <c r="K102"/>
  <c r="M102" s="1"/>
  <c r="P101"/>
  <c r="I101"/>
  <c r="H101"/>
  <c r="P100"/>
  <c r="I100"/>
  <c r="K100" s="1"/>
  <c r="H100"/>
  <c r="P99"/>
  <c r="I99"/>
  <c r="H99"/>
  <c r="P98"/>
  <c r="I98"/>
  <c r="K98" s="1"/>
  <c r="R98" s="1"/>
  <c r="H98"/>
  <c r="P97"/>
  <c r="I97"/>
  <c r="H97"/>
  <c r="P96"/>
  <c r="I96"/>
  <c r="K96" s="1"/>
  <c r="R96" s="1"/>
  <c r="H96"/>
  <c r="P95"/>
  <c r="I95"/>
  <c r="H95"/>
  <c r="P94"/>
  <c r="I94"/>
  <c r="K94" s="1"/>
  <c r="R94" s="1"/>
  <c r="H94"/>
  <c r="P93"/>
  <c r="I93"/>
  <c r="H93"/>
  <c r="P92"/>
  <c r="I92"/>
  <c r="K92" s="1"/>
  <c r="R92" s="1"/>
  <c r="H92"/>
  <c r="P91"/>
  <c r="I91"/>
  <c r="H91"/>
  <c r="P90"/>
  <c r="I90"/>
  <c r="K90" s="1"/>
  <c r="R90" s="1"/>
  <c r="H90"/>
  <c r="P89"/>
  <c r="I89"/>
  <c r="H89"/>
  <c r="P88"/>
  <c r="I88"/>
  <c r="K88" s="1"/>
  <c r="R88" s="1"/>
  <c r="H88"/>
  <c r="I87"/>
  <c r="H87"/>
  <c r="I86"/>
  <c r="K86" s="1"/>
  <c r="P86" s="1"/>
  <c r="R86" s="1"/>
  <c r="H86"/>
  <c r="I85"/>
  <c r="H85"/>
  <c r="I84"/>
  <c r="K84" s="1"/>
  <c r="P84" s="1"/>
  <c r="R84" s="1"/>
  <c r="H84"/>
  <c r="I83"/>
  <c r="H83"/>
  <c r="I82"/>
  <c r="K82" s="1"/>
  <c r="P82" s="1"/>
  <c r="R82" s="1"/>
  <c r="H82"/>
  <c r="I81"/>
  <c r="H81"/>
  <c r="I80"/>
  <c r="K80" s="1"/>
  <c r="P80" s="1"/>
  <c r="R80" s="1"/>
  <c r="H80"/>
  <c r="I79"/>
  <c r="H79"/>
  <c r="I78"/>
  <c r="K78" s="1"/>
  <c r="P78" s="1"/>
  <c r="R78" s="1"/>
  <c r="H78"/>
  <c r="I77"/>
  <c r="H77"/>
  <c r="I76"/>
  <c r="K76" s="1"/>
  <c r="P76" s="1"/>
  <c r="R76" s="1"/>
  <c r="H76"/>
  <c r="I75"/>
  <c r="H75"/>
  <c r="I74"/>
  <c r="K74" s="1"/>
  <c r="P74" s="1"/>
  <c r="R74" s="1"/>
  <c r="H74"/>
  <c r="K73"/>
  <c r="P73" s="1"/>
  <c r="R73" s="1"/>
  <c r="I73"/>
  <c r="H73"/>
  <c r="I72"/>
  <c r="H72"/>
  <c r="K71"/>
  <c r="P71" s="1"/>
  <c r="R71" s="1"/>
  <c r="I71"/>
  <c r="H71"/>
  <c r="I70"/>
  <c r="H70"/>
  <c r="J104"/>
  <c r="I69"/>
  <c r="H69"/>
  <c r="T68"/>
  <c r="N68"/>
  <c r="L68"/>
  <c r="K67"/>
  <c r="P67" s="1"/>
  <c r="R67" s="1"/>
  <c r="I67"/>
  <c r="H67"/>
  <c r="I66"/>
  <c r="H66"/>
  <c r="K65"/>
  <c r="P65" s="1"/>
  <c r="R65" s="1"/>
  <c r="I65"/>
  <c r="H65"/>
  <c r="I64"/>
  <c r="H64"/>
  <c r="P63"/>
  <c r="R63" s="1"/>
  <c r="I63"/>
  <c r="K63" s="1"/>
  <c r="M63" s="1"/>
  <c r="P62"/>
  <c r="J68"/>
  <c r="I62"/>
  <c r="H62"/>
  <c r="T61"/>
  <c r="O61"/>
  <c r="N61"/>
  <c r="L61"/>
  <c r="P60"/>
  <c r="R60" s="1"/>
  <c r="K60"/>
  <c r="M60" s="1"/>
  <c r="P59"/>
  <c r="P61" s="1"/>
  <c r="J61"/>
  <c r="I59"/>
  <c r="I61" s="1"/>
  <c r="H59"/>
  <c r="H61" s="1"/>
  <c r="T58"/>
  <c r="N58"/>
  <c r="L58"/>
  <c r="P57"/>
  <c r="K57"/>
  <c r="M57" s="1"/>
  <c r="P56"/>
  <c r="I56"/>
  <c r="H56"/>
  <c r="P55"/>
  <c r="I55"/>
  <c r="H55"/>
  <c r="P54"/>
  <c r="I54"/>
  <c r="K54" s="1"/>
  <c r="M54" s="1"/>
  <c r="H54"/>
  <c r="P53"/>
  <c r="I53"/>
  <c r="H53"/>
  <c r="K52"/>
  <c r="P52" s="1"/>
  <c r="R52" s="1"/>
  <c r="I52"/>
  <c r="H52"/>
  <c r="I51"/>
  <c r="H51"/>
  <c r="K50"/>
  <c r="P50" s="1"/>
  <c r="R50" s="1"/>
  <c r="I50"/>
  <c r="H50"/>
  <c r="I49"/>
  <c r="H49"/>
  <c r="K48"/>
  <c r="P48" s="1"/>
  <c r="R48" s="1"/>
  <c r="I48"/>
  <c r="H48"/>
  <c r="I47"/>
  <c r="H47"/>
  <c r="K46"/>
  <c r="P46" s="1"/>
  <c r="R46" s="1"/>
  <c r="I46"/>
  <c r="H46"/>
  <c r="I45"/>
  <c r="H45"/>
  <c r="K44"/>
  <c r="P44" s="1"/>
  <c r="R44" s="1"/>
  <c r="I44"/>
  <c r="H44"/>
  <c r="I43"/>
  <c r="H43"/>
  <c r="K42"/>
  <c r="P42" s="1"/>
  <c r="R42" s="1"/>
  <c r="I42"/>
  <c r="H42"/>
  <c r="I41"/>
  <c r="H41"/>
  <c r="K40"/>
  <c r="P40" s="1"/>
  <c r="R40" s="1"/>
  <c r="I40"/>
  <c r="H40"/>
  <c r="I39"/>
  <c r="H39"/>
  <c r="K38"/>
  <c r="P38" s="1"/>
  <c r="R38" s="1"/>
  <c r="I38"/>
  <c r="H38"/>
  <c r="I37"/>
  <c r="H37"/>
  <c r="I36"/>
  <c r="H36"/>
  <c r="I35"/>
  <c r="K35" s="1"/>
  <c r="P35" s="1"/>
  <c r="R35" s="1"/>
  <c r="H35"/>
  <c r="I34"/>
  <c r="H34"/>
  <c r="I33"/>
  <c r="K33" s="1"/>
  <c r="P33" s="1"/>
  <c r="R33" s="1"/>
  <c r="H33"/>
  <c r="I32"/>
  <c r="H32"/>
  <c r="I31"/>
  <c r="K31" s="1"/>
  <c r="P31" s="1"/>
  <c r="R31" s="1"/>
  <c r="H31"/>
  <c r="I30"/>
  <c r="H30"/>
  <c r="I29"/>
  <c r="K29" s="1"/>
  <c r="P29" s="1"/>
  <c r="R29" s="1"/>
  <c r="H29"/>
  <c r="I28"/>
  <c r="H28"/>
  <c r="I27"/>
  <c r="K27" s="1"/>
  <c r="P27" s="1"/>
  <c r="R27" s="1"/>
  <c r="H27"/>
  <c r="I26"/>
  <c r="H26"/>
  <c r="I25"/>
  <c r="K25" s="1"/>
  <c r="P25" s="1"/>
  <c r="R25" s="1"/>
  <c r="H25"/>
  <c r="I24"/>
  <c r="H24"/>
  <c r="I23"/>
  <c r="K23" s="1"/>
  <c r="P23" s="1"/>
  <c r="R23" s="1"/>
  <c r="H23"/>
  <c r="I22"/>
  <c r="H22"/>
  <c r="I21"/>
  <c r="K21" s="1"/>
  <c r="P21" s="1"/>
  <c r="R21" s="1"/>
  <c r="H21"/>
  <c r="I20"/>
  <c r="H20"/>
  <c r="I19"/>
  <c r="K19" s="1"/>
  <c r="P19" s="1"/>
  <c r="R19" s="1"/>
  <c r="H19"/>
  <c r="I18"/>
  <c r="H18"/>
  <c r="I17"/>
  <c r="K17" s="1"/>
  <c r="P17" s="1"/>
  <c r="R17" s="1"/>
  <c r="H17"/>
  <c r="I16"/>
  <c r="H16"/>
  <c r="I15"/>
  <c r="K15" s="1"/>
  <c r="P15" s="1"/>
  <c r="R15" s="1"/>
  <c r="H15"/>
  <c r="I14"/>
  <c r="H14"/>
  <c r="I13"/>
  <c r="K13" s="1"/>
  <c r="P13" s="1"/>
  <c r="R13" s="1"/>
  <c r="H13"/>
  <c r="I12"/>
  <c r="H12"/>
  <c r="I11"/>
  <c r="K11" s="1"/>
  <c r="P11" s="1"/>
  <c r="R11" s="1"/>
  <c r="H11"/>
  <c r="J58"/>
  <c r="I10"/>
  <c r="H10"/>
  <c r="D10"/>
  <c r="D11" s="1"/>
  <c r="D12" s="1"/>
  <c r="D13" s="1"/>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D43" s="1"/>
  <c r="D44" s="1"/>
  <c r="D45" s="1"/>
  <c r="D46" s="1"/>
  <c r="D47" s="1"/>
  <c r="D48" s="1"/>
  <c r="D49" s="1"/>
  <c r="D50" s="1"/>
  <c r="D51" s="1"/>
  <c r="D52" s="1"/>
  <c r="D53" s="1"/>
  <c r="D54" s="1"/>
  <c r="D55" s="1"/>
  <c r="D56" s="1"/>
  <c r="D57" s="1"/>
  <c r="D58" s="1"/>
  <c r="D59" s="1"/>
  <c r="D60" s="1"/>
  <c r="D61" s="1"/>
  <c r="D62" s="1"/>
  <c r="D63" s="1"/>
  <c r="D64" s="1"/>
  <c r="D65" s="1"/>
  <c r="D66" s="1"/>
  <c r="D67" s="1"/>
  <c r="D68" s="1"/>
  <c r="D69" s="1"/>
  <c r="D70" s="1"/>
  <c r="D71" s="1"/>
  <c r="D72" s="1"/>
  <c r="D73" s="1"/>
  <c r="D74" s="1"/>
  <c r="D75" s="1"/>
  <c r="D76" s="1"/>
  <c r="D77" s="1"/>
  <c r="D78" s="1"/>
  <c r="D79" s="1"/>
  <c r="D80" s="1"/>
  <c r="D81" s="1"/>
  <c r="D82" s="1"/>
  <c r="D83" s="1"/>
  <c r="D84" s="1"/>
  <c r="D85" s="1"/>
  <c r="D86" s="1"/>
  <c r="D87" s="1"/>
  <c r="D88" s="1"/>
  <c r="D89" s="1"/>
  <c r="D90" s="1"/>
  <c r="D91" s="1"/>
  <c r="D92" s="1"/>
  <c r="D93" s="1"/>
  <c r="D94" s="1"/>
  <c r="D95" s="1"/>
  <c r="D96" s="1"/>
  <c r="D97" s="1"/>
  <c r="D98" s="1"/>
  <c r="D99" s="1"/>
  <c r="D100" s="1"/>
  <c r="D101" s="1"/>
  <c r="D102" s="1"/>
  <c r="D103" s="1"/>
  <c r="D104" s="1"/>
  <c r="D105" s="1"/>
  <c r="D106" s="1"/>
  <c r="D107" s="1"/>
  <c r="D108" s="1"/>
  <c r="D109" s="1"/>
  <c r="K105" i="18"/>
  <c r="L105"/>
  <c r="M105"/>
  <c r="N105"/>
  <c r="O105"/>
  <c r="P105"/>
  <c r="Q105"/>
  <c r="R105"/>
  <c r="S105"/>
  <c r="T105"/>
  <c r="U105"/>
  <c r="V105"/>
  <c r="W105"/>
  <c r="X105"/>
  <c r="K106"/>
  <c r="L106"/>
  <c r="M106"/>
  <c r="N106"/>
  <c r="O106"/>
  <c r="P106"/>
  <c r="Q106"/>
  <c r="R106"/>
  <c r="S106"/>
  <c r="T106"/>
  <c r="U106"/>
  <c r="V106"/>
  <c r="W106"/>
  <c r="X106"/>
  <c r="K107"/>
  <c r="L107"/>
  <c r="M107"/>
  <c r="N107"/>
  <c r="O107"/>
  <c r="P107"/>
  <c r="Q107"/>
  <c r="R107"/>
  <c r="S107"/>
  <c r="T107"/>
  <c r="U107"/>
  <c r="V107"/>
  <c r="W107"/>
  <c r="X107"/>
  <c r="K108"/>
  <c r="L108"/>
  <c r="M108"/>
  <c r="N108"/>
  <c r="O108"/>
  <c r="P108"/>
  <c r="Q108"/>
  <c r="R108"/>
  <c r="S108"/>
  <c r="T108"/>
  <c r="U108"/>
  <c r="V108"/>
  <c r="W108"/>
  <c r="X108"/>
  <c r="J108"/>
  <c r="J107"/>
  <c r="J106"/>
  <c r="J105"/>
  <c r="K69"/>
  <c r="L69"/>
  <c r="M69"/>
  <c r="N69"/>
  <c r="O69"/>
  <c r="P69"/>
  <c r="Q69"/>
  <c r="R69"/>
  <c r="S69"/>
  <c r="T69"/>
  <c r="U69"/>
  <c r="V69"/>
  <c r="W69"/>
  <c r="X69"/>
  <c r="K70"/>
  <c r="L70"/>
  <c r="M70"/>
  <c r="N70"/>
  <c r="O70"/>
  <c r="P70"/>
  <c r="Q70"/>
  <c r="R70"/>
  <c r="S70"/>
  <c r="T70"/>
  <c r="U70"/>
  <c r="V70"/>
  <c r="W70"/>
  <c r="X70"/>
  <c r="K71"/>
  <c r="L71"/>
  <c r="M71"/>
  <c r="N71"/>
  <c r="O71"/>
  <c r="P71"/>
  <c r="Q71"/>
  <c r="R71"/>
  <c r="S71"/>
  <c r="T71"/>
  <c r="U71"/>
  <c r="V71"/>
  <c r="W71"/>
  <c r="X71"/>
  <c r="K72"/>
  <c r="L72"/>
  <c r="M72"/>
  <c r="N72"/>
  <c r="O72"/>
  <c r="P72"/>
  <c r="Q72"/>
  <c r="R72"/>
  <c r="S72"/>
  <c r="T72"/>
  <c r="U72"/>
  <c r="V72"/>
  <c r="W72"/>
  <c r="X72"/>
  <c r="K73"/>
  <c r="L73"/>
  <c r="M73"/>
  <c r="N73"/>
  <c r="O73"/>
  <c r="P73"/>
  <c r="Q73"/>
  <c r="R73"/>
  <c r="S73"/>
  <c r="T73"/>
  <c r="U73"/>
  <c r="V73"/>
  <c r="W73"/>
  <c r="X73"/>
  <c r="K74"/>
  <c r="L74"/>
  <c r="M74"/>
  <c r="N74"/>
  <c r="O74"/>
  <c r="P74"/>
  <c r="Q74"/>
  <c r="R74"/>
  <c r="S74"/>
  <c r="T74"/>
  <c r="U74"/>
  <c r="V74"/>
  <c r="W74"/>
  <c r="X74"/>
  <c r="K75"/>
  <c r="L75"/>
  <c r="M75"/>
  <c r="N75"/>
  <c r="O75"/>
  <c r="P75"/>
  <c r="Q75"/>
  <c r="R75"/>
  <c r="S75"/>
  <c r="T75"/>
  <c r="U75"/>
  <c r="V75"/>
  <c r="W75"/>
  <c r="X75"/>
  <c r="K76"/>
  <c r="L76"/>
  <c r="M76"/>
  <c r="N76"/>
  <c r="O76"/>
  <c r="P76"/>
  <c r="Q76"/>
  <c r="R76"/>
  <c r="S76"/>
  <c r="T76"/>
  <c r="U76"/>
  <c r="V76"/>
  <c r="W76"/>
  <c r="X76"/>
  <c r="K77"/>
  <c r="L77"/>
  <c r="M77"/>
  <c r="N77"/>
  <c r="O77"/>
  <c r="P77"/>
  <c r="Q77"/>
  <c r="R77"/>
  <c r="S77"/>
  <c r="T77"/>
  <c r="U77"/>
  <c r="V77"/>
  <c r="W77"/>
  <c r="X77"/>
  <c r="K78"/>
  <c r="L78"/>
  <c r="M78"/>
  <c r="N78"/>
  <c r="O78"/>
  <c r="P78"/>
  <c r="Q78"/>
  <c r="R78"/>
  <c r="S78"/>
  <c r="T78"/>
  <c r="U78"/>
  <c r="V78"/>
  <c r="W78"/>
  <c r="X78"/>
  <c r="L79"/>
  <c r="M79"/>
  <c r="N79"/>
  <c r="O79"/>
  <c r="P79"/>
  <c r="Q79"/>
  <c r="R79"/>
  <c r="S79"/>
  <c r="T79"/>
  <c r="U79"/>
  <c r="V79"/>
  <c r="W79"/>
  <c r="X79"/>
  <c r="K80"/>
  <c r="L80"/>
  <c r="M80"/>
  <c r="N80"/>
  <c r="O80"/>
  <c r="P80"/>
  <c r="Q80"/>
  <c r="R80"/>
  <c r="S80"/>
  <c r="T80"/>
  <c r="U80"/>
  <c r="V80"/>
  <c r="W80"/>
  <c r="X80"/>
  <c r="K81"/>
  <c r="L81"/>
  <c r="M81"/>
  <c r="N81"/>
  <c r="O81"/>
  <c r="P81"/>
  <c r="Q81"/>
  <c r="R81"/>
  <c r="S81"/>
  <c r="T81"/>
  <c r="U81"/>
  <c r="V81"/>
  <c r="W81"/>
  <c r="X81"/>
  <c r="K82"/>
  <c r="L82"/>
  <c r="M82"/>
  <c r="N82"/>
  <c r="O82"/>
  <c r="P82"/>
  <c r="Q82"/>
  <c r="R82"/>
  <c r="S82"/>
  <c r="T82"/>
  <c r="U82"/>
  <c r="V82"/>
  <c r="W82"/>
  <c r="X82"/>
  <c r="K83"/>
  <c r="L83"/>
  <c r="M83"/>
  <c r="N83"/>
  <c r="O83"/>
  <c r="P83"/>
  <c r="Q83"/>
  <c r="R83"/>
  <c r="S83"/>
  <c r="T83"/>
  <c r="U83"/>
  <c r="V83"/>
  <c r="W83"/>
  <c r="X83"/>
  <c r="K84"/>
  <c r="L84"/>
  <c r="M84"/>
  <c r="N84"/>
  <c r="O84"/>
  <c r="P84"/>
  <c r="Q84"/>
  <c r="R84"/>
  <c r="S84"/>
  <c r="T84"/>
  <c r="U84"/>
  <c r="V84"/>
  <c r="W84"/>
  <c r="X84"/>
  <c r="K85"/>
  <c r="L85"/>
  <c r="M85"/>
  <c r="N85"/>
  <c r="O85"/>
  <c r="P85"/>
  <c r="Q85"/>
  <c r="R85"/>
  <c r="S85"/>
  <c r="T85"/>
  <c r="U85"/>
  <c r="V85"/>
  <c r="W85"/>
  <c r="X85"/>
  <c r="K86"/>
  <c r="L86"/>
  <c r="M86"/>
  <c r="N86"/>
  <c r="O86"/>
  <c r="P86"/>
  <c r="Q86"/>
  <c r="R86"/>
  <c r="S86"/>
  <c r="T86"/>
  <c r="U86"/>
  <c r="V86"/>
  <c r="W86"/>
  <c r="X86"/>
  <c r="K87"/>
  <c r="L87"/>
  <c r="M87"/>
  <c r="N87"/>
  <c r="O87"/>
  <c r="P87"/>
  <c r="Q87"/>
  <c r="R87"/>
  <c r="S87"/>
  <c r="T87"/>
  <c r="U87"/>
  <c r="V87"/>
  <c r="W87"/>
  <c r="X87"/>
  <c r="K88"/>
  <c r="L88"/>
  <c r="M88"/>
  <c r="N88"/>
  <c r="O88"/>
  <c r="P88"/>
  <c r="Q88"/>
  <c r="R88"/>
  <c r="S88"/>
  <c r="T88"/>
  <c r="U88"/>
  <c r="V88"/>
  <c r="W88"/>
  <c r="X88"/>
  <c r="K89"/>
  <c r="L89"/>
  <c r="M89"/>
  <c r="N89"/>
  <c r="O89"/>
  <c r="P89"/>
  <c r="Q89"/>
  <c r="R89"/>
  <c r="S89"/>
  <c r="T89"/>
  <c r="U89"/>
  <c r="V89"/>
  <c r="W89"/>
  <c r="X89"/>
  <c r="K90"/>
  <c r="L90"/>
  <c r="M90"/>
  <c r="N90"/>
  <c r="O90"/>
  <c r="P90"/>
  <c r="Q90"/>
  <c r="R90"/>
  <c r="S90"/>
  <c r="T90"/>
  <c r="U90"/>
  <c r="V90"/>
  <c r="W90"/>
  <c r="X90"/>
  <c r="K91"/>
  <c r="L91"/>
  <c r="M91"/>
  <c r="N91"/>
  <c r="O91"/>
  <c r="P91"/>
  <c r="Q91"/>
  <c r="R91"/>
  <c r="S91"/>
  <c r="T91"/>
  <c r="U91"/>
  <c r="V91"/>
  <c r="W91"/>
  <c r="X91"/>
  <c r="K92"/>
  <c r="L92"/>
  <c r="M92"/>
  <c r="N92"/>
  <c r="O92"/>
  <c r="P92"/>
  <c r="Q92"/>
  <c r="R92"/>
  <c r="S92"/>
  <c r="T92"/>
  <c r="U92"/>
  <c r="V92"/>
  <c r="W92"/>
  <c r="X92"/>
  <c r="K93"/>
  <c r="L93"/>
  <c r="M93"/>
  <c r="N93"/>
  <c r="O93"/>
  <c r="P93"/>
  <c r="Q93"/>
  <c r="R93"/>
  <c r="S93"/>
  <c r="T93"/>
  <c r="U93"/>
  <c r="V93"/>
  <c r="W93"/>
  <c r="X93"/>
  <c r="K94"/>
  <c r="L94"/>
  <c r="M94"/>
  <c r="N94"/>
  <c r="O94"/>
  <c r="P94"/>
  <c r="Q94"/>
  <c r="R94"/>
  <c r="S94"/>
  <c r="T94"/>
  <c r="U94"/>
  <c r="V94"/>
  <c r="W94"/>
  <c r="X94"/>
  <c r="K95"/>
  <c r="L95"/>
  <c r="M95"/>
  <c r="N95"/>
  <c r="O95"/>
  <c r="P95"/>
  <c r="Q95"/>
  <c r="R95"/>
  <c r="S95"/>
  <c r="T95"/>
  <c r="U95"/>
  <c r="V95"/>
  <c r="W95"/>
  <c r="X95"/>
  <c r="K96"/>
  <c r="L96"/>
  <c r="M96"/>
  <c r="N96"/>
  <c r="O96"/>
  <c r="P96"/>
  <c r="Q96"/>
  <c r="R96"/>
  <c r="S96"/>
  <c r="T96"/>
  <c r="U96"/>
  <c r="V96"/>
  <c r="W96"/>
  <c r="X96"/>
  <c r="K97"/>
  <c r="L97"/>
  <c r="M97"/>
  <c r="N97"/>
  <c r="O97"/>
  <c r="P97"/>
  <c r="Q97"/>
  <c r="R97"/>
  <c r="S97"/>
  <c r="T97"/>
  <c r="U97"/>
  <c r="V97"/>
  <c r="W97"/>
  <c r="X97"/>
  <c r="K98"/>
  <c r="L98"/>
  <c r="M98"/>
  <c r="N98"/>
  <c r="O98"/>
  <c r="P98"/>
  <c r="Q98"/>
  <c r="R98"/>
  <c r="S98"/>
  <c r="T98"/>
  <c r="U98"/>
  <c r="V98"/>
  <c r="W98"/>
  <c r="X98"/>
  <c r="K99"/>
  <c r="L99"/>
  <c r="M99"/>
  <c r="N99"/>
  <c r="O99"/>
  <c r="P99"/>
  <c r="Q99"/>
  <c r="R99"/>
  <c r="S99"/>
  <c r="T99"/>
  <c r="U99"/>
  <c r="V99"/>
  <c r="W99"/>
  <c r="X99"/>
  <c r="K100"/>
  <c r="L100"/>
  <c r="M100"/>
  <c r="N100"/>
  <c r="O100"/>
  <c r="P100"/>
  <c r="Q100"/>
  <c r="R100"/>
  <c r="S100"/>
  <c r="T100"/>
  <c r="U100"/>
  <c r="V100"/>
  <c r="W100"/>
  <c r="X100"/>
  <c r="K101"/>
  <c r="L101"/>
  <c r="M101"/>
  <c r="N101"/>
  <c r="O101"/>
  <c r="P101"/>
  <c r="Q101"/>
  <c r="R101"/>
  <c r="S101"/>
  <c r="T101"/>
  <c r="U101"/>
  <c r="V101"/>
  <c r="W101"/>
  <c r="X101"/>
  <c r="K102"/>
  <c r="L102"/>
  <c r="M102"/>
  <c r="N102"/>
  <c r="O102"/>
  <c r="P102"/>
  <c r="Q102"/>
  <c r="R102"/>
  <c r="S102"/>
  <c r="T102"/>
  <c r="U102"/>
  <c r="V102"/>
  <c r="W102"/>
  <c r="X102"/>
  <c r="K103"/>
  <c r="L103"/>
  <c r="M103"/>
  <c r="N103"/>
  <c r="O103"/>
  <c r="P103"/>
  <c r="Q103"/>
  <c r="R103"/>
  <c r="S103"/>
  <c r="T103"/>
  <c r="U103"/>
  <c r="V103"/>
  <c r="W103"/>
  <c r="X103"/>
  <c r="J103"/>
  <c r="J102"/>
  <c r="J101"/>
  <c r="J100"/>
  <c r="J99"/>
  <c r="J98"/>
  <c r="J97"/>
  <c r="J96"/>
  <c r="J95"/>
  <c r="J94"/>
  <c r="J93"/>
  <c r="J92"/>
  <c r="J91"/>
  <c r="J90"/>
  <c r="J89"/>
  <c r="J88"/>
  <c r="J87"/>
  <c r="J86"/>
  <c r="J85"/>
  <c r="J84"/>
  <c r="J83"/>
  <c r="J82"/>
  <c r="J81"/>
  <c r="J80"/>
  <c r="J79"/>
  <c r="J78"/>
  <c r="J77"/>
  <c r="J76"/>
  <c r="J75"/>
  <c r="J74"/>
  <c r="J73"/>
  <c r="J72"/>
  <c r="J71"/>
  <c r="J70"/>
  <c r="J69"/>
  <c r="K62"/>
  <c r="L62"/>
  <c r="M62"/>
  <c r="N62"/>
  <c r="O62"/>
  <c r="P62"/>
  <c r="Q62"/>
  <c r="R62"/>
  <c r="S62"/>
  <c r="T62"/>
  <c r="U62"/>
  <c r="V62"/>
  <c r="W62"/>
  <c r="X62"/>
  <c r="K63"/>
  <c r="L63"/>
  <c r="M63"/>
  <c r="N63"/>
  <c r="O63"/>
  <c r="P63"/>
  <c r="Q63"/>
  <c r="R63"/>
  <c r="S63"/>
  <c r="T63"/>
  <c r="U63"/>
  <c r="V63"/>
  <c r="W63"/>
  <c r="X63"/>
  <c r="K64"/>
  <c r="L64"/>
  <c r="M64"/>
  <c r="N64"/>
  <c r="O64"/>
  <c r="P64"/>
  <c r="Q64"/>
  <c r="R64"/>
  <c r="S64"/>
  <c r="T64"/>
  <c r="U64"/>
  <c r="V64"/>
  <c r="W64"/>
  <c r="X64"/>
  <c r="K65"/>
  <c r="L65"/>
  <c r="M65"/>
  <c r="N65"/>
  <c r="O65"/>
  <c r="P65"/>
  <c r="Q65"/>
  <c r="R65"/>
  <c r="S65"/>
  <c r="T65"/>
  <c r="U65"/>
  <c r="V65"/>
  <c r="W65"/>
  <c r="X65"/>
  <c r="K66"/>
  <c r="L66"/>
  <c r="M66"/>
  <c r="N66"/>
  <c r="O66"/>
  <c r="P66"/>
  <c r="Q66"/>
  <c r="R66"/>
  <c r="S66"/>
  <c r="T66"/>
  <c r="U66"/>
  <c r="V66"/>
  <c r="W66"/>
  <c r="X66"/>
  <c r="K67"/>
  <c r="L67"/>
  <c r="M67"/>
  <c r="N67"/>
  <c r="O67"/>
  <c r="P67"/>
  <c r="Q67"/>
  <c r="R67"/>
  <c r="S67"/>
  <c r="T67"/>
  <c r="U67"/>
  <c r="V67"/>
  <c r="W67"/>
  <c r="X67"/>
  <c r="J67"/>
  <c r="J66"/>
  <c r="J65"/>
  <c r="J64"/>
  <c r="J63"/>
  <c r="J62"/>
  <c r="K59"/>
  <c r="L59"/>
  <c r="M59"/>
  <c r="N59"/>
  <c r="O59"/>
  <c r="P59"/>
  <c r="Q59"/>
  <c r="R59"/>
  <c r="S59"/>
  <c r="T59"/>
  <c r="U59"/>
  <c r="V59"/>
  <c r="W59"/>
  <c r="X59"/>
  <c r="K60"/>
  <c r="L60"/>
  <c r="M60"/>
  <c r="N60"/>
  <c r="O60"/>
  <c r="P60"/>
  <c r="Q60"/>
  <c r="R60"/>
  <c r="S60"/>
  <c r="T60"/>
  <c r="U60"/>
  <c r="V60"/>
  <c r="W60"/>
  <c r="X60"/>
  <c r="J60"/>
  <c r="J59"/>
  <c r="K10"/>
  <c r="L10"/>
  <c r="M10"/>
  <c r="N10"/>
  <c r="O10"/>
  <c r="P10"/>
  <c r="Q10"/>
  <c r="R10"/>
  <c r="S10"/>
  <c r="T10"/>
  <c r="U10"/>
  <c r="V10"/>
  <c r="W10"/>
  <c r="X10"/>
  <c r="K11"/>
  <c r="L11"/>
  <c r="M11"/>
  <c r="N11"/>
  <c r="O11"/>
  <c r="P11"/>
  <c r="Q11"/>
  <c r="R11"/>
  <c r="S11"/>
  <c r="T11"/>
  <c r="U11"/>
  <c r="V11"/>
  <c r="W11"/>
  <c r="X11"/>
  <c r="K12"/>
  <c r="L12"/>
  <c r="M12"/>
  <c r="N12"/>
  <c r="O12"/>
  <c r="P12"/>
  <c r="Q12"/>
  <c r="R12"/>
  <c r="S12"/>
  <c r="T12"/>
  <c r="U12"/>
  <c r="V12"/>
  <c r="W12"/>
  <c r="X12"/>
  <c r="K13"/>
  <c r="L13"/>
  <c r="M13"/>
  <c r="N13"/>
  <c r="O13"/>
  <c r="P13"/>
  <c r="Q13"/>
  <c r="R13"/>
  <c r="S13"/>
  <c r="T13"/>
  <c r="U13"/>
  <c r="V13"/>
  <c r="W13"/>
  <c r="X13"/>
  <c r="K14"/>
  <c r="L14"/>
  <c r="M14"/>
  <c r="N14"/>
  <c r="O14"/>
  <c r="P14"/>
  <c r="Q14"/>
  <c r="R14"/>
  <c r="S14"/>
  <c r="T14"/>
  <c r="U14"/>
  <c r="V14"/>
  <c r="W14"/>
  <c r="X14"/>
  <c r="K15"/>
  <c r="L15"/>
  <c r="M15"/>
  <c r="N15"/>
  <c r="O15"/>
  <c r="P15"/>
  <c r="Q15"/>
  <c r="R15"/>
  <c r="S15"/>
  <c r="T15"/>
  <c r="U15"/>
  <c r="V15"/>
  <c r="W15"/>
  <c r="X15"/>
  <c r="K16"/>
  <c r="L16"/>
  <c r="M16"/>
  <c r="N16"/>
  <c r="O16"/>
  <c r="P16"/>
  <c r="Q16"/>
  <c r="R16"/>
  <c r="S16"/>
  <c r="T16"/>
  <c r="U16"/>
  <c r="V16"/>
  <c r="W16"/>
  <c r="X16"/>
  <c r="K17"/>
  <c r="L17"/>
  <c r="M17"/>
  <c r="N17"/>
  <c r="O17"/>
  <c r="P17"/>
  <c r="Q17"/>
  <c r="R17"/>
  <c r="S17"/>
  <c r="T17"/>
  <c r="U17"/>
  <c r="V17"/>
  <c r="W17"/>
  <c r="X17"/>
  <c r="K18"/>
  <c r="L18"/>
  <c r="M18"/>
  <c r="N18"/>
  <c r="O18"/>
  <c r="P18"/>
  <c r="Q18"/>
  <c r="R18"/>
  <c r="S18"/>
  <c r="T18"/>
  <c r="U18"/>
  <c r="V18"/>
  <c r="W18"/>
  <c r="X18"/>
  <c r="K19"/>
  <c r="L19"/>
  <c r="M19"/>
  <c r="N19"/>
  <c r="O19"/>
  <c r="P19"/>
  <c r="Q19"/>
  <c r="R19"/>
  <c r="S19"/>
  <c r="T19"/>
  <c r="U19"/>
  <c r="V19"/>
  <c r="W19"/>
  <c r="X19"/>
  <c r="K20"/>
  <c r="L20"/>
  <c r="M20"/>
  <c r="N20"/>
  <c r="O20"/>
  <c r="P20"/>
  <c r="Q20"/>
  <c r="R20"/>
  <c r="S20"/>
  <c r="T20"/>
  <c r="U20"/>
  <c r="V20"/>
  <c r="W20"/>
  <c r="X20"/>
  <c r="K21"/>
  <c r="L21"/>
  <c r="M21"/>
  <c r="N21"/>
  <c r="O21"/>
  <c r="P21"/>
  <c r="Q21"/>
  <c r="R21"/>
  <c r="S21"/>
  <c r="T21"/>
  <c r="U21"/>
  <c r="V21"/>
  <c r="W21"/>
  <c r="X21"/>
  <c r="K22"/>
  <c r="L22"/>
  <c r="M22"/>
  <c r="N22"/>
  <c r="O22"/>
  <c r="P22"/>
  <c r="Q22"/>
  <c r="R22"/>
  <c r="S22"/>
  <c r="T22"/>
  <c r="U22"/>
  <c r="V22"/>
  <c r="W22"/>
  <c r="X22"/>
  <c r="K23"/>
  <c r="L23"/>
  <c r="M23"/>
  <c r="N23"/>
  <c r="O23"/>
  <c r="P23"/>
  <c r="Q23"/>
  <c r="R23"/>
  <c r="S23"/>
  <c r="T23"/>
  <c r="U23"/>
  <c r="V23"/>
  <c r="W23"/>
  <c r="X23"/>
  <c r="K24"/>
  <c r="L24"/>
  <c r="M24"/>
  <c r="N24"/>
  <c r="O24"/>
  <c r="P24"/>
  <c r="Q24"/>
  <c r="R24"/>
  <c r="S24"/>
  <c r="T24"/>
  <c r="U24"/>
  <c r="V24"/>
  <c r="W24"/>
  <c r="X24"/>
  <c r="K25"/>
  <c r="L25"/>
  <c r="M25"/>
  <c r="N25"/>
  <c r="O25"/>
  <c r="P25"/>
  <c r="Q25"/>
  <c r="R25"/>
  <c r="S25"/>
  <c r="T25"/>
  <c r="U25"/>
  <c r="V25"/>
  <c r="W25"/>
  <c r="X25"/>
  <c r="K26"/>
  <c r="L26"/>
  <c r="M26"/>
  <c r="N26"/>
  <c r="O26"/>
  <c r="P26"/>
  <c r="Q26"/>
  <c r="R26"/>
  <c r="S26"/>
  <c r="T26"/>
  <c r="U26"/>
  <c r="V26"/>
  <c r="W26"/>
  <c r="X26"/>
  <c r="K27"/>
  <c r="L27"/>
  <c r="M27"/>
  <c r="N27"/>
  <c r="O27"/>
  <c r="P27"/>
  <c r="Q27"/>
  <c r="R27"/>
  <c r="S27"/>
  <c r="T27"/>
  <c r="U27"/>
  <c r="V27"/>
  <c r="W27"/>
  <c r="X27"/>
  <c r="K28"/>
  <c r="L28"/>
  <c r="M28"/>
  <c r="N28"/>
  <c r="O28"/>
  <c r="P28"/>
  <c r="Q28"/>
  <c r="R28"/>
  <c r="S28"/>
  <c r="T28"/>
  <c r="U28"/>
  <c r="V28"/>
  <c r="W28"/>
  <c r="X28"/>
  <c r="K29"/>
  <c r="L29"/>
  <c r="M29"/>
  <c r="N29"/>
  <c r="O29"/>
  <c r="P29"/>
  <c r="Q29"/>
  <c r="R29"/>
  <c r="S29"/>
  <c r="T29"/>
  <c r="U29"/>
  <c r="V29"/>
  <c r="W29"/>
  <c r="X29"/>
  <c r="K30"/>
  <c r="L30"/>
  <c r="M30"/>
  <c r="N30"/>
  <c r="O30"/>
  <c r="P30"/>
  <c r="Q30"/>
  <c r="R30"/>
  <c r="S30"/>
  <c r="T30"/>
  <c r="U30"/>
  <c r="V30"/>
  <c r="W30"/>
  <c r="X30"/>
  <c r="K31"/>
  <c r="L31"/>
  <c r="M31"/>
  <c r="N31"/>
  <c r="O31"/>
  <c r="P31"/>
  <c r="Q31"/>
  <c r="R31"/>
  <c r="S31"/>
  <c r="T31"/>
  <c r="U31"/>
  <c r="V31"/>
  <c r="W31"/>
  <c r="X31"/>
  <c r="K32"/>
  <c r="L32"/>
  <c r="M32"/>
  <c r="N32"/>
  <c r="O32"/>
  <c r="P32"/>
  <c r="Q32"/>
  <c r="R32"/>
  <c r="S32"/>
  <c r="T32"/>
  <c r="U32"/>
  <c r="V32"/>
  <c r="W32"/>
  <c r="X32"/>
  <c r="K33"/>
  <c r="L33"/>
  <c r="M33"/>
  <c r="N33"/>
  <c r="O33"/>
  <c r="P33"/>
  <c r="Q33"/>
  <c r="R33"/>
  <c r="S33"/>
  <c r="T33"/>
  <c r="U33"/>
  <c r="V33"/>
  <c r="W33"/>
  <c r="X33"/>
  <c r="K34"/>
  <c r="L34"/>
  <c r="M34"/>
  <c r="N34"/>
  <c r="O34"/>
  <c r="P34"/>
  <c r="Q34"/>
  <c r="R34"/>
  <c r="S34"/>
  <c r="T34"/>
  <c r="U34"/>
  <c r="V34"/>
  <c r="W34"/>
  <c r="X34"/>
  <c r="K35"/>
  <c r="L35"/>
  <c r="M35"/>
  <c r="N35"/>
  <c r="O35"/>
  <c r="P35"/>
  <c r="Q35"/>
  <c r="R35"/>
  <c r="S35"/>
  <c r="T35"/>
  <c r="U35"/>
  <c r="V35"/>
  <c r="W35"/>
  <c r="X35"/>
  <c r="K36"/>
  <c r="L36"/>
  <c r="M36"/>
  <c r="N36"/>
  <c r="O36"/>
  <c r="P36"/>
  <c r="Q36"/>
  <c r="R36"/>
  <c r="S36"/>
  <c r="T36"/>
  <c r="U36"/>
  <c r="V36"/>
  <c r="W36"/>
  <c r="X36"/>
  <c r="K37"/>
  <c r="L37"/>
  <c r="M37"/>
  <c r="N37"/>
  <c r="O37"/>
  <c r="P37"/>
  <c r="Q37"/>
  <c r="R37"/>
  <c r="S37"/>
  <c r="T37"/>
  <c r="U37"/>
  <c r="V37"/>
  <c r="W37"/>
  <c r="X37"/>
  <c r="K38"/>
  <c r="L38"/>
  <c r="M38"/>
  <c r="N38"/>
  <c r="O38"/>
  <c r="P38"/>
  <c r="Q38"/>
  <c r="R38"/>
  <c r="S38"/>
  <c r="T38"/>
  <c r="U38"/>
  <c r="V38"/>
  <c r="W38"/>
  <c r="X38"/>
  <c r="K39"/>
  <c r="L39"/>
  <c r="M39"/>
  <c r="N39"/>
  <c r="O39"/>
  <c r="P39"/>
  <c r="Q39"/>
  <c r="R39"/>
  <c r="S39"/>
  <c r="T39"/>
  <c r="U39"/>
  <c r="V39"/>
  <c r="W39"/>
  <c r="X39"/>
  <c r="K40"/>
  <c r="L40"/>
  <c r="M40"/>
  <c r="N40"/>
  <c r="O40"/>
  <c r="P40"/>
  <c r="Q40"/>
  <c r="R40"/>
  <c r="S40"/>
  <c r="T40"/>
  <c r="U40"/>
  <c r="V40"/>
  <c r="W40"/>
  <c r="X40"/>
  <c r="K41"/>
  <c r="L41"/>
  <c r="M41"/>
  <c r="N41"/>
  <c r="O41"/>
  <c r="P41"/>
  <c r="Q41"/>
  <c r="R41"/>
  <c r="S41"/>
  <c r="T41"/>
  <c r="U41"/>
  <c r="V41"/>
  <c r="W41"/>
  <c r="X41"/>
  <c r="K42"/>
  <c r="L42"/>
  <c r="M42"/>
  <c r="N42"/>
  <c r="O42"/>
  <c r="P42"/>
  <c r="Q42"/>
  <c r="R42"/>
  <c r="S42"/>
  <c r="T42"/>
  <c r="U42"/>
  <c r="V42"/>
  <c r="W42"/>
  <c r="X42"/>
  <c r="K43"/>
  <c r="L43"/>
  <c r="M43"/>
  <c r="N43"/>
  <c r="O43"/>
  <c r="P43"/>
  <c r="Q43"/>
  <c r="R43"/>
  <c r="S43"/>
  <c r="T43"/>
  <c r="U43"/>
  <c r="V43"/>
  <c r="W43"/>
  <c r="X43"/>
  <c r="K44"/>
  <c r="L44"/>
  <c r="M44"/>
  <c r="N44"/>
  <c r="O44"/>
  <c r="P44"/>
  <c r="Q44"/>
  <c r="R44"/>
  <c r="S44"/>
  <c r="T44"/>
  <c r="U44"/>
  <c r="V44"/>
  <c r="W44"/>
  <c r="X44"/>
  <c r="K45"/>
  <c r="L45"/>
  <c r="M45"/>
  <c r="N45"/>
  <c r="O45"/>
  <c r="P45"/>
  <c r="Q45"/>
  <c r="R45"/>
  <c r="S45"/>
  <c r="T45"/>
  <c r="U45"/>
  <c r="V45"/>
  <c r="W45"/>
  <c r="X45"/>
  <c r="K46"/>
  <c r="L46"/>
  <c r="M46"/>
  <c r="N46"/>
  <c r="O46"/>
  <c r="P46"/>
  <c r="Q46"/>
  <c r="R46"/>
  <c r="S46"/>
  <c r="T46"/>
  <c r="U46"/>
  <c r="V46"/>
  <c r="W46"/>
  <c r="X46"/>
  <c r="K47"/>
  <c r="L47"/>
  <c r="M47"/>
  <c r="N47"/>
  <c r="O47"/>
  <c r="P47"/>
  <c r="Q47"/>
  <c r="R47"/>
  <c r="S47"/>
  <c r="T47"/>
  <c r="U47"/>
  <c r="V47"/>
  <c r="W47"/>
  <c r="X47"/>
  <c r="K48"/>
  <c r="L48"/>
  <c r="M48"/>
  <c r="N48"/>
  <c r="O48"/>
  <c r="P48"/>
  <c r="Q48"/>
  <c r="R48"/>
  <c r="S48"/>
  <c r="T48"/>
  <c r="U48"/>
  <c r="V48"/>
  <c r="W48"/>
  <c r="X48"/>
  <c r="K49"/>
  <c r="L49"/>
  <c r="M49"/>
  <c r="N49"/>
  <c r="O49"/>
  <c r="P49"/>
  <c r="Q49"/>
  <c r="R49"/>
  <c r="S49"/>
  <c r="T49"/>
  <c r="U49"/>
  <c r="V49"/>
  <c r="W49"/>
  <c r="X49"/>
  <c r="K50"/>
  <c r="L50"/>
  <c r="M50"/>
  <c r="N50"/>
  <c r="O50"/>
  <c r="P50"/>
  <c r="Q50"/>
  <c r="R50"/>
  <c r="S50"/>
  <c r="T50"/>
  <c r="U50"/>
  <c r="V50"/>
  <c r="W50"/>
  <c r="X50"/>
  <c r="K51"/>
  <c r="L51"/>
  <c r="M51"/>
  <c r="N51"/>
  <c r="O51"/>
  <c r="P51"/>
  <c r="Q51"/>
  <c r="R51"/>
  <c r="S51"/>
  <c r="T51"/>
  <c r="U51"/>
  <c r="V51"/>
  <c r="W51"/>
  <c r="X51"/>
  <c r="K52"/>
  <c r="L52"/>
  <c r="M52"/>
  <c r="N52"/>
  <c r="O52"/>
  <c r="P52"/>
  <c r="Q52"/>
  <c r="R52"/>
  <c r="S52"/>
  <c r="T52"/>
  <c r="U52"/>
  <c r="V52"/>
  <c r="W52"/>
  <c r="X52"/>
  <c r="K53"/>
  <c r="L53"/>
  <c r="M53"/>
  <c r="N53"/>
  <c r="O53"/>
  <c r="P53"/>
  <c r="Q53"/>
  <c r="R53"/>
  <c r="S53"/>
  <c r="T53"/>
  <c r="U53"/>
  <c r="V53"/>
  <c r="W53"/>
  <c r="X53"/>
  <c r="K54"/>
  <c r="L54"/>
  <c r="M54"/>
  <c r="N54"/>
  <c r="O54"/>
  <c r="P54"/>
  <c r="Q54"/>
  <c r="R54"/>
  <c r="S54"/>
  <c r="T54"/>
  <c r="U54"/>
  <c r="V54"/>
  <c r="W54"/>
  <c r="X54"/>
  <c r="K55"/>
  <c r="L55"/>
  <c r="Y55" s="1"/>
  <c r="M55"/>
  <c r="N55"/>
  <c r="O55"/>
  <c r="P55"/>
  <c r="Q55"/>
  <c r="R55"/>
  <c r="S55"/>
  <c r="T55"/>
  <c r="U55"/>
  <c r="V55"/>
  <c r="W55"/>
  <c r="X55"/>
  <c r="K56"/>
  <c r="L56"/>
  <c r="M56"/>
  <c r="N56"/>
  <c r="O56"/>
  <c r="P56"/>
  <c r="Q56"/>
  <c r="R56"/>
  <c r="S56"/>
  <c r="T56"/>
  <c r="U56"/>
  <c r="V56"/>
  <c r="W56"/>
  <c r="X56"/>
  <c r="K57"/>
  <c r="L57"/>
  <c r="Y57" s="1"/>
  <c r="Z57" s="1"/>
  <c r="M57"/>
  <c r="N57"/>
  <c r="O57"/>
  <c r="P57"/>
  <c r="Q57"/>
  <c r="R57"/>
  <c r="S57"/>
  <c r="T57"/>
  <c r="U57"/>
  <c r="V57"/>
  <c r="W57"/>
  <c r="X57"/>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10"/>
  <c r="Y107"/>
  <c r="Z107" s="1"/>
  <c r="Y106"/>
  <c r="Z106" s="1"/>
  <c r="Y105"/>
  <c r="Z105" s="1"/>
  <c r="X104"/>
  <c r="W104"/>
  <c r="V104"/>
  <c r="T104"/>
  <c r="S104"/>
  <c r="R104"/>
  <c r="Q104"/>
  <c r="P104"/>
  <c r="O104"/>
  <c r="N104"/>
  <c r="M104"/>
  <c r="L104"/>
  <c r="K104"/>
  <c r="J104"/>
  <c r="Y103"/>
  <c r="Z103" s="1"/>
  <c r="Y102"/>
  <c r="Z102" s="1"/>
  <c r="Y101"/>
  <c r="I101"/>
  <c r="H101"/>
  <c r="Y100"/>
  <c r="I100"/>
  <c r="H100"/>
  <c r="Y99"/>
  <c r="Z99" s="1"/>
  <c r="I99"/>
  <c r="H99"/>
  <c r="Y98"/>
  <c r="I98"/>
  <c r="H98"/>
  <c r="Y97"/>
  <c r="Z97" s="1"/>
  <c r="I97"/>
  <c r="H97"/>
  <c r="Y96"/>
  <c r="I96"/>
  <c r="H96"/>
  <c r="Y95"/>
  <c r="Z95" s="1"/>
  <c r="I95"/>
  <c r="H95"/>
  <c r="Y94"/>
  <c r="I94"/>
  <c r="H94"/>
  <c r="Y93"/>
  <c r="Z93" s="1"/>
  <c r="I93"/>
  <c r="H93"/>
  <c r="Y92"/>
  <c r="I92"/>
  <c r="H92"/>
  <c r="Y91"/>
  <c r="Z91" s="1"/>
  <c r="I91"/>
  <c r="H91"/>
  <c r="Y90"/>
  <c r="I90"/>
  <c r="H90"/>
  <c r="Y89"/>
  <c r="Z89" s="1"/>
  <c r="I89"/>
  <c r="H89"/>
  <c r="Y88"/>
  <c r="I88"/>
  <c r="H88"/>
  <c r="Y87"/>
  <c r="I87"/>
  <c r="H87"/>
  <c r="Y86"/>
  <c r="I86"/>
  <c r="H86"/>
  <c r="Y85"/>
  <c r="I85"/>
  <c r="H85"/>
  <c r="Y84"/>
  <c r="I84"/>
  <c r="H84"/>
  <c r="Y83"/>
  <c r="I83"/>
  <c r="H83"/>
  <c r="Y82"/>
  <c r="I82"/>
  <c r="H82"/>
  <c r="Y81"/>
  <c r="I81"/>
  <c r="H81"/>
  <c r="Y80"/>
  <c r="I80"/>
  <c r="H80"/>
  <c r="Y79"/>
  <c r="I79"/>
  <c r="H79"/>
  <c r="Y78"/>
  <c r="I78"/>
  <c r="H78"/>
  <c r="Y77"/>
  <c r="I77"/>
  <c r="H77"/>
  <c r="Y76"/>
  <c r="I76"/>
  <c r="H76"/>
  <c r="Y75"/>
  <c r="I75"/>
  <c r="H75"/>
  <c r="Y74"/>
  <c r="I74"/>
  <c r="H74"/>
  <c r="Y73"/>
  <c r="Z73" s="1"/>
  <c r="I73"/>
  <c r="H73"/>
  <c r="Y72"/>
  <c r="Z72" s="1"/>
  <c r="I72"/>
  <c r="H72"/>
  <c r="Y71"/>
  <c r="I71"/>
  <c r="H71"/>
  <c r="Y70"/>
  <c r="I70"/>
  <c r="H70"/>
  <c r="Y69"/>
  <c r="I69"/>
  <c r="H69"/>
  <c r="X68"/>
  <c r="W68"/>
  <c r="V68"/>
  <c r="U68"/>
  <c r="T68"/>
  <c r="S68"/>
  <c r="R68"/>
  <c r="Q68"/>
  <c r="P68"/>
  <c r="O68"/>
  <c r="N68"/>
  <c r="M68"/>
  <c r="L68"/>
  <c r="K68"/>
  <c r="J68"/>
  <c r="Y67"/>
  <c r="Z67" s="1"/>
  <c r="I67"/>
  <c r="H67"/>
  <c r="Y66"/>
  <c r="I66"/>
  <c r="H66"/>
  <c r="Y65"/>
  <c r="Z65" s="1"/>
  <c r="I65"/>
  <c r="H65"/>
  <c r="Y64"/>
  <c r="I64"/>
  <c r="H64"/>
  <c r="Y63"/>
  <c r="I63"/>
  <c r="Y62"/>
  <c r="I62"/>
  <c r="H62"/>
  <c r="X61"/>
  <c r="W61"/>
  <c r="V61"/>
  <c r="U61"/>
  <c r="T61"/>
  <c r="S61"/>
  <c r="R61"/>
  <c r="Q61"/>
  <c r="P61"/>
  <c r="O61"/>
  <c r="N61"/>
  <c r="M61"/>
  <c r="L61"/>
  <c r="K61"/>
  <c r="J61"/>
  <c r="Y60"/>
  <c r="Z60" s="1"/>
  <c r="Y59"/>
  <c r="I59"/>
  <c r="I61" s="1"/>
  <c r="H59"/>
  <c r="H61" s="1"/>
  <c r="X58"/>
  <c r="W58"/>
  <c r="V58"/>
  <c r="U58"/>
  <c r="T58"/>
  <c r="S58"/>
  <c r="R58"/>
  <c r="Q58"/>
  <c r="P58"/>
  <c r="O58"/>
  <c r="N58"/>
  <c r="M58"/>
  <c r="L58"/>
  <c r="K58"/>
  <c r="J58"/>
  <c r="Y56"/>
  <c r="Z56" s="1"/>
  <c r="I56"/>
  <c r="H56"/>
  <c r="I55"/>
  <c r="H55"/>
  <c r="Y54"/>
  <c r="I54"/>
  <c r="H54"/>
  <c r="Y53"/>
  <c r="I53"/>
  <c r="H53"/>
  <c r="Y52"/>
  <c r="Z52" s="1"/>
  <c r="I52"/>
  <c r="H52"/>
  <c r="Y51"/>
  <c r="I51"/>
  <c r="H51"/>
  <c r="Y50"/>
  <c r="Z50" s="1"/>
  <c r="I50"/>
  <c r="H50"/>
  <c r="Y49"/>
  <c r="I49"/>
  <c r="H49"/>
  <c r="Y48"/>
  <c r="Z48" s="1"/>
  <c r="I48"/>
  <c r="H48"/>
  <c r="Y47"/>
  <c r="I47"/>
  <c r="H47"/>
  <c r="Y46"/>
  <c r="Z46" s="1"/>
  <c r="I46"/>
  <c r="H46"/>
  <c r="Y45"/>
  <c r="I45"/>
  <c r="H45"/>
  <c r="Y44"/>
  <c r="Z44" s="1"/>
  <c r="I44"/>
  <c r="H44"/>
  <c r="Y43"/>
  <c r="I43"/>
  <c r="H43"/>
  <c r="Y42"/>
  <c r="Z42" s="1"/>
  <c r="I42"/>
  <c r="H42"/>
  <c r="Y41"/>
  <c r="I41"/>
  <c r="H41"/>
  <c r="Y40"/>
  <c r="Z40" s="1"/>
  <c r="I40"/>
  <c r="H40"/>
  <c r="Y39"/>
  <c r="I39"/>
  <c r="H39"/>
  <c r="Y38"/>
  <c r="Z38" s="1"/>
  <c r="I38"/>
  <c r="H38"/>
  <c r="Y37"/>
  <c r="I37"/>
  <c r="H37"/>
  <c r="Y36"/>
  <c r="Z36" s="1"/>
  <c r="I36"/>
  <c r="H36"/>
  <c r="Y35"/>
  <c r="I35"/>
  <c r="H35"/>
  <c r="Y34"/>
  <c r="Z34" s="1"/>
  <c r="I34"/>
  <c r="H34"/>
  <c r="Y33"/>
  <c r="I33"/>
  <c r="H33"/>
  <c r="Y32"/>
  <c r="Z32" s="1"/>
  <c r="I32"/>
  <c r="H32"/>
  <c r="Y31"/>
  <c r="I31"/>
  <c r="H31"/>
  <c r="Y30"/>
  <c r="Z30" s="1"/>
  <c r="I30"/>
  <c r="H30"/>
  <c r="Y29"/>
  <c r="I29"/>
  <c r="H29"/>
  <c r="Y28"/>
  <c r="Z28" s="1"/>
  <c r="I28"/>
  <c r="H28"/>
  <c r="Y27"/>
  <c r="I27"/>
  <c r="H27"/>
  <c r="Y26"/>
  <c r="Z26" s="1"/>
  <c r="I26"/>
  <c r="H26"/>
  <c r="Y25"/>
  <c r="I25"/>
  <c r="H25"/>
  <c r="Y24"/>
  <c r="Z24" s="1"/>
  <c r="I24"/>
  <c r="H24"/>
  <c r="Y23"/>
  <c r="I23"/>
  <c r="H23"/>
  <c r="Y22"/>
  <c r="Z22" s="1"/>
  <c r="I22"/>
  <c r="H22"/>
  <c r="Y21"/>
  <c r="I21"/>
  <c r="H21"/>
  <c r="Y20"/>
  <c r="Z20" s="1"/>
  <c r="I20"/>
  <c r="H20"/>
  <c r="Y19"/>
  <c r="I19"/>
  <c r="H19"/>
  <c r="Y18"/>
  <c r="Z18" s="1"/>
  <c r="I18"/>
  <c r="H18"/>
  <c r="Y17"/>
  <c r="I17"/>
  <c r="H17"/>
  <c r="Y16"/>
  <c r="Z16" s="1"/>
  <c r="I16"/>
  <c r="H16"/>
  <c r="Y15"/>
  <c r="I15"/>
  <c r="H15"/>
  <c r="Y14"/>
  <c r="Z14" s="1"/>
  <c r="I14"/>
  <c r="H14"/>
  <c r="Y13"/>
  <c r="I13"/>
  <c r="H13"/>
  <c r="Y12"/>
  <c r="Z12" s="1"/>
  <c r="I12"/>
  <c r="H12"/>
  <c r="Y11"/>
  <c r="I11"/>
  <c r="H11"/>
  <c r="Y10"/>
  <c r="I10"/>
  <c r="H10"/>
  <c r="D10"/>
  <c r="D11" s="1"/>
  <c r="D12" s="1"/>
  <c r="D13" s="1"/>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D43" s="1"/>
  <c r="D44" s="1"/>
  <c r="D45" s="1"/>
  <c r="D46" s="1"/>
  <c r="D47" s="1"/>
  <c r="D48" s="1"/>
  <c r="D49" s="1"/>
  <c r="D50" s="1"/>
  <c r="D51" s="1"/>
  <c r="D52" s="1"/>
  <c r="D53" s="1"/>
  <c r="D54" s="1"/>
  <c r="D55" s="1"/>
  <c r="D56" s="1"/>
  <c r="D57" s="1"/>
  <c r="D58" s="1"/>
  <c r="D59" s="1"/>
  <c r="D60" s="1"/>
  <c r="D61" s="1"/>
  <c r="D62" s="1"/>
  <c r="D63" s="1"/>
  <c r="D64" s="1"/>
  <c r="D65" s="1"/>
  <c r="D66" s="1"/>
  <c r="D67" s="1"/>
  <c r="D68" s="1"/>
  <c r="D69" s="1"/>
  <c r="D70" s="1"/>
  <c r="D71" s="1"/>
  <c r="D72" s="1"/>
  <c r="D73" s="1"/>
  <c r="D74" s="1"/>
  <c r="D75" s="1"/>
  <c r="D76" s="1"/>
  <c r="D77" s="1"/>
  <c r="D78" s="1"/>
  <c r="D79" s="1"/>
  <c r="D80" s="1"/>
  <c r="D81" s="1"/>
  <c r="D82" s="1"/>
  <c r="D83" s="1"/>
  <c r="D84" s="1"/>
  <c r="D85" s="1"/>
  <c r="D86" s="1"/>
  <c r="D87" s="1"/>
  <c r="D88" s="1"/>
  <c r="D89" s="1"/>
  <c r="D90" s="1"/>
  <c r="D91" s="1"/>
  <c r="D92" s="1"/>
  <c r="D93" s="1"/>
  <c r="D94" s="1"/>
  <c r="D95" s="1"/>
  <c r="D96" s="1"/>
  <c r="D97" s="1"/>
  <c r="D98" s="1"/>
  <c r="D99" s="1"/>
  <c r="D100" s="1"/>
  <c r="D101" s="1"/>
  <c r="D102" s="1"/>
  <c r="D103" s="1"/>
  <c r="D104" s="1"/>
  <c r="D105" s="1"/>
  <c r="D106" s="1"/>
  <c r="D107" s="1"/>
  <c r="D108" s="1"/>
  <c r="D109" s="1"/>
  <c r="P10" i="17"/>
  <c r="Q10"/>
  <c r="R10"/>
  <c r="P11"/>
  <c r="Q11"/>
  <c r="R11"/>
  <c r="P12"/>
  <c r="Q12"/>
  <c r="R12"/>
  <c r="P13"/>
  <c r="Q13"/>
  <c r="R13"/>
  <c r="P14"/>
  <c r="Q14"/>
  <c r="R14"/>
  <c r="P15"/>
  <c r="Q15"/>
  <c r="R15"/>
  <c r="P16"/>
  <c r="Q16"/>
  <c r="R16"/>
  <c r="P17"/>
  <c r="Q17"/>
  <c r="R17"/>
  <c r="P18"/>
  <c r="Q18"/>
  <c r="R18"/>
  <c r="P19"/>
  <c r="Q19"/>
  <c r="R19"/>
  <c r="P20"/>
  <c r="Q20"/>
  <c r="R20"/>
  <c r="P21"/>
  <c r="Q21"/>
  <c r="R21"/>
  <c r="P22"/>
  <c r="Q22"/>
  <c r="R22"/>
  <c r="P23"/>
  <c r="Q23"/>
  <c r="R23"/>
  <c r="P24"/>
  <c r="Q24"/>
  <c r="R24"/>
  <c r="P25"/>
  <c r="Q25"/>
  <c r="R25"/>
  <c r="P26"/>
  <c r="Q26"/>
  <c r="R26"/>
  <c r="P27"/>
  <c r="Q27"/>
  <c r="R27"/>
  <c r="P28"/>
  <c r="Q28"/>
  <c r="R28"/>
  <c r="P29"/>
  <c r="Q29"/>
  <c r="R29"/>
  <c r="P30"/>
  <c r="Q30"/>
  <c r="R30"/>
  <c r="P31"/>
  <c r="Q31"/>
  <c r="R31"/>
  <c r="P32"/>
  <c r="Q32"/>
  <c r="R32"/>
  <c r="P33"/>
  <c r="Q33"/>
  <c r="R33"/>
  <c r="P34"/>
  <c r="Q34"/>
  <c r="R34"/>
  <c r="P35"/>
  <c r="Q35"/>
  <c r="R35"/>
  <c r="P36"/>
  <c r="Q36"/>
  <c r="R36"/>
  <c r="P37"/>
  <c r="Q37"/>
  <c r="R37"/>
  <c r="P38"/>
  <c r="Q38"/>
  <c r="R38"/>
  <c r="P39"/>
  <c r="Q39"/>
  <c r="R39"/>
  <c r="P40"/>
  <c r="Q40"/>
  <c r="R40"/>
  <c r="P41"/>
  <c r="Q41"/>
  <c r="R41"/>
  <c r="P42"/>
  <c r="Q42"/>
  <c r="R42"/>
  <c r="P43"/>
  <c r="Q43"/>
  <c r="R43"/>
  <c r="P44"/>
  <c r="Q44"/>
  <c r="R44"/>
  <c r="P45"/>
  <c r="Q45"/>
  <c r="R45"/>
  <c r="P46"/>
  <c r="Q46"/>
  <c r="R46"/>
  <c r="P47"/>
  <c r="Q47"/>
  <c r="R47"/>
  <c r="P48"/>
  <c r="Q48"/>
  <c r="R48"/>
  <c r="P49"/>
  <c r="Q49"/>
  <c r="R49"/>
  <c r="P50"/>
  <c r="Q50"/>
  <c r="R50"/>
  <c r="P51"/>
  <c r="Q51"/>
  <c r="R51"/>
  <c r="P52"/>
  <c r="Q52"/>
  <c r="R52"/>
  <c r="P53"/>
  <c r="Q53"/>
  <c r="R53"/>
  <c r="P54"/>
  <c r="Q54"/>
  <c r="R54"/>
  <c r="P55"/>
  <c r="Q55"/>
  <c r="R55"/>
  <c r="P56"/>
  <c r="Q56"/>
  <c r="R56"/>
  <c r="P57"/>
  <c r="Q57"/>
  <c r="R57"/>
  <c r="P58"/>
  <c r="P59"/>
  <c r="Q59"/>
  <c r="R59"/>
  <c r="P60"/>
  <c r="Q60"/>
  <c r="R60"/>
  <c r="P62"/>
  <c r="Q62"/>
  <c r="R62"/>
  <c r="P63"/>
  <c r="Q63"/>
  <c r="R63"/>
  <c r="P64"/>
  <c r="Q64"/>
  <c r="R64"/>
  <c r="P65"/>
  <c r="Q65"/>
  <c r="R65"/>
  <c r="P66"/>
  <c r="Q66"/>
  <c r="R66"/>
  <c r="P67"/>
  <c r="Q67"/>
  <c r="R67"/>
  <c r="P68"/>
  <c r="P69"/>
  <c r="Q69"/>
  <c r="R69"/>
  <c r="P70"/>
  <c r="Q70"/>
  <c r="R70"/>
  <c r="P71"/>
  <c r="Q71"/>
  <c r="R71"/>
  <c r="P72"/>
  <c r="Q72"/>
  <c r="R72"/>
  <c r="P73"/>
  <c r="Q73"/>
  <c r="R73"/>
  <c r="P74"/>
  <c r="Q74"/>
  <c r="R74"/>
  <c r="P75"/>
  <c r="Q75"/>
  <c r="R75"/>
  <c r="P76"/>
  <c r="Q76"/>
  <c r="R76"/>
  <c r="P77"/>
  <c r="Q77"/>
  <c r="R77"/>
  <c r="P78"/>
  <c r="Q78"/>
  <c r="R78"/>
  <c r="P79"/>
  <c r="Q79"/>
  <c r="R79"/>
  <c r="P80"/>
  <c r="Q80"/>
  <c r="R80"/>
  <c r="P81"/>
  <c r="Q81"/>
  <c r="R81"/>
  <c r="P82"/>
  <c r="Q82"/>
  <c r="R82"/>
  <c r="P83"/>
  <c r="Q83"/>
  <c r="R83"/>
  <c r="P84"/>
  <c r="Q84"/>
  <c r="R84"/>
  <c r="P85"/>
  <c r="Q85"/>
  <c r="R85"/>
  <c r="P86"/>
  <c r="Q86"/>
  <c r="R86"/>
  <c r="P87"/>
  <c r="Q87"/>
  <c r="R87"/>
  <c r="P88"/>
  <c r="Q88"/>
  <c r="R88"/>
  <c r="P89"/>
  <c r="Q89"/>
  <c r="R89"/>
  <c r="P90"/>
  <c r="Q90"/>
  <c r="R90"/>
  <c r="P91"/>
  <c r="Q91"/>
  <c r="R91"/>
  <c r="P92"/>
  <c r="Q92"/>
  <c r="R92"/>
  <c r="P93"/>
  <c r="Q93"/>
  <c r="R93"/>
  <c r="P94"/>
  <c r="Q94"/>
  <c r="P95"/>
  <c r="Q95"/>
  <c r="R95"/>
  <c r="P96"/>
  <c r="Q96"/>
  <c r="R96"/>
  <c r="P97"/>
  <c r="Q97"/>
  <c r="R97"/>
  <c r="P98"/>
  <c r="Q98"/>
  <c r="R98"/>
  <c r="P99"/>
  <c r="Q99"/>
  <c r="R99"/>
  <c r="P100"/>
  <c r="Q100"/>
  <c r="R100"/>
  <c r="P101"/>
  <c r="Q101"/>
  <c r="R101"/>
  <c r="P102"/>
  <c r="Q102"/>
  <c r="R102"/>
  <c r="P103"/>
  <c r="Q103"/>
  <c r="R103"/>
  <c r="P105"/>
  <c r="Q105"/>
  <c r="P106"/>
  <c r="Q106"/>
  <c r="R106"/>
  <c r="P107"/>
  <c r="Q107"/>
  <c r="R107"/>
  <c r="P108"/>
  <c r="Q108"/>
  <c r="R108"/>
  <c r="O108"/>
  <c r="O107"/>
  <c r="O106"/>
  <c r="O105"/>
  <c r="O103"/>
  <c r="O102"/>
  <c r="O101"/>
  <c r="O100"/>
  <c r="O99"/>
  <c r="O98"/>
  <c r="O97"/>
  <c r="O96"/>
  <c r="O95"/>
  <c r="O94"/>
  <c r="O93"/>
  <c r="O92"/>
  <c r="O91"/>
  <c r="O90"/>
  <c r="O89"/>
  <c r="O88"/>
  <c r="O87"/>
  <c r="O86"/>
  <c r="O85"/>
  <c r="O84"/>
  <c r="O83"/>
  <c r="O82"/>
  <c r="O81"/>
  <c r="O80"/>
  <c r="O79"/>
  <c r="O78"/>
  <c r="O77"/>
  <c r="O76"/>
  <c r="O75"/>
  <c r="O74"/>
  <c r="O73"/>
  <c r="O72"/>
  <c r="O71"/>
  <c r="O70"/>
  <c r="O69"/>
  <c r="O67"/>
  <c r="O66"/>
  <c r="O65"/>
  <c r="O64"/>
  <c r="O63"/>
  <c r="O62"/>
  <c r="O60"/>
  <c r="O59"/>
  <c r="O11"/>
  <c r="O12"/>
  <c r="O13"/>
  <c r="O14"/>
  <c r="O15"/>
  <c r="O16"/>
  <c r="O17"/>
  <c r="O18"/>
  <c r="O19"/>
  <c r="O20"/>
  <c r="O21"/>
  <c r="O22"/>
  <c r="O23"/>
  <c r="O24"/>
  <c r="O25"/>
  <c r="O26"/>
  <c r="O27"/>
  <c r="O28"/>
  <c r="O29"/>
  <c r="O30"/>
  <c r="O31"/>
  <c r="O32"/>
  <c r="O33"/>
  <c r="O34"/>
  <c r="O35"/>
  <c r="O36"/>
  <c r="O37"/>
  <c r="O38"/>
  <c r="O39"/>
  <c r="O40"/>
  <c r="O41"/>
  <c r="O42"/>
  <c r="O43"/>
  <c r="O44"/>
  <c r="O45"/>
  <c r="O46"/>
  <c r="O47"/>
  <c r="O48"/>
  <c r="O49"/>
  <c r="O50"/>
  <c r="O51"/>
  <c r="O52"/>
  <c r="O53"/>
  <c r="O54"/>
  <c r="O55"/>
  <c r="O56"/>
  <c r="O57"/>
  <c r="O10"/>
  <c r="N108"/>
  <c r="M108"/>
  <c r="M107"/>
  <c r="M106"/>
  <c r="M105"/>
  <c r="M103"/>
  <c r="M102"/>
  <c r="M101"/>
  <c r="M100"/>
  <c r="M99"/>
  <c r="M98"/>
  <c r="M97"/>
  <c r="M96"/>
  <c r="M95"/>
  <c r="M94"/>
  <c r="M93"/>
  <c r="M92"/>
  <c r="M91"/>
  <c r="M90"/>
  <c r="M89"/>
  <c r="M88"/>
  <c r="M87"/>
  <c r="M86"/>
  <c r="M85"/>
  <c r="M84"/>
  <c r="M83"/>
  <c r="M82"/>
  <c r="M81"/>
  <c r="M80"/>
  <c r="M79"/>
  <c r="M78"/>
  <c r="M77"/>
  <c r="M76"/>
  <c r="M75"/>
  <c r="M74"/>
  <c r="M73"/>
  <c r="M72"/>
  <c r="M71"/>
  <c r="M70"/>
  <c r="M69"/>
  <c r="M67"/>
  <c r="M66"/>
  <c r="M65"/>
  <c r="M64"/>
  <c r="M63"/>
  <c r="M62"/>
  <c r="M60"/>
  <c r="M61" s="1"/>
  <c r="M59"/>
  <c r="M11"/>
  <c r="M12"/>
  <c r="M13"/>
  <c r="M14"/>
  <c r="M15"/>
  <c r="M16"/>
  <c r="M17"/>
  <c r="M18"/>
  <c r="M19"/>
  <c r="M20"/>
  <c r="M21"/>
  <c r="M22"/>
  <c r="M23"/>
  <c r="M24"/>
  <c r="M25"/>
  <c r="M26"/>
  <c r="M27"/>
  <c r="M28"/>
  <c r="M29"/>
  <c r="M30"/>
  <c r="M31"/>
  <c r="M32"/>
  <c r="M33"/>
  <c r="M34"/>
  <c r="M35"/>
  <c r="M36"/>
  <c r="M37"/>
  <c r="M38"/>
  <c r="M39"/>
  <c r="M40"/>
  <c r="M41"/>
  <c r="M42"/>
  <c r="M43"/>
  <c r="M44"/>
  <c r="M45"/>
  <c r="M46"/>
  <c r="M47"/>
  <c r="M48"/>
  <c r="M49"/>
  <c r="M50"/>
  <c r="M51"/>
  <c r="M52"/>
  <c r="M53"/>
  <c r="M54"/>
  <c r="M55"/>
  <c r="M56"/>
  <c r="M57"/>
  <c r="M10"/>
  <c r="L106"/>
  <c r="L109" s="1"/>
  <c r="J108"/>
  <c r="J107"/>
  <c r="J106"/>
  <c r="J105"/>
  <c r="J103"/>
  <c r="J102"/>
  <c r="J101"/>
  <c r="J100"/>
  <c r="J99"/>
  <c r="J98"/>
  <c r="J97"/>
  <c r="J96"/>
  <c r="J95"/>
  <c r="J94"/>
  <c r="J93"/>
  <c r="J92"/>
  <c r="J91"/>
  <c r="J90"/>
  <c r="J89"/>
  <c r="J88"/>
  <c r="J87"/>
  <c r="J86"/>
  <c r="J85"/>
  <c r="J84"/>
  <c r="J83"/>
  <c r="J82"/>
  <c r="J81"/>
  <c r="J80"/>
  <c r="J79"/>
  <c r="J78"/>
  <c r="J77"/>
  <c r="J76"/>
  <c r="J75"/>
  <c r="J74"/>
  <c r="J73"/>
  <c r="J72"/>
  <c r="J71"/>
  <c r="K71" s="1"/>
  <c r="J70"/>
  <c r="J69"/>
  <c r="J67"/>
  <c r="J66"/>
  <c r="J65"/>
  <c r="J64"/>
  <c r="J63"/>
  <c r="J62"/>
  <c r="J60"/>
  <c r="K60" s="1"/>
  <c r="J59"/>
  <c r="J11"/>
  <c r="J12"/>
  <c r="J13"/>
  <c r="J14"/>
  <c r="K14" s="1"/>
  <c r="J15"/>
  <c r="J16"/>
  <c r="J17"/>
  <c r="J18"/>
  <c r="J19"/>
  <c r="J20"/>
  <c r="K20" s="1"/>
  <c r="J21"/>
  <c r="J22"/>
  <c r="J23"/>
  <c r="J24"/>
  <c r="K24" s="1"/>
  <c r="J25"/>
  <c r="J26"/>
  <c r="K26" s="1"/>
  <c r="J27"/>
  <c r="J28"/>
  <c r="J29"/>
  <c r="J30"/>
  <c r="J31"/>
  <c r="J32"/>
  <c r="J33"/>
  <c r="J34"/>
  <c r="J35"/>
  <c r="J36"/>
  <c r="J37"/>
  <c r="J38"/>
  <c r="K38" s="1"/>
  <c r="J39"/>
  <c r="J40"/>
  <c r="K40" s="1"/>
  <c r="J41"/>
  <c r="J42"/>
  <c r="K42" s="1"/>
  <c r="J43"/>
  <c r="J44"/>
  <c r="K44" s="1"/>
  <c r="J45"/>
  <c r="J46"/>
  <c r="K46" s="1"/>
  <c r="J47"/>
  <c r="J48"/>
  <c r="J49"/>
  <c r="J50"/>
  <c r="K50" s="1"/>
  <c r="J51"/>
  <c r="J52"/>
  <c r="K52" s="1"/>
  <c r="J53"/>
  <c r="J54"/>
  <c r="J55"/>
  <c r="J56"/>
  <c r="J57"/>
  <c r="K57" s="1"/>
  <c r="J10"/>
  <c r="K107"/>
  <c r="K106"/>
  <c r="K105"/>
  <c r="N104"/>
  <c r="L104"/>
  <c r="K103"/>
  <c r="K102"/>
  <c r="I101"/>
  <c r="H101"/>
  <c r="I100"/>
  <c r="H100"/>
  <c r="I99"/>
  <c r="H99"/>
  <c r="I98"/>
  <c r="H98"/>
  <c r="I97"/>
  <c r="H97"/>
  <c r="I96"/>
  <c r="H96"/>
  <c r="I95"/>
  <c r="H95"/>
  <c r="I94"/>
  <c r="H94"/>
  <c r="I93"/>
  <c r="H93"/>
  <c r="I92"/>
  <c r="H92"/>
  <c r="I91"/>
  <c r="H91"/>
  <c r="I90"/>
  <c r="H90"/>
  <c r="I89"/>
  <c r="H89"/>
  <c r="I88"/>
  <c r="H88"/>
  <c r="I87"/>
  <c r="H87"/>
  <c r="I86"/>
  <c r="H86"/>
  <c r="I85"/>
  <c r="H85"/>
  <c r="I84"/>
  <c r="H84"/>
  <c r="I83"/>
  <c r="H83"/>
  <c r="I82"/>
  <c r="H82"/>
  <c r="I81"/>
  <c r="H81"/>
  <c r="I80"/>
  <c r="H80"/>
  <c r="I79"/>
  <c r="H79"/>
  <c r="I78"/>
  <c r="H78"/>
  <c r="I77"/>
  <c r="H77"/>
  <c r="I76"/>
  <c r="H76"/>
  <c r="I75"/>
  <c r="H75"/>
  <c r="I74"/>
  <c r="H74"/>
  <c r="K73"/>
  <c r="I73"/>
  <c r="H73"/>
  <c r="I72"/>
  <c r="H72"/>
  <c r="I71"/>
  <c r="H71"/>
  <c r="I70"/>
  <c r="H70"/>
  <c r="I69"/>
  <c r="H69"/>
  <c r="L68"/>
  <c r="I67"/>
  <c r="H67"/>
  <c r="I66"/>
  <c r="H66"/>
  <c r="I65"/>
  <c r="H65"/>
  <c r="I64"/>
  <c r="H64"/>
  <c r="I63"/>
  <c r="I62"/>
  <c r="H62"/>
  <c r="L61"/>
  <c r="I59"/>
  <c r="I61" s="1"/>
  <c r="H59"/>
  <c r="H61" s="1"/>
  <c r="L58"/>
  <c r="I56"/>
  <c r="H56"/>
  <c r="I55"/>
  <c r="H55"/>
  <c r="I54"/>
  <c r="H54"/>
  <c r="I53"/>
  <c r="H53"/>
  <c r="I52"/>
  <c r="H52"/>
  <c r="I51"/>
  <c r="H51"/>
  <c r="I50"/>
  <c r="H50"/>
  <c r="I49"/>
  <c r="H49"/>
  <c r="K48"/>
  <c r="I48"/>
  <c r="H48"/>
  <c r="I47"/>
  <c r="H47"/>
  <c r="I46"/>
  <c r="H46"/>
  <c r="I45"/>
  <c r="H45"/>
  <c r="I44"/>
  <c r="H44"/>
  <c r="I43"/>
  <c r="H43"/>
  <c r="I42"/>
  <c r="H42"/>
  <c r="I41"/>
  <c r="H41"/>
  <c r="I40"/>
  <c r="H40"/>
  <c r="I39"/>
  <c r="H39"/>
  <c r="I38"/>
  <c r="H38"/>
  <c r="I37"/>
  <c r="H37"/>
  <c r="I36"/>
  <c r="H36"/>
  <c r="I35"/>
  <c r="H35"/>
  <c r="I34"/>
  <c r="H34"/>
  <c r="I33"/>
  <c r="H33"/>
  <c r="I32"/>
  <c r="H32"/>
  <c r="I31"/>
  <c r="H31"/>
  <c r="I30"/>
  <c r="H30"/>
  <c r="I29"/>
  <c r="H29"/>
  <c r="I28"/>
  <c r="H28"/>
  <c r="I27"/>
  <c r="H27"/>
  <c r="I26"/>
  <c r="H26"/>
  <c r="I25"/>
  <c r="H25"/>
  <c r="I24"/>
  <c r="H24"/>
  <c r="I23"/>
  <c r="H23"/>
  <c r="K22"/>
  <c r="I22"/>
  <c r="H22"/>
  <c r="I21"/>
  <c r="H21"/>
  <c r="I20"/>
  <c r="H20"/>
  <c r="I19"/>
  <c r="H19"/>
  <c r="K18"/>
  <c r="I18"/>
  <c r="H18"/>
  <c r="I17"/>
  <c r="H17"/>
  <c r="I16"/>
  <c r="H16"/>
  <c r="I15"/>
  <c r="H15"/>
  <c r="I14"/>
  <c r="H14"/>
  <c r="I13"/>
  <c r="H13"/>
  <c r="K12"/>
  <c r="I12"/>
  <c r="H12"/>
  <c r="I11"/>
  <c r="H11"/>
  <c r="I10"/>
  <c r="H10"/>
  <c r="D10"/>
  <c r="D11" s="1"/>
  <c r="D12" s="1"/>
  <c r="D13" s="1"/>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D43" s="1"/>
  <c r="D44" s="1"/>
  <c r="D45" s="1"/>
  <c r="D46" s="1"/>
  <c r="D47" s="1"/>
  <c r="D48" s="1"/>
  <c r="D49" s="1"/>
  <c r="D50" s="1"/>
  <c r="D51" s="1"/>
  <c r="D52" s="1"/>
  <c r="D53" s="1"/>
  <c r="D54" s="1"/>
  <c r="D55" s="1"/>
  <c r="D56" s="1"/>
  <c r="D57" s="1"/>
  <c r="D58" s="1"/>
  <c r="D59" s="1"/>
  <c r="D60" s="1"/>
  <c r="D61" s="1"/>
  <c r="D62" s="1"/>
  <c r="D63" s="1"/>
  <c r="D64" s="1"/>
  <c r="D65" s="1"/>
  <c r="D66" s="1"/>
  <c r="D67" s="1"/>
  <c r="D68" s="1"/>
  <c r="D69" s="1"/>
  <c r="D70" s="1"/>
  <c r="D71" s="1"/>
  <c r="D72" s="1"/>
  <c r="D73" s="1"/>
  <c r="D74" s="1"/>
  <c r="D75" s="1"/>
  <c r="D76" s="1"/>
  <c r="D77" s="1"/>
  <c r="D78" s="1"/>
  <c r="D79" s="1"/>
  <c r="D80" s="1"/>
  <c r="D81" s="1"/>
  <c r="D82" s="1"/>
  <c r="D83" s="1"/>
  <c r="D84" s="1"/>
  <c r="D85" s="1"/>
  <c r="D86" s="1"/>
  <c r="D87" s="1"/>
  <c r="D88" s="1"/>
  <c r="D89" s="1"/>
  <c r="D90" s="1"/>
  <c r="D91" s="1"/>
  <c r="D92" s="1"/>
  <c r="D93" s="1"/>
  <c r="D94" s="1"/>
  <c r="D95" s="1"/>
  <c r="D96" s="1"/>
  <c r="D97" s="1"/>
  <c r="D98" s="1"/>
  <c r="D99" s="1"/>
  <c r="D100" s="1"/>
  <c r="D101" s="1"/>
  <c r="D102" s="1"/>
  <c r="D103" s="1"/>
  <c r="D104" s="1"/>
  <c r="D105" s="1"/>
  <c r="D106" s="1"/>
  <c r="D107" s="1"/>
  <c r="D108" s="1"/>
  <c r="D109" s="1"/>
  <c r="AF55" i="4"/>
  <c r="AF56"/>
  <c r="AF59"/>
  <c r="D12"/>
  <c r="D13" s="1"/>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D43" s="1"/>
  <c r="D44" s="1"/>
  <c r="D45" s="1"/>
  <c r="D46" s="1"/>
  <c r="D47" s="1"/>
  <c r="D48" s="1"/>
  <c r="D49" s="1"/>
  <c r="D50" s="1"/>
  <c r="D51" s="1"/>
  <c r="D52" s="1"/>
  <c r="D53" s="1"/>
  <c r="D54" s="1"/>
  <c r="D55" s="1"/>
  <c r="D56" s="1"/>
  <c r="D57" s="1"/>
  <c r="D58" s="1"/>
  <c r="D59" s="1"/>
  <c r="D60" s="1"/>
  <c r="D61" s="1"/>
  <c r="D62" s="1"/>
  <c r="D63" s="1"/>
  <c r="D64" s="1"/>
  <c r="D65" s="1"/>
  <c r="D66" s="1"/>
  <c r="D67" s="1"/>
  <c r="D68" s="1"/>
  <c r="D69" s="1"/>
  <c r="D70" s="1"/>
  <c r="D71" s="1"/>
  <c r="D72" s="1"/>
  <c r="D73" s="1"/>
  <c r="D74" s="1"/>
  <c r="D75" s="1"/>
  <c r="D76" s="1"/>
  <c r="D77" s="1"/>
  <c r="D78" s="1"/>
  <c r="D79" s="1"/>
  <c r="D80" s="1"/>
  <c r="D81" s="1"/>
  <c r="D82" s="1"/>
  <c r="D83" s="1"/>
  <c r="D84" s="1"/>
  <c r="D85" s="1"/>
  <c r="D86" s="1"/>
  <c r="D87" s="1"/>
  <c r="D88" s="1"/>
  <c r="D89" s="1"/>
  <c r="D90" s="1"/>
  <c r="D91" s="1"/>
  <c r="D92" s="1"/>
  <c r="D93" s="1"/>
  <c r="D94" s="1"/>
  <c r="D95" s="1"/>
  <c r="D96" s="1"/>
  <c r="D97" s="1"/>
  <c r="D98" s="1"/>
  <c r="D99" s="1"/>
  <c r="D100" s="1"/>
  <c r="D101" s="1"/>
  <c r="D102" s="1"/>
  <c r="D103" s="1"/>
  <c r="D104" s="1"/>
  <c r="D105" s="1"/>
  <c r="D106" s="1"/>
  <c r="D107" s="1"/>
  <c r="D108" s="1"/>
  <c r="D109" s="1"/>
  <c r="D11"/>
  <c r="D10"/>
  <c r="AF59" i="8"/>
  <c r="AF105"/>
  <c r="M105" i="13"/>
  <c r="M104"/>
  <c r="M103"/>
  <c r="M102"/>
  <c r="M101"/>
  <c r="M100"/>
  <c r="M99"/>
  <c r="M98"/>
  <c r="M97"/>
  <c r="M96"/>
  <c r="M95"/>
  <c r="M94"/>
  <c r="M93"/>
  <c r="M92"/>
  <c r="M91"/>
  <c r="M90"/>
  <c r="M89"/>
  <c r="M88"/>
  <c r="M87"/>
  <c r="M86"/>
  <c r="M85"/>
  <c r="M84"/>
  <c r="M83"/>
  <c r="M82"/>
  <c r="M81"/>
  <c r="M80"/>
  <c r="M79"/>
  <c r="M78"/>
  <c r="M77"/>
  <c r="M76"/>
  <c r="M75"/>
  <c r="M74"/>
  <c r="M73"/>
  <c r="M72"/>
  <c r="M71"/>
  <c r="M70"/>
  <c r="M69"/>
  <c r="M68"/>
  <c r="M67"/>
  <c r="M66"/>
  <c r="M65"/>
  <c r="M64"/>
  <c r="M63"/>
  <c r="M10"/>
  <c r="M11"/>
  <c r="M12"/>
  <c r="M13"/>
  <c r="M14"/>
  <c r="M15"/>
  <c r="M16"/>
  <c r="M17"/>
  <c r="M18"/>
  <c r="M19"/>
  <c r="M20"/>
  <c r="M21"/>
  <c r="M22"/>
  <c r="M23"/>
  <c r="M24"/>
  <c r="M25"/>
  <c r="M26"/>
  <c r="M27"/>
  <c r="M28"/>
  <c r="M29"/>
  <c r="M30"/>
  <c r="M31"/>
  <c r="M32"/>
  <c r="M33"/>
  <c r="M34"/>
  <c r="M35"/>
  <c r="M36"/>
  <c r="M37"/>
  <c r="M38"/>
  <c r="M39"/>
  <c r="M40"/>
  <c r="M41"/>
  <c r="M42"/>
  <c r="M43"/>
  <c r="M44"/>
  <c r="M45"/>
  <c r="M46"/>
  <c r="M47"/>
  <c r="M48"/>
  <c r="M49"/>
  <c r="M50"/>
  <c r="M51"/>
  <c r="M52"/>
  <c r="M53"/>
  <c r="M54"/>
  <c r="M55"/>
  <c r="M56"/>
  <c r="M57"/>
  <c r="M58"/>
  <c r="M59"/>
  <c r="M9"/>
  <c r="I105"/>
  <c r="J105" s="1"/>
  <c r="I104"/>
  <c r="I103"/>
  <c r="J103" s="1"/>
  <c r="I102"/>
  <c r="J102" s="1"/>
  <c r="I101"/>
  <c r="J101" s="1"/>
  <c r="I100"/>
  <c r="J100" s="1"/>
  <c r="I99"/>
  <c r="J99" s="1"/>
  <c r="I98"/>
  <c r="J98" s="1"/>
  <c r="I97"/>
  <c r="J97" s="1"/>
  <c r="I96"/>
  <c r="I95"/>
  <c r="J95" s="1"/>
  <c r="I94"/>
  <c r="J94" s="1"/>
  <c r="I93"/>
  <c r="J93" s="1"/>
  <c r="I92"/>
  <c r="J92" s="1"/>
  <c r="I91"/>
  <c r="J91" s="1"/>
  <c r="I90"/>
  <c r="J90" s="1"/>
  <c r="I89"/>
  <c r="J89" s="1"/>
  <c r="I88"/>
  <c r="I87"/>
  <c r="J87" s="1"/>
  <c r="I86"/>
  <c r="J86" s="1"/>
  <c r="I85"/>
  <c r="J85" s="1"/>
  <c r="I84"/>
  <c r="J84" s="1"/>
  <c r="I83"/>
  <c r="I82"/>
  <c r="J82" s="1"/>
  <c r="I81"/>
  <c r="J81" s="1"/>
  <c r="I80"/>
  <c r="I79"/>
  <c r="J79" s="1"/>
  <c r="I78"/>
  <c r="J78" s="1"/>
  <c r="I77"/>
  <c r="I76"/>
  <c r="J76" s="1"/>
  <c r="I75"/>
  <c r="J75" s="1"/>
  <c r="I74"/>
  <c r="J74" s="1"/>
  <c r="I73"/>
  <c r="J73" s="1"/>
  <c r="I72"/>
  <c r="I71"/>
  <c r="J71" s="1"/>
  <c r="I70"/>
  <c r="J70" s="1"/>
  <c r="I69"/>
  <c r="J69" s="1"/>
  <c r="I68"/>
  <c r="J68" s="1"/>
  <c r="I67"/>
  <c r="J67" s="1"/>
  <c r="I66"/>
  <c r="J66" s="1"/>
  <c r="I65"/>
  <c r="J65" s="1"/>
  <c r="I64"/>
  <c r="I63"/>
  <c r="J63" s="1"/>
  <c r="I62"/>
  <c r="J62" s="1"/>
  <c r="I10"/>
  <c r="J10" s="1"/>
  <c r="I11"/>
  <c r="J11" s="1"/>
  <c r="I12"/>
  <c r="J12" s="1"/>
  <c r="I13"/>
  <c r="J13" s="1"/>
  <c r="I14"/>
  <c r="J14" s="1"/>
  <c r="I15"/>
  <c r="I16"/>
  <c r="J16" s="1"/>
  <c r="I17"/>
  <c r="J17" s="1"/>
  <c r="I18"/>
  <c r="J18" s="1"/>
  <c r="I19"/>
  <c r="J19" s="1"/>
  <c r="I20"/>
  <c r="J20" s="1"/>
  <c r="I21"/>
  <c r="J21" s="1"/>
  <c r="I22"/>
  <c r="J22" s="1"/>
  <c r="I23"/>
  <c r="I24"/>
  <c r="J24" s="1"/>
  <c r="I25"/>
  <c r="J25" s="1"/>
  <c r="I26"/>
  <c r="J26" s="1"/>
  <c r="I27"/>
  <c r="J27" s="1"/>
  <c r="I28"/>
  <c r="J28" s="1"/>
  <c r="I29"/>
  <c r="J29" s="1"/>
  <c r="I30"/>
  <c r="J30" s="1"/>
  <c r="I31"/>
  <c r="I32"/>
  <c r="J32" s="1"/>
  <c r="I33"/>
  <c r="J33" s="1"/>
  <c r="I34"/>
  <c r="J34" s="1"/>
  <c r="I35"/>
  <c r="J35" s="1"/>
  <c r="I36"/>
  <c r="J36" s="1"/>
  <c r="I37"/>
  <c r="J37" s="1"/>
  <c r="I38"/>
  <c r="J38" s="1"/>
  <c r="I39"/>
  <c r="I40"/>
  <c r="I41"/>
  <c r="I42"/>
  <c r="J42" s="1"/>
  <c r="I43"/>
  <c r="J43" s="1"/>
  <c r="I44"/>
  <c r="J44" s="1"/>
  <c r="I45"/>
  <c r="J45" s="1"/>
  <c r="I46"/>
  <c r="J46" s="1"/>
  <c r="I47"/>
  <c r="I48"/>
  <c r="J48" s="1"/>
  <c r="I49"/>
  <c r="I50"/>
  <c r="J50" s="1"/>
  <c r="I51"/>
  <c r="J51" s="1"/>
  <c r="I52"/>
  <c r="J52" s="1"/>
  <c r="I53"/>
  <c r="I54"/>
  <c r="J54" s="1"/>
  <c r="I55"/>
  <c r="J55" s="1"/>
  <c r="I56"/>
  <c r="J56" s="1"/>
  <c r="I57"/>
  <c r="I58"/>
  <c r="J58" s="1"/>
  <c r="I59"/>
  <c r="J59" s="1"/>
  <c r="I9"/>
  <c r="J9" s="1"/>
  <c r="J104"/>
  <c r="J96"/>
  <c r="J88"/>
  <c r="J80"/>
  <c r="J72"/>
  <c r="J64"/>
  <c r="J15"/>
  <c r="J23"/>
  <c r="J31"/>
  <c r="J41"/>
  <c r="J49"/>
  <c r="J53"/>
  <c r="J57"/>
  <c r="C105"/>
  <c r="C104"/>
  <c r="C103"/>
  <c r="C102"/>
  <c r="C101"/>
  <c r="C100"/>
  <c r="C57"/>
  <c r="C58"/>
  <c r="C59"/>
  <c r="F10" i="14"/>
  <c r="G10"/>
  <c r="H10"/>
  <c r="I10"/>
  <c r="J10"/>
  <c r="L10"/>
  <c r="M10"/>
  <c r="N10"/>
  <c r="O10"/>
  <c r="P10"/>
  <c r="Q10"/>
  <c r="R10"/>
  <c r="F11"/>
  <c r="G11"/>
  <c r="H11"/>
  <c r="I11"/>
  <c r="J11"/>
  <c r="L11"/>
  <c r="M11"/>
  <c r="N11"/>
  <c r="O11"/>
  <c r="P11"/>
  <c r="Q11"/>
  <c r="R11"/>
  <c r="F12"/>
  <c r="G12"/>
  <c r="H12"/>
  <c r="I12"/>
  <c r="J12"/>
  <c r="L12"/>
  <c r="M12"/>
  <c r="N12"/>
  <c r="O12"/>
  <c r="P12"/>
  <c r="Q12"/>
  <c r="R12"/>
  <c r="F13"/>
  <c r="G13"/>
  <c r="H13"/>
  <c r="I13"/>
  <c r="J13"/>
  <c r="K13"/>
  <c r="L13"/>
  <c r="M13"/>
  <c r="N13"/>
  <c r="O13"/>
  <c r="P13"/>
  <c r="Q13"/>
  <c r="R13"/>
  <c r="F14"/>
  <c r="G14"/>
  <c r="H14"/>
  <c r="I14"/>
  <c r="J14"/>
  <c r="K14"/>
  <c r="L14"/>
  <c r="M14"/>
  <c r="N14"/>
  <c r="O14"/>
  <c r="P14"/>
  <c r="Q14"/>
  <c r="R14"/>
  <c r="F15"/>
  <c r="G15"/>
  <c r="H15"/>
  <c r="I15"/>
  <c r="J15"/>
  <c r="K15"/>
  <c r="L15"/>
  <c r="M15"/>
  <c r="N15"/>
  <c r="O15"/>
  <c r="P15"/>
  <c r="Q15"/>
  <c r="R15"/>
  <c r="F16"/>
  <c r="G16"/>
  <c r="H16"/>
  <c r="I16"/>
  <c r="J16"/>
  <c r="K16"/>
  <c r="L16"/>
  <c r="M16"/>
  <c r="N16"/>
  <c r="O16"/>
  <c r="P16"/>
  <c r="Q16"/>
  <c r="R16"/>
  <c r="F17"/>
  <c r="G17"/>
  <c r="H17"/>
  <c r="I17"/>
  <c r="J17"/>
  <c r="K17"/>
  <c r="L17"/>
  <c r="M17"/>
  <c r="N17"/>
  <c r="O17"/>
  <c r="P17"/>
  <c r="Q17"/>
  <c r="R17"/>
  <c r="F18"/>
  <c r="G18"/>
  <c r="H18"/>
  <c r="I18"/>
  <c r="J18"/>
  <c r="K18"/>
  <c r="L18"/>
  <c r="M18"/>
  <c r="N18"/>
  <c r="O18"/>
  <c r="P18"/>
  <c r="Q18"/>
  <c r="R18"/>
  <c r="F19"/>
  <c r="G19"/>
  <c r="H19"/>
  <c r="I19"/>
  <c r="J19"/>
  <c r="K19"/>
  <c r="L19"/>
  <c r="M19"/>
  <c r="N19"/>
  <c r="O19"/>
  <c r="P19"/>
  <c r="Q19"/>
  <c r="R19"/>
  <c r="F20"/>
  <c r="G20"/>
  <c r="H20"/>
  <c r="I20"/>
  <c r="J20"/>
  <c r="K20"/>
  <c r="L20"/>
  <c r="M20"/>
  <c r="N20"/>
  <c r="O20"/>
  <c r="P20"/>
  <c r="Q20"/>
  <c r="R20"/>
  <c r="F21"/>
  <c r="G21"/>
  <c r="H21"/>
  <c r="I21"/>
  <c r="J21"/>
  <c r="K21"/>
  <c r="L21"/>
  <c r="M21"/>
  <c r="N21"/>
  <c r="O21"/>
  <c r="P21"/>
  <c r="Q21"/>
  <c r="R21"/>
  <c r="F22"/>
  <c r="G22"/>
  <c r="H22"/>
  <c r="I22"/>
  <c r="J22"/>
  <c r="K22"/>
  <c r="L22"/>
  <c r="M22"/>
  <c r="N22"/>
  <c r="O22"/>
  <c r="P22"/>
  <c r="Q22"/>
  <c r="R22"/>
  <c r="F23"/>
  <c r="G23"/>
  <c r="H23"/>
  <c r="I23"/>
  <c r="J23"/>
  <c r="K23"/>
  <c r="L23"/>
  <c r="M23"/>
  <c r="N23"/>
  <c r="O23"/>
  <c r="P23"/>
  <c r="Q23"/>
  <c r="R23"/>
  <c r="F24"/>
  <c r="G24"/>
  <c r="H24"/>
  <c r="I24"/>
  <c r="J24"/>
  <c r="K24"/>
  <c r="L24"/>
  <c r="M24"/>
  <c r="N24"/>
  <c r="O24"/>
  <c r="P24"/>
  <c r="Q24"/>
  <c r="R24"/>
  <c r="F25"/>
  <c r="G25"/>
  <c r="H25"/>
  <c r="I25"/>
  <c r="J25"/>
  <c r="K25"/>
  <c r="L25"/>
  <c r="M25"/>
  <c r="N25"/>
  <c r="O25"/>
  <c r="P25"/>
  <c r="Q25"/>
  <c r="R25"/>
  <c r="F26"/>
  <c r="G26"/>
  <c r="H26"/>
  <c r="I26"/>
  <c r="J26"/>
  <c r="K26"/>
  <c r="L26"/>
  <c r="M26"/>
  <c r="N26"/>
  <c r="O26"/>
  <c r="P26"/>
  <c r="Q26"/>
  <c r="R26"/>
  <c r="F27"/>
  <c r="G27"/>
  <c r="H27"/>
  <c r="I27"/>
  <c r="J27"/>
  <c r="K27"/>
  <c r="L27"/>
  <c r="M27"/>
  <c r="N27"/>
  <c r="O27"/>
  <c r="P27"/>
  <c r="Q27"/>
  <c r="R27"/>
  <c r="F28"/>
  <c r="G28"/>
  <c r="H28"/>
  <c r="I28"/>
  <c r="J28"/>
  <c r="K28"/>
  <c r="L28"/>
  <c r="M28"/>
  <c r="N28"/>
  <c r="O28"/>
  <c r="P28"/>
  <c r="Q28"/>
  <c r="R28"/>
  <c r="F29"/>
  <c r="G29"/>
  <c r="H29"/>
  <c r="I29"/>
  <c r="J29"/>
  <c r="K29"/>
  <c r="L29"/>
  <c r="M29"/>
  <c r="N29"/>
  <c r="O29"/>
  <c r="P29"/>
  <c r="Q29"/>
  <c r="R29"/>
  <c r="F30"/>
  <c r="G30"/>
  <c r="H30"/>
  <c r="I30"/>
  <c r="J30"/>
  <c r="K30"/>
  <c r="L30"/>
  <c r="M30"/>
  <c r="N30"/>
  <c r="O30"/>
  <c r="P30"/>
  <c r="Q30"/>
  <c r="R30"/>
  <c r="F31"/>
  <c r="G31"/>
  <c r="H31"/>
  <c r="I31"/>
  <c r="J31"/>
  <c r="K31"/>
  <c r="L31"/>
  <c r="M31"/>
  <c r="N31"/>
  <c r="O31"/>
  <c r="P31"/>
  <c r="Q31"/>
  <c r="R31"/>
  <c r="F32"/>
  <c r="G32"/>
  <c r="H32"/>
  <c r="I32"/>
  <c r="J32"/>
  <c r="K32"/>
  <c r="L32"/>
  <c r="M32"/>
  <c r="N32"/>
  <c r="O32"/>
  <c r="P32"/>
  <c r="Q32"/>
  <c r="R32"/>
  <c r="F33"/>
  <c r="G33"/>
  <c r="H33"/>
  <c r="I33"/>
  <c r="J33"/>
  <c r="K33"/>
  <c r="L33"/>
  <c r="M33"/>
  <c r="N33"/>
  <c r="O33"/>
  <c r="P33"/>
  <c r="Q33"/>
  <c r="R33"/>
  <c r="F34"/>
  <c r="G34"/>
  <c r="H34"/>
  <c r="I34"/>
  <c r="J34"/>
  <c r="K34"/>
  <c r="L34"/>
  <c r="M34"/>
  <c r="N34"/>
  <c r="O34"/>
  <c r="P34"/>
  <c r="Q34"/>
  <c r="R34"/>
  <c r="F35"/>
  <c r="G35"/>
  <c r="H35"/>
  <c r="I35"/>
  <c r="J35"/>
  <c r="K35"/>
  <c r="L35"/>
  <c r="M35"/>
  <c r="N35"/>
  <c r="O35"/>
  <c r="P35"/>
  <c r="Q35"/>
  <c r="R35"/>
  <c r="F36"/>
  <c r="G36"/>
  <c r="H36"/>
  <c r="I36"/>
  <c r="J36"/>
  <c r="K36"/>
  <c r="L36"/>
  <c r="M36"/>
  <c r="N36"/>
  <c r="O36"/>
  <c r="P36"/>
  <c r="Q36"/>
  <c r="R36"/>
  <c r="F37"/>
  <c r="G37"/>
  <c r="H37"/>
  <c r="I37"/>
  <c r="J37"/>
  <c r="K37"/>
  <c r="L37"/>
  <c r="M37"/>
  <c r="N37"/>
  <c r="O37"/>
  <c r="P37"/>
  <c r="Q37"/>
  <c r="R37"/>
  <c r="F38"/>
  <c r="G38"/>
  <c r="H38"/>
  <c r="I38"/>
  <c r="J38"/>
  <c r="K38"/>
  <c r="L38"/>
  <c r="M38"/>
  <c r="N38"/>
  <c r="O38"/>
  <c r="P38"/>
  <c r="Q38"/>
  <c r="R38"/>
  <c r="F39"/>
  <c r="G39"/>
  <c r="H39"/>
  <c r="I39"/>
  <c r="J39"/>
  <c r="K39"/>
  <c r="L39"/>
  <c r="M39"/>
  <c r="N39"/>
  <c r="O39"/>
  <c r="P39"/>
  <c r="Q39"/>
  <c r="R39"/>
  <c r="F40"/>
  <c r="G40"/>
  <c r="H40"/>
  <c r="I40"/>
  <c r="J40"/>
  <c r="K40"/>
  <c r="L40"/>
  <c r="M40"/>
  <c r="N40"/>
  <c r="O40"/>
  <c r="P40"/>
  <c r="Q40"/>
  <c r="R40"/>
  <c r="F41"/>
  <c r="G41"/>
  <c r="H41"/>
  <c r="I41"/>
  <c r="J41"/>
  <c r="K41"/>
  <c r="L41"/>
  <c r="M41"/>
  <c r="N41"/>
  <c r="O41"/>
  <c r="P41"/>
  <c r="Q41"/>
  <c r="R41"/>
  <c r="F42"/>
  <c r="G42"/>
  <c r="H42"/>
  <c r="I42"/>
  <c r="J42"/>
  <c r="K42"/>
  <c r="L42"/>
  <c r="M42"/>
  <c r="N42"/>
  <c r="O42"/>
  <c r="P42"/>
  <c r="Q42"/>
  <c r="R42"/>
  <c r="F43"/>
  <c r="G43"/>
  <c r="H43"/>
  <c r="I43"/>
  <c r="J43"/>
  <c r="K43"/>
  <c r="L43"/>
  <c r="M43"/>
  <c r="N43"/>
  <c r="O43"/>
  <c r="P43"/>
  <c r="Q43"/>
  <c r="R43"/>
  <c r="F44"/>
  <c r="G44"/>
  <c r="H44"/>
  <c r="I44"/>
  <c r="J44"/>
  <c r="K44"/>
  <c r="L44"/>
  <c r="M44"/>
  <c r="N44"/>
  <c r="O44"/>
  <c r="P44"/>
  <c r="Q44"/>
  <c r="R44"/>
  <c r="F45"/>
  <c r="G45"/>
  <c r="H45"/>
  <c r="I45"/>
  <c r="J45"/>
  <c r="K45"/>
  <c r="L45"/>
  <c r="M45"/>
  <c r="N45"/>
  <c r="O45"/>
  <c r="P45"/>
  <c r="Q45"/>
  <c r="R45"/>
  <c r="F46"/>
  <c r="G46"/>
  <c r="H46"/>
  <c r="I46"/>
  <c r="J46"/>
  <c r="K46"/>
  <c r="L46"/>
  <c r="M46"/>
  <c r="N46"/>
  <c r="O46"/>
  <c r="P46"/>
  <c r="Q46"/>
  <c r="R46"/>
  <c r="F47"/>
  <c r="G47"/>
  <c r="H47"/>
  <c r="I47"/>
  <c r="J47"/>
  <c r="K47"/>
  <c r="L47"/>
  <c r="M47"/>
  <c r="N47"/>
  <c r="O47"/>
  <c r="P47"/>
  <c r="Q47"/>
  <c r="R47"/>
  <c r="F48"/>
  <c r="G48"/>
  <c r="H48"/>
  <c r="I48"/>
  <c r="J48"/>
  <c r="K48"/>
  <c r="L48"/>
  <c r="M48"/>
  <c r="N48"/>
  <c r="O48"/>
  <c r="P48"/>
  <c r="Q48"/>
  <c r="R48"/>
  <c r="F49"/>
  <c r="G49"/>
  <c r="H49"/>
  <c r="I49"/>
  <c r="J49"/>
  <c r="K49"/>
  <c r="L49"/>
  <c r="M49"/>
  <c r="N49"/>
  <c r="O49"/>
  <c r="P49"/>
  <c r="Q49"/>
  <c r="R49"/>
  <c r="F50"/>
  <c r="G50"/>
  <c r="H50"/>
  <c r="I50"/>
  <c r="J50"/>
  <c r="K50"/>
  <c r="L50"/>
  <c r="M50"/>
  <c r="N50"/>
  <c r="O50"/>
  <c r="P50"/>
  <c r="Q50"/>
  <c r="R50"/>
  <c r="F51"/>
  <c r="G51"/>
  <c r="H51"/>
  <c r="I51"/>
  <c r="J51"/>
  <c r="K51"/>
  <c r="L51"/>
  <c r="M51"/>
  <c r="N51"/>
  <c r="O51"/>
  <c r="P51"/>
  <c r="Q51"/>
  <c r="R51"/>
  <c r="F52"/>
  <c r="G52"/>
  <c r="H52"/>
  <c r="I52"/>
  <c r="J52"/>
  <c r="K52"/>
  <c r="L52"/>
  <c r="M52"/>
  <c r="N52"/>
  <c r="O52"/>
  <c r="P52"/>
  <c r="Q52"/>
  <c r="R52"/>
  <c r="F53"/>
  <c r="G53"/>
  <c r="H53"/>
  <c r="I53"/>
  <c r="J53"/>
  <c r="K53"/>
  <c r="L53"/>
  <c r="M53"/>
  <c r="N53"/>
  <c r="O53"/>
  <c r="P53"/>
  <c r="Q53"/>
  <c r="R53"/>
  <c r="F54"/>
  <c r="G54"/>
  <c r="H54"/>
  <c r="I54"/>
  <c r="J54"/>
  <c r="K54"/>
  <c r="L54"/>
  <c r="M54"/>
  <c r="N54"/>
  <c r="O54"/>
  <c r="P54"/>
  <c r="Q54"/>
  <c r="R54"/>
  <c r="F55"/>
  <c r="G55"/>
  <c r="H55"/>
  <c r="I55"/>
  <c r="J55"/>
  <c r="K55"/>
  <c r="L55"/>
  <c r="M55"/>
  <c r="N55"/>
  <c r="O55"/>
  <c r="P55"/>
  <c r="Q55"/>
  <c r="R55"/>
  <c r="F56"/>
  <c r="G56"/>
  <c r="H56"/>
  <c r="I56"/>
  <c r="J56"/>
  <c r="K56"/>
  <c r="L56"/>
  <c r="M56"/>
  <c r="N56"/>
  <c r="O56"/>
  <c r="P56"/>
  <c r="Q56"/>
  <c r="R56"/>
  <c r="F57"/>
  <c r="G57"/>
  <c r="H57"/>
  <c r="I57"/>
  <c r="J57"/>
  <c r="K57"/>
  <c r="L57"/>
  <c r="M57"/>
  <c r="N57"/>
  <c r="O57"/>
  <c r="P57"/>
  <c r="Q57"/>
  <c r="R57"/>
  <c r="F58"/>
  <c r="G58"/>
  <c r="H58"/>
  <c r="I58"/>
  <c r="J58"/>
  <c r="K58"/>
  <c r="L58"/>
  <c r="M58"/>
  <c r="N58"/>
  <c r="O58"/>
  <c r="P58"/>
  <c r="Q58"/>
  <c r="R58"/>
  <c r="F59"/>
  <c r="G59"/>
  <c r="H59"/>
  <c r="I59"/>
  <c r="J59"/>
  <c r="K59"/>
  <c r="L59"/>
  <c r="M59"/>
  <c r="N59"/>
  <c r="O59"/>
  <c r="P59"/>
  <c r="Q59"/>
  <c r="R59"/>
  <c r="F60"/>
  <c r="G60"/>
  <c r="H60"/>
  <c r="I60"/>
  <c r="J60"/>
  <c r="K60"/>
  <c r="L60"/>
  <c r="M60"/>
  <c r="N60"/>
  <c r="O60"/>
  <c r="P60"/>
  <c r="Q60"/>
  <c r="R60"/>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3"/>
  <c r="F63"/>
  <c r="G63"/>
  <c r="H63"/>
  <c r="I63"/>
  <c r="J63"/>
  <c r="K63"/>
  <c r="L63"/>
  <c r="M63"/>
  <c r="N63"/>
  <c r="O63"/>
  <c r="P63"/>
  <c r="Q63"/>
  <c r="R63"/>
  <c r="S63"/>
  <c r="E64"/>
  <c r="F64"/>
  <c r="G64"/>
  <c r="H64"/>
  <c r="I64"/>
  <c r="J64"/>
  <c r="K64"/>
  <c r="L64"/>
  <c r="M64"/>
  <c r="N64"/>
  <c r="O64"/>
  <c r="P64"/>
  <c r="Q64"/>
  <c r="R64"/>
  <c r="S64"/>
  <c r="E65"/>
  <c r="F65"/>
  <c r="G65"/>
  <c r="H65"/>
  <c r="I65"/>
  <c r="J65"/>
  <c r="K65"/>
  <c r="L65"/>
  <c r="M65"/>
  <c r="N65"/>
  <c r="O65"/>
  <c r="P65"/>
  <c r="Q65"/>
  <c r="R65"/>
  <c r="S65"/>
  <c r="E66"/>
  <c r="F66"/>
  <c r="G66"/>
  <c r="H66"/>
  <c r="I66"/>
  <c r="J66"/>
  <c r="K66"/>
  <c r="L66"/>
  <c r="M66"/>
  <c r="N66"/>
  <c r="O66"/>
  <c r="P66"/>
  <c r="Q66"/>
  <c r="R66"/>
  <c r="S66"/>
  <c r="E67"/>
  <c r="F67"/>
  <c r="G67"/>
  <c r="H67"/>
  <c r="I67"/>
  <c r="J67"/>
  <c r="K67"/>
  <c r="L67"/>
  <c r="M67"/>
  <c r="N67"/>
  <c r="O67"/>
  <c r="P67"/>
  <c r="Q67"/>
  <c r="R67"/>
  <c r="S67"/>
  <c r="E68"/>
  <c r="F68"/>
  <c r="G68"/>
  <c r="H68"/>
  <c r="I68"/>
  <c r="J68"/>
  <c r="K68"/>
  <c r="L68"/>
  <c r="M68"/>
  <c r="N68"/>
  <c r="O68"/>
  <c r="P68"/>
  <c r="Q68"/>
  <c r="R68"/>
  <c r="S68"/>
  <c r="E69"/>
  <c r="F69"/>
  <c r="G69"/>
  <c r="H69"/>
  <c r="I69"/>
  <c r="J69"/>
  <c r="K69"/>
  <c r="L69"/>
  <c r="M69"/>
  <c r="N69"/>
  <c r="O69"/>
  <c r="P69"/>
  <c r="Q69"/>
  <c r="R69"/>
  <c r="S69"/>
  <c r="E70"/>
  <c r="F70"/>
  <c r="G70"/>
  <c r="H70"/>
  <c r="I70"/>
  <c r="J70"/>
  <c r="K70"/>
  <c r="L70"/>
  <c r="M70"/>
  <c r="N70"/>
  <c r="O70"/>
  <c r="P70"/>
  <c r="Q70"/>
  <c r="R70"/>
  <c r="S70"/>
  <c r="E71"/>
  <c r="F71"/>
  <c r="G71"/>
  <c r="H71"/>
  <c r="I71"/>
  <c r="J71"/>
  <c r="K71"/>
  <c r="L71"/>
  <c r="M71"/>
  <c r="N71"/>
  <c r="O71"/>
  <c r="P71"/>
  <c r="Q71"/>
  <c r="R71"/>
  <c r="S71"/>
  <c r="E72"/>
  <c r="F72"/>
  <c r="G72"/>
  <c r="H72"/>
  <c r="I72"/>
  <c r="J72"/>
  <c r="K72"/>
  <c r="L72"/>
  <c r="M72"/>
  <c r="N72"/>
  <c r="O72"/>
  <c r="P72"/>
  <c r="Q72"/>
  <c r="R72"/>
  <c r="S72"/>
  <c r="E73"/>
  <c r="F73"/>
  <c r="G73"/>
  <c r="H73"/>
  <c r="I73"/>
  <c r="J73"/>
  <c r="K73"/>
  <c r="L73"/>
  <c r="M73"/>
  <c r="N73"/>
  <c r="O73"/>
  <c r="P73"/>
  <c r="Q73"/>
  <c r="R73"/>
  <c r="S73"/>
  <c r="E74"/>
  <c r="F74"/>
  <c r="G74"/>
  <c r="H74"/>
  <c r="I74"/>
  <c r="J74"/>
  <c r="K74"/>
  <c r="L74"/>
  <c r="M74"/>
  <c r="N74"/>
  <c r="O74"/>
  <c r="P74"/>
  <c r="Q74"/>
  <c r="R74"/>
  <c r="S74"/>
  <c r="E75"/>
  <c r="F75"/>
  <c r="G75"/>
  <c r="H75"/>
  <c r="I75"/>
  <c r="J75"/>
  <c r="K75"/>
  <c r="L75"/>
  <c r="M75"/>
  <c r="N75"/>
  <c r="O75"/>
  <c r="P75"/>
  <c r="Q75"/>
  <c r="R75"/>
  <c r="S75"/>
  <c r="E76"/>
  <c r="F76"/>
  <c r="G76"/>
  <c r="H76"/>
  <c r="I76"/>
  <c r="J76"/>
  <c r="K76"/>
  <c r="L76"/>
  <c r="M76"/>
  <c r="N76"/>
  <c r="O76"/>
  <c r="P76"/>
  <c r="Q76"/>
  <c r="R76"/>
  <c r="S76"/>
  <c r="E77"/>
  <c r="F77"/>
  <c r="G77"/>
  <c r="H77"/>
  <c r="I77"/>
  <c r="J77"/>
  <c r="K77"/>
  <c r="L77"/>
  <c r="M77"/>
  <c r="N77"/>
  <c r="O77"/>
  <c r="P77"/>
  <c r="Q77"/>
  <c r="R77"/>
  <c r="S77"/>
  <c r="E78"/>
  <c r="F78"/>
  <c r="G78"/>
  <c r="H78"/>
  <c r="I78"/>
  <c r="J78"/>
  <c r="K78"/>
  <c r="L78"/>
  <c r="M78"/>
  <c r="N78"/>
  <c r="O78"/>
  <c r="P78"/>
  <c r="R78"/>
  <c r="S78"/>
  <c r="E79"/>
  <c r="F79"/>
  <c r="G79"/>
  <c r="H79"/>
  <c r="I79"/>
  <c r="J79"/>
  <c r="L79"/>
  <c r="M79"/>
  <c r="N79"/>
  <c r="O79"/>
  <c r="P79"/>
  <c r="Q79"/>
  <c r="R79"/>
  <c r="S79"/>
  <c r="E80"/>
  <c r="F80"/>
  <c r="G80"/>
  <c r="H80"/>
  <c r="I80"/>
  <c r="J80"/>
  <c r="K80"/>
  <c r="L80"/>
  <c r="M80"/>
  <c r="N80"/>
  <c r="O80"/>
  <c r="P80"/>
  <c r="Q80"/>
  <c r="R80"/>
  <c r="S80"/>
  <c r="E81"/>
  <c r="F81"/>
  <c r="G81"/>
  <c r="H81"/>
  <c r="I81"/>
  <c r="J81"/>
  <c r="K81"/>
  <c r="L81"/>
  <c r="M81"/>
  <c r="N81"/>
  <c r="O81"/>
  <c r="P81"/>
  <c r="Q81"/>
  <c r="R81"/>
  <c r="S81"/>
  <c r="E82"/>
  <c r="F82"/>
  <c r="G82"/>
  <c r="H82"/>
  <c r="I82"/>
  <c r="J82"/>
  <c r="K82"/>
  <c r="L82"/>
  <c r="M82"/>
  <c r="N82"/>
  <c r="O82"/>
  <c r="P82"/>
  <c r="Q82"/>
  <c r="R82"/>
  <c r="S82"/>
  <c r="E83"/>
  <c r="F83"/>
  <c r="G83"/>
  <c r="H83"/>
  <c r="I83"/>
  <c r="J83"/>
  <c r="K83"/>
  <c r="L83"/>
  <c r="M83"/>
  <c r="N83"/>
  <c r="O83"/>
  <c r="P83"/>
  <c r="Q83"/>
  <c r="R83"/>
  <c r="S83"/>
  <c r="E84"/>
  <c r="F84"/>
  <c r="G84"/>
  <c r="H84"/>
  <c r="I84"/>
  <c r="J84"/>
  <c r="K84"/>
  <c r="L84"/>
  <c r="M84"/>
  <c r="N84"/>
  <c r="O84"/>
  <c r="P84"/>
  <c r="Q84"/>
  <c r="R84"/>
  <c r="S84"/>
  <c r="E85"/>
  <c r="F85"/>
  <c r="G85"/>
  <c r="H85"/>
  <c r="I85"/>
  <c r="J85"/>
  <c r="K85"/>
  <c r="L85"/>
  <c r="M85"/>
  <c r="N85"/>
  <c r="O85"/>
  <c r="P85"/>
  <c r="Q85"/>
  <c r="R85"/>
  <c r="S85"/>
  <c r="E86"/>
  <c r="F86"/>
  <c r="G86"/>
  <c r="H86"/>
  <c r="I86"/>
  <c r="J86"/>
  <c r="K86"/>
  <c r="L86"/>
  <c r="M86"/>
  <c r="N86"/>
  <c r="O86"/>
  <c r="P86"/>
  <c r="Q86"/>
  <c r="R86"/>
  <c r="S86"/>
  <c r="E87"/>
  <c r="F87"/>
  <c r="G87"/>
  <c r="H87"/>
  <c r="I87"/>
  <c r="J87"/>
  <c r="K87"/>
  <c r="L87"/>
  <c r="M87"/>
  <c r="N87"/>
  <c r="O87"/>
  <c r="P87"/>
  <c r="Q87"/>
  <c r="R87"/>
  <c r="S87"/>
  <c r="E88"/>
  <c r="F88"/>
  <c r="G88"/>
  <c r="H88"/>
  <c r="I88"/>
  <c r="J88"/>
  <c r="K88"/>
  <c r="L88"/>
  <c r="M88"/>
  <c r="N88"/>
  <c r="O88"/>
  <c r="P88"/>
  <c r="Q88"/>
  <c r="R88"/>
  <c r="S88"/>
  <c r="E89"/>
  <c r="F89"/>
  <c r="G89"/>
  <c r="H89"/>
  <c r="I89"/>
  <c r="J89"/>
  <c r="K89"/>
  <c r="L89"/>
  <c r="M89"/>
  <c r="N89"/>
  <c r="O89"/>
  <c r="P89"/>
  <c r="Q89"/>
  <c r="R89"/>
  <c r="S89"/>
  <c r="E90"/>
  <c r="F90"/>
  <c r="G90"/>
  <c r="H90"/>
  <c r="I90"/>
  <c r="J90"/>
  <c r="K90"/>
  <c r="L90"/>
  <c r="M90"/>
  <c r="N90"/>
  <c r="O90"/>
  <c r="P90"/>
  <c r="Q90"/>
  <c r="R90"/>
  <c r="S90"/>
  <c r="E91"/>
  <c r="F91"/>
  <c r="G91"/>
  <c r="H91"/>
  <c r="I91"/>
  <c r="J91"/>
  <c r="K91"/>
  <c r="L91"/>
  <c r="M91"/>
  <c r="N91"/>
  <c r="O91"/>
  <c r="P91"/>
  <c r="Q91"/>
  <c r="R91"/>
  <c r="S91"/>
  <c r="E92"/>
  <c r="F92"/>
  <c r="G92"/>
  <c r="H92"/>
  <c r="I92"/>
  <c r="J92"/>
  <c r="K92"/>
  <c r="L92"/>
  <c r="M92"/>
  <c r="N92"/>
  <c r="O92"/>
  <c r="P92"/>
  <c r="Q92"/>
  <c r="R92"/>
  <c r="S92"/>
  <c r="E93"/>
  <c r="F93"/>
  <c r="G93"/>
  <c r="H93"/>
  <c r="I93"/>
  <c r="J93"/>
  <c r="K93"/>
  <c r="L93"/>
  <c r="M93"/>
  <c r="N93"/>
  <c r="O93"/>
  <c r="P93"/>
  <c r="Q93"/>
  <c r="R93"/>
  <c r="S93"/>
  <c r="E94"/>
  <c r="F94"/>
  <c r="G94"/>
  <c r="H94"/>
  <c r="I94"/>
  <c r="J94"/>
  <c r="K94"/>
  <c r="L94"/>
  <c r="M94"/>
  <c r="N94"/>
  <c r="O94"/>
  <c r="P94"/>
  <c r="Q94"/>
  <c r="R94"/>
  <c r="S94"/>
  <c r="E95"/>
  <c r="F95"/>
  <c r="G95"/>
  <c r="H95"/>
  <c r="I95"/>
  <c r="J95"/>
  <c r="K95"/>
  <c r="L95"/>
  <c r="M95"/>
  <c r="N95"/>
  <c r="O95"/>
  <c r="P95"/>
  <c r="Q95"/>
  <c r="R95"/>
  <c r="S95"/>
  <c r="E96"/>
  <c r="F96"/>
  <c r="G96"/>
  <c r="H96"/>
  <c r="I96"/>
  <c r="J96"/>
  <c r="K96"/>
  <c r="L96"/>
  <c r="M96"/>
  <c r="N96"/>
  <c r="O96"/>
  <c r="P96"/>
  <c r="Q96"/>
  <c r="R96"/>
  <c r="S96"/>
  <c r="E97"/>
  <c r="F97"/>
  <c r="G97"/>
  <c r="H97"/>
  <c r="I97"/>
  <c r="J97"/>
  <c r="K97"/>
  <c r="L97"/>
  <c r="M97"/>
  <c r="N97"/>
  <c r="O97"/>
  <c r="P97"/>
  <c r="Q97"/>
  <c r="R97"/>
  <c r="S97"/>
  <c r="E98"/>
  <c r="F98"/>
  <c r="G98"/>
  <c r="H98"/>
  <c r="I98"/>
  <c r="J98"/>
  <c r="K98"/>
  <c r="L98"/>
  <c r="M98"/>
  <c r="N98"/>
  <c r="O98"/>
  <c r="P98"/>
  <c r="Q98"/>
  <c r="R98"/>
  <c r="S98"/>
  <c r="E99"/>
  <c r="F99"/>
  <c r="G99"/>
  <c r="H99"/>
  <c r="I99"/>
  <c r="J99"/>
  <c r="K99"/>
  <c r="L99"/>
  <c r="M99"/>
  <c r="N99"/>
  <c r="O99"/>
  <c r="P99"/>
  <c r="Q99"/>
  <c r="R99"/>
  <c r="S99"/>
  <c r="E100"/>
  <c r="F100"/>
  <c r="G100"/>
  <c r="H100"/>
  <c r="I100"/>
  <c r="J100"/>
  <c r="K100"/>
  <c r="L100"/>
  <c r="M100"/>
  <c r="N100"/>
  <c r="O100"/>
  <c r="P100"/>
  <c r="Q100"/>
  <c r="R100"/>
  <c r="S100"/>
  <c r="E101"/>
  <c r="F101"/>
  <c r="G101"/>
  <c r="H101"/>
  <c r="I101"/>
  <c r="J101"/>
  <c r="K101"/>
  <c r="L101"/>
  <c r="M101"/>
  <c r="N101"/>
  <c r="O101"/>
  <c r="P101"/>
  <c r="Q101"/>
  <c r="R101"/>
  <c r="S101"/>
  <c r="E102"/>
  <c r="F102"/>
  <c r="G102"/>
  <c r="H102"/>
  <c r="I102"/>
  <c r="J102"/>
  <c r="K102"/>
  <c r="L102"/>
  <c r="M102"/>
  <c r="N102"/>
  <c r="O102"/>
  <c r="P102"/>
  <c r="Q102"/>
  <c r="R102"/>
  <c r="S102"/>
  <c r="E103"/>
  <c r="F103"/>
  <c r="G103"/>
  <c r="H103"/>
  <c r="I103"/>
  <c r="J103"/>
  <c r="K103"/>
  <c r="L103"/>
  <c r="M103"/>
  <c r="N103"/>
  <c r="O103"/>
  <c r="P103"/>
  <c r="Q103"/>
  <c r="R103"/>
  <c r="S103"/>
  <c r="E104"/>
  <c r="F104"/>
  <c r="G104"/>
  <c r="H104"/>
  <c r="I104"/>
  <c r="J104"/>
  <c r="K104"/>
  <c r="L104"/>
  <c r="M104"/>
  <c r="N104"/>
  <c r="O104"/>
  <c r="P104"/>
  <c r="Q104"/>
  <c r="R104"/>
  <c r="S104"/>
  <c r="E105"/>
  <c r="F105"/>
  <c r="G105"/>
  <c r="H105"/>
  <c r="I105"/>
  <c r="J105"/>
  <c r="K105"/>
  <c r="L105"/>
  <c r="M105"/>
  <c r="N105"/>
  <c r="O105"/>
  <c r="P105"/>
  <c r="Q105"/>
  <c r="R105"/>
  <c r="S105"/>
  <c r="E106"/>
  <c r="F106"/>
  <c r="G106"/>
  <c r="H106"/>
  <c r="I106"/>
  <c r="J106"/>
  <c r="K106"/>
  <c r="L106"/>
  <c r="M106"/>
  <c r="N106"/>
  <c r="O106"/>
  <c r="P106"/>
  <c r="Q106"/>
  <c r="R106"/>
  <c r="S106"/>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63"/>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10"/>
  <c r="C106"/>
  <c r="C105"/>
  <c r="C104"/>
  <c r="C103"/>
  <c r="C102"/>
  <c r="C101"/>
  <c r="C58"/>
  <c r="C59"/>
  <c r="C60"/>
  <c r="N109" i="17" l="1"/>
  <c r="R100" i="19"/>
  <c r="AF107" i="8"/>
  <c r="P104" i="17"/>
  <c r="K74"/>
  <c r="K76"/>
  <c r="K78"/>
  <c r="K80"/>
  <c r="J58"/>
  <c r="R61"/>
  <c r="J61"/>
  <c r="J68"/>
  <c r="J104"/>
  <c r="J109" s="1"/>
  <c r="O58"/>
  <c r="R58"/>
  <c r="Y58" i="18"/>
  <c r="K54" i="17"/>
  <c r="K56"/>
  <c r="Q68"/>
  <c r="P61"/>
  <c r="Q61"/>
  <c r="P109"/>
  <c r="Q104"/>
  <c r="R68"/>
  <c r="Q58"/>
  <c r="Y68" i="18"/>
  <c r="R54" i="19"/>
  <c r="U54" s="1"/>
  <c r="R57"/>
  <c r="R105"/>
  <c r="R106"/>
  <c r="R107"/>
  <c r="Z74" i="18"/>
  <c r="Z76"/>
  <c r="Z78"/>
  <c r="Z80"/>
  <c r="Z82"/>
  <c r="Z84"/>
  <c r="Z86"/>
  <c r="Z88"/>
  <c r="Z90"/>
  <c r="Z92"/>
  <c r="M67" i="19"/>
  <c r="M65"/>
  <c r="M35"/>
  <c r="M33"/>
  <c r="M31"/>
  <c r="M29"/>
  <c r="M27"/>
  <c r="M25"/>
  <c r="M23"/>
  <c r="M21"/>
  <c r="M19"/>
  <c r="M17"/>
  <c r="M15"/>
  <c r="M13"/>
  <c r="M11"/>
  <c r="M74"/>
  <c r="M76"/>
  <c r="M78"/>
  <c r="M80"/>
  <c r="M82"/>
  <c r="M84"/>
  <c r="M86"/>
  <c r="M88"/>
  <c r="M90"/>
  <c r="M92"/>
  <c r="M94"/>
  <c r="M96"/>
  <c r="M98"/>
  <c r="M100"/>
  <c r="M52"/>
  <c r="M50"/>
  <c r="M48"/>
  <c r="M46"/>
  <c r="M44"/>
  <c r="M42"/>
  <c r="M40"/>
  <c r="M38"/>
  <c r="M71"/>
  <c r="M73"/>
  <c r="R102"/>
  <c r="I58"/>
  <c r="K12"/>
  <c r="K14"/>
  <c r="K16"/>
  <c r="K18"/>
  <c r="K20"/>
  <c r="K22"/>
  <c r="K24"/>
  <c r="K26"/>
  <c r="K28"/>
  <c r="K30"/>
  <c r="K32"/>
  <c r="K34"/>
  <c r="K36"/>
  <c r="K39"/>
  <c r="K41"/>
  <c r="K43"/>
  <c r="K45"/>
  <c r="K47"/>
  <c r="K49"/>
  <c r="K51"/>
  <c r="K53"/>
  <c r="M53" s="1"/>
  <c r="K55"/>
  <c r="M55" s="1"/>
  <c r="K56"/>
  <c r="M56" s="1"/>
  <c r="I68"/>
  <c r="K64"/>
  <c r="M64" s="1"/>
  <c r="K66"/>
  <c r="I104"/>
  <c r="K70"/>
  <c r="K72"/>
  <c r="K75"/>
  <c r="K77"/>
  <c r="K81"/>
  <c r="K83"/>
  <c r="K85"/>
  <c r="K87"/>
  <c r="K89"/>
  <c r="K91"/>
  <c r="M91" s="1"/>
  <c r="K93"/>
  <c r="K95"/>
  <c r="M95" s="1"/>
  <c r="K97"/>
  <c r="K99"/>
  <c r="M99" s="1"/>
  <c r="K101"/>
  <c r="N109"/>
  <c r="T109"/>
  <c r="R91"/>
  <c r="L109"/>
  <c r="U11"/>
  <c r="U13"/>
  <c r="U15"/>
  <c r="U17"/>
  <c r="U19"/>
  <c r="U21"/>
  <c r="U23"/>
  <c r="U25"/>
  <c r="U27"/>
  <c r="U29"/>
  <c r="U31"/>
  <c r="U33"/>
  <c r="U35"/>
  <c r="U38"/>
  <c r="U40"/>
  <c r="U42"/>
  <c r="U44"/>
  <c r="U46"/>
  <c r="U48"/>
  <c r="U50"/>
  <c r="U52"/>
  <c r="U63"/>
  <c r="U65"/>
  <c r="U67"/>
  <c r="U71"/>
  <c r="K37"/>
  <c r="I109"/>
  <c r="R103"/>
  <c r="U57"/>
  <c r="P64"/>
  <c r="R64" s="1"/>
  <c r="O68"/>
  <c r="U73"/>
  <c r="U74"/>
  <c r="U76"/>
  <c r="U78"/>
  <c r="U80"/>
  <c r="U82"/>
  <c r="U84"/>
  <c r="U86"/>
  <c r="U88"/>
  <c r="U90"/>
  <c r="U91"/>
  <c r="U92"/>
  <c r="U94"/>
  <c r="U96"/>
  <c r="U98"/>
  <c r="U100"/>
  <c r="U102"/>
  <c r="U106"/>
  <c r="U107"/>
  <c r="K10"/>
  <c r="M10" s="1"/>
  <c r="J109"/>
  <c r="K59"/>
  <c r="M59" s="1"/>
  <c r="M61" s="1"/>
  <c r="K62"/>
  <c r="M62" s="1"/>
  <c r="K69"/>
  <c r="M69" s="1"/>
  <c r="U108"/>
  <c r="Z94" i="18"/>
  <c r="Z96"/>
  <c r="Z98"/>
  <c r="Z100"/>
  <c r="Y104"/>
  <c r="Y109" s="1"/>
  <c r="Z70"/>
  <c r="Z101"/>
  <c r="J109"/>
  <c r="L109"/>
  <c r="N109"/>
  <c r="P109"/>
  <c r="R109"/>
  <c r="T109"/>
  <c r="W109"/>
  <c r="I58"/>
  <c r="Z11"/>
  <c r="Z13"/>
  <c r="Z15"/>
  <c r="Z17"/>
  <c r="Z19"/>
  <c r="Z21"/>
  <c r="Z23"/>
  <c r="Z25"/>
  <c r="Z27"/>
  <c r="Z29"/>
  <c r="Z31"/>
  <c r="Z33"/>
  <c r="Z35"/>
  <c r="Z37"/>
  <c r="Z39"/>
  <c r="Z41"/>
  <c r="Z43"/>
  <c r="Z45"/>
  <c r="Z47"/>
  <c r="Z49"/>
  <c r="Z51"/>
  <c r="Z53"/>
  <c r="Z54"/>
  <c r="Z55"/>
  <c r="Y61"/>
  <c r="I68"/>
  <c r="Z63"/>
  <c r="Z64"/>
  <c r="Z66"/>
  <c r="I104"/>
  <c r="U104"/>
  <c r="U109" s="1"/>
  <c r="Z71"/>
  <c r="Z75"/>
  <c r="Z77"/>
  <c r="Z79"/>
  <c r="Z81"/>
  <c r="Z83"/>
  <c r="Z85"/>
  <c r="Z87"/>
  <c r="K109"/>
  <c r="M109"/>
  <c r="O109"/>
  <c r="Q109"/>
  <c r="S109"/>
  <c r="V109"/>
  <c r="X109"/>
  <c r="Z10"/>
  <c r="I109"/>
  <c r="Z59"/>
  <c r="Z62"/>
  <c r="Z69"/>
  <c r="K27" i="17"/>
  <c r="K29"/>
  <c r="K31"/>
  <c r="K33"/>
  <c r="K35"/>
  <c r="K39"/>
  <c r="K41"/>
  <c r="K43"/>
  <c r="K63"/>
  <c r="K65"/>
  <c r="K67"/>
  <c r="K82"/>
  <c r="K84"/>
  <c r="K86"/>
  <c r="K88"/>
  <c r="K90"/>
  <c r="K92"/>
  <c r="K94"/>
  <c r="K96"/>
  <c r="K98"/>
  <c r="K100"/>
  <c r="I58"/>
  <c r="K11"/>
  <c r="K13"/>
  <c r="K15"/>
  <c r="K16"/>
  <c r="K17"/>
  <c r="K19"/>
  <c r="K21"/>
  <c r="K23"/>
  <c r="K25"/>
  <c r="K28"/>
  <c r="K30"/>
  <c r="K32"/>
  <c r="K34"/>
  <c r="K36"/>
  <c r="K45"/>
  <c r="K47"/>
  <c r="K49"/>
  <c r="K51"/>
  <c r="K53"/>
  <c r="K55"/>
  <c r="I68"/>
  <c r="K64"/>
  <c r="K66"/>
  <c r="I104"/>
  <c r="K70"/>
  <c r="K72"/>
  <c r="K75"/>
  <c r="K77"/>
  <c r="K81"/>
  <c r="K83"/>
  <c r="K85"/>
  <c r="K87"/>
  <c r="K89"/>
  <c r="K91"/>
  <c r="K93"/>
  <c r="K95"/>
  <c r="K97"/>
  <c r="K99"/>
  <c r="K101"/>
  <c r="K37"/>
  <c r="I109"/>
  <c r="K10"/>
  <c r="M68"/>
  <c r="K59"/>
  <c r="K62"/>
  <c r="K69"/>
  <c r="C98" i="15"/>
  <c r="C99"/>
  <c r="C100"/>
  <c r="C101"/>
  <c r="C102"/>
  <c r="C103"/>
  <c r="C56"/>
  <c r="C57"/>
  <c r="C58"/>
  <c r="F26" i="5"/>
  <c r="F24"/>
  <c r="F23"/>
  <c r="F21"/>
  <c r="F20"/>
  <c r="F19"/>
  <c r="F18"/>
  <c r="F17"/>
  <c r="F16"/>
  <c r="F15"/>
  <c r="F14"/>
  <c r="F13"/>
  <c r="F12"/>
  <c r="F10"/>
  <c r="F9"/>
  <c r="Z99" i="4"/>
  <c r="Z73"/>
  <c r="Z71"/>
  <c r="Z69"/>
  <c r="U70"/>
  <c r="AE109"/>
  <c r="AI56"/>
  <c r="AI55"/>
  <c r="AI53"/>
  <c r="AI59"/>
  <c r="AI60"/>
  <c r="AI62"/>
  <c r="AI63"/>
  <c r="AI68" s="1"/>
  <c r="AI88"/>
  <c r="AG101"/>
  <c r="AG95"/>
  <c r="AF101"/>
  <c r="AF99"/>
  <c r="AG99" s="1"/>
  <c r="AF95"/>
  <c r="AD72"/>
  <c r="Z92"/>
  <c r="Z90"/>
  <c r="Z102"/>
  <c r="Z101"/>
  <c r="Z100"/>
  <c r="Z98"/>
  <c r="Z97"/>
  <c r="Z96"/>
  <c r="Z95"/>
  <c r="Z94"/>
  <c r="Z89"/>
  <c r="Z88"/>
  <c r="Z87"/>
  <c r="Z86"/>
  <c r="Z85"/>
  <c r="Z84"/>
  <c r="Z83"/>
  <c r="Z82"/>
  <c r="Z81"/>
  <c r="Z80"/>
  <c r="Z79"/>
  <c r="Z78"/>
  <c r="Z77"/>
  <c r="Z76"/>
  <c r="Z75"/>
  <c r="Z74"/>
  <c r="Z72"/>
  <c r="Z67"/>
  <c r="Z66"/>
  <c r="Z65"/>
  <c r="Z64"/>
  <c r="Z63"/>
  <c r="Z62"/>
  <c r="Z60"/>
  <c r="Z59"/>
  <c r="Z57"/>
  <c r="Z56"/>
  <c r="Z55"/>
  <c r="Z54"/>
  <c r="Z53"/>
  <c r="Z52"/>
  <c r="Z51"/>
  <c r="Z50"/>
  <c r="Z49"/>
  <c r="Z48"/>
  <c r="Z47"/>
  <c r="Z45"/>
  <c r="Z44"/>
  <c r="Z43"/>
  <c r="Z42"/>
  <c r="Z41"/>
  <c r="Z40"/>
  <c r="Z39"/>
  <c r="Z38"/>
  <c r="Z36"/>
  <c r="Z35"/>
  <c r="Z34"/>
  <c r="Z33"/>
  <c r="Z32"/>
  <c r="Z31"/>
  <c r="Z30"/>
  <c r="Z29"/>
  <c r="Z27"/>
  <c r="Z26"/>
  <c r="Z25"/>
  <c r="Z24"/>
  <c r="Z23"/>
  <c r="Z22"/>
  <c r="Z21"/>
  <c r="Z20"/>
  <c r="Z19"/>
  <c r="Z18"/>
  <c r="Z17"/>
  <c r="Z16"/>
  <c r="Z15"/>
  <c r="Z14"/>
  <c r="Z13"/>
  <c r="Z12"/>
  <c r="Z11"/>
  <c r="Z105"/>
  <c r="Z106"/>
  <c r="Y69"/>
  <c r="Y70"/>
  <c r="Z70" s="1"/>
  <c r="Y71"/>
  <c r="Y72"/>
  <c r="Y73"/>
  <c r="Y74"/>
  <c r="Y75"/>
  <c r="Y76"/>
  <c r="Y77"/>
  <c r="Y78"/>
  <c r="Y79"/>
  <c r="Y80"/>
  <c r="Y81"/>
  <c r="Y82"/>
  <c r="Y83"/>
  <c r="Y84"/>
  <c r="Y85"/>
  <c r="Y86"/>
  <c r="Y87"/>
  <c r="Y88"/>
  <c r="Y89"/>
  <c r="Y90"/>
  <c r="Y91"/>
  <c r="Z91" s="1"/>
  <c r="Y92"/>
  <c r="Y93"/>
  <c r="Z93" s="1"/>
  <c r="Y94"/>
  <c r="Y95"/>
  <c r="Y96"/>
  <c r="Y97"/>
  <c r="Y98"/>
  <c r="Y99"/>
  <c r="Y100"/>
  <c r="Y101"/>
  <c r="Y102"/>
  <c r="Y103"/>
  <c r="Z103" s="1"/>
  <c r="Y105"/>
  <c r="Y106"/>
  <c r="Y107"/>
  <c r="Z107" s="1"/>
  <c r="Y67"/>
  <c r="Y66"/>
  <c r="Y65"/>
  <c r="Y64"/>
  <c r="Y63"/>
  <c r="Y62"/>
  <c r="Y38"/>
  <c r="Y39"/>
  <c r="Y40"/>
  <c r="Y41"/>
  <c r="Y42"/>
  <c r="Y43"/>
  <c r="Y44"/>
  <c r="Y45"/>
  <c r="Y46"/>
  <c r="Z46" s="1"/>
  <c r="Y47"/>
  <c r="Y48"/>
  <c r="Y49"/>
  <c r="Y50"/>
  <c r="Y51"/>
  <c r="Y52"/>
  <c r="Y53"/>
  <c r="Y54"/>
  <c r="Y55"/>
  <c r="Y56"/>
  <c r="Y57"/>
  <c r="Y37"/>
  <c r="Z37" s="1"/>
  <c r="J109"/>
  <c r="K109"/>
  <c r="L109"/>
  <c r="M109"/>
  <c r="N109"/>
  <c r="P109"/>
  <c r="Q109"/>
  <c r="R109"/>
  <c r="S109"/>
  <c r="T109"/>
  <c r="V109"/>
  <c r="AA109"/>
  <c r="AB109"/>
  <c r="I109"/>
  <c r="J104"/>
  <c r="K104"/>
  <c r="L104"/>
  <c r="M104"/>
  <c r="N104"/>
  <c r="O104"/>
  <c r="P104"/>
  <c r="Q104"/>
  <c r="R104"/>
  <c r="S104"/>
  <c r="T104"/>
  <c r="U104"/>
  <c r="V104"/>
  <c r="W104"/>
  <c r="W109" s="1"/>
  <c r="X104"/>
  <c r="X109" s="1"/>
  <c r="Y104"/>
  <c r="AA104"/>
  <c r="AB104"/>
  <c r="AE104"/>
  <c r="AH104"/>
  <c r="AH109" s="1"/>
  <c r="K13" i="16" s="1"/>
  <c r="I104" i="4"/>
  <c r="U73"/>
  <c r="U71"/>
  <c r="U72"/>
  <c r="D63" i="8"/>
  <c r="D10"/>
  <c r="L10"/>
  <c r="K12" i="14" s="1"/>
  <c r="D64" i="8"/>
  <c r="D9"/>
  <c r="L9"/>
  <c r="K11" i="14" s="1"/>
  <c r="T11" s="1"/>
  <c r="D65" i="8"/>
  <c r="Z82"/>
  <c r="H83" i="13" s="1"/>
  <c r="J83" s="1"/>
  <c r="Z76" i="8"/>
  <c r="H77" i="13" s="1"/>
  <c r="J77" s="1"/>
  <c r="Z46" i="8"/>
  <c r="H47" i="13" s="1"/>
  <c r="J47" s="1"/>
  <c r="Z39" i="8"/>
  <c r="H40" i="13" s="1"/>
  <c r="J40" s="1"/>
  <c r="Z38" i="8"/>
  <c r="H39" i="13" s="1"/>
  <c r="J39" s="1"/>
  <c r="E37" i="5"/>
  <c r="E105" i="8"/>
  <c r="E107" s="1"/>
  <c r="F105"/>
  <c r="G105"/>
  <c r="G107" s="1"/>
  <c r="H105"/>
  <c r="H107" s="1"/>
  <c r="I105"/>
  <c r="I107" s="1"/>
  <c r="J105"/>
  <c r="J107" s="1"/>
  <c r="K105"/>
  <c r="K107" s="1"/>
  <c r="L105"/>
  <c r="M105"/>
  <c r="M107" s="1"/>
  <c r="N105"/>
  <c r="N107" s="1"/>
  <c r="O105"/>
  <c r="O107" s="1"/>
  <c r="P105"/>
  <c r="P107" s="1"/>
  <c r="Q105"/>
  <c r="Q107" s="1"/>
  <c r="S105"/>
  <c r="S107" s="1"/>
  <c r="T105"/>
  <c r="T107" s="1"/>
  <c r="Z105"/>
  <c r="AB105"/>
  <c r="E59"/>
  <c r="F59"/>
  <c r="F107" s="1"/>
  <c r="G59"/>
  <c r="H59"/>
  <c r="I59"/>
  <c r="J59"/>
  <c r="K59"/>
  <c r="M59"/>
  <c r="N59"/>
  <c r="O59"/>
  <c r="P59"/>
  <c r="Q59"/>
  <c r="R59"/>
  <c r="S59"/>
  <c r="T59"/>
  <c r="Z59"/>
  <c r="AB59"/>
  <c r="AB107" s="1"/>
  <c r="D88"/>
  <c r="D86"/>
  <c r="D84"/>
  <c r="D82"/>
  <c r="D80"/>
  <c r="D73"/>
  <c r="C72" i="15" s="1"/>
  <c r="D41" i="8"/>
  <c r="D35"/>
  <c r="C35" i="15" s="1"/>
  <c r="D22" i="8"/>
  <c r="D20"/>
  <c r="D11"/>
  <c r="L8"/>
  <c r="K10" i="14" s="1"/>
  <c r="D90" i="8"/>
  <c r="D94"/>
  <c r="D79"/>
  <c r="D75"/>
  <c r="C74" i="15" s="1"/>
  <c r="B37" i="5"/>
  <c r="B38"/>
  <c r="G102" i="15"/>
  <c r="G101"/>
  <c r="G100"/>
  <c r="G99"/>
  <c r="G98"/>
  <c r="G97"/>
  <c r="G96"/>
  <c r="G95"/>
  <c r="G94"/>
  <c r="G93"/>
  <c r="G92"/>
  <c r="G91"/>
  <c r="G90"/>
  <c r="G89"/>
  <c r="G88"/>
  <c r="G87"/>
  <c r="G86"/>
  <c r="G85"/>
  <c r="G84"/>
  <c r="G83"/>
  <c r="G82"/>
  <c r="G81"/>
  <c r="G80"/>
  <c r="G79"/>
  <c r="G78"/>
  <c r="G77"/>
  <c r="G76"/>
  <c r="G75"/>
  <c r="G74"/>
  <c r="G73"/>
  <c r="G72"/>
  <c r="G71"/>
  <c r="G70"/>
  <c r="G69"/>
  <c r="G68"/>
  <c r="G67"/>
  <c r="G66"/>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8"/>
  <c r="J104"/>
  <c r="J59"/>
  <c r="A8"/>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S107" i="14"/>
  <c r="R107"/>
  <c r="P107"/>
  <c r="O107"/>
  <c r="N107"/>
  <c r="M107"/>
  <c r="L107"/>
  <c r="K107"/>
  <c r="J107"/>
  <c r="I107"/>
  <c r="H107"/>
  <c r="G107"/>
  <c r="F107"/>
  <c r="E107"/>
  <c r="D107"/>
  <c r="T106"/>
  <c r="T105"/>
  <c r="T104"/>
  <c r="T103"/>
  <c r="T102"/>
  <c r="T101"/>
  <c r="T100"/>
  <c r="T99"/>
  <c r="T98"/>
  <c r="T97"/>
  <c r="T96"/>
  <c r="T95"/>
  <c r="T94"/>
  <c r="T93"/>
  <c r="T92"/>
  <c r="T91"/>
  <c r="T90"/>
  <c r="T89"/>
  <c r="T88"/>
  <c r="T87"/>
  <c r="T86"/>
  <c r="T85"/>
  <c r="T84"/>
  <c r="T83"/>
  <c r="T82"/>
  <c r="T81"/>
  <c r="T80"/>
  <c r="T79"/>
  <c r="T77"/>
  <c r="T76"/>
  <c r="T75"/>
  <c r="T74"/>
  <c r="T73"/>
  <c r="T72"/>
  <c r="T71"/>
  <c r="T70"/>
  <c r="T69"/>
  <c r="T68"/>
  <c r="T67"/>
  <c r="T66"/>
  <c r="T65"/>
  <c r="T64"/>
  <c r="T63"/>
  <c r="S61"/>
  <c r="R61"/>
  <c r="Q61"/>
  <c r="P61"/>
  <c r="O61"/>
  <c r="N61"/>
  <c r="M61"/>
  <c r="L61"/>
  <c r="J61"/>
  <c r="I61"/>
  <c r="H61"/>
  <c r="G61"/>
  <c r="F61"/>
  <c r="E61"/>
  <c r="D61"/>
  <c r="T60"/>
  <c r="T59"/>
  <c r="T58"/>
  <c r="T57"/>
  <c r="T56"/>
  <c r="T55"/>
  <c r="T54"/>
  <c r="T53"/>
  <c r="T52"/>
  <c r="T51"/>
  <c r="T50"/>
  <c r="T49"/>
  <c r="T48"/>
  <c r="T47"/>
  <c r="T46"/>
  <c r="T45"/>
  <c r="T44"/>
  <c r="T43"/>
  <c r="T42"/>
  <c r="T41"/>
  <c r="T40"/>
  <c r="T39"/>
  <c r="T38"/>
  <c r="T37"/>
  <c r="T36"/>
  <c r="T35"/>
  <c r="T34"/>
  <c r="T33"/>
  <c r="T32"/>
  <c r="T31"/>
  <c r="T30"/>
  <c r="T29"/>
  <c r="T28"/>
  <c r="T27"/>
  <c r="T26"/>
  <c r="T25"/>
  <c r="T24"/>
  <c r="T23"/>
  <c r="T22"/>
  <c r="T21"/>
  <c r="T20"/>
  <c r="T19"/>
  <c r="T18"/>
  <c r="T17"/>
  <c r="T16"/>
  <c r="T15"/>
  <c r="T14"/>
  <c r="T13"/>
  <c r="T12"/>
  <c r="T10"/>
  <c r="A10"/>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9" s="1"/>
  <c r="V9"/>
  <c r="A9" i="13"/>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8" s="1"/>
  <c r="M106"/>
  <c r="I106"/>
  <c r="M60"/>
  <c r="I60"/>
  <c r="AA104" i="8"/>
  <c r="AA103"/>
  <c r="AA102"/>
  <c r="AA101"/>
  <c r="AA100"/>
  <c r="AA99"/>
  <c r="AA98"/>
  <c r="AA97"/>
  <c r="AA96"/>
  <c r="AA95"/>
  <c r="AA94"/>
  <c r="AA93"/>
  <c r="AA92"/>
  <c r="AA91"/>
  <c r="AA90"/>
  <c r="AA89"/>
  <c r="AA88"/>
  <c r="AA87"/>
  <c r="AA86"/>
  <c r="AA85"/>
  <c r="AA84"/>
  <c r="AA83"/>
  <c r="AA81"/>
  <c r="AA80"/>
  <c r="AA79"/>
  <c r="AA78"/>
  <c r="AA77"/>
  <c r="AA75"/>
  <c r="AA74"/>
  <c r="AA73"/>
  <c r="AA72"/>
  <c r="AA71"/>
  <c r="AA70"/>
  <c r="AA69"/>
  <c r="AA68"/>
  <c r="AA67"/>
  <c r="AA66"/>
  <c r="AA65"/>
  <c r="AA64"/>
  <c r="AA63"/>
  <c r="AA62"/>
  <c r="AA61"/>
  <c r="AA9"/>
  <c r="AA10"/>
  <c r="AA11"/>
  <c r="AA12"/>
  <c r="AA13"/>
  <c r="AA14"/>
  <c r="AA15"/>
  <c r="AA16"/>
  <c r="AA17"/>
  <c r="AA18"/>
  <c r="AA19"/>
  <c r="AA20"/>
  <c r="AA21"/>
  <c r="AA22"/>
  <c r="AA23"/>
  <c r="AA24"/>
  <c r="AA25"/>
  <c r="AA26"/>
  <c r="AA27"/>
  <c r="AA28"/>
  <c r="AA29"/>
  <c r="AA30"/>
  <c r="AA31"/>
  <c r="AA32"/>
  <c r="AA33"/>
  <c r="AA34"/>
  <c r="AA35"/>
  <c r="AA36"/>
  <c r="AA37"/>
  <c r="AA40"/>
  <c r="AA41"/>
  <c r="AA42"/>
  <c r="AA43"/>
  <c r="AA44"/>
  <c r="AA45"/>
  <c r="AA47"/>
  <c r="AA48"/>
  <c r="AA49"/>
  <c r="AA50"/>
  <c r="AA51"/>
  <c r="AA52"/>
  <c r="AA53"/>
  <c r="AA54"/>
  <c r="AA55"/>
  <c r="AA56"/>
  <c r="AA57"/>
  <c r="AA58"/>
  <c r="AA8"/>
  <c r="AH68" i="4"/>
  <c r="AH61"/>
  <c r="AH58"/>
  <c r="AA68"/>
  <c r="AB68"/>
  <c r="AA61"/>
  <c r="AB61"/>
  <c r="AA58"/>
  <c r="AB58"/>
  <c r="AB106"/>
  <c r="I85"/>
  <c r="I30"/>
  <c r="R99" i="19" l="1"/>
  <c r="U99" s="1"/>
  <c r="F37" i="5"/>
  <c r="C81" i="14"/>
  <c r="C80" i="13"/>
  <c r="C91"/>
  <c r="C92" i="14"/>
  <c r="C12" i="13"/>
  <c r="C13" i="14"/>
  <c r="C24"/>
  <c r="C23" i="13"/>
  <c r="C42"/>
  <c r="C43" i="14"/>
  <c r="C81" i="13"/>
  <c r="C82" i="14"/>
  <c r="C85" i="13"/>
  <c r="C86" i="14"/>
  <c r="C89" i="13"/>
  <c r="C90" i="14"/>
  <c r="C67"/>
  <c r="C66" i="13"/>
  <c r="C10"/>
  <c r="C11" i="14"/>
  <c r="C65"/>
  <c r="C64" i="13"/>
  <c r="C9" i="15"/>
  <c r="C41"/>
  <c r="C11"/>
  <c r="C78"/>
  <c r="C64"/>
  <c r="C62"/>
  <c r="C77" i="14"/>
  <c r="C76" i="13"/>
  <c r="C95"/>
  <c r="C96" i="14"/>
  <c r="C22"/>
  <c r="C21" i="13"/>
  <c r="C36"/>
  <c r="C37" i="14"/>
  <c r="C75"/>
  <c r="C74" i="13"/>
  <c r="C83"/>
  <c r="C84" i="14"/>
  <c r="C87" i="13"/>
  <c r="C88" i="14"/>
  <c r="C65" i="13"/>
  <c r="C66" i="14"/>
  <c r="C12"/>
  <c r="C11" i="13"/>
  <c r="L59" i="8"/>
  <c r="C22" i="15"/>
  <c r="C20"/>
  <c r="C10"/>
  <c r="C93"/>
  <c r="C89"/>
  <c r="C87"/>
  <c r="C85"/>
  <c r="C83"/>
  <c r="C81"/>
  <c r="C79"/>
  <c r="C63"/>
  <c r="F27" i="5"/>
  <c r="R95" i="19"/>
  <c r="U95" s="1"/>
  <c r="Q109" i="17"/>
  <c r="P87" i="19"/>
  <c r="R87" s="1"/>
  <c r="U87" s="1"/>
  <c r="M87"/>
  <c r="P83"/>
  <c r="R83" s="1"/>
  <c r="U83" s="1"/>
  <c r="M83"/>
  <c r="P79"/>
  <c r="R79" s="1"/>
  <c r="U79" s="1"/>
  <c r="M79"/>
  <c r="P75"/>
  <c r="R75" s="1"/>
  <c r="U75" s="1"/>
  <c r="M75"/>
  <c r="P70"/>
  <c r="R70" s="1"/>
  <c r="U70" s="1"/>
  <c r="M70"/>
  <c r="P66"/>
  <c r="M66"/>
  <c r="P51"/>
  <c r="R51" s="1"/>
  <c r="U51" s="1"/>
  <c r="M51"/>
  <c r="P47"/>
  <c r="R47" s="1"/>
  <c r="U47" s="1"/>
  <c r="M47"/>
  <c r="P43"/>
  <c r="R43" s="1"/>
  <c r="U43" s="1"/>
  <c r="M43"/>
  <c r="P39"/>
  <c r="R39" s="1"/>
  <c r="U39" s="1"/>
  <c r="M39"/>
  <c r="P34"/>
  <c r="R34" s="1"/>
  <c r="U34" s="1"/>
  <c r="M34"/>
  <c r="P30"/>
  <c r="R30" s="1"/>
  <c r="U30" s="1"/>
  <c r="M30"/>
  <c r="P26"/>
  <c r="R26" s="1"/>
  <c r="U26" s="1"/>
  <c r="M26"/>
  <c r="P22"/>
  <c r="R22" s="1"/>
  <c r="U22" s="1"/>
  <c r="M22"/>
  <c r="P18"/>
  <c r="R18" s="1"/>
  <c r="U18" s="1"/>
  <c r="M18"/>
  <c r="P14"/>
  <c r="R14" s="1"/>
  <c r="U14" s="1"/>
  <c r="M14"/>
  <c r="M68"/>
  <c r="R56"/>
  <c r="R62"/>
  <c r="R53"/>
  <c r="P37"/>
  <c r="R37" s="1"/>
  <c r="U37" s="1"/>
  <c r="M37"/>
  <c r="R101"/>
  <c r="U101" s="1"/>
  <c r="M101"/>
  <c r="R97"/>
  <c r="U97" s="1"/>
  <c r="M97"/>
  <c r="R93"/>
  <c r="U93" s="1"/>
  <c r="M93"/>
  <c r="R89"/>
  <c r="U89" s="1"/>
  <c r="M89"/>
  <c r="P85"/>
  <c r="R85" s="1"/>
  <c r="U85" s="1"/>
  <c r="M85"/>
  <c r="P81"/>
  <c r="R81" s="1"/>
  <c r="U81" s="1"/>
  <c r="M81"/>
  <c r="P77"/>
  <c r="R77" s="1"/>
  <c r="U77" s="1"/>
  <c r="M77"/>
  <c r="P72"/>
  <c r="R72" s="1"/>
  <c r="U72" s="1"/>
  <c r="M72"/>
  <c r="P49"/>
  <c r="R49" s="1"/>
  <c r="U49" s="1"/>
  <c r="M49"/>
  <c r="P45"/>
  <c r="R45" s="1"/>
  <c r="U45" s="1"/>
  <c r="M45"/>
  <c r="P41"/>
  <c r="R41" s="1"/>
  <c r="U41" s="1"/>
  <c r="M41"/>
  <c r="P36"/>
  <c r="R36" s="1"/>
  <c r="U36" s="1"/>
  <c r="M36"/>
  <c r="P32"/>
  <c r="R32" s="1"/>
  <c r="U32" s="1"/>
  <c r="M32"/>
  <c r="P28"/>
  <c r="R28" s="1"/>
  <c r="U28" s="1"/>
  <c r="M28"/>
  <c r="P24"/>
  <c r="R24" s="1"/>
  <c r="U24" s="1"/>
  <c r="M24"/>
  <c r="P20"/>
  <c r="R20" s="1"/>
  <c r="U20" s="1"/>
  <c r="M20"/>
  <c r="P16"/>
  <c r="R16" s="1"/>
  <c r="U16" s="1"/>
  <c r="M16"/>
  <c r="P12"/>
  <c r="R12" s="1"/>
  <c r="U12" s="1"/>
  <c r="M12"/>
  <c r="M58" s="1"/>
  <c r="M104"/>
  <c r="R59"/>
  <c r="R55"/>
  <c r="U55" s="1"/>
  <c r="K104"/>
  <c r="K61"/>
  <c r="U105"/>
  <c r="U56"/>
  <c r="K68"/>
  <c r="K58"/>
  <c r="U64"/>
  <c r="U103"/>
  <c r="U60"/>
  <c r="U53"/>
  <c r="Z104" i="18"/>
  <c r="Z61"/>
  <c r="Z58"/>
  <c r="Z68"/>
  <c r="K104" i="17"/>
  <c r="K61"/>
  <c r="K68"/>
  <c r="O68" s="1"/>
  <c r="K58"/>
  <c r="H106" i="13"/>
  <c r="D109" i="14"/>
  <c r="F109"/>
  <c r="H109"/>
  <c r="J109"/>
  <c r="L109"/>
  <c r="N109"/>
  <c r="P109"/>
  <c r="S109"/>
  <c r="K61"/>
  <c r="K109" s="1"/>
  <c r="E109"/>
  <c r="G109"/>
  <c r="I109"/>
  <c r="M109"/>
  <c r="O109"/>
  <c r="R109"/>
  <c r="Z104" i="4"/>
  <c r="Z61"/>
  <c r="L107" i="8"/>
  <c r="Z107"/>
  <c r="J105" i="15"/>
  <c r="K11" i="16" s="1"/>
  <c r="T61" i="14"/>
  <c r="J60" i="13"/>
  <c r="H60"/>
  <c r="H108" s="1"/>
  <c r="M108"/>
  <c r="J106"/>
  <c r="I108"/>
  <c r="D33" i="8"/>
  <c r="C78"/>
  <c r="D78"/>
  <c r="U78"/>
  <c r="AC78"/>
  <c r="C34" i="13" l="1"/>
  <c r="C35" i="14"/>
  <c r="C33" i="15"/>
  <c r="W78" i="8"/>
  <c r="V78"/>
  <c r="U80" i="14" s="1"/>
  <c r="C79" i="13"/>
  <c r="C80" i="14"/>
  <c r="C77" i="15"/>
  <c r="R66" i="19"/>
  <c r="U66" s="1"/>
  <c r="P68"/>
  <c r="R68" s="1"/>
  <c r="S68" s="1"/>
  <c r="M109"/>
  <c r="O58"/>
  <c r="P10"/>
  <c r="R10" s="1"/>
  <c r="U62"/>
  <c r="O104"/>
  <c r="P69"/>
  <c r="S61"/>
  <c r="R61"/>
  <c r="U61" s="1"/>
  <c r="U59"/>
  <c r="K109"/>
  <c r="Z109" i="18"/>
  <c r="O61" i="17"/>
  <c r="K109"/>
  <c r="J108" i="13"/>
  <c r="G59" i="15"/>
  <c r="G104"/>
  <c r="X78" i="8"/>
  <c r="AD78" s="1"/>
  <c r="V80" i="14" l="1"/>
  <c r="W80"/>
  <c r="D79" i="13"/>
  <c r="D77" i="15"/>
  <c r="E77" s="1"/>
  <c r="H77" s="1"/>
  <c r="U68" i="19"/>
  <c r="O109"/>
  <c r="R69"/>
  <c r="P104"/>
  <c r="P58"/>
  <c r="M104" i="17"/>
  <c r="M58"/>
  <c r="G105" i="15"/>
  <c r="G11" i="16" s="1"/>
  <c r="I10" i="1" s="1"/>
  <c r="AE78" i="8"/>
  <c r="AG78"/>
  <c r="AC51"/>
  <c r="G79" i="13" l="1"/>
  <c r="K79" s="1"/>
  <c r="E79"/>
  <c r="I77" i="15"/>
  <c r="K77"/>
  <c r="M109" i="17"/>
  <c r="P109" i="19"/>
  <c r="U69"/>
  <c r="U104" s="1"/>
  <c r="R104"/>
  <c r="S104"/>
  <c r="R58"/>
  <c r="S58"/>
  <c r="U10"/>
  <c r="U58" s="1"/>
  <c r="O104" i="17"/>
  <c r="Y82" i="8"/>
  <c r="Y76"/>
  <c r="Y46"/>
  <c r="Y39"/>
  <c r="Y38"/>
  <c r="AC104"/>
  <c r="AC103"/>
  <c r="AC102"/>
  <c r="AC101"/>
  <c r="AC100"/>
  <c r="AC99"/>
  <c r="AC69"/>
  <c r="AC98"/>
  <c r="AC97"/>
  <c r="AC96"/>
  <c r="AC95"/>
  <c r="AC94"/>
  <c r="AC93"/>
  <c r="AC92"/>
  <c r="AC91"/>
  <c r="AC90"/>
  <c r="AC89"/>
  <c r="AC88"/>
  <c r="AC77"/>
  <c r="AC87"/>
  <c r="AC86"/>
  <c r="AC85"/>
  <c r="AC84"/>
  <c r="AC83"/>
  <c r="AC82"/>
  <c r="AC81"/>
  <c r="AC80"/>
  <c r="AC79"/>
  <c r="AC76"/>
  <c r="AC75"/>
  <c r="AC74"/>
  <c r="AC73"/>
  <c r="AC72"/>
  <c r="AC71"/>
  <c r="AC70"/>
  <c r="AC68"/>
  <c r="AC67"/>
  <c r="AC66"/>
  <c r="AC65"/>
  <c r="AC64"/>
  <c r="AC63"/>
  <c r="AC62"/>
  <c r="AC61"/>
  <c r="AC9"/>
  <c r="AC10"/>
  <c r="AC11"/>
  <c r="AC12"/>
  <c r="AC13"/>
  <c r="AC14"/>
  <c r="AC15"/>
  <c r="AC16"/>
  <c r="AC17"/>
  <c r="AC18"/>
  <c r="AC19"/>
  <c r="AC20"/>
  <c r="AC21"/>
  <c r="AC22"/>
  <c r="AC23"/>
  <c r="AC24"/>
  <c r="AC25"/>
  <c r="AC26"/>
  <c r="AC27"/>
  <c r="AC28"/>
  <c r="AC29"/>
  <c r="AC30"/>
  <c r="AC31"/>
  <c r="AC32"/>
  <c r="AC33"/>
  <c r="AC34"/>
  <c r="AC35"/>
  <c r="AC36"/>
  <c r="AC37"/>
  <c r="AC38"/>
  <c r="AC39"/>
  <c r="AC40"/>
  <c r="AC41"/>
  <c r="AC42"/>
  <c r="AC43"/>
  <c r="AC44"/>
  <c r="AC45"/>
  <c r="AC46"/>
  <c r="AC47"/>
  <c r="AC48"/>
  <c r="AC49"/>
  <c r="AC50"/>
  <c r="AC52"/>
  <c r="AC53"/>
  <c r="AC54"/>
  <c r="AC55"/>
  <c r="AC56"/>
  <c r="AC57"/>
  <c r="AC58"/>
  <c r="AC8"/>
  <c r="E77" i="9"/>
  <c r="E76"/>
  <c r="C63"/>
  <c r="E62"/>
  <c r="E61"/>
  <c r="E60"/>
  <c r="E59"/>
  <c r="E58"/>
  <c r="E56"/>
  <c r="E55"/>
  <c r="D52"/>
  <c r="C52"/>
  <c r="C65" s="1"/>
  <c r="E51"/>
  <c r="E50"/>
  <c r="E49"/>
  <c r="E48"/>
  <c r="E47"/>
  <c r="E46"/>
  <c r="E45"/>
  <c r="E44"/>
  <c r="E43"/>
  <c r="E42"/>
  <c r="E41"/>
  <c r="E52" s="1"/>
  <c r="E35"/>
  <c r="E34"/>
  <c r="E30"/>
  <c r="E29"/>
  <c r="E28"/>
  <c r="D26"/>
  <c r="C26"/>
  <c r="E25"/>
  <c r="E24"/>
  <c r="E23"/>
  <c r="E22"/>
  <c r="E21"/>
  <c r="E20"/>
  <c r="E19"/>
  <c r="E18"/>
  <c r="E17"/>
  <c r="E16"/>
  <c r="E26" s="1"/>
  <c r="D13"/>
  <c r="D72" s="1"/>
  <c r="C13"/>
  <c r="C72" s="1"/>
  <c r="C79" s="1"/>
  <c r="E12"/>
  <c r="E11"/>
  <c r="E10"/>
  <c r="E9"/>
  <c r="E13" s="1"/>
  <c r="F40" i="13" l="1"/>
  <c r="F39" i="15"/>
  <c r="AA39" i="8"/>
  <c r="F77" i="13"/>
  <c r="F75" i="15"/>
  <c r="Y105" i="8"/>
  <c r="AA76"/>
  <c r="N79" i="13"/>
  <c r="L79"/>
  <c r="AC105" i="8"/>
  <c r="F39" i="13"/>
  <c r="AA38" i="8"/>
  <c r="Y59"/>
  <c r="F38" i="15"/>
  <c r="F59" s="1"/>
  <c r="F47" i="13"/>
  <c r="AA46" i="8"/>
  <c r="F46" i="15"/>
  <c r="F83" i="13"/>
  <c r="F81" i="15"/>
  <c r="AA82" i="8"/>
  <c r="S109" i="19"/>
  <c r="U109"/>
  <c r="R109"/>
  <c r="O109" i="17"/>
  <c r="AC59" i="8"/>
  <c r="AC107" s="1"/>
  <c r="C80" i="9"/>
  <c r="C32" s="1"/>
  <c r="D79"/>
  <c r="E72"/>
  <c r="F60" i="13" l="1"/>
  <c r="AA105" i="8"/>
  <c r="F104" i="15"/>
  <c r="F105" s="1"/>
  <c r="F11" i="16" s="1"/>
  <c r="AA59" i="8"/>
  <c r="AA107" s="1"/>
  <c r="Y107"/>
  <c r="F106" i="13"/>
  <c r="F108" s="1"/>
  <c r="E31" i="5"/>
  <c r="F10" i="10"/>
  <c r="D80" i="9"/>
  <c r="E79"/>
  <c r="D81"/>
  <c r="D83" s="1"/>
  <c r="C81"/>
  <c r="C83" s="1"/>
  <c r="C31" s="1"/>
  <c r="C36" s="1"/>
  <c r="C38" s="1"/>
  <c r="C67" s="1"/>
  <c r="D31" l="1"/>
  <c r="E83"/>
  <c r="E80"/>
  <c r="D32"/>
  <c r="E32" s="1"/>
  <c r="E81"/>
  <c r="E31" l="1"/>
  <c r="W7" i="8" l="1"/>
  <c r="U104"/>
  <c r="U103"/>
  <c r="U102"/>
  <c r="U101"/>
  <c r="U100"/>
  <c r="U99"/>
  <c r="U69"/>
  <c r="V69" s="1"/>
  <c r="U71" i="14" s="1"/>
  <c r="D69" i="8"/>
  <c r="C69"/>
  <c r="U98"/>
  <c r="D98"/>
  <c r="C98"/>
  <c r="U97"/>
  <c r="V97" s="1"/>
  <c r="U99" i="14" s="1"/>
  <c r="D97" i="8"/>
  <c r="C97"/>
  <c r="U96"/>
  <c r="D96"/>
  <c r="C96"/>
  <c r="U95"/>
  <c r="V95" s="1"/>
  <c r="U97" i="14" s="1"/>
  <c r="D95" i="8"/>
  <c r="C95"/>
  <c r="U94"/>
  <c r="V94" s="1"/>
  <c r="U96" i="14" s="1"/>
  <c r="C94" i="8"/>
  <c r="U93"/>
  <c r="D93"/>
  <c r="C93"/>
  <c r="U92"/>
  <c r="V92" s="1"/>
  <c r="U94" i="14" s="1"/>
  <c r="D92" i="8"/>
  <c r="C92"/>
  <c r="U91"/>
  <c r="D91"/>
  <c r="C91"/>
  <c r="U90"/>
  <c r="V90" s="1"/>
  <c r="U92" i="14" s="1"/>
  <c r="C90" i="8"/>
  <c r="U89"/>
  <c r="V89" s="1"/>
  <c r="U91" i="14" s="1"/>
  <c r="D89" i="8"/>
  <c r="C89"/>
  <c r="U88"/>
  <c r="V88" s="1"/>
  <c r="U90" i="14" s="1"/>
  <c r="C88" i="8"/>
  <c r="U77"/>
  <c r="D77"/>
  <c r="C77"/>
  <c r="U87"/>
  <c r="V87" s="1"/>
  <c r="U89" i="14" s="1"/>
  <c r="D87" i="8"/>
  <c r="C87"/>
  <c r="U86"/>
  <c r="V86" s="1"/>
  <c r="U88" i="14" s="1"/>
  <c r="C86" i="8"/>
  <c r="U85"/>
  <c r="D85"/>
  <c r="C85"/>
  <c r="U84"/>
  <c r="V84" s="1"/>
  <c r="U86" i="14" s="1"/>
  <c r="C84" i="8"/>
  <c r="U83"/>
  <c r="V83" s="1"/>
  <c r="U85" i="14" s="1"/>
  <c r="D83" i="8"/>
  <c r="C83"/>
  <c r="U82"/>
  <c r="V82" s="1"/>
  <c r="U84" i="14" s="1"/>
  <c r="C82" i="8"/>
  <c r="U81"/>
  <c r="D81"/>
  <c r="C81"/>
  <c r="U80"/>
  <c r="V80" s="1"/>
  <c r="U82" i="14" s="1"/>
  <c r="C80" i="8"/>
  <c r="U79"/>
  <c r="V79" s="1"/>
  <c r="U81" i="14" s="1"/>
  <c r="C79" i="8"/>
  <c r="R76"/>
  <c r="D76"/>
  <c r="C76"/>
  <c r="U75"/>
  <c r="V75" s="1"/>
  <c r="U77" i="14" s="1"/>
  <c r="C75" i="8"/>
  <c r="U74"/>
  <c r="D74"/>
  <c r="C74"/>
  <c r="U73"/>
  <c r="V73" s="1"/>
  <c r="U75" i="14" s="1"/>
  <c r="C73" i="8"/>
  <c r="U72"/>
  <c r="V72" s="1"/>
  <c r="U74" i="14" s="1"/>
  <c r="D72" i="8"/>
  <c r="C72"/>
  <c r="U71"/>
  <c r="D71"/>
  <c r="C71"/>
  <c r="U70"/>
  <c r="V70" s="1"/>
  <c r="U72" i="14" s="1"/>
  <c r="D70" i="8"/>
  <c r="C70"/>
  <c r="U68"/>
  <c r="D68"/>
  <c r="C68"/>
  <c r="U67"/>
  <c r="V67" s="1"/>
  <c r="U69" i="14" s="1"/>
  <c r="D67" i="8"/>
  <c r="C67"/>
  <c r="U66"/>
  <c r="D66"/>
  <c r="C66"/>
  <c r="U65"/>
  <c r="V65" s="1"/>
  <c r="U67" i="14" s="1"/>
  <c r="C65" i="8"/>
  <c r="U64"/>
  <c r="C64"/>
  <c r="U63"/>
  <c r="V63" s="1"/>
  <c r="U65" i="14" s="1"/>
  <c r="C63" i="8"/>
  <c r="U62"/>
  <c r="V62" s="1"/>
  <c r="U64" i="14" s="1"/>
  <c r="D62" i="8"/>
  <c r="C62"/>
  <c r="U61"/>
  <c r="D61"/>
  <c r="C61"/>
  <c r="U58"/>
  <c r="U57"/>
  <c r="U56"/>
  <c r="U55"/>
  <c r="D55"/>
  <c r="C55"/>
  <c r="U54"/>
  <c r="V54" s="1"/>
  <c r="U56" i="14" s="1"/>
  <c r="D54" i="8"/>
  <c r="C54"/>
  <c r="U53"/>
  <c r="D53"/>
  <c r="C53"/>
  <c r="U52"/>
  <c r="V52" s="1"/>
  <c r="U54" i="14" s="1"/>
  <c r="D52" i="8"/>
  <c r="C52"/>
  <c r="U51"/>
  <c r="D51"/>
  <c r="C51"/>
  <c r="U50"/>
  <c r="V50" s="1"/>
  <c r="U52" i="14" s="1"/>
  <c r="D50" i="8"/>
  <c r="C50"/>
  <c r="U49"/>
  <c r="D49"/>
  <c r="C49"/>
  <c r="U48"/>
  <c r="V48" s="1"/>
  <c r="U50" i="14" s="1"/>
  <c r="D48" i="8"/>
  <c r="C48"/>
  <c r="U47"/>
  <c r="D47"/>
  <c r="C47"/>
  <c r="U46"/>
  <c r="V46" s="1"/>
  <c r="U48" i="14" s="1"/>
  <c r="D46" i="8"/>
  <c r="C46"/>
  <c r="U45"/>
  <c r="D45"/>
  <c r="C45"/>
  <c r="U44"/>
  <c r="V44" s="1"/>
  <c r="U46" i="14" s="1"/>
  <c r="D44" i="8"/>
  <c r="C44"/>
  <c r="U43"/>
  <c r="D43"/>
  <c r="C43"/>
  <c r="U42"/>
  <c r="V42" s="1"/>
  <c r="U44" i="14" s="1"/>
  <c r="D42" i="8"/>
  <c r="C42"/>
  <c r="U41"/>
  <c r="V41" s="1"/>
  <c r="U43" i="14" s="1"/>
  <c r="C41" i="8"/>
  <c r="U40"/>
  <c r="D40"/>
  <c r="C40"/>
  <c r="U39"/>
  <c r="V39" s="1"/>
  <c r="U41" i="14" s="1"/>
  <c r="D39" i="8"/>
  <c r="C39"/>
  <c r="U38"/>
  <c r="D38"/>
  <c r="C38"/>
  <c r="U37"/>
  <c r="V37" s="1"/>
  <c r="U39" i="14" s="1"/>
  <c r="D37" i="8"/>
  <c r="C37"/>
  <c r="U36"/>
  <c r="D36"/>
  <c r="C36"/>
  <c r="U35"/>
  <c r="V35" s="1"/>
  <c r="U37" i="14" s="1"/>
  <c r="C35" i="8"/>
  <c r="U34"/>
  <c r="V34" s="1"/>
  <c r="U36" i="14" s="1"/>
  <c r="D34" i="8"/>
  <c r="C34"/>
  <c r="U33"/>
  <c r="V33" s="1"/>
  <c r="U35" i="14" s="1"/>
  <c r="C33" i="8"/>
  <c r="U32"/>
  <c r="D32"/>
  <c r="C32"/>
  <c r="U31"/>
  <c r="V31" s="1"/>
  <c r="U33" i="14" s="1"/>
  <c r="D31" i="8"/>
  <c r="C31"/>
  <c r="U30"/>
  <c r="D30"/>
  <c r="C30"/>
  <c r="U29"/>
  <c r="V29" s="1"/>
  <c r="U31" i="14" s="1"/>
  <c r="D29" i="8"/>
  <c r="C29"/>
  <c r="U28"/>
  <c r="D28"/>
  <c r="C28"/>
  <c r="U27"/>
  <c r="V27" s="1"/>
  <c r="U29" i="14" s="1"/>
  <c r="D27" i="8"/>
  <c r="C27"/>
  <c r="U26"/>
  <c r="D26"/>
  <c r="C26"/>
  <c r="U25"/>
  <c r="V25" s="1"/>
  <c r="U27" i="14" s="1"/>
  <c r="D25" i="8"/>
  <c r="C25"/>
  <c r="U24"/>
  <c r="D24"/>
  <c r="C24"/>
  <c r="U23"/>
  <c r="V23" s="1"/>
  <c r="U25" i="14" s="1"/>
  <c r="D23" i="8"/>
  <c r="C23"/>
  <c r="U22"/>
  <c r="V22" s="1"/>
  <c r="U24" i="14" s="1"/>
  <c r="C22" i="8"/>
  <c r="U21"/>
  <c r="D21"/>
  <c r="C21"/>
  <c r="U20"/>
  <c r="V20" s="1"/>
  <c r="U22" i="14" s="1"/>
  <c r="C20" i="8"/>
  <c r="U19"/>
  <c r="V19" s="1"/>
  <c r="U21" i="14" s="1"/>
  <c r="D19" i="8"/>
  <c r="C19"/>
  <c r="U18"/>
  <c r="D18"/>
  <c r="C18"/>
  <c r="U17"/>
  <c r="V17" s="1"/>
  <c r="U19" i="14" s="1"/>
  <c r="D17" i="8"/>
  <c r="C17"/>
  <c r="U16"/>
  <c r="D16"/>
  <c r="C16"/>
  <c r="U15"/>
  <c r="V15" s="1"/>
  <c r="U17" i="14" s="1"/>
  <c r="D15" i="8"/>
  <c r="C15"/>
  <c r="U14"/>
  <c r="D14"/>
  <c r="C14"/>
  <c r="U13"/>
  <c r="V13" s="1"/>
  <c r="U15" i="14" s="1"/>
  <c r="D13" i="8"/>
  <c r="C13"/>
  <c r="U12"/>
  <c r="D12"/>
  <c r="C12"/>
  <c r="U11"/>
  <c r="V11" s="1"/>
  <c r="U13" i="14" s="1"/>
  <c r="C11" i="8"/>
  <c r="U10"/>
  <c r="C10"/>
  <c r="U9"/>
  <c r="C9"/>
  <c r="D8"/>
  <c r="C8"/>
  <c r="V9" l="1"/>
  <c r="U11" i="14" s="1"/>
  <c r="V13"/>
  <c r="W13"/>
  <c r="C14"/>
  <c r="C13" i="13"/>
  <c r="C12" i="15"/>
  <c r="C16" i="14"/>
  <c r="C15" i="13"/>
  <c r="C14" i="15"/>
  <c r="V17" i="14"/>
  <c r="C18"/>
  <c r="C17" i="13"/>
  <c r="C16" i="15"/>
  <c r="C20" i="14"/>
  <c r="C19" i="13"/>
  <c r="C18" i="15"/>
  <c r="V22" i="14"/>
  <c r="W22"/>
  <c r="V27"/>
  <c r="V29"/>
  <c r="C30"/>
  <c r="C29" i="13"/>
  <c r="C28" i="15"/>
  <c r="V33" i="14"/>
  <c r="V36"/>
  <c r="C38"/>
  <c r="C37" i="13"/>
  <c r="C36" i="15"/>
  <c r="V41" i="14"/>
  <c r="V44"/>
  <c r="V48"/>
  <c r="C14" i="13"/>
  <c r="C15" i="14"/>
  <c r="C13" i="15"/>
  <c r="C16" i="13"/>
  <c r="C17" i="14"/>
  <c r="W17" s="1"/>
  <c r="C15" i="15"/>
  <c r="C18" i="13"/>
  <c r="C19" i="14"/>
  <c r="C17" i="15"/>
  <c r="C20" i="13"/>
  <c r="C21" i="14"/>
  <c r="C19" i="15"/>
  <c r="V24" i="14"/>
  <c r="W24"/>
  <c r="C24" i="13"/>
  <c r="C25" i="14"/>
  <c r="C23" i="15"/>
  <c r="C26" i="13"/>
  <c r="C27" i="14"/>
  <c r="W27" s="1"/>
  <c r="C25" i="15"/>
  <c r="C28" i="13"/>
  <c r="C29" i="14"/>
  <c r="W29" s="1"/>
  <c r="C27" i="15"/>
  <c r="C30" i="13"/>
  <c r="C31" i="14"/>
  <c r="C29" i="15"/>
  <c r="C32" i="13"/>
  <c r="C33" i="14"/>
  <c r="W33" s="1"/>
  <c r="C31" i="15"/>
  <c r="V35" i="14"/>
  <c r="W35"/>
  <c r="C36"/>
  <c r="W36" s="1"/>
  <c r="C35" i="13"/>
  <c r="C34" i="15"/>
  <c r="C38" i="13"/>
  <c r="C39" i="14"/>
  <c r="C37" i="15"/>
  <c r="C40" i="13"/>
  <c r="C41" i="14"/>
  <c r="W41" s="1"/>
  <c r="C39" i="15"/>
  <c r="V43" i="14"/>
  <c r="W43"/>
  <c r="C44"/>
  <c r="W44" s="1"/>
  <c r="C43" i="13"/>
  <c r="C42" i="15"/>
  <c r="C46" i="14"/>
  <c r="C45" i="13"/>
  <c r="C44" i="15"/>
  <c r="C48" i="14"/>
  <c r="W48" s="1"/>
  <c r="C47" i="13"/>
  <c r="C46" i="15"/>
  <c r="C50" i="14"/>
  <c r="C49" i="13"/>
  <c r="C48" i="15"/>
  <c r="C52" i="14"/>
  <c r="C51" i="13"/>
  <c r="C50" i="15"/>
  <c r="C54" i="14"/>
  <c r="C53" i="13"/>
  <c r="C52" i="15"/>
  <c r="C56" i="14"/>
  <c r="C55" i="13"/>
  <c r="C54" i="15"/>
  <c r="W57" i="8"/>
  <c r="V57"/>
  <c r="U59" i="14" s="1"/>
  <c r="C63" i="13"/>
  <c r="C64" i="14"/>
  <c r="C61" i="15"/>
  <c r="C69" i="14"/>
  <c r="C68" i="13"/>
  <c r="C66" i="15"/>
  <c r="C71" i="13"/>
  <c r="C72" i="14"/>
  <c r="C69" i="15"/>
  <c r="C73" i="13"/>
  <c r="C74" i="14"/>
  <c r="C71" i="15"/>
  <c r="V77" i="14"/>
  <c r="W77"/>
  <c r="C77" i="13"/>
  <c r="C78" i="14"/>
  <c r="C75" i="15"/>
  <c r="V84" i="14"/>
  <c r="W84"/>
  <c r="C85"/>
  <c r="C84" i="13"/>
  <c r="C82" i="15"/>
  <c r="V88" i="14"/>
  <c r="W88"/>
  <c r="C89"/>
  <c r="C88" i="13"/>
  <c r="C86" i="15"/>
  <c r="V90" i="14"/>
  <c r="W90"/>
  <c r="C91"/>
  <c r="C90" i="13"/>
  <c r="C88" i="15"/>
  <c r="C93" i="13"/>
  <c r="C94" i="14"/>
  <c r="C91" i="15"/>
  <c r="V96" i="14"/>
  <c r="W96"/>
  <c r="C97"/>
  <c r="C96" i="13"/>
  <c r="C94" i="15"/>
  <c r="C99" i="14"/>
  <c r="C98" i="13"/>
  <c r="C96" i="15"/>
  <c r="C71" i="14"/>
  <c r="C70" i="13"/>
  <c r="C68" i="15"/>
  <c r="W101" i="8"/>
  <c r="V101"/>
  <c r="U103" i="14" s="1"/>
  <c r="W103" i="8"/>
  <c r="V103"/>
  <c r="U105" i="14" s="1"/>
  <c r="V12" i="8"/>
  <c r="U14" i="14" s="1"/>
  <c r="V14" i="8"/>
  <c r="U16" i="14" s="1"/>
  <c r="V16" i="8"/>
  <c r="U18" i="14" s="1"/>
  <c r="V18" i="8"/>
  <c r="U20" i="14" s="1"/>
  <c r="V21" i="8"/>
  <c r="U23" i="14" s="1"/>
  <c r="V24" i="8"/>
  <c r="U26" i="14" s="1"/>
  <c r="V26" i="8"/>
  <c r="U28" i="14" s="1"/>
  <c r="V28" i="8"/>
  <c r="U30" i="14" s="1"/>
  <c r="V30" i="8"/>
  <c r="U32" i="14" s="1"/>
  <c r="V32" i="8"/>
  <c r="U34" i="14" s="1"/>
  <c r="V36" i="8"/>
  <c r="U38" i="14" s="1"/>
  <c r="V38" i="8"/>
  <c r="U40" i="14" s="1"/>
  <c r="V40" i="8"/>
  <c r="U42" i="14" s="1"/>
  <c r="V43" i="8"/>
  <c r="U45" i="14" s="1"/>
  <c r="V45" i="8"/>
  <c r="U47" i="14" s="1"/>
  <c r="V47" i="8"/>
  <c r="U49" i="14" s="1"/>
  <c r="V49" i="8"/>
  <c r="U51" i="14" s="1"/>
  <c r="V51" i="8"/>
  <c r="U53" i="14" s="1"/>
  <c r="V53" i="8"/>
  <c r="U55" i="14" s="1"/>
  <c r="V55" i="8"/>
  <c r="U57" i="14" s="1"/>
  <c r="V61" i="8"/>
  <c r="U63" i="14" s="1"/>
  <c r="V66" i="8"/>
  <c r="U68" i="14" s="1"/>
  <c r="V68" i="8"/>
  <c r="U70" i="14" s="1"/>
  <c r="V71" i="8"/>
  <c r="U73" i="14" s="1"/>
  <c r="V74" i="8"/>
  <c r="U76" i="14" s="1"/>
  <c r="V81" i="8"/>
  <c r="U83" i="14" s="1"/>
  <c r="V85" i="8"/>
  <c r="U87" i="14" s="1"/>
  <c r="V77" i="8"/>
  <c r="U79" i="14" s="1"/>
  <c r="V91" i="8"/>
  <c r="U93" i="14" s="1"/>
  <c r="V93" i="8"/>
  <c r="U95" i="14" s="1"/>
  <c r="V96" i="8"/>
  <c r="U98" i="14" s="1"/>
  <c r="V98" i="8"/>
  <c r="U100" i="14" s="1"/>
  <c r="C9" i="13"/>
  <c r="C10" i="14"/>
  <c r="C8" i="15"/>
  <c r="D59" i="8"/>
  <c r="V15" i="14"/>
  <c r="W15"/>
  <c r="V19"/>
  <c r="W19"/>
  <c r="V21"/>
  <c r="W21"/>
  <c r="C22" i="13"/>
  <c r="C23" i="14"/>
  <c r="C21" i="15"/>
  <c r="V25" i="14"/>
  <c r="W25"/>
  <c r="C26"/>
  <c r="C25" i="13"/>
  <c r="C24" i="15"/>
  <c r="C28" i="14"/>
  <c r="C27" i="13"/>
  <c r="C26" i="15"/>
  <c r="V31" i="14"/>
  <c r="W31"/>
  <c r="C32"/>
  <c r="C31" i="13"/>
  <c r="C30" i="15"/>
  <c r="C34" i="14"/>
  <c r="C33" i="13"/>
  <c r="C32" i="15"/>
  <c r="V37" i="14"/>
  <c r="W37"/>
  <c r="V39"/>
  <c r="W39"/>
  <c r="C40"/>
  <c r="C39" i="13"/>
  <c r="C38" i="15"/>
  <c r="C42" i="14"/>
  <c r="C41" i="13"/>
  <c r="C40" i="15"/>
  <c r="C44" i="13"/>
  <c r="C45" i="14"/>
  <c r="C43" i="15"/>
  <c r="W46" i="14"/>
  <c r="V46"/>
  <c r="C46" i="13"/>
  <c r="C47" i="14"/>
  <c r="C45" i="15"/>
  <c r="C48" i="13"/>
  <c r="C49" i="14"/>
  <c r="C47" i="15"/>
  <c r="V50" i="14"/>
  <c r="W50"/>
  <c r="C50" i="13"/>
  <c r="C51" i="14"/>
  <c r="C49" i="15"/>
  <c r="V52" i="14"/>
  <c r="W52"/>
  <c r="C52" i="13"/>
  <c r="C53" i="14"/>
  <c r="C51" i="15"/>
  <c r="V54" i="14"/>
  <c r="W54"/>
  <c r="C54" i="13"/>
  <c r="C55" i="14"/>
  <c r="C53" i="15"/>
  <c r="V56" i="14"/>
  <c r="W56"/>
  <c r="C56" i="13"/>
  <c r="C57" i="14"/>
  <c r="C55" i="15"/>
  <c r="W58" i="8"/>
  <c r="V58"/>
  <c r="U60" i="14" s="1"/>
  <c r="C63"/>
  <c r="C62" i="13"/>
  <c r="D105" i="8"/>
  <c r="D107" s="1"/>
  <c r="C60" i="15"/>
  <c r="V64" i="14"/>
  <c r="W64"/>
  <c r="V65"/>
  <c r="W65"/>
  <c r="V67"/>
  <c r="W67"/>
  <c r="C67" i="13"/>
  <c r="C68" i="14"/>
  <c r="C65" i="15"/>
  <c r="V69" i="14"/>
  <c r="W69"/>
  <c r="C69" i="13"/>
  <c r="C70" i="14"/>
  <c r="C67" i="15"/>
  <c r="V72" i="14"/>
  <c r="W72"/>
  <c r="C73"/>
  <c r="C72" i="13"/>
  <c r="C70" i="15"/>
  <c r="V74" i="14"/>
  <c r="W74"/>
  <c r="V75"/>
  <c r="W75"/>
  <c r="C75" i="13"/>
  <c r="C76" i="14"/>
  <c r="C73" i="15"/>
  <c r="Q78" i="14"/>
  <c r="R105" i="8"/>
  <c r="R107" s="1"/>
  <c r="W81" i="14"/>
  <c r="V81"/>
  <c r="V82"/>
  <c r="W82"/>
  <c r="C83"/>
  <c r="C82" i="13"/>
  <c r="C80" i="15"/>
  <c r="V85" i="14"/>
  <c r="W85"/>
  <c r="W86"/>
  <c r="V86"/>
  <c r="C87"/>
  <c r="C86" i="13"/>
  <c r="C84" i="15"/>
  <c r="V89" i="14"/>
  <c r="W89"/>
  <c r="C79"/>
  <c r="C78" i="13"/>
  <c r="C76" i="15"/>
  <c r="V91" i="14"/>
  <c r="W91"/>
  <c r="V92"/>
  <c r="W92"/>
  <c r="C93"/>
  <c r="C92" i="13"/>
  <c r="C90" i="15"/>
  <c r="V94" i="14"/>
  <c r="W94"/>
  <c r="C95"/>
  <c r="C94" i="13"/>
  <c r="C92" i="15"/>
  <c r="V97" i="14"/>
  <c r="W97"/>
  <c r="C97" i="13"/>
  <c r="C98" i="14"/>
  <c r="C95" i="15"/>
  <c r="V99" i="14"/>
  <c r="W99"/>
  <c r="C99" i="13"/>
  <c r="C100" i="14"/>
  <c r="C97" i="15"/>
  <c r="V71" i="14"/>
  <c r="W71"/>
  <c r="V100" i="8"/>
  <c r="U102" i="14" s="1"/>
  <c r="V104" i="8"/>
  <c r="U106" i="14" s="1"/>
  <c r="V64" i="8"/>
  <c r="V10"/>
  <c r="X10" s="1"/>
  <c r="V99"/>
  <c r="V56"/>
  <c r="V102"/>
  <c r="W88"/>
  <c r="W36"/>
  <c r="D37" i="13" s="1"/>
  <c r="W84" i="8"/>
  <c r="W69"/>
  <c r="W53"/>
  <c r="E16" i="5"/>
  <c r="W50" i="8"/>
  <c r="W92"/>
  <c r="W39"/>
  <c r="W79"/>
  <c r="W87"/>
  <c r="W15"/>
  <c r="W33"/>
  <c r="W38"/>
  <c r="W42"/>
  <c r="W48"/>
  <c r="W51"/>
  <c r="W61"/>
  <c r="W75"/>
  <c r="W86"/>
  <c r="W90"/>
  <c r="W91"/>
  <c r="W96"/>
  <c r="W28"/>
  <c r="W45"/>
  <c r="W47"/>
  <c r="X57"/>
  <c r="AD57" s="1"/>
  <c r="W66"/>
  <c r="W68"/>
  <c r="W80"/>
  <c r="X103"/>
  <c r="AD103" s="1"/>
  <c r="X47"/>
  <c r="AD47" s="1"/>
  <c r="X101"/>
  <c r="AD101" s="1"/>
  <c r="X15"/>
  <c r="AD15" s="1"/>
  <c r="U8"/>
  <c r="U59" s="1"/>
  <c r="X36"/>
  <c r="X39"/>
  <c r="AD39" s="1"/>
  <c r="X51"/>
  <c r="AD51" s="1"/>
  <c r="X45"/>
  <c r="AD45" s="1"/>
  <c r="X66"/>
  <c r="AD66" s="1"/>
  <c r="X68"/>
  <c r="AD68" s="1"/>
  <c r="X42"/>
  <c r="AD42" s="1"/>
  <c r="X48"/>
  <c r="AD48" s="1"/>
  <c r="X50"/>
  <c r="AD50" s="1"/>
  <c r="X56"/>
  <c r="AD56" s="1"/>
  <c r="X58"/>
  <c r="AD58" s="1"/>
  <c r="U76"/>
  <c r="V76" s="1"/>
  <c r="U78" i="14" s="1"/>
  <c r="X79" i="8"/>
  <c r="AD79" s="1"/>
  <c r="X87"/>
  <c r="AD87" s="1"/>
  <c r="X69"/>
  <c r="AD69" s="1"/>
  <c r="E10" i="5"/>
  <c r="E12"/>
  <c r="E14"/>
  <c r="E18"/>
  <c r="E21"/>
  <c r="E25"/>
  <c r="X61" i="8"/>
  <c r="E24" i="5"/>
  <c r="E30"/>
  <c r="E9"/>
  <c r="E11"/>
  <c r="E13"/>
  <c r="E15"/>
  <c r="E17"/>
  <c r="E19"/>
  <c r="E22"/>
  <c r="X86" i="8"/>
  <c r="AD86" s="1"/>
  <c r="X88"/>
  <c r="AD88" s="1"/>
  <c r="X90"/>
  <c r="AD90" s="1"/>
  <c r="X91"/>
  <c r="AD91" s="1"/>
  <c r="X92"/>
  <c r="AD92" s="1"/>
  <c r="X96"/>
  <c r="AD96" s="1"/>
  <c r="X100"/>
  <c r="X104"/>
  <c r="AD104" s="1"/>
  <c r="D79" i="15" l="1"/>
  <c r="E79" s="1"/>
  <c r="H79" s="1"/>
  <c r="D81" i="13"/>
  <c r="D65" i="15"/>
  <c r="E65" s="1"/>
  <c r="H65" s="1"/>
  <c r="K65" s="1"/>
  <c r="D67" i="13"/>
  <c r="D48"/>
  <c r="D47" i="15"/>
  <c r="E47" s="1"/>
  <c r="H47" s="1"/>
  <c r="D29" i="13"/>
  <c r="D28" i="15"/>
  <c r="E28" s="1"/>
  <c r="H28" s="1"/>
  <c r="D92" i="13"/>
  <c r="D90" i="15"/>
  <c r="E90" s="1"/>
  <c r="H90" s="1"/>
  <c r="D85"/>
  <c r="E85" s="1"/>
  <c r="H85" s="1"/>
  <c r="D87" i="13"/>
  <c r="D62"/>
  <c r="D60" i="15"/>
  <c r="E60" s="1"/>
  <c r="H60" s="1"/>
  <c r="D49" i="13"/>
  <c r="D48" i="15"/>
  <c r="E48" s="1"/>
  <c r="H48" s="1"/>
  <c r="D39" i="13"/>
  <c r="D38" i="15"/>
  <c r="E38" s="1"/>
  <c r="H38" s="1"/>
  <c r="D16" i="13"/>
  <c r="D15" i="15"/>
  <c r="E15" s="1"/>
  <c r="H15" s="1"/>
  <c r="D78"/>
  <c r="E78" s="1"/>
  <c r="H78" s="1"/>
  <c r="D80" i="13"/>
  <c r="D93"/>
  <c r="D91" i="15"/>
  <c r="E91" s="1"/>
  <c r="H91" s="1"/>
  <c r="D70" i="13"/>
  <c r="D68" i="15"/>
  <c r="E68" s="1"/>
  <c r="H68" s="1"/>
  <c r="G37" i="13"/>
  <c r="K37" s="1"/>
  <c r="E37"/>
  <c r="W102" i="8"/>
  <c r="U104" i="14"/>
  <c r="W99" i="8"/>
  <c r="U101" i="14"/>
  <c r="V60"/>
  <c r="W60"/>
  <c r="V100"/>
  <c r="W100"/>
  <c r="V95"/>
  <c r="W95"/>
  <c r="W79"/>
  <c r="V79"/>
  <c r="W83"/>
  <c r="V83"/>
  <c r="V73"/>
  <c r="W73"/>
  <c r="V68"/>
  <c r="W68"/>
  <c r="W57"/>
  <c r="V57"/>
  <c r="W53"/>
  <c r="V53"/>
  <c r="W49"/>
  <c r="V49"/>
  <c r="V45"/>
  <c r="W45"/>
  <c r="W40"/>
  <c r="V40"/>
  <c r="V34"/>
  <c r="W34"/>
  <c r="V30"/>
  <c r="W30"/>
  <c r="V26"/>
  <c r="W26"/>
  <c r="V20"/>
  <c r="W20"/>
  <c r="V16"/>
  <c r="W16"/>
  <c r="V105"/>
  <c r="W105"/>
  <c r="W103"/>
  <c r="V103"/>
  <c r="W59"/>
  <c r="V59"/>
  <c r="V11"/>
  <c r="W11"/>
  <c r="U105" i="8"/>
  <c r="U107" s="1"/>
  <c r="W104"/>
  <c r="W100"/>
  <c r="C104" i="15"/>
  <c r="C106" i="13"/>
  <c r="C61" i="14"/>
  <c r="AE104" i="8"/>
  <c r="AG104"/>
  <c r="V8"/>
  <c r="U10" i="14" s="1"/>
  <c r="X8" i="8"/>
  <c r="D69" i="13"/>
  <c r="D67" i="15"/>
  <c r="E67" s="1"/>
  <c r="H67" s="1"/>
  <c r="D46" i="13"/>
  <c r="D45" i="15"/>
  <c r="E45" s="1"/>
  <c r="H45" s="1"/>
  <c r="D97" i="13"/>
  <c r="D95" i="15"/>
  <c r="E95" s="1"/>
  <c r="H95" s="1"/>
  <c r="D89"/>
  <c r="E89" s="1"/>
  <c r="H89" s="1"/>
  <c r="D91" i="13"/>
  <c r="D74" i="15"/>
  <c r="D76" i="13"/>
  <c r="D52"/>
  <c r="D51" i="15"/>
  <c r="E51" s="1"/>
  <c r="H51" s="1"/>
  <c r="D43" i="13"/>
  <c r="D42" i="15"/>
  <c r="E42" s="1"/>
  <c r="H42" s="1"/>
  <c r="D34" i="13"/>
  <c r="D33" i="15"/>
  <c r="E33" s="1"/>
  <c r="H33" s="1"/>
  <c r="D88" i="13"/>
  <c r="D86" i="15"/>
  <c r="E86" s="1"/>
  <c r="H86" s="1"/>
  <c r="D40" i="13"/>
  <c r="D39" i="15"/>
  <c r="E39" s="1"/>
  <c r="H39" s="1"/>
  <c r="D51" i="13"/>
  <c r="D50" i="15"/>
  <c r="E50" s="1"/>
  <c r="H50" s="1"/>
  <c r="D54" i="13"/>
  <c r="D53" i="15"/>
  <c r="E53" s="1"/>
  <c r="H53" s="1"/>
  <c r="D83"/>
  <c r="E83" s="1"/>
  <c r="H83" s="1"/>
  <c r="D85" i="13"/>
  <c r="D87" i="15"/>
  <c r="E87" s="1"/>
  <c r="H87" s="1"/>
  <c r="D89" i="13"/>
  <c r="W56" i="8"/>
  <c r="U58" i="14"/>
  <c r="V59" i="8"/>
  <c r="U12" i="14"/>
  <c r="V105" i="8"/>
  <c r="U66" i="14"/>
  <c r="U107" s="1"/>
  <c r="V106"/>
  <c r="W106"/>
  <c r="V102"/>
  <c r="W102"/>
  <c r="Q107"/>
  <c r="Q109" s="1"/>
  <c r="T78"/>
  <c r="D59" i="13"/>
  <c r="D58" i="15"/>
  <c r="E58" s="1"/>
  <c r="H58" s="1"/>
  <c r="V98" i="14"/>
  <c r="W98"/>
  <c r="V93"/>
  <c r="W93"/>
  <c r="V87"/>
  <c r="W87"/>
  <c r="V76"/>
  <c r="W76"/>
  <c r="V70"/>
  <c r="W70"/>
  <c r="W63"/>
  <c r="V63"/>
  <c r="W55"/>
  <c r="V55"/>
  <c r="W51"/>
  <c r="V51"/>
  <c r="V47"/>
  <c r="W47"/>
  <c r="W42"/>
  <c r="V42"/>
  <c r="W38"/>
  <c r="V38"/>
  <c r="V32"/>
  <c r="W32"/>
  <c r="V28"/>
  <c r="W28"/>
  <c r="V23"/>
  <c r="W23"/>
  <c r="V18"/>
  <c r="W18"/>
  <c r="V14"/>
  <c r="W14"/>
  <c r="D104" i="13"/>
  <c r="D102" i="15"/>
  <c r="E102" s="1"/>
  <c r="H102" s="1"/>
  <c r="D102" i="13"/>
  <c r="D100" i="15"/>
  <c r="E100" s="1"/>
  <c r="H100" s="1"/>
  <c r="D58" i="13"/>
  <c r="D57" i="15"/>
  <c r="E57" s="1"/>
  <c r="H57" s="1"/>
  <c r="C107" i="14"/>
  <c r="C109" s="1"/>
  <c r="C59" i="15"/>
  <c r="C60" i="13"/>
  <c r="X9" i="8"/>
  <c r="I89" i="15"/>
  <c r="K89"/>
  <c r="I83"/>
  <c r="K83"/>
  <c r="I87"/>
  <c r="K87"/>
  <c r="I79"/>
  <c r="I85"/>
  <c r="K85"/>
  <c r="K78"/>
  <c r="I78"/>
  <c r="AD100" i="8"/>
  <c r="AD36"/>
  <c r="D36" i="15"/>
  <c r="E36" s="1"/>
  <c r="H36" s="1"/>
  <c r="X99" i="8"/>
  <c r="AD99" s="1"/>
  <c r="I65" i="15"/>
  <c r="X102" i="8"/>
  <c r="AD102" s="1"/>
  <c r="E74" i="15"/>
  <c r="H74" s="1"/>
  <c r="AE102" i="8"/>
  <c r="AG102"/>
  <c r="AE96"/>
  <c r="AG96"/>
  <c r="AE91"/>
  <c r="AG91"/>
  <c r="AE88"/>
  <c r="AG88"/>
  <c r="AE101"/>
  <c r="AG101"/>
  <c r="AE69"/>
  <c r="AG69"/>
  <c r="AE79"/>
  <c r="AE56"/>
  <c r="AG56"/>
  <c r="AE48"/>
  <c r="AG48"/>
  <c r="AE68"/>
  <c r="AG68"/>
  <c r="AE45"/>
  <c r="AG45"/>
  <c r="AE39"/>
  <c r="AG39"/>
  <c r="AE15"/>
  <c r="AG15"/>
  <c r="AE47"/>
  <c r="AG47"/>
  <c r="AE57"/>
  <c r="AG57"/>
  <c r="AE92"/>
  <c r="AG92"/>
  <c r="AE90"/>
  <c r="AG90"/>
  <c r="AE86"/>
  <c r="AG86"/>
  <c r="AE99"/>
  <c r="AG99"/>
  <c r="AE87"/>
  <c r="AG87"/>
  <c r="AE58"/>
  <c r="AG58"/>
  <c r="AE50"/>
  <c r="AG50"/>
  <c r="AE42"/>
  <c r="AG42"/>
  <c r="AE66"/>
  <c r="AG66"/>
  <c r="AE51"/>
  <c r="AG51"/>
  <c r="AE36"/>
  <c r="AG36"/>
  <c r="AE103"/>
  <c r="AG103"/>
  <c r="X33"/>
  <c r="AD33" s="1"/>
  <c r="X84"/>
  <c r="AD84" s="1"/>
  <c r="X80"/>
  <c r="AD80" s="1"/>
  <c r="X53"/>
  <c r="AD53" s="1"/>
  <c r="X38"/>
  <c r="AD38" s="1"/>
  <c r="X75"/>
  <c r="AD75" s="1"/>
  <c r="X28"/>
  <c r="AD28" s="1"/>
  <c r="X74"/>
  <c r="AD74" s="1"/>
  <c r="W74"/>
  <c r="X70"/>
  <c r="AD70" s="1"/>
  <c r="W70"/>
  <c r="X65"/>
  <c r="AD65" s="1"/>
  <c r="W65"/>
  <c r="X62"/>
  <c r="AD62" s="1"/>
  <c r="W62"/>
  <c r="X31"/>
  <c r="AD31" s="1"/>
  <c r="W31"/>
  <c r="X27"/>
  <c r="AD27" s="1"/>
  <c r="W27"/>
  <c r="X24"/>
  <c r="AD24" s="1"/>
  <c r="W24"/>
  <c r="X18"/>
  <c r="AD18" s="1"/>
  <c r="W18"/>
  <c r="X16"/>
  <c r="AD16" s="1"/>
  <c r="W16"/>
  <c r="X11"/>
  <c r="AD11" s="1"/>
  <c r="W11"/>
  <c r="AD9"/>
  <c r="W9"/>
  <c r="X94"/>
  <c r="AD94" s="1"/>
  <c r="W94"/>
  <c r="X71"/>
  <c r="AD71" s="1"/>
  <c r="W71"/>
  <c r="X55"/>
  <c r="AD55" s="1"/>
  <c r="W55"/>
  <c r="X44"/>
  <c r="AD44" s="1"/>
  <c r="W44"/>
  <c r="X30"/>
  <c r="AD30" s="1"/>
  <c r="W30"/>
  <c r="X23"/>
  <c r="AD23" s="1"/>
  <c r="W23"/>
  <c r="X19"/>
  <c r="AD19" s="1"/>
  <c r="W19"/>
  <c r="X12"/>
  <c r="AD12" s="1"/>
  <c r="W12"/>
  <c r="X77"/>
  <c r="AD77" s="1"/>
  <c r="W77"/>
  <c r="X85"/>
  <c r="AD85" s="1"/>
  <c r="W85"/>
  <c r="X82"/>
  <c r="AD82" s="1"/>
  <c r="W82"/>
  <c r="X26"/>
  <c r="AD26" s="1"/>
  <c r="W26"/>
  <c r="X40"/>
  <c r="AD40" s="1"/>
  <c r="W40"/>
  <c r="X34"/>
  <c r="AD34" s="1"/>
  <c r="W34"/>
  <c r="X22"/>
  <c r="AD22" s="1"/>
  <c r="W22"/>
  <c r="X64"/>
  <c r="AD64" s="1"/>
  <c r="W64"/>
  <c r="X43"/>
  <c r="AD43" s="1"/>
  <c r="W43"/>
  <c r="X95"/>
  <c r="AD95" s="1"/>
  <c r="W95"/>
  <c r="X89"/>
  <c r="AD89" s="1"/>
  <c r="W89"/>
  <c r="X72"/>
  <c r="AD72" s="1"/>
  <c r="W72"/>
  <c r="X67"/>
  <c r="AD67" s="1"/>
  <c r="W67"/>
  <c r="X63"/>
  <c r="AD63" s="1"/>
  <c r="W63"/>
  <c r="X29"/>
  <c r="AD29" s="1"/>
  <c r="W29"/>
  <c r="X25"/>
  <c r="AD25" s="1"/>
  <c r="W25"/>
  <c r="X20"/>
  <c r="AD20" s="1"/>
  <c r="W20"/>
  <c r="X17"/>
  <c r="AD17" s="1"/>
  <c r="W17"/>
  <c r="X14"/>
  <c r="AD14" s="1"/>
  <c r="W14"/>
  <c r="AD10"/>
  <c r="W10"/>
  <c r="X97"/>
  <c r="AD97" s="1"/>
  <c r="W97"/>
  <c r="X54"/>
  <c r="AD54" s="1"/>
  <c r="W54"/>
  <c r="X35"/>
  <c r="AD35" s="1"/>
  <c r="W35"/>
  <c r="X21"/>
  <c r="AD21" s="1"/>
  <c r="W21"/>
  <c r="X13"/>
  <c r="AD13" s="1"/>
  <c r="W13"/>
  <c r="X98"/>
  <c r="AD98" s="1"/>
  <c r="W98"/>
  <c r="X93"/>
  <c r="AD93" s="1"/>
  <c r="W93"/>
  <c r="X83"/>
  <c r="AD83" s="1"/>
  <c r="W83"/>
  <c r="X73"/>
  <c r="AD73" s="1"/>
  <c r="W73"/>
  <c r="D74" i="13" s="1"/>
  <c r="X52" i="8"/>
  <c r="AD52" s="1"/>
  <c r="W52"/>
  <c r="X41"/>
  <c r="AD41" s="1"/>
  <c r="W41"/>
  <c r="X37"/>
  <c r="AD37" s="1"/>
  <c r="W37"/>
  <c r="X32"/>
  <c r="AD32" s="1"/>
  <c r="W32"/>
  <c r="X46"/>
  <c r="AD46" s="1"/>
  <c r="W46"/>
  <c r="X49"/>
  <c r="AD49" s="1"/>
  <c r="W49"/>
  <c r="X81"/>
  <c r="AD81" s="1"/>
  <c r="W81"/>
  <c r="G10" i="10"/>
  <c r="H10" s="1"/>
  <c r="D33" i="9" s="1"/>
  <c r="E32" i="5"/>
  <c r="AD61" i="8"/>
  <c r="I57" i="15" l="1"/>
  <c r="K57"/>
  <c r="I100"/>
  <c r="K100"/>
  <c r="I102"/>
  <c r="K102"/>
  <c r="G59" i="13"/>
  <c r="K59" s="1"/>
  <c r="E59"/>
  <c r="D56" i="15"/>
  <c r="E56" s="1"/>
  <c r="H56" s="1"/>
  <c r="D57" i="13"/>
  <c r="G54"/>
  <c r="K54" s="1"/>
  <c r="E54"/>
  <c r="G51"/>
  <c r="K51" s="1"/>
  <c r="E51"/>
  <c r="G40"/>
  <c r="K40" s="1"/>
  <c r="E40"/>
  <c r="G88"/>
  <c r="K88" s="1"/>
  <c r="E88"/>
  <c r="G34"/>
  <c r="K34" s="1"/>
  <c r="E34"/>
  <c r="G43"/>
  <c r="K43" s="1"/>
  <c r="E43"/>
  <c r="G52"/>
  <c r="K52" s="1"/>
  <c r="E52"/>
  <c r="G97"/>
  <c r="K97" s="1"/>
  <c r="E97"/>
  <c r="G46"/>
  <c r="K46" s="1"/>
  <c r="E46"/>
  <c r="G69"/>
  <c r="K69" s="1"/>
  <c r="E69"/>
  <c r="W10" i="14"/>
  <c r="V10"/>
  <c r="U61"/>
  <c r="D101" i="13"/>
  <c r="D99" i="15"/>
  <c r="E99" s="1"/>
  <c r="H99" s="1"/>
  <c r="V101" i="14"/>
  <c r="W101"/>
  <c r="V104"/>
  <c r="W104"/>
  <c r="I68" i="15"/>
  <c r="K68"/>
  <c r="K91"/>
  <c r="I91"/>
  <c r="G80" i="13"/>
  <c r="K80" s="1"/>
  <c r="E80"/>
  <c r="I15" i="15"/>
  <c r="K15"/>
  <c r="I38"/>
  <c r="K38"/>
  <c r="K48"/>
  <c r="I48"/>
  <c r="K60"/>
  <c r="I60"/>
  <c r="G87" i="13"/>
  <c r="K87" s="1"/>
  <c r="E87"/>
  <c r="I90" i="15"/>
  <c r="K90"/>
  <c r="I28"/>
  <c r="K28"/>
  <c r="K47"/>
  <c r="I47"/>
  <c r="G67" i="13"/>
  <c r="K67" s="1"/>
  <c r="E67"/>
  <c r="G81"/>
  <c r="K81" s="1"/>
  <c r="E81"/>
  <c r="U109" i="14"/>
  <c r="V107" i="8"/>
  <c r="C108" i="13"/>
  <c r="D82"/>
  <c r="D80" i="15"/>
  <c r="E80" s="1"/>
  <c r="H80" s="1"/>
  <c r="D50" i="13"/>
  <c r="D49" i="15"/>
  <c r="E49" s="1"/>
  <c r="H49" s="1"/>
  <c r="D47" i="13"/>
  <c r="D46" i="15"/>
  <c r="E46" s="1"/>
  <c r="H46" s="1"/>
  <c r="D33" i="13"/>
  <c r="D32" i="15"/>
  <c r="E32" s="1"/>
  <c r="H32" s="1"/>
  <c r="D38" i="13"/>
  <c r="D37" i="15"/>
  <c r="E37" s="1"/>
  <c r="H37" s="1"/>
  <c r="D41"/>
  <c r="E41" s="1"/>
  <c r="H41" s="1"/>
  <c r="D42" i="13"/>
  <c r="D53"/>
  <c r="D52" i="15"/>
  <c r="E52" s="1"/>
  <c r="H52" s="1"/>
  <c r="G74" i="13"/>
  <c r="K74" s="1"/>
  <c r="E74"/>
  <c r="D82" i="15"/>
  <c r="E82" s="1"/>
  <c r="H82" s="1"/>
  <c r="D84" i="13"/>
  <c r="D94"/>
  <c r="D92" i="15"/>
  <c r="E92" s="1"/>
  <c r="H92" s="1"/>
  <c r="D99" i="13"/>
  <c r="D97" i="15"/>
  <c r="E97" s="1"/>
  <c r="H97" s="1"/>
  <c r="D14" i="13"/>
  <c r="D13" i="15"/>
  <c r="E13" s="1"/>
  <c r="H13" s="1"/>
  <c r="D22" i="13"/>
  <c r="D21" i="15"/>
  <c r="E21" s="1"/>
  <c r="H21" s="1"/>
  <c r="D35"/>
  <c r="E35" s="1"/>
  <c r="H35" s="1"/>
  <c r="D36" i="13"/>
  <c r="D55"/>
  <c r="D54" i="15"/>
  <c r="E54" s="1"/>
  <c r="H54" s="1"/>
  <c r="D98" i="13"/>
  <c r="D96" i="15"/>
  <c r="E96" s="1"/>
  <c r="H96" s="1"/>
  <c r="D10"/>
  <c r="E10" s="1"/>
  <c r="H10" s="1"/>
  <c r="D11" i="13"/>
  <c r="D15"/>
  <c r="D14" i="15"/>
  <c r="E14" s="1"/>
  <c r="H14" s="1"/>
  <c r="D18" i="13"/>
  <c r="D17" i="15"/>
  <c r="E17" s="1"/>
  <c r="H17" s="1"/>
  <c r="D20"/>
  <c r="E20" s="1"/>
  <c r="H20" s="1"/>
  <c r="D21" i="13"/>
  <c r="D25" i="15"/>
  <c r="E25" s="1"/>
  <c r="H25" s="1"/>
  <c r="D26" i="13"/>
  <c r="D30"/>
  <c r="D29" i="15"/>
  <c r="E29" s="1"/>
  <c r="H29" s="1"/>
  <c r="D62"/>
  <c r="E62" s="1"/>
  <c r="H62" s="1"/>
  <c r="K62" s="1"/>
  <c r="D64" i="13"/>
  <c r="D68"/>
  <c r="D66" i="15"/>
  <c r="E66" s="1"/>
  <c r="H66" s="1"/>
  <c r="D73" i="13"/>
  <c r="D71" i="15"/>
  <c r="E71" s="1"/>
  <c r="H71" s="1"/>
  <c r="D90" i="13"/>
  <c r="D88" i="15"/>
  <c r="E88" s="1"/>
  <c r="H88" s="1"/>
  <c r="D96" i="13"/>
  <c r="D94" i="15"/>
  <c r="E94" s="1"/>
  <c r="H94" s="1"/>
  <c r="D44" i="13"/>
  <c r="D43" i="15"/>
  <c r="E43" s="1"/>
  <c r="H43" s="1"/>
  <c r="D63"/>
  <c r="E63" s="1"/>
  <c r="H63" s="1"/>
  <c r="K63" s="1"/>
  <c r="D65" i="13"/>
  <c r="D22" i="15"/>
  <c r="E22" s="1"/>
  <c r="H22" s="1"/>
  <c r="D23" i="13"/>
  <c r="D35"/>
  <c r="D34" i="15"/>
  <c r="E34" s="1"/>
  <c r="H34" s="1"/>
  <c r="D41" i="13"/>
  <c r="D40" i="15"/>
  <c r="E40" s="1"/>
  <c r="H40" s="1"/>
  <c r="D27" i="13"/>
  <c r="D26" i="15"/>
  <c r="E26" s="1"/>
  <c r="H26" s="1"/>
  <c r="D81"/>
  <c r="E81" s="1"/>
  <c r="H81" s="1"/>
  <c r="D83" i="13"/>
  <c r="D86"/>
  <c r="D84" i="15"/>
  <c r="E84" s="1"/>
  <c r="H84" s="1"/>
  <c r="D78" i="13"/>
  <c r="D76" i="15"/>
  <c r="E76" s="1"/>
  <c r="H76" s="1"/>
  <c r="D13" i="13"/>
  <c r="D12" i="15"/>
  <c r="E12" s="1"/>
  <c r="H12" s="1"/>
  <c r="D20" i="13"/>
  <c r="D19" i="15"/>
  <c r="E19" s="1"/>
  <c r="H19" s="1"/>
  <c r="D24" i="13"/>
  <c r="D23" i="15"/>
  <c r="E23" s="1"/>
  <c r="H23" s="1"/>
  <c r="D31" i="13"/>
  <c r="D30" i="15"/>
  <c r="E30" s="1"/>
  <c r="H30" s="1"/>
  <c r="D45" i="13"/>
  <c r="D44" i="15"/>
  <c r="E44" s="1"/>
  <c r="H44" s="1"/>
  <c r="D56" i="13"/>
  <c r="D55" i="15"/>
  <c r="E55" s="1"/>
  <c r="H55" s="1"/>
  <c r="D72" i="13"/>
  <c r="D70" i="15"/>
  <c r="E70" s="1"/>
  <c r="H70" s="1"/>
  <c r="D93"/>
  <c r="E93" s="1"/>
  <c r="H93" s="1"/>
  <c r="D95" i="13"/>
  <c r="D9" i="15"/>
  <c r="E9" s="1"/>
  <c r="H9" s="1"/>
  <c r="D10" i="13"/>
  <c r="D11" i="15"/>
  <c r="E11" s="1"/>
  <c r="H11" s="1"/>
  <c r="D12" i="13"/>
  <c r="D17"/>
  <c r="D16" i="15"/>
  <c r="E16" s="1"/>
  <c r="H16" s="1"/>
  <c r="D19" i="13"/>
  <c r="D18" i="15"/>
  <c r="E18" s="1"/>
  <c r="H18" s="1"/>
  <c r="D25" i="13"/>
  <c r="D24" i="15"/>
  <c r="E24" s="1"/>
  <c r="H24" s="1"/>
  <c r="D28" i="13"/>
  <c r="D27" i="15"/>
  <c r="E27" s="1"/>
  <c r="H27" s="1"/>
  <c r="D32" i="13"/>
  <c r="D31" i="15"/>
  <c r="E31" s="1"/>
  <c r="H31" s="1"/>
  <c r="D63" i="13"/>
  <c r="D61" i="15"/>
  <c r="E61" s="1"/>
  <c r="H61" s="1"/>
  <c r="D64"/>
  <c r="E64" s="1"/>
  <c r="H64" s="1"/>
  <c r="K64" s="1"/>
  <c r="D66" i="13"/>
  <c r="D71"/>
  <c r="D69" i="15"/>
  <c r="E69" s="1"/>
  <c r="H69" s="1"/>
  <c r="D75" i="13"/>
  <c r="D73" i="15"/>
  <c r="E73" s="1"/>
  <c r="H73" s="1"/>
  <c r="G58" i="13"/>
  <c r="K58" s="1"/>
  <c r="E58"/>
  <c r="G102"/>
  <c r="K102" s="1"/>
  <c r="E102"/>
  <c r="G104"/>
  <c r="K104" s="1"/>
  <c r="E104"/>
  <c r="I58" i="15"/>
  <c r="K58"/>
  <c r="T107" i="14"/>
  <c r="T109" s="1"/>
  <c r="W78"/>
  <c r="V66"/>
  <c r="W66"/>
  <c r="V12"/>
  <c r="W12"/>
  <c r="V58"/>
  <c r="W58"/>
  <c r="G89" i="13"/>
  <c r="K89" s="1"/>
  <c r="E89"/>
  <c r="G85"/>
  <c r="K85" s="1"/>
  <c r="E85"/>
  <c r="I53" i="15"/>
  <c r="K53"/>
  <c r="I50"/>
  <c r="K50"/>
  <c r="K39"/>
  <c r="I39"/>
  <c r="I86"/>
  <c r="K86"/>
  <c r="K33"/>
  <c r="I33"/>
  <c r="K42"/>
  <c r="I42"/>
  <c r="K51"/>
  <c r="I51"/>
  <c r="G76" i="13"/>
  <c r="K76" s="1"/>
  <c r="E76"/>
  <c r="G91"/>
  <c r="K91" s="1"/>
  <c r="E91"/>
  <c r="K95" i="15"/>
  <c r="I95"/>
  <c r="K45"/>
  <c r="I45"/>
  <c r="I67"/>
  <c r="K67"/>
  <c r="D105" i="13"/>
  <c r="D103" i="15"/>
  <c r="E103" s="1"/>
  <c r="H103" s="1"/>
  <c r="D98"/>
  <c r="E98" s="1"/>
  <c r="H98" s="1"/>
  <c r="D100" i="13"/>
  <c r="D101" i="15"/>
  <c r="E101" s="1"/>
  <c r="H101" s="1"/>
  <c r="D103" i="13"/>
  <c r="N37"/>
  <c r="L37"/>
  <c r="G70"/>
  <c r="K70" s="1"/>
  <c r="E70"/>
  <c r="G93"/>
  <c r="K93" s="1"/>
  <c r="E93"/>
  <c r="G16"/>
  <c r="K16" s="1"/>
  <c r="E16"/>
  <c r="G39"/>
  <c r="K39" s="1"/>
  <c r="E39"/>
  <c r="G49"/>
  <c r="K49" s="1"/>
  <c r="E49"/>
  <c r="G62"/>
  <c r="E62"/>
  <c r="G92"/>
  <c r="K92" s="1"/>
  <c r="E92"/>
  <c r="G29"/>
  <c r="K29" s="1"/>
  <c r="E29"/>
  <c r="G48"/>
  <c r="K48" s="1"/>
  <c r="E48"/>
  <c r="C105" i="15"/>
  <c r="C11" i="16" s="1"/>
  <c r="V78" i="14"/>
  <c r="V107" s="1"/>
  <c r="K82" i="15"/>
  <c r="I82"/>
  <c r="I81"/>
  <c r="K81"/>
  <c r="I93"/>
  <c r="K93"/>
  <c r="K74"/>
  <c r="I74"/>
  <c r="I62"/>
  <c r="X59" i="8"/>
  <c r="D72" i="15"/>
  <c r="E72" s="1"/>
  <c r="H72" s="1"/>
  <c r="AE100" i="8"/>
  <c r="AG100"/>
  <c r="K36" i="15"/>
  <c r="I36"/>
  <c r="I25"/>
  <c r="K25"/>
  <c r="AE73" i="8"/>
  <c r="AG73"/>
  <c r="I41" i="15"/>
  <c r="K41"/>
  <c r="K35"/>
  <c r="I35"/>
  <c r="I22"/>
  <c r="K22"/>
  <c r="AE20" i="8"/>
  <c r="AG20"/>
  <c r="K20" i="15"/>
  <c r="I20"/>
  <c r="K11"/>
  <c r="I11"/>
  <c r="I10"/>
  <c r="K10"/>
  <c r="K9"/>
  <c r="I9"/>
  <c r="I64"/>
  <c r="I63"/>
  <c r="AE49" i="8"/>
  <c r="AG49"/>
  <c r="AE46"/>
  <c r="AG46"/>
  <c r="AE37"/>
  <c r="AG37"/>
  <c r="AE52"/>
  <c r="AG52"/>
  <c r="AE83"/>
  <c r="AG83"/>
  <c r="AE98"/>
  <c r="AG98"/>
  <c r="AE21"/>
  <c r="AG21"/>
  <c r="AE54"/>
  <c r="AG54"/>
  <c r="AE10"/>
  <c r="AG10"/>
  <c r="AE17"/>
  <c r="AG17"/>
  <c r="AE29"/>
  <c r="AG29"/>
  <c r="AE67"/>
  <c r="AG67"/>
  <c r="AE72"/>
  <c r="AG72"/>
  <c r="AE95"/>
  <c r="AG95"/>
  <c r="AE64"/>
  <c r="AG64"/>
  <c r="AE34"/>
  <c r="AG34"/>
  <c r="AE82"/>
  <c r="AG82"/>
  <c r="AE61"/>
  <c r="AG61"/>
  <c r="AE28"/>
  <c r="AG28"/>
  <c r="AE38"/>
  <c r="AG38"/>
  <c r="AE80"/>
  <c r="AE33"/>
  <c r="AG33"/>
  <c r="AE81"/>
  <c r="AG81"/>
  <c r="AE32"/>
  <c r="AG32"/>
  <c r="AE41"/>
  <c r="AG41"/>
  <c r="AE93"/>
  <c r="AG93"/>
  <c r="AE13"/>
  <c r="AG13"/>
  <c r="AE35"/>
  <c r="AG35"/>
  <c r="AE97"/>
  <c r="AG97"/>
  <c r="AE14"/>
  <c r="AG14"/>
  <c r="AE25"/>
  <c r="AG25"/>
  <c r="AE63"/>
  <c r="AG63"/>
  <c r="AE89"/>
  <c r="AG89"/>
  <c r="AE43"/>
  <c r="AG43"/>
  <c r="AE22"/>
  <c r="AG22"/>
  <c r="AE40"/>
  <c r="AG40"/>
  <c r="AE26"/>
  <c r="AG26"/>
  <c r="AE85"/>
  <c r="AG85"/>
  <c r="AE77"/>
  <c r="AG77"/>
  <c r="AE12"/>
  <c r="AG12"/>
  <c r="AE19"/>
  <c r="AG19"/>
  <c r="AE23"/>
  <c r="AG23"/>
  <c r="AE30"/>
  <c r="AG30"/>
  <c r="AE44"/>
  <c r="AG44"/>
  <c r="AE55"/>
  <c r="AG55"/>
  <c r="AE71"/>
  <c r="AG71"/>
  <c r="AE94"/>
  <c r="AG94"/>
  <c r="AE9"/>
  <c r="AG9"/>
  <c r="AE11"/>
  <c r="AG11"/>
  <c r="AE16"/>
  <c r="AG16"/>
  <c r="AE18"/>
  <c r="AG18"/>
  <c r="AE24"/>
  <c r="AG24"/>
  <c r="AE27"/>
  <c r="AG27"/>
  <c r="AE31"/>
  <c r="AG31"/>
  <c r="AE62"/>
  <c r="AG62"/>
  <c r="AE65"/>
  <c r="AG65"/>
  <c r="AE70"/>
  <c r="AG70"/>
  <c r="AE74"/>
  <c r="AG74"/>
  <c r="AE75"/>
  <c r="AG75"/>
  <c r="AE53"/>
  <c r="AG53"/>
  <c r="AE84"/>
  <c r="W76"/>
  <c r="W8"/>
  <c r="D9" i="13" s="1"/>
  <c r="E33" i="9"/>
  <c r="E36" s="1"/>
  <c r="E38" s="1"/>
  <c r="D36"/>
  <c r="D38" s="1"/>
  <c r="X76" i="8"/>
  <c r="X105" s="1"/>
  <c r="L85" i="13" l="1"/>
  <c r="D77"/>
  <c r="D75" i="15"/>
  <c r="E75" s="1"/>
  <c r="K62" i="13"/>
  <c r="L49"/>
  <c r="N49"/>
  <c r="L39"/>
  <c r="N39"/>
  <c r="N16"/>
  <c r="L16"/>
  <c r="L93"/>
  <c r="N93"/>
  <c r="N70"/>
  <c r="L70"/>
  <c r="I101" i="15"/>
  <c r="K101"/>
  <c r="K98"/>
  <c r="I98"/>
  <c r="G105" i="13"/>
  <c r="K105" s="1"/>
  <c r="E105"/>
  <c r="L91"/>
  <c r="N91"/>
  <c r="N76"/>
  <c r="L76"/>
  <c r="L89"/>
  <c r="N89"/>
  <c r="L104"/>
  <c r="N104"/>
  <c r="L102"/>
  <c r="N102"/>
  <c r="N58"/>
  <c r="L58"/>
  <c r="G75"/>
  <c r="K75" s="1"/>
  <c r="E75"/>
  <c r="G71"/>
  <c r="K71" s="1"/>
  <c r="E71"/>
  <c r="G63"/>
  <c r="K63" s="1"/>
  <c r="E63"/>
  <c r="G32"/>
  <c r="K32" s="1"/>
  <c r="E32"/>
  <c r="G28"/>
  <c r="K28" s="1"/>
  <c r="E28"/>
  <c r="G25"/>
  <c r="K25" s="1"/>
  <c r="E25"/>
  <c r="G19"/>
  <c r="K19" s="1"/>
  <c r="E19"/>
  <c r="G17"/>
  <c r="K17" s="1"/>
  <c r="E17"/>
  <c r="G72"/>
  <c r="K72" s="1"/>
  <c r="E72"/>
  <c r="G56"/>
  <c r="K56" s="1"/>
  <c r="E56"/>
  <c r="G45"/>
  <c r="K45" s="1"/>
  <c r="E45"/>
  <c r="G31"/>
  <c r="K31" s="1"/>
  <c r="E31"/>
  <c r="G24"/>
  <c r="K24" s="1"/>
  <c r="E24"/>
  <c r="G20"/>
  <c r="K20" s="1"/>
  <c r="E20"/>
  <c r="G13"/>
  <c r="K13" s="1"/>
  <c r="E13"/>
  <c r="G78"/>
  <c r="K78" s="1"/>
  <c r="E78"/>
  <c r="G86"/>
  <c r="K86" s="1"/>
  <c r="E86"/>
  <c r="G27"/>
  <c r="K27" s="1"/>
  <c r="E27"/>
  <c r="G41"/>
  <c r="K41" s="1"/>
  <c r="E41"/>
  <c r="G35"/>
  <c r="K35" s="1"/>
  <c r="E35"/>
  <c r="G44"/>
  <c r="K44" s="1"/>
  <c r="E44"/>
  <c r="G96"/>
  <c r="K96" s="1"/>
  <c r="E96"/>
  <c r="G90"/>
  <c r="K90" s="1"/>
  <c r="E90"/>
  <c r="G73"/>
  <c r="K73" s="1"/>
  <c r="E73"/>
  <c r="G68"/>
  <c r="K68" s="1"/>
  <c r="E68"/>
  <c r="G30"/>
  <c r="K30" s="1"/>
  <c r="E30"/>
  <c r="G18"/>
  <c r="K18" s="1"/>
  <c r="E18"/>
  <c r="G15"/>
  <c r="K15" s="1"/>
  <c r="E15"/>
  <c r="G98"/>
  <c r="K98" s="1"/>
  <c r="E98"/>
  <c r="G55"/>
  <c r="K55" s="1"/>
  <c r="E55"/>
  <c r="G22"/>
  <c r="K22" s="1"/>
  <c r="E22"/>
  <c r="G14"/>
  <c r="K14" s="1"/>
  <c r="E14"/>
  <c r="G99"/>
  <c r="K99" s="1"/>
  <c r="E99"/>
  <c r="G94"/>
  <c r="K94" s="1"/>
  <c r="E94"/>
  <c r="N74"/>
  <c r="L74"/>
  <c r="G53"/>
  <c r="K53" s="1"/>
  <c r="E53"/>
  <c r="G38"/>
  <c r="K38" s="1"/>
  <c r="E38"/>
  <c r="G33"/>
  <c r="K33" s="1"/>
  <c r="E33"/>
  <c r="G47"/>
  <c r="K47" s="1"/>
  <c r="E47"/>
  <c r="G50"/>
  <c r="K50" s="1"/>
  <c r="E50"/>
  <c r="G82"/>
  <c r="K82" s="1"/>
  <c r="E82"/>
  <c r="I99" i="15"/>
  <c r="K99"/>
  <c r="L69" i="13"/>
  <c r="N69"/>
  <c r="L46"/>
  <c r="N46"/>
  <c r="L97"/>
  <c r="N97"/>
  <c r="N52"/>
  <c r="L52"/>
  <c r="N43"/>
  <c r="L43"/>
  <c r="L34"/>
  <c r="N34"/>
  <c r="L88"/>
  <c r="N88"/>
  <c r="L40"/>
  <c r="N40"/>
  <c r="L51"/>
  <c r="N51"/>
  <c r="N54"/>
  <c r="L54"/>
  <c r="I56" i="15"/>
  <c r="K56"/>
  <c r="L59" i="13"/>
  <c r="N59"/>
  <c r="W59" i="8"/>
  <c r="W61" i="14"/>
  <c r="G9" i="13"/>
  <c r="E9"/>
  <c r="D60"/>
  <c r="N48"/>
  <c r="L48"/>
  <c r="L29"/>
  <c r="N29"/>
  <c r="L92"/>
  <c r="N92"/>
  <c r="G103"/>
  <c r="K103" s="1"/>
  <c r="E103"/>
  <c r="G100"/>
  <c r="K100" s="1"/>
  <c r="E100"/>
  <c r="I103" i="15"/>
  <c r="K103"/>
  <c r="I73"/>
  <c r="K73"/>
  <c r="I69"/>
  <c r="K69"/>
  <c r="G66" i="13"/>
  <c r="K66" s="1"/>
  <c r="E66"/>
  <c r="K61" i="15"/>
  <c r="I61"/>
  <c r="I31"/>
  <c r="K31"/>
  <c r="I27"/>
  <c r="K27"/>
  <c r="I24"/>
  <c r="K24"/>
  <c r="K18"/>
  <c r="I18"/>
  <c r="I16"/>
  <c r="K16"/>
  <c r="G12" i="13"/>
  <c r="K12" s="1"/>
  <c r="E12"/>
  <c r="G10"/>
  <c r="K10" s="1"/>
  <c r="E10"/>
  <c r="G95"/>
  <c r="K95" s="1"/>
  <c r="E95"/>
  <c r="I70" i="15"/>
  <c r="K70"/>
  <c r="I55"/>
  <c r="K55"/>
  <c r="I44"/>
  <c r="K44"/>
  <c r="K30"/>
  <c r="I30"/>
  <c r="I23"/>
  <c r="K23"/>
  <c r="I19"/>
  <c r="K19"/>
  <c r="I12"/>
  <c r="K12"/>
  <c r="I76"/>
  <c r="K76"/>
  <c r="I84"/>
  <c r="K84"/>
  <c r="G83" i="13"/>
  <c r="K83" s="1"/>
  <c r="E83"/>
  <c r="K26" i="15"/>
  <c r="I26"/>
  <c r="K40"/>
  <c r="I40"/>
  <c r="K34"/>
  <c r="I34"/>
  <c r="G23" i="13"/>
  <c r="K23" s="1"/>
  <c r="E23"/>
  <c r="G65"/>
  <c r="K65" s="1"/>
  <c r="E65"/>
  <c r="I43" i="15"/>
  <c r="K43"/>
  <c r="I94"/>
  <c r="K94"/>
  <c r="I88"/>
  <c r="K88"/>
  <c r="I71"/>
  <c r="K71"/>
  <c r="I66"/>
  <c r="K66"/>
  <c r="G64" i="13"/>
  <c r="K64" s="1"/>
  <c r="E64"/>
  <c r="K29" i="15"/>
  <c r="I29"/>
  <c r="G26" i="13"/>
  <c r="K26" s="1"/>
  <c r="E26"/>
  <c r="G21"/>
  <c r="K21" s="1"/>
  <c r="E21"/>
  <c r="K17" i="15"/>
  <c r="I17"/>
  <c r="K14"/>
  <c r="I14"/>
  <c r="G11" i="13"/>
  <c r="K11" s="1"/>
  <c r="E11"/>
  <c r="I96" i="15"/>
  <c r="K96"/>
  <c r="I54"/>
  <c r="K54"/>
  <c r="G36" i="13"/>
  <c r="K36" s="1"/>
  <c r="E36"/>
  <c r="K21" i="15"/>
  <c r="I21"/>
  <c r="K13"/>
  <c r="I13"/>
  <c r="K97"/>
  <c r="I97"/>
  <c r="I92"/>
  <c r="K92"/>
  <c r="G84" i="13"/>
  <c r="K84" s="1"/>
  <c r="E84"/>
  <c r="K52" i="15"/>
  <c r="I52"/>
  <c r="G42" i="13"/>
  <c r="K42" s="1"/>
  <c r="E42"/>
  <c r="I37" i="15"/>
  <c r="K37"/>
  <c r="I32"/>
  <c r="K32"/>
  <c r="K46"/>
  <c r="I46"/>
  <c r="I49"/>
  <c r="K49"/>
  <c r="I80"/>
  <c r="K80"/>
  <c r="N81" i="13"/>
  <c r="L81"/>
  <c r="N67"/>
  <c r="L67"/>
  <c r="N87"/>
  <c r="L87"/>
  <c r="N80"/>
  <c r="L80"/>
  <c r="G101"/>
  <c r="K101" s="1"/>
  <c r="E101"/>
  <c r="G57"/>
  <c r="K57" s="1"/>
  <c r="E57"/>
  <c r="W105" i="8"/>
  <c r="W107" s="1"/>
  <c r="W107" i="14"/>
  <c r="W109" s="1"/>
  <c r="V61"/>
  <c r="V109" s="1"/>
  <c r="D104" i="15"/>
  <c r="K72"/>
  <c r="I72"/>
  <c r="X107" i="8"/>
  <c r="D8" i="15"/>
  <c r="E23" i="5"/>
  <c r="AD8" i="8"/>
  <c r="AD76"/>
  <c r="K9" i="13" l="1"/>
  <c r="G60"/>
  <c r="N82"/>
  <c r="L82"/>
  <c r="N50"/>
  <c r="L50"/>
  <c r="L47"/>
  <c r="N47"/>
  <c r="N33"/>
  <c r="L33"/>
  <c r="N38"/>
  <c r="L38"/>
  <c r="L53"/>
  <c r="N53"/>
  <c r="L94"/>
  <c r="N94"/>
  <c r="L99"/>
  <c r="N99"/>
  <c r="N14"/>
  <c r="L14"/>
  <c r="N22"/>
  <c r="L22"/>
  <c r="L55"/>
  <c r="N55"/>
  <c r="N98"/>
  <c r="L98"/>
  <c r="L15"/>
  <c r="N15"/>
  <c r="N18"/>
  <c r="L18"/>
  <c r="N30"/>
  <c r="L30"/>
  <c r="N68"/>
  <c r="L68"/>
  <c r="N73"/>
  <c r="L73"/>
  <c r="N90"/>
  <c r="L90"/>
  <c r="L96"/>
  <c r="N96"/>
  <c r="L44"/>
  <c r="N44"/>
  <c r="L35"/>
  <c r="N35"/>
  <c r="N41"/>
  <c r="L41"/>
  <c r="L27"/>
  <c r="N27"/>
  <c r="N86"/>
  <c r="L86"/>
  <c r="N78"/>
  <c r="L78"/>
  <c r="L13"/>
  <c r="N13"/>
  <c r="L20"/>
  <c r="N20"/>
  <c r="L24"/>
  <c r="N24"/>
  <c r="L31"/>
  <c r="N31"/>
  <c r="L45"/>
  <c r="N45"/>
  <c r="N56"/>
  <c r="L56"/>
  <c r="N72"/>
  <c r="L72"/>
  <c r="L17"/>
  <c r="N17"/>
  <c r="L19"/>
  <c r="N19"/>
  <c r="L25"/>
  <c r="N25"/>
  <c r="L28"/>
  <c r="N28"/>
  <c r="L32"/>
  <c r="N32"/>
  <c r="L63"/>
  <c r="N63"/>
  <c r="N71"/>
  <c r="L71"/>
  <c r="N75"/>
  <c r="L75"/>
  <c r="N105"/>
  <c r="L105"/>
  <c r="L62"/>
  <c r="N62"/>
  <c r="G77"/>
  <c r="K77" s="1"/>
  <c r="K106" s="1"/>
  <c r="E77"/>
  <c r="E106" s="1"/>
  <c r="D106"/>
  <c r="D108" s="1"/>
  <c r="L57"/>
  <c r="N57"/>
  <c r="L101"/>
  <c r="N101"/>
  <c r="L42"/>
  <c r="N42"/>
  <c r="N84"/>
  <c r="L84"/>
  <c r="L36"/>
  <c r="N36"/>
  <c r="L11"/>
  <c r="N11"/>
  <c r="N21"/>
  <c r="L21"/>
  <c r="N26"/>
  <c r="L26"/>
  <c r="N64"/>
  <c r="L64"/>
  <c r="N65"/>
  <c r="L65"/>
  <c r="N23"/>
  <c r="L23"/>
  <c r="N83"/>
  <c r="L83"/>
  <c r="L95"/>
  <c r="N95"/>
  <c r="L10"/>
  <c r="N10"/>
  <c r="L12"/>
  <c r="N12"/>
  <c r="L66"/>
  <c r="N66"/>
  <c r="N100"/>
  <c r="L100"/>
  <c r="N103"/>
  <c r="L103"/>
  <c r="H75" i="15"/>
  <c r="E104"/>
  <c r="E60" i="13"/>
  <c r="G106"/>
  <c r="G108" s="1"/>
  <c r="AG8" i="8"/>
  <c r="AG59" s="1"/>
  <c r="AD59"/>
  <c r="AG76"/>
  <c r="AG105" s="1"/>
  <c r="AD105"/>
  <c r="E8" i="15"/>
  <c r="H8" s="1"/>
  <c r="D59"/>
  <c r="D105" s="1"/>
  <c r="D11" i="16" s="1"/>
  <c r="AE8" i="8"/>
  <c r="AE59" s="1"/>
  <c r="AE76"/>
  <c r="AE105" s="1"/>
  <c r="I75" i="15" l="1"/>
  <c r="I104" s="1"/>
  <c r="K75"/>
  <c r="K104" s="1"/>
  <c r="H104"/>
  <c r="K60" i="13"/>
  <c r="K108" s="1"/>
  <c r="L9"/>
  <c r="L60" s="1"/>
  <c r="N9"/>
  <c r="N60" s="1"/>
  <c r="E108"/>
  <c r="N106"/>
  <c r="N108" s="1"/>
  <c r="N77"/>
  <c r="L77"/>
  <c r="L106" s="1"/>
  <c r="L108" s="1"/>
  <c r="AD107" i="8"/>
  <c r="AG107" s="1"/>
  <c r="AE107"/>
  <c r="E59" i="15"/>
  <c r="E105" s="1"/>
  <c r="E11" i="16" s="1"/>
  <c r="B9" i="5"/>
  <c r="B10" s="1"/>
  <c r="B11" s="1"/>
  <c r="B12" s="1"/>
  <c r="B13" s="1"/>
  <c r="B14" s="1"/>
  <c r="B15" s="1"/>
  <c r="B16" s="1"/>
  <c r="B17" s="1"/>
  <c r="B18" s="1"/>
  <c r="B19" s="1"/>
  <c r="B20" s="1"/>
  <c r="B21" s="1"/>
  <c r="B22" s="1"/>
  <c r="B23" s="1"/>
  <c r="B24" s="1"/>
  <c r="B25" s="1"/>
  <c r="B26" s="1"/>
  <c r="B27" s="1"/>
  <c r="B28" s="1"/>
  <c r="B30" s="1"/>
  <c r="B31" s="1"/>
  <c r="B32" s="1"/>
  <c r="B33" s="1"/>
  <c r="B34" s="1"/>
  <c r="B35" s="1"/>
  <c r="B36" s="1"/>
  <c r="AD106" i="4"/>
  <c r="AF108"/>
  <c r="F34" i="5"/>
  <c r="AD107" i="4"/>
  <c r="AF106"/>
  <c r="AD105"/>
  <c r="AD103"/>
  <c r="AD102"/>
  <c r="I87"/>
  <c r="H87"/>
  <c r="AD101"/>
  <c r="I101"/>
  <c r="H101"/>
  <c r="AD100"/>
  <c r="I100"/>
  <c r="H100"/>
  <c r="AD99"/>
  <c r="I99"/>
  <c r="H99"/>
  <c r="AD98"/>
  <c r="I98"/>
  <c r="H98"/>
  <c r="I86"/>
  <c r="H86"/>
  <c r="AD97"/>
  <c r="I97"/>
  <c r="H97"/>
  <c r="AD96"/>
  <c r="I96"/>
  <c r="H96"/>
  <c r="AD88"/>
  <c r="I88"/>
  <c r="H88"/>
  <c r="H85"/>
  <c r="I84"/>
  <c r="H84"/>
  <c r="I83"/>
  <c r="H83"/>
  <c r="I82"/>
  <c r="H82"/>
  <c r="I81"/>
  <c r="H81"/>
  <c r="I80"/>
  <c r="H80"/>
  <c r="I73"/>
  <c r="H73"/>
  <c r="I79"/>
  <c r="H79"/>
  <c r="I78"/>
  <c r="H78"/>
  <c r="AC76"/>
  <c r="I76"/>
  <c r="H76"/>
  <c r="I72"/>
  <c r="H72"/>
  <c r="I71"/>
  <c r="H71"/>
  <c r="I70"/>
  <c r="H70"/>
  <c r="I69"/>
  <c r="H69"/>
  <c r="I77"/>
  <c r="H77"/>
  <c r="AD95"/>
  <c r="I95"/>
  <c r="H95"/>
  <c r="AD94"/>
  <c r="I94"/>
  <c r="H94"/>
  <c r="AD93"/>
  <c r="I93"/>
  <c r="H93"/>
  <c r="AD92"/>
  <c r="I92"/>
  <c r="H92"/>
  <c r="AD91"/>
  <c r="I91"/>
  <c r="H91"/>
  <c r="AD90"/>
  <c r="I90"/>
  <c r="H90"/>
  <c r="I75"/>
  <c r="H75"/>
  <c r="I74"/>
  <c r="H74"/>
  <c r="AD89"/>
  <c r="I89"/>
  <c r="H89"/>
  <c r="X68"/>
  <c r="W68"/>
  <c r="V68"/>
  <c r="U68"/>
  <c r="T68"/>
  <c r="S68"/>
  <c r="R68"/>
  <c r="Q68"/>
  <c r="P68"/>
  <c r="O68"/>
  <c r="N68"/>
  <c r="M68"/>
  <c r="L68"/>
  <c r="K68"/>
  <c r="J68"/>
  <c r="I67"/>
  <c r="H67"/>
  <c r="I66"/>
  <c r="H66"/>
  <c r="I65"/>
  <c r="H65"/>
  <c r="I64"/>
  <c r="H64"/>
  <c r="AD63"/>
  <c r="I63"/>
  <c r="AD62"/>
  <c r="I62"/>
  <c r="H62"/>
  <c r="AC61"/>
  <c r="X61"/>
  <c r="W61"/>
  <c r="V61"/>
  <c r="U61"/>
  <c r="T61"/>
  <c r="S61"/>
  <c r="R61"/>
  <c r="Q61"/>
  <c r="P61"/>
  <c r="O61"/>
  <c r="N61"/>
  <c r="M61"/>
  <c r="L61"/>
  <c r="K61"/>
  <c r="J61"/>
  <c r="AD60"/>
  <c r="Y60"/>
  <c r="AD59"/>
  <c r="Y59"/>
  <c r="I59"/>
  <c r="I61" s="1"/>
  <c r="H59"/>
  <c r="H61" s="1"/>
  <c r="X58"/>
  <c r="W58"/>
  <c r="V58"/>
  <c r="U58"/>
  <c r="U109" s="1"/>
  <c r="T58"/>
  <c r="S58"/>
  <c r="R58"/>
  <c r="Q58"/>
  <c r="P58"/>
  <c r="O58"/>
  <c r="O109" s="1"/>
  <c r="N58"/>
  <c r="M58"/>
  <c r="L58"/>
  <c r="K58"/>
  <c r="J58"/>
  <c r="AD57"/>
  <c r="I52"/>
  <c r="H52"/>
  <c r="AD53"/>
  <c r="I53"/>
  <c r="H53"/>
  <c r="I51"/>
  <c r="H51"/>
  <c r="I50"/>
  <c r="H50"/>
  <c r="I49"/>
  <c r="H49"/>
  <c r="I48"/>
  <c r="H48"/>
  <c r="I47"/>
  <c r="H47"/>
  <c r="I46"/>
  <c r="H46"/>
  <c r="I45"/>
  <c r="H45"/>
  <c r="I44"/>
  <c r="H44"/>
  <c r="I43"/>
  <c r="H43"/>
  <c r="I38"/>
  <c r="H38"/>
  <c r="I37"/>
  <c r="H37"/>
  <c r="Y36"/>
  <c r="I36"/>
  <c r="H36"/>
  <c r="Y35"/>
  <c r="I35"/>
  <c r="H35"/>
  <c r="AD56"/>
  <c r="I56"/>
  <c r="H56"/>
  <c r="AD55"/>
  <c r="I55"/>
  <c r="H55"/>
  <c r="Y34"/>
  <c r="I34"/>
  <c r="H34"/>
  <c r="Y33"/>
  <c r="I33"/>
  <c r="H33"/>
  <c r="Y32"/>
  <c r="I32"/>
  <c r="H32"/>
  <c r="Y31"/>
  <c r="I31"/>
  <c r="H31"/>
  <c r="AD54"/>
  <c r="I54"/>
  <c r="H54"/>
  <c r="Y29"/>
  <c r="I29"/>
  <c r="H29"/>
  <c r="Y28"/>
  <c r="Z28" s="1"/>
  <c r="I28"/>
  <c r="H28"/>
  <c r="Y27"/>
  <c r="I27"/>
  <c r="H27"/>
  <c r="Y26"/>
  <c r="I26"/>
  <c r="H26"/>
  <c r="I41"/>
  <c r="H41"/>
  <c r="Y25"/>
  <c r="I25"/>
  <c r="H25"/>
  <c r="I40"/>
  <c r="H40"/>
  <c r="Y24"/>
  <c r="I24"/>
  <c r="H24"/>
  <c r="Y23"/>
  <c r="I23"/>
  <c r="H23"/>
  <c r="Y22"/>
  <c r="I22"/>
  <c r="H22"/>
  <c r="Y21"/>
  <c r="I21"/>
  <c r="H21"/>
  <c r="Y20"/>
  <c r="I20"/>
  <c r="H20"/>
  <c r="I39"/>
  <c r="H39"/>
  <c r="Y19"/>
  <c r="I19"/>
  <c r="H19"/>
  <c r="Y18"/>
  <c r="I18"/>
  <c r="H18"/>
  <c r="Y17"/>
  <c r="I17"/>
  <c r="H17"/>
  <c r="Y30"/>
  <c r="AC30" s="1"/>
  <c r="AD30" s="1"/>
  <c r="H30"/>
  <c r="Y16"/>
  <c r="I16"/>
  <c r="H16"/>
  <c r="Y15"/>
  <c r="I15"/>
  <c r="H15"/>
  <c r="Y14"/>
  <c r="I14"/>
  <c r="H14"/>
  <c r="Y13"/>
  <c r="I13"/>
  <c r="H13"/>
  <c r="I42"/>
  <c r="H42"/>
  <c r="Y12"/>
  <c r="I12"/>
  <c r="H12"/>
  <c r="Y11"/>
  <c r="I11"/>
  <c r="H11"/>
  <c r="Y10"/>
  <c r="Z10" s="1"/>
  <c r="Z58" s="1"/>
  <c r="I10"/>
  <c r="H10"/>
  <c r="K8" i="15" l="1"/>
  <c r="K59" s="1"/>
  <c r="K105" s="1"/>
  <c r="L11" i="16" s="1"/>
  <c r="H59" i="15"/>
  <c r="H105" s="1"/>
  <c r="I11" i="16" s="1"/>
  <c r="I8" i="15"/>
  <c r="I59" s="1"/>
  <c r="I105" s="1"/>
  <c r="J11" i="16" s="1"/>
  <c r="AC75" i="4"/>
  <c r="Y61"/>
  <c r="AG108"/>
  <c r="AI108"/>
  <c r="AC39"/>
  <c r="AD39" s="1"/>
  <c r="AC33"/>
  <c r="AD33" s="1"/>
  <c r="AF33" s="1"/>
  <c r="AC32"/>
  <c r="AD32" s="1"/>
  <c r="AF32" s="1"/>
  <c r="AC87"/>
  <c r="AD87" s="1"/>
  <c r="AF87" s="1"/>
  <c r="AF102"/>
  <c r="AF105"/>
  <c r="AC27"/>
  <c r="AD27" s="1"/>
  <c r="AF27" s="1"/>
  <c r="AC29"/>
  <c r="AD29" s="1"/>
  <c r="AF29" s="1"/>
  <c r="AC15"/>
  <c r="AD15" s="1"/>
  <c r="AF15" s="1"/>
  <c r="AF30"/>
  <c r="AC18"/>
  <c r="AD18" s="1"/>
  <c r="AF18" s="1"/>
  <c r="AC21"/>
  <c r="AD21" s="1"/>
  <c r="AF21" s="1"/>
  <c r="AF60"/>
  <c r="AC43"/>
  <c r="AD43" s="1"/>
  <c r="AF43" s="1"/>
  <c r="AC45"/>
  <c r="AD45" s="1"/>
  <c r="AF45" s="1"/>
  <c r="AC47"/>
  <c r="AD47" s="1"/>
  <c r="AF47" s="1"/>
  <c r="AC49"/>
  <c r="AD49" s="1"/>
  <c r="AF49" s="1"/>
  <c r="AC51"/>
  <c r="AD51" s="1"/>
  <c r="AF51" s="1"/>
  <c r="AC52"/>
  <c r="AD52" s="1"/>
  <c r="AF52" s="1"/>
  <c r="AF57"/>
  <c r="AD61"/>
  <c r="I68"/>
  <c r="AF63"/>
  <c r="AC72"/>
  <c r="AF72" s="1"/>
  <c r="AC78"/>
  <c r="AD78" s="1"/>
  <c r="AF78" s="1"/>
  <c r="AC79"/>
  <c r="AD79" s="1"/>
  <c r="AF79" s="1"/>
  <c r="AC81"/>
  <c r="AD81" s="1"/>
  <c r="AF81" s="1"/>
  <c r="AC83"/>
  <c r="AD83" s="1"/>
  <c r="AF83" s="1"/>
  <c r="AC85"/>
  <c r="AD85" s="1"/>
  <c r="AF85" s="1"/>
  <c r="AF96"/>
  <c r="I58"/>
  <c r="AC12"/>
  <c r="AD12" s="1"/>
  <c r="AF12" s="1"/>
  <c r="AC13"/>
  <c r="AD13" s="1"/>
  <c r="AF13" s="1"/>
  <c r="AC23"/>
  <c r="AD23" s="1"/>
  <c r="AF23" s="1"/>
  <c r="AC35"/>
  <c r="AD35" s="1"/>
  <c r="AF35" s="1"/>
  <c r="AD75"/>
  <c r="AF90"/>
  <c r="AC77"/>
  <c r="AD77" s="1"/>
  <c r="AF77" s="1"/>
  <c r="AD76"/>
  <c r="AF76" s="1"/>
  <c r="AC70"/>
  <c r="F31" i="5"/>
  <c r="AC11" i="4"/>
  <c r="AD11" s="1"/>
  <c r="AF11" s="1"/>
  <c r="AC42"/>
  <c r="AD42" s="1"/>
  <c r="AF42" s="1"/>
  <c r="AC14"/>
  <c r="AD14" s="1"/>
  <c r="AF14" s="1"/>
  <c r="AC16"/>
  <c r="AD16" s="1"/>
  <c r="AF16" s="1"/>
  <c r="AC17"/>
  <c r="AD17" s="1"/>
  <c r="AF17" s="1"/>
  <c r="AC19"/>
  <c r="AD19" s="1"/>
  <c r="AF19" s="1"/>
  <c r="AC20"/>
  <c r="AD20" s="1"/>
  <c r="AF20" s="1"/>
  <c r="AC22"/>
  <c r="AD22" s="1"/>
  <c r="AF22" s="1"/>
  <c r="AC24"/>
  <c r="AD24" s="1"/>
  <c r="AF24" s="1"/>
  <c r="AC25"/>
  <c r="AD25" s="1"/>
  <c r="AF25" s="1"/>
  <c r="AC26"/>
  <c r="AD26" s="1"/>
  <c r="AF26" s="1"/>
  <c r="AC28"/>
  <c r="AD28" s="1"/>
  <c r="AF28" s="1"/>
  <c r="AF54"/>
  <c r="AC31"/>
  <c r="AD31" s="1"/>
  <c r="AF31" s="1"/>
  <c r="AC34"/>
  <c r="AD34" s="1"/>
  <c r="AF34" s="1"/>
  <c r="AC36"/>
  <c r="AD36" s="1"/>
  <c r="AF36" s="1"/>
  <c r="AC37"/>
  <c r="AD37" s="1"/>
  <c r="AF37" s="1"/>
  <c r="AC38"/>
  <c r="AD38" s="1"/>
  <c r="AF38" s="1"/>
  <c r="AC44"/>
  <c r="AD44" s="1"/>
  <c r="AF44" s="1"/>
  <c r="AC48"/>
  <c r="AD48" s="1"/>
  <c r="AF48" s="1"/>
  <c r="AC50"/>
  <c r="AD50" s="1"/>
  <c r="AF50" s="1"/>
  <c r="AF53"/>
  <c r="Y68"/>
  <c r="AF92"/>
  <c r="AC71"/>
  <c r="AC73"/>
  <c r="AC82"/>
  <c r="AD82" s="1"/>
  <c r="AF82" s="1"/>
  <c r="AC84"/>
  <c r="AD84" s="1"/>
  <c r="AF84" s="1"/>
  <c r="AF88"/>
  <c r="AF97"/>
  <c r="AF100"/>
  <c r="AF91"/>
  <c r="AF93"/>
  <c r="AC80"/>
  <c r="AD80" s="1"/>
  <c r="AF80" s="1"/>
  <c r="AC46"/>
  <c r="AD46" s="1"/>
  <c r="AF46" s="1"/>
  <c r="AF39"/>
  <c r="Y58"/>
  <c r="AF75"/>
  <c r="AF94"/>
  <c r="AF98"/>
  <c r="AF103"/>
  <c r="AF107"/>
  <c r="AD71" l="1"/>
  <c r="AF71" s="1"/>
  <c r="AD73"/>
  <c r="AF73" s="1"/>
  <c r="AD70"/>
  <c r="AF70" s="1"/>
  <c r="Y109"/>
  <c r="AG103"/>
  <c r="AI103"/>
  <c r="AG94"/>
  <c r="AI94"/>
  <c r="R94" i="17" s="1"/>
  <c r="R104" s="1"/>
  <c r="AC69" i="4"/>
  <c r="AD69" s="1"/>
  <c r="AF69" s="1"/>
  <c r="AG107"/>
  <c r="AI107"/>
  <c r="AG98"/>
  <c r="AI98"/>
  <c r="AG75"/>
  <c r="AI75"/>
  <c r="AG39"/>
  <c r="AI39"/>
  <c r="AG46"/>
  <c r="AI46"/>
  <c r="AG93"/>
  <c r="AI93"/>
  <c r="AG100"/>
  <c r="AI100"/>
  <c r="AG88"/>
  <c r="AG82"/>
  <c r="AI82"/>
  <c r="AG50"/>
  <c r="AI50"/>
  <c r="AG44"/>
  <c r="AI44"/>
  <c r="AG37"/>
  <c r="AI37"/>
  <c r="AG56"/>
  <c r="AG31"/>
  <c r="AI31"/>
  <c r="AG28"/>
  <c r="AI28"/>
  <c r="AG25"/>
  <c r="AI25"/>
  <c r="AG22"/>
  <c r="AI22"/>
  <c r="AG19"/>
  <c r="AI19"/>
  <c r="AG16"/>
  <c r="AI16"/>
  <c r="AG42"/>
  <c r="AI42"/>
  <c r="AG76"/>
  <c r="AI76"/>
  <c r="AG77"/>
  <c r="AI77"/>
  <c r="AG90"/>
  <c r="AI90"/>
  <c r="AG35"/>
  <c r="AI35"/>
  <c r="AG13"/>
  <c r="AI13"/>
  <c r="AG85"/>
  <c r="AI85"/>
  <c r="AG81"/>
  <c r="AI81"/>
  <c r="AG78"/>
  <c r="AI78"/>
  <c r="AG63"/>
  <c r="AG52"/>
  <c r="AI52"/>
  <c r="AG49"/>
  <c r="AI49"/>
  <c r="AG45"/>
  <c r="AI45"/>
  <c r="AG60"/>
  <c r="AG55"/>
  <c r="AG18"/>
  <c r="AI18"/>
  <c r="AG15"/>
  <c r="AI15"/>
  <c r="AG27"/>
  <c r="AI27"/>
  <c r="AG102"/>
  <c r="AI102"/>
  <c r="AG32"/>
  <c r="AI32"/>
  <c r="AG80"/>
  <c r="AI80"/>
  <c r="AG91"/>
  <c r="AI91"/>
  <c r="AI101"/>
  <c r="AG97"/>
  <c r="AI97"/>
  <c r="AG84"/>
  <c r="AI84"/>
  <c r="AG92"/>
  <c r="AI92"/>
  <c r="AG53"/>
  <c r="AG48"/>
  <c r="AI48"/>
  <c r="AG38"/>
  <c r="AI38"/>
  <c r="AG36"/>
  <c r="AI36"/>
  <c r="AG34"/>
  <c r="AI34"/>
  <c r="AG54"/>
  <c r="AI54"/>
  <c r="AG26"/>
  <c r="AI26"/>
  <c r="AG24"/>
  <c r="AI24"/>
  <c r="AG20"/>
  <c r="AI20"/>
  <c r="AG17"/>
  <c r="AI17"/>
  <c r="AG14"/>
  <c r="AI14"/>
  <c r="AG11"/>
  <c r="AI11"/>
  <c r="AG106"/>
  <c r="AI106"/>
  <c r="AI95"/>
  <c r="AG23"/>
  <c r="AI23"/>
  <c r="AG12"/>
  <c r="AI12"/>
  <c r="AG96"/>
  <c r="AI96"/>
  <c r="AG83"/>
  <c r="AI83"/>
  <c r="AG79"/>
  <c r="AI79"/>
  <c r="AG72"/>
  <c r="AI72"/>
  <c r="AG57"/>
  <c r="AI57"/>
  <c r="AG51"/>
  <c r="AI51"/>
  <c r="AG47"/>
  <c r="AI47"/>
  <c r="AG43"/>
  <c r="AI43"/>
  <c r="AI99"/>
  <c r="AG21"/>
  <c r="AI21"/>
  <c r="AG30"/>
  <c r="AI30"/>
  <c r="AG29"/>
  <c r="AI29"/>
  <c r="AG105"/>
  <c r="AI105"/>
  <c r="R105" i="17" s="1"/>
  <c r="R109" s="1"/>
  <c r="AG87" i="4"/>
  <c r="AI87"/>
  <c r="AG33"/>
  <c r="AI33"/>
  <c r="AC64"/>
  <c r="AC66"/>
  <c r="AD66" s="1"/>
  <c r="AF66" s="1"/>
  <c r="AC41"/>
  <c r="AD41" s="1"/>
  <c r="AF41" s="1"/>
  <c r="AC67"/>
  <c r="AD67" s="1"/>
  <c r="AF67" s="1"/>
  <c r="AC65"/>
  <c r="AD65" s="1"/>
  <c r="AF65" s="1"/>
  <c r="AC74"/>
  <c r="AD74" s="1"/>
  <c r="AF74" s="1"/>
  <c r="AC86"/>
  <c r="AD86" s="1"/>
  <c r="AF86" s="1"/>
  <c r="AC40"/>
  <c r="AD40" s="1"/>
  <c r="AF40" s="1"/>
  <c r="Z68"/>
  <c r="Z109" s="1"/>
  <c r="AF61"/>
  <c r="AI61" s="1"/>
  <c r="E33" i="5"/>
  <c r="F30"/>
  <c r="F28"/>
  <c r="AF62" i="4"/>
  <c r="AF89"/>
  <c r="AI89" s="1"/>
  <c r="AC10"/>
  <c r="AG71" l="1"/>
  <c r="AI71"/>
  <c r="AG73"/>
  <c r="AI73"/>
  <c r="AG70"/>
  <c r="AI70"/>
  <c r="AC104"/>
  <c r="AD104"/>
  <c r="AG40"/>
  <c r="AI40"/>
  <c r="AG65"/>
  <c r="AI65"/>
  <c r="AG67"/>
  <c r="AI67"/>
  <c r="AG66"/>
  <c r="AI66"/>
  <c r="AG59"/>
  <c r="AG61" s="1"/>
  <c r="AG86"/>
  <c r="AI86"/>
  <c r="AG62"/>
  <c r="AG74"/>
  <c r="AI74"/>
  <c r="AG41"/>
  <c r="AI41"/>
  <c r="AC68"/>
  <c r="AD64"/>
  <c r="AC58"/>
  <c r="AD10"/>
  <c r="AG89"/>
  <c r="E27" i="5"/>
  <c r="E28" s="1"/>
  <c r="E35" s="1"/>
  <c r="E36" l="1"/>
  <c r="E38"/>
  <c r="AC109" i="4"/>
  <c r="AF104"/>
  <c r="AD68"/>
  <c r="AF68" s="1"/>
  <c r="AG68" s="1"/>
  <c r="AF64"/>
  <c r="G12" i="10"/>
  <c r="H12" s="1"/>
  <c r="AD58" i="4"/>
  <c r="AF10"/>
  <c r="AI10" s="1"/>
  <c r="AI58" s="1"/>
  <c r="AD109" l="1"/>
  <c r="F32" i="5"/>
  <c r="F33" s="1"/>
  <c r="F35" s="1"/>
  <c r="AG69" i="4"/>
  <c r="AG104" s="1"/>
  <c r="AI69"/>
  <c r="AI104" s="1"/>
  <c r="AI109" s="1"/>
  <c r="L13" i="16" s="1"/>
  <c r="AG64" i="4"/>
  <c r="AI64"/>
  <c r="E57" i="9"/>
  <c r="E63" s="1"/>
  <c r="D63"/>
  <c r="D65" s="1"/>
  <c r="AF58" i="4"/>
  <c r="AF109" s="1"/>
  <c r="AG10"/>
  <c r="AG58" s="1"/>
  <c r="F36" i="5" l="1"/>
  <c r="F38"/>
  <c r="AG109" i="4"/>
  <c r="E65" i="9"/>
  <c r="E67" s="1"/>
  <c r="D67"/>
</calcChain>
</file>

<file path=xl/comments1.xml><?xml version="1.0" encoding="utf-8"?>
<comments xmlns="http://schemas.openxmlformats.org/spreadsheetml/2006/main">
  <authors>
    <author>Kathryn Breda</author>
  </authors>
  <commentList>
    <comment ref="E51" authorId="0">
      <text>
        <r>
          <rPr>
            <b/>
            <sz val="8"/>
            <color indexed="81"/>
            <rFont val="Tahoma"/>
            <family val="2"/>
          </rPr>
          <t>Kathryn Breda:</t>
        </r>
        <r>
          <rPr>
            <sz val="8"/>
            <color indexed="81"/>
            <rFont val="Tahoma"/>
            <family val="2"/>
          </rPr>
          <t xml:space="preserve">
Amortization??</t>
        </r>
      </text>
    </comment>
    <comment ref="C104" authorId="0">
      <text>
        <r>
          <rPr>
            <b/>
            <sz val="8"/>
            <color indexed="81"/>
            <rFont val="Tahoma"/>
            <family val="2"/>
          </rPr>
          <t>Kathryn Breda:</t>
        </r>
        <r>
          <rPr>
            <sz val="8"/>
            <color indexed="81"/>
            <rFont val="Tahoma"/>
            <family val="2"/>
          </rPr>
          <t xml:space="preserve">
Agrees to page 2.21 line 1380 WA unadjusted</t>
        </r>
      </text>
    </comment>
  </commentList>
</comments>
</file>

<file path=xl/comments2.xml><?xml version="1.0" encoding="utf-8"?>
<comments xmlns="http://schemas.openxmlformats.org/spreadsheetml/2006/main">
  <authors>
    <author>Kathryn Breda</author>
  </authors>
  <commentList>
    <comment ref="W53" authorId="0">
      <text>
        <r>
          <rPr>
            <b/>
            <sz val="8"/>
            <color indexed="81"/>
            <rFont val="Tahoma"/>
            <family val="2"/>
          </rPr>
          <t>Kathryn Breda:</t>
        </r>
        <r>
          <rPr>
            <sz val="8"/>
            <color indexed="81"/>
            <rFont val="Tahoma"/>
            <family val="2"/>
          </rPr>
          <t xml:space="preserve">
Amortization??</t>
        </r>
      </text>
    </comment>
    <comment ref="C61" authorId="0">
      <text>
        <r>
          <rPr>
            <b/>
            <sz val="8"/>
            <color indexed="81"/>
            <rFont val="Tahoma"/>
            <family val="2"/>
          </rPr>
          <t>Kathryn Breda:</t>
        </r>
        <r>
          <rPr>
            <sz val="8"/>
            <color indexed="81"/>
            <rFont val="Tahoma"/>
            <family val="2"/>
          </rPr>
          <t xml:space="preserve">
Agrees to 2.20 line 1358 WA unadjusted (off by 10 dollars)</t>
        </r>
      </text>
    </comment>
    <comment ref="C107" authorId="0">
      <text>
        <r>
          <rPr>
            <b/>
            <sz val="8"/>
            <color indexed="81"/>
            <rFont val="Tahoma"/>
            <family val="2"/>
          </rPr>
          <t>Kathryn Breda:</t>
        </r>
        <r>
          <rPr>
            <sz val="8"/>
            <color indexed="81"/>
            <rFont val="Tahoma"/>
            <family val="2"/>
          </rPr>
          <t xml:space="preserve">
Agrees to page 2.21 line 1380 WA unadjusted</t>
        </r>
      </text>
    </comment>
  </commentList>
</comments>
</file>

<file path=xl/comments3.xml><?xml version="1.0" encoding="utf-8"?>
<comments xmlns="http://schemas.openxmlformats.org/spreadsheetml/2006/main">
  <authors>
    <author>Kathryn Breda</author>
  </authors>
  <commentList>
    <comment ref="E52" authorId="0">
      <text>
        <r>
          <rPr>
            <b/>
            <sz val="8"/>
            <color indexed="81"/>
            <rFont val="Tahoma"/>
            <family val="2"/>
          </rPr>
          <t>Kathryn Breda:</t>
        </r>
        <r>
          <rPr>
            <sz val="8"/>
            <color indexed="81"/>
            <rFont val="Tahoma"/>
            <family val="2"/>
          </rPr>
          <t xml:space="preserve">
Amortization??</t>
        </r>
      </text>
    </comment>
    <comment ref="C60" authorId="0">
      <text>
        <r>
          <rPr>
            <b/>
            <sz val="8"/>
            <color indexed="81"/>
            <rFont val="Tahoma"/>
            <family val="2"/>
          </rPr>
          <t>Kathryn Breda:</t>
        </r>
        <r>
          <rPr>
            <sz val="8"/>
            <color indexed="81"/>
            <rFont val="Tahoma"/>
            <family val="2"/>
          </rPr>
          <t xml:space="preserve">
Agrees to 2.20 line 1358 WA unadjusted (off by 10 dollars)</t>
        </r>
      </text>
    </comment>
    <comment ref="C106" authorId="0">
      <text>
        <r>
          <rPr>
            <b/>
            <sz val="8"/>
            <color indexed="81"/>
            <rFont val="Tahoma"/>
            <family val="2"/>
          </rPr>
          <t>Kathryn Breda:</t>
        </r>
        <r>
          <rPr>
            <sz val="8"/>
            <color indexed="81"/>
            <rFont val="Tahoma"/>
            <family val="2"/>
          </rPr>
          <t xml:space="preserve">
Agrees to page 2.21 line 1380 WA unadjusted</t>
        </r>
      </text>
    </comment>
  </commentList>
</comments>
</file>

<file path=xl/comments4.xml><?xml version="1.0" encoding="utf-8"?>
<comments xmlns="http://schemas.openxmlformats.org/spreadsheetml/2006/main">
  <authors>
    <author>Kathryn Breda</author>
  </authors>
  <commentList>
    <comment ref="I58" authorId="0">
      <text>
        <r>
          <rPr>
            <b/>
            <sz val="8"/>
            <color indexed="81"/>
            <rFont val="Tahoma"/>
            <family val="2"/>
          </rPr>
          <t>Kathryn Breda:</t>
        </r>
        <r>
          <rPr>
            <sz val="8"/>
            <color indexed="81"/>
            <rFont val="Tahoma"/>
            <family val="2"/>
          </rPr>
          <t xml:space="preserve">
Agrees to page 2.37 line 2582 WA unadjusted</t>
        </r>
      </text>
    </comment>
    <comment ref="I61" authorId="0">
      <text>
        <r>
          <rPr>
            <b/>
            <sz val="8"/>
            <color indexed="81"/>
            <rFont val="Tahoma"/>
            <family val="2"/>
          </rPr>
          <t>Kathryn Breda:</t>
        </r>
        <r>
          <rPr>
            <sz val="8"/>
            <color indexed="81"/>
            <rFont val="Tahoma"/>
            <family val="2"/>
          </rPr>
          <t xml:space="preserve">
This line and line 140 agree to page 2.37 line 2605 WA Unadjusted
</t>
        </r>
      </text>
    </comment>
    <comment ref="I68" authorId="0">
      <text>
        <r>
          <rPr>
            <b/>
            <sz val="8"/>
            <color indexed="81"/>
            <rFont val="Tahoma"/>
            <family val="2"/>
          </rPr>
          <t>Kathryn Breda:</t>
        </r>
        <r>
          <rPr>
            <sz val="8"/>
            <color indexed="81"/>
            <rFont val="Tahoma"/>
            <family val="2"/>
          </rPr>
          <t xml:space="preserve">
this total plus line 127 equal page 2.37 line 2605 WA unadjusted</t>
        </r>
      </text>
    </comment>
    <comment ref="M68" authorId="0">
      <text>
        <r>
          <rPr>
            <b/>
            <sz val="8"/>
            <color indexed="81"/>
            <rFont val="Tahoma"/>
            <family val="2"/>
          </rPr>
          <t>Kathryn Breda:</t>
        </r>
        <r>
          <rPr>
            <sz val="8"/>
            <color indexed="81"/>
            <rFont val="Tahoma"/>
            <family val="2"/>
          </rPr>
          <t xml:space="preserve">
this total plus line 127 equal page 2.37 line 2605 WA unadjusted</t>
        </r>
      </text>
    </comment>
    <comment ref="I101" authorId="0">
      <text>
        <r>
          <rPr>
            <b/>
            <sz val="8"/>
            <color indexed="81"/>
            <rFont val="Tahoma"/>
            <family val="2"/>
          </rPr>
          <t>Kathryn Breda:</t>
        </r>
        <r>
          <rPr>
            <sz val="8"/>
            <color indexed="81"/>
            <rFont val="Tahoma"/>
            <family val="2"/>
          </rPr>
          <t xml:space="preserve">
Fuller Exhibit 6 only - $111.247</t>
        </r>
      </text>
    </comment>
    <comment ref="I104" authorId="0">
      <text>
        <r>
          <rPr>
            <b/>
            <sz val="8"/>
            <color indexed="81"/>
            <rFont val="Tahoma"/>
            <family val="2"/>
          </rPr>
          <t>Kathryn Breda:</t>
        </r>
        <r>
          <rPr>
            <sz val="8"/>
            <color indexed="81"/>
            <rFont val="Tahoma"/>
            <family val="2"/>
          </rPr>
          <t xml:space="preserve">
Agrees to page 2.37 line 2623 WA unadjusted</t>
        </r>
      </text>
    </comment>
    <comment ref="I109" authorId="0">
      <text>
        <r>
          <rPr>
            <b/>
            <sz val="8"/>
            <color indexed="81"/>
            <rFont val="Tahoma"/>
            <family val="2"/>
          </rPr>
          <t>Kathryn Breda:</t>
        </r>
        <r>
          <rPr>
            <sz val="8"/>
            <color indexed="81"/>
            <rFont val="Tahoma"/>
            <family val="2"/>
          </rPr>
          <t xml:space="preserve">
Agrees to total Accum Def Inc Tax - WA unadjusted page 2.37 line 2626</t>
        </r>
      </text>
    </comment>
  </commentList>
</comments>
</file>

<file path=xl/comments5.xml><?xml version="1.0" encoding="utf-8"?>
<comments xmlns="http://schemas.openxmlformats.org/spreadsheetml/2006/main">
  <authors>
    <author>Kathryn Breda</author>
  </authors>
  <commentList>
    <comment ref="I58" authorId="0">
      <text>
        <r>
          <rPr>
            <b/>
            <sz val="8"/>
            <color indexed="81"/>
            <rFont val="Tahoma"/>
            <family val="2"/>
          </rPr>
          <t>Kathryn Breda:</t>
        </r>
        <r>
          <rPr>
            <sz val="8"/>
            <color indexed="81"/>
            <rFont val="Tahoma"/>
            <family val="2"/>
          </rPr>
          <t xml:space="preserve">
Agrees to page 2.37 line 2582 WA unadjusted</t>
        </r>
      </text>
    </comment>
    <comment ref="I61" authorId="0">
      <text>
        <r>
          <rPr>
            <b/>
            <sz val="8"/>
            <color indexed="81"/>
            <rFont val="Tahoma"/>
            <family val="2"/>
          </rPr>
          <t>Kathryn Breda:</t>
        </r>
        <r>
          <rPr>
            <sz val="8"/>
            <color indexed="81"/>
            <rFont val="Tahoma"/>
            <family val="2"/>
          </rPr>
          <t xml:space="preserve">
This line and line 140 agree to page 2.37 line 2605 WA Unadjusted
</t>
        </r>
      </text>
    </comment>
    <comment ref="I68" authorId="0">
      <text>
        <r>
          <rPr>
            <b/>
            <sz val="8"/>
            <color indexed="81"/>
            <rFont val="Tahoma"/>
            <family val="2"/>
          </rPr>
          <t>Kathryn Breda:</t>
        </r>
        <r>
          <rPr>
            <sz val="8"/>
            <color indexed="81"/>
            <rFont val="Tahoma"/>
            <family val="2"/>
          </rPr>
          <t xml:space="preserve">
this total plus line 127 equal page 2.37 line 2605 WA unadjusted</t>
        </r>
      </text>
    </comment>
    <comment ref="I101" authorId="0">
      <text>
        <r>
          <rPr>
            <b/>
            <sz val="8"/>
            <color indexed="81"/>
            <rFont val="Tahoma"/>
            <family val="2"/>
          </rPr>
          <t>Kathryn Breda:</t>
        </r>
        <r>
          <rPr>
            <sz val="8"/>
            <color indexed="81"/>
            <rFont val="Tahoma"/>
            <family val="2"/>
          </rPr>
          <t xml:space="preserve">
Fuller Exhibit 6 only - $111.247</t>
        </r>
      </text>
    </comment>
    <comment ref="I104" authorId="0">
      <text>
        <r>
          <rPr>
            <b/>
            <sz val="8"/>
            <color indexed="81"/>
            <rFont val="Tahoma"/>
            <family val="2"/>
          </rPr>
          <t>Kathryn Breda:</t>
        </r>
        <r>
          <rPr>
            <sz val="8"/>
            <color indexed="81"/>
            <rFont val="Tahoma"/>
            <family val="2"/>
          </rPr>
          <t xml:space="preserve">
Agrees to page 2.37 line 2623 WA unadjusted</t>
        </r>
      </text>
    </comment>
    <comment ref="I109" authorId="0">
      <text>
        <r>
          <rPr>
            <b/>
            <sz val="8"/>
            <color indexed="81"/>
            <rFont val="Tahoma"/>
            <family val="2"/>
          </rPr>
          <t>Kathryn Breda:</t>
        </r>
        <r>
          <rPr>
            <sz val="8"/>
            <color indexed="81"/>
            <rFont val="Tahoma"/>
            <family val="2"/>
          </rPr>
          <t xml:space="preserve">
Agrees to total Accum Def Inc Tax - WA unadjusted page 2.37 line 2626</t>
        </r>
      </text>
    </comment>
  </commentList>
</comments>
</file>

<file path=xl/comments6.xml><?xml version="1.0" encoding="utf-8"?>
<comments xmlns="http://schemas.openxmlformats.org/spreadsheetml/2006/main">
  <authors>
    <author>Kathryn Breda</author>
  </authors>
  <commentList>
    <comment ref="P68" authorId="0">
      <text>
        <r>
          <rPr>
            <b/>
            <sz val="8"/>
            <color indexed="81"/>
            <rFont val="Tahoma"/>
            <family val="2"/>
          </rPr>
          <t>Kathryn Breda:</t>
        </r>
        <r>
          <rPr>
            <sz val="8"/>
            <color indexed="81"/>
            <rFont val="Tahoma"/>
            <family val="2"/>
          </rPr>
          <t xml:space="preserve">
this total plus line 127 equal page 2.37 line 2605 WA unadjusted</t>
        </r>
      </text>
    </comment>
  </commentList>
</comments>
</file>

<file path=xl/comments7.xml><?xml version="1.0" encoding="utf-8"?>
<comments xmlns="http://schemas.openxmlformats.org/spreadsheetml/2006/main">
  <authors>
    <author>Kathryn Breda</author>
  </authors>
  <commentList>
    <comment ref="X51" authorId="0">
      <text>
        <r>
          <rPr>
            <b/>
            <sz val="8"/>
            <color indexed="81"/>
            <rFont val="Tahoma"/>
            <family val="2"/>
          </rPr>
          <t>Kathryn Breda:</t>
        </r>
        <r>
          <rPr>
            <sz val="8"/>
            <color indexed="81"/>
            <rFont val="Tahoma"/>
            <family val="2"/>
          </rPr>
          <t xml:space="preserve">
Amortization??</t>
        </r>
      </text>
    </comment>
    <comment ref="D59" authorId="0">
      <text>
        <r>
          <rPr>
            <b/>
            <sz val="8"/>
            <color indexed="81"/>
            <rFont val="Tahoma"/>
            <family val="2"/>
          </rPr>
          <t>Kathryn Breda:</t>
        </r>
        <r>
          <rPr>
            <sz val="8"/>
            <color indexed="81"/>
            <rFont val="Tahoma"/>
            <family val="2"/>
          </rPr>
          <t xml:space="preserve">
Agrees to 2.20 line 1358 WA unadjusted (off by 10 dollars)</t>
        </r>
      </text>
    </comment>
    <comment ref="D105" authorId="0">
      <text>
        <r>
          <rPr>
            <b/>
            <sz val="8"/>
            <color indexed="81"/>
            <rFont val="Tahoma"/>
            <family val="2"/>
          </rPr>
          <t>Kathryn Breda:</t>
        </r>
        <r>
          <rPr>
            <sz val="8"/>
            <color indexed="81"/>
            <rFont val="Tahoma"/>
            <family val="2"/>
          </rPr>
          <t xml:space="preserve">
Agrees to page 2.21 line 1380 WA unadjusted</t>
        </r>
      </text>
    </comment>
  </commentList>
</comments>
</file>

<file path=xl/comments8.xml><?xml version="1.0" encoding="utf-8"?>
<comments xmlns="http://schemas.openxmlformats.org/spreadsheetml/2006/main">
  <authors>
    <author>Kathryn Breda</author>
  </authors>
  <commentList>
    <comment ref="I15" authorId="0">
      <text>
        <r>
          <rPr>
            <b/>
            <sz val="8"/>
            <color indexed="81"/>
            <rFont val="Tahoma"/>
            <family val="2"/>
          </rPr>
          <t>Kathryn Breda:</t>
        </r>
        <r>
          <rPr>
            <sz val="8"/>
            <color indexed="81"/>
            <rFont val="Tahoma"/>
            <family val="2"/>
          </rPr>
          <t xml:space="preserve">
Per Fuller exihbit 6 the non property amount is $84.874</t>
        </r>
      </text>
    </comment>
    <comment ref="I58" authorId="0">
      <text>
        <r>
          <rPr>
            <b/>
            <sz val="8"/>
            <color indexed="81"/>
            <rFont val="Tahoma"/>
            <family val="2"/>
          </rPr>
          <t>Kathryn Breda:</t>
        </r>
        <r>
          <rPr>
            <sz val="8"/>
            <color indexed="81"/>
            <rFont val="Tahoma"/>
            <family val="2"/>
          </rPr>
          <t xml:space="preserve">
Agrees to page 2.37 line 2582 WA unadjusted</t>
        </r>
      </text>
    </comment>
    <comment ref="I61" authorId="0">
      <text>
        <r>
          <rPr>
            <b/>
            <sz val="8"/>
            <color indexed="81"/>
            <rFont val="Tahoma"/>
            <family val="2"/>
          </rPr>
          <t>Kathryn Breda:</t>
        </r>
        <r>
          <rPr>
            <sz val="8"/>
            <color indexed="81"/>
            <rFont val="Tahoma"/>
            <family val="2"/>
          </rPr>
          <t xml:space="preserve">
This line and line 140 agree to page 2.37 line 2605 WA Unadjusted
</t>
        </r>
      </text>
    </comment>
    <comment ref="I68" authorId="0">
      <text>
        <r>
          <rPr>
            <b/>
            <sz val="8"/>
            <color indexed="81"/>
            <rFont val="Tahoma"/>
            <family val="2"/>
          </rPr>
          <t>Kathryn Breda:</t>
        </r>
        <r>
          <rPr>
            <sz val="8"/>
            <color indexed="81"/>
            <rFont val="Tahoma"/>
            <family val="2"/>
          </rPr>
          <t xml:space="preserve">
this total plus line 127 equal page 2.37 line 2605 WA unadjusted</t>
        </r>
      </text>
    </comment>
    <comment ref="AD68" authorId="0">
      <text>
        <r>
          <rPr>
            <b/>
            <sz val="8"/>
            <color indexed="81"/>
            <rFont val="Tahoma"/>
            <family val="2"/>
          </rPr>
          <t>Kathryn Breda:</t>
        </r>
        <r>
          <rPr>
            <sz val="8"/>
            <color indexed="81"/>
            <rFont val="Tahoma"/>
            <family val="2"/>
          </rPr>
          <t xml:space="preserve">
this total plus line 127 equal page 2.37 line 2605 WA unadjusted</t>
        </r>
      </text>
    </comment>
    <comment ref="I101" authorId="0">
      <text>
        <r>
          <rPr>
            <b/>
            <sz val="8"/>
            <color indexed="81"/>
            <rFont val="Tahoma"/>
            <family val="2"/>
          </rPr>
          <t>Kathryn Breda:</t>
        </r>
        <r>
          <rPr>
            <sz val="8"/>
            <color indexed="81"/>
            <rFont val="Tahoma"/>
            <family val="2"/>
          </rPr>
          <t xml:space="preserve">
Fuller Exhibit 6 only - $111.247</t>
        </r>
      </text>
    </comment>
    <comment ref="I104" authorId="0">
      <text>
        <r>
          <rPr>
            <b/>
            <sz val="8"/>
            <color indexed="81"/>
            <rFont val="Tahoma"/>
            <family val="2"/>
          </rPr>
          <t>Kathryn Breda:</t>
        </r>
        <r>
          <rPr>
            <sz val="8"/>
            <color indexed="81"/>
            <rFont val="Tahoma"/>
            <family val="2"/>
          </rPr>
          <t xml:space="preserve">
Agrees to page 2.37 line 2623 WA unadjusted</t>
        </r>
      </text>
    </comment>
    <comment ref="I109" authorId="0">
      <text>
        <r>
          <rPr>
            <b/>
            <sz val="8"/>
            <color indexed="81"/>
            <rFont val="Tahoma"/>
            <family val="2"/>
          </rPr>
          <t>Kathryn Breda:</t>
        </r>
        <r>
          <rPr>
            <sz val="8"/>
            <color indexed="81"/>
            <rFont val="Tahoma"/>
            <family val="2"/>
          </rPr>
          <t xml:space="preserve">
Agrees to total Accum Def Inc Tax - WA unadjusted page 2.37 line 2626</t>
        </r>
      </text>
    </comment>
  </commentList>
</comments>
</file>

<file path=xl/sharedStrings.xml><?xml version="1.0" encoding="utf-8"?>
<sst xmlns="http://schemas.openxmlformats.org/spreadsheetml/2006/main" count="3332" uniqueCount="590">
  <si>
    <t>PacifiCorp</t>
  </si>
  <si>
    <t>Washington General Rate Case December 2009</t>
  </si>
  <si>
    <t>Adj. 7.9 Current Year Def Inc Tax Normalization</t>
  </si>
  <si>
    <t>WASHINGTON</t>
  </si>
  <si>
    <t>ACCOUNT</t>
  </si>
  <si>
    <t>ALLOCATED</t>
  </si>
  <si>
    <t>Adjustment to Expense</t>
  </si>
  <si>
    <t>Deferred Income Tax Expense</t>
  </si>
  <si>
    <t>Accum Def Income Tax Balance</t>
  </si>
  <si>
    <t>Description of Adjustment</t>
  </si>
  <si>
    <t>Company:</t>
  </si>
  <si>
    <t>Staff</t>
  </si>
  <si>
    <t>UE-100467</t>
  </si>
  <si>
    <t>Twelve Months Ending - December 2009</t>
  </si>
  <si>
    <t>Allocation Method - Factor West Control Area</t>
  </si>
  <si>
    <t>FERC Account</t>
  </si>
  <si>
    <t>FERC Secondary Acct</t>
  </si>
  <si>
    <t>JARS Reg Alloc Fctr</t>
  </si>
  <si>
    <t>Prop Related (Power Tax)/ Other / Regulatory Adj</t>
  </si>
  <si>
    <t xml:space="preserve"> Tax Description</t>
  </si>
  <si>
    <t>Total Company</t>
  </si>
  <si>
    <t>Total Washington Unadjusted Results</t>
  </si>
  <si>
    <t>Other</t>
  </si>
  <si>
    <t>Property-Related</t>
  </si>
  <si>
    <t>Book Depreciation</t>
  </si>
  <si>
    <t>Repair Deduction</t>
  </si>
  <si>
    <t>SG</t>
  </si>
  <si>
    <t>Sec 481a Adj - Repair Deduction</t>
  </si>
  <si>
    <t>Tax Depreciation</t>
  </si>
  <si>
    <t>Capitalized Depreciation</t>
  </si>
  <si>
    <t>SO</t>
  </si>
  <si>
    <t>282DIT PMIDepreciation-Tax</t>
  </si>
  <si>
    <t>JBE</t>
  </si>
  <si>
    <t>AFUDC Debt</t>
  </si>
  <si>
    <t>SNP</t>
  </si>
  <si>
    <t>Flow-through-WA</t>
  </si>
  <si>
    <t>WA</t>
  </si>
  <si>
    <t>Other Plant</t>
  </si>
  <si>
    <t>282Basis Intangible Difference</t>
  </si>
  <si>
    <t>Gain / (Loss) on Prop. Disposition</t>
  </si>
  <si>
    <t>GPS</t>
  </si>
  <si>
    <t>Coal Mine Development</t>
  </si>
  <si>
    <t>SE</t>
  </si>
  <si>
    <t>Coal Mine Extension</t>
  </si>
  <si>
    <t>Other -PMI</t>
  </si>
  <si>
    <t>PMI Coal Mine Extension Costs</t>
  </si>
  <si>
    <t>Removal Costs</t>
  </si>
  <si>
    <t>Book Gain/Loss on Land Sale</t>
  </si>
  <si>
    <t>190Distribution O&amp;M</t>
  </si>
  <si>
    <t>SNPD</t>
  </si>
  <si>
    <t>Other - PMI</t>
  </si>
  <si>
    <t>190PMISec263A</t>
  </si>
  <si>
    <t>Self Insured Health Benefits</t>
  </si>
  <si>
    <t>283Prepaid Membership Fees-EEI WSCC</t>
  </si>
  <si>
    <t>283Prepaid Taxes-Property Taxes</t>
  </si>
  <si>
    <t>190Bad Debt Allowance</t>
  </si>
  <si>
    <t>BADDEBT</t>
  </si>
  <si>
    <t>CAGW</t>
  </si>
  <si>
    <t>Regulatory Adj</t>
  </si>
  <si>
    <t>283INTERIM PROVISION_TOTAL REG ASSETS_LI</t>
  </si>
  <si>
    <t>190REG LIABILITY</t>
  </si>
  <si>
    <t>190R&amp;E Expense Sec174 Deduction</t>
  </si>
  <si>
    <t>190DEF REG ASSET-TRANSM SVC DEPOSIT</t>
  </si>
  <si>
    <t>283Hazardous Waste/Environmental-WA</t>
  </si>
  <si>
    <t>190CONTRA RTO GRID WEST N/R ALLOWANCE</t>
  </si>
  <si>
    <t>Deferred Excess Net Power Costs - WA Hyd</t>
  </si>
  <si>
    <t>190Tenant Lease Allow-PSU Call Cntr</t>
  </si>
  <si>
    <t>CN</t>
  </si>
  <si>
    <t>283Unearned Joint Use Pole Contact Revnu</t>
  </si>
  <si>
    <t>Duke/Hermiston Contract Renegotiation</t>
  </si>
  <si>
    <t>TROJD</t>
  </si>
  <si>
    <t>283Weatherization</t>
  </si>
  <si>
    <t>Reg Asset Balance Reclass</t>
  </si>
  <si>
    <t>Misc. Non-Current Accrued Liability</t>
  </si>
  <si>
    <t>190Misc Current and Accrued Liability-SO</t>
  </si>
  <si>
    <t>190Bonus Liability</t>
  </si>
  <si>
    <t>CAEW</t>
  </si>
  <si>
    <t>190Vacation Sickleave &amp; PT Accrual</t>
  </si>
  <si>
    <t>190Trojan Decommissioning Amort</t>
  </si>
  <si>
    <t>283PMI Development Costs</t>
  </si>
  <si>
    <t>283PMI AMORT DEVELOPMENT</t>
  </si>
  <si>
    <t>190NOPA 103-99-00 RAR</t>
  </si>
  <si>
    <t>283PMI SALE OF ASSETS</t>
  </si>
  <si>
    <t>PMI EITF Pre stripping Cost</t>
  </si>
  <si>
    <t>283Reg Liability-WA Low Energy Program</t>
  </si>
  <si>
    <t>190Property Insurance</t>
  </si>
  <si>
    <t>190Redding Contract</t>
  </si>
  <si>
    <t>190Deferred Compensation Payout</t>
  </si>
  <si>
    <t>190Pension/Retirement (Accrued/Prepaid)</t>
  </si>
  <si>
    <t>190SERP</t>
  </si>
  <si>
    <t>190Severance</t>
  </si>
  <si>
    <t>190Accrued CIC Severence</t>
  </si>
  <si>
    <t>283Post Merger Debt Loss</t>
  </si>
  <si>
    <t>190Injuries &amp; Damages</t>
  </si>
  <si>
    <t>190Wasatch workers comp reserve</t>
  </si>
  <si>
    <t>283PMI BCC Underground Mine Cost Deplet</t>
  </si>
  <si>
    <t>BRIDGER COAL COMPANY EXTRACTION TAXES PA</t>
  </si>
  <si>
    <t>SO 2 Emissions Allowances</t>
  </si>
  <si>
    <t>Adjustment 4.4 Pension Curtailment</t>
  </si>
  <si>
    <t>Medicare Deferred</t>
  </si>
  <si>
    <t>Total Account 410.1 Provision for Deferred Income Taxes</t>
  </si>
  <si>
    <t>30% Capitalized Labor Costs</t>
  </si>
  <si>
    <t>283FAS 109 Def Tax Liab WA-NUTIL</t>
  </si>
  <si>
    <t>Depreciation Flow-Through - WA</t>
  </si>
  <si>
    <t>282DIT PMIDepreciation-Book</t>
  </si>
  <si>
    <t>CIAC</t>
  </si>
  <si>
    <t>Reimbursements/Highway Relocation</t>
  </si>
  <si>
    <t>Avoided Costs</t>
  </si>
  <si>
    <t>Capitalization of Test Energy</t>
  </si>
  <si>
    <t>Gain/Loss on Disposition</t>
  </si>
  <si>
    <t>Coal Mine Receding Face (Extension)</t>
  </si>
  <si>
    <t>Willow Wind Account Receivable</t>
  </si>
  <si>
    <t>283INTERIM PROVISION_TOTAL REG ASSET_LIA</t>
  </si>
  <si>
    <t>283Hazardous Waste/Envir. Cleanup</t>
  </si>
  <si>
    <t>190Hazardous Waste/Environmental-WA</t>
  </si>
  <si>
    <t>283WA DISALLOWED COLSTRIP #3 WRITE-OFF</t>
  </si>
  <si>
    <t>RTO Grid West N/R Writeoff WA</t>
  </si>
  <si>
    <t>Unrecovered Plant-Powerdale</t>
  </si>
  <si>
    <t>283LAKEVIEW BUYOUT-SG</t>
  </si>
  <si>
    <t>283JOSEPH SETTLEMENT-SG</t>
  </si>
  <si>
    <t>190Hermiston Swap</t>
  </si>
  <si>
    <t>190PMIVacation Bonus</t>
  </si>
  <si>
    <t>283TROJAN DECOMMISSIONING AMORT</t>
  </si>
  <si>
    <t>MEHC Transition Costs-WA</t>
  </si>
  <si>
    <t>190SERP - Cash Basis</t>
  </si>
  <si>
    <t>190PMISec 471 Adjustment</t>
  </si>
  <si>
    <t>190FAS112 Book Reserve Postretirement Be</t>
  </si>
  <si>
    <t>SO2 Emission Allowances</t>
  </si>
  <si>
    <t xml:space="preserve">Colstrip Removal </t>
  </si>
  <si>
    <t>Environmental Remediation Third West</t>
  </si>
  <si>
    <t>Powerdale Hydro</t>
  </si>
  <si>
    <t>Chehalis</t>
  </si>
  <si>
    <t>Adjustment 7.4 Malin</t>
  </si>
  <si>
    <t>Total Account 411.1 Provision for Deferred Income Taxes - Credit</t>
  </si>
  <si>
    <r>
      <t xml:space="preserve">      </t>
    </r>
    <r>
      <rPr>
        <b/>
        <sz val="12"/>
        <rFont val="Times New Roman"/>
        <family val="1"/>
      </rPr>
      <t>TOTAL DEFERRED INCOME TAX EXPENSE</t>
    </r>
  </si>
  <si>
    <t>UE-100749</t>
  </si>
  <si>
    <t>Accumulated Deferred Income Tax</t>
  </si>
  <si>
    <t>Average of Monthly Averages Ending - December 2009</t>
  </si>
  <si>
    <t>Total  Company</t>
  </si>
  <si>
    <t>Total Adjusted Washington ADIT (Company)</t>
  </si>
  <si>
    <t>Malin</t>
  </si>
  <si>
    <t>Adj 3.2</t>
  </si>
  <si>
    <t>Adj 3.4</t>
  </si>
  <si>
    <t>Adj 4.8</t>
  </si>
  <si>
    <t>Adj 5.6</t>
  </si>
  <si>
    <t>Adj 8.3</t>
  </si>
  <si>
    <t>Adj 8.5</t>
  </si>
  <si>
    <t>Adj 8.7</t>
  </si>
  <si>
    <t>Adj 8.8</t>
  </si>
  <si>
    <t>Adj 8.10</t>
  </si>
  <si>
    <t>Adj 7.4</t>
  </si>
  <si>
    <t>1901000</t>
  </si>
  <si>
    <t>ACCUM DEF INC TAX</t>
  </si>
  <si>
    <t>287203</t>
  </si>
  <si>
    <t>DTA for AMT Tax</t>
  </si>
  <si>
    <t>287289</t>
  </si>
  <si>
    <t>DTA 425.130 Rogue River-Habitat Enhancem</t>
  </si>
  <si>
    <t>287290</t>
  </si>
  <si>
    <t>DTA 425.150 Lewis River- LWD Fund Liabil</t>
  </si>
  <si>
    <t>287302</t>
  </si>
  <si>
    <t>DTA-610.114 PMI EITF 04-06 PRE STRIPPING</t>
  </si>
  <si>
    <t>287310</t>
  </si>
  <si>
    <t>DTA 705.210 Property Insurance(Injuries</t>
  </si>
  <si>
    <t>287323</t>
  </si>
  <si>
    <t>DTA 505.400 Bonus Liab. Elec.-Cash Basis</t>
  </si>
  <si>
    <t>287324</t>
  </si>
  <si>
    <t>DTA 720.200 Deferred Comp. Accrual - Cas</t>
  </si>
  <si>
    <t>287326</t>
  </si>
  <si>
    <t>DTA 720.500 Severance  Accrual - Cash Ba</t>
  </si>
  <si>
    <t>287327</t>
  </si>
  <si>
    <t>DTA 720.300 Pension/Retirement Accrual -</t>
  </si>
  <si>
    <t>287329</t>
  </si>
  <si>
    <t>DTA 720.400 SERP Accrual - Cash Basis</t>
  </si>
  <si>
    <t>287332</t>
  </si>
  <si>
    <t>DTA 505.600 Vacation Accrual-Cash Basis</t>
  </si>
  <si>
    <t>287337</t>
  </si>
  <si>
    <t>DTA 715.100 MCI F.O.G. WIRE LEASE</t>
  </si>
  <si>
    <t>287338</t>
  </si>
  <si>
    <t>DTA415.110 Def Reg Asset-Transmission Sr</t>
  </si>
  <si>
    <t>287340</t>
  </si>
  <si>
    <t>DTA 220.100 Bad Debts Allowance - Cash B</t>
  </si>
  <si>
    <t>287341</t>
  </si>
  <si>
    <t>DTA 910.530 Injuries &amp; Damages Accrual -</t>
  </si>
  <si>
    <t>287344</t>
  </si>
  <si>
    <t>DTA 715.800 Redding Contract - Prepaid</t>
  </si>
  <si>
    <t>287345</t>
  </si>
  <si>
    <t>DTA 145.030 Distribution O&amp;M Amort of Wr</t>
  </si>
  <si>
    <t>287354</t>
  </si>
  <si>
    <t>DTA 505.140 MISC CURRENT &amp; ACCRUED LIAB</t>
  </si>
  <si>
    <t>287357</t>
  </si>
  <si>
    <t>DTA 715.350 OTHER ENVIROMENTAL LIABILITI</t>
  </si>
  <si>
    <t>287360</t>
  </si>
  <si>
    <t>DTA 425.700 Special Assessment - DOE</t>
  </si>
  <si>
    <t>287364</t>
  </si>
  <si>
    <t>DTA 910.670 Merger Cost Amort</t>
  </si>
  <si>
    <t>287373</t>
  </si>
  <si>
    <t>DTA 910.580 Wasach workers comp reserve</t>
  </si>
  <si>
    <t>287393</t>
  </si>
  <si>
    <t>DTA 425.110 TENANT LEASE ALLOW - PSU CAL</t>
  </si>
  <si>
    <t>287396</t>
  </si>
  <si>
    <t>DTA425.110 Tenant Lease Allowances</t>
  </si>
  <si>
    <t>287399</t>
  </si>
  <si>
    <t>DTA 920.150 FAS 112</t>
  </si>
  <si>
    <t>287402</t>
  </si>
  <si>
    <t>DTA 415.801 CONTRA G</t>
  </si>
  <si>
    <t>287413</t>
  </si>
  <si>
    <t>DTA 720.550 ACCRUED CIC SEVERANCE</t>
  </si>
  <si>
    <t>287415</t>
  </si>
  <si>
    <t>DTA 205.200 M&amp;S INV</t>
  </si>
  <si>
    <t>287429</t>
  </si>
  <si>
    <t>DTA 425.225 Duke Contract Novation</t>
  </si>
  <si>
    <t>287433</t>
  </si>
  <si>
    <t>DTA 425.295 BPA CONSERVATION DISCOUNT</t>
  </si>
  <si>
    <t>287441</t>
  </si>
  <si>
    <t>DTA 605.100 Trojan Decom Cost-Regulatory</t>
  </si>
  <si>
    <t>287454</t>
  </si>
  <si>
    <t>DTA 415.310 ENVN WA</t>
  </si>
  <si>
    <t>287456</t>
  </si>
  <si>
    <t>DTA 920.160 STOCK INCENTIVE PLAN</t>
  </si>
  <si>
    <t>287457</t>
  </si>
  <si>
    <t>DTA 920.170 EXEC STOCK OPTION PLAN</t>
  </si>
  <si>
    <t>287467</t>
  </si>
  <si>
    <t>DTA 210.105 Self Ins</t>
  </si>
  <si>
    <t>287483</t>
  </si>
  <si>
    <t>DTA 120.105 Willow Wind Account Receivab</t>
  </si>
  <si>
    <t>287499</t>
  </si>
  <si>
    <t>DTA - PMI Def Tax</t>
  </si>
  <si>
    <t>287681</t>
  </si>
  <si>
    <t>DTL 920.110 BRIDGER EXTRACTION TAXES PAY</t>
  </si>
  <si>
    <t>287706</t>
  </si>
  <si>
    <t>DTL 610.100 COAL MINE DEVT PMI</t>
  </si>
  <si>
    <t>287719</t>
  </si>
  <si>
    <t>DTL 910.910 PMI Sec. 471 Inv Adj</t>
  </si>
  <si>
    <t>287720</t>
  </si>
  <si>
    <t>DTL 610.100 PMI DEV'T COST AMORT</t>
  </si>
  <si>
    <t>287721</t>
  </si>
  <si>
    <t>DTL 610.115 PMI OVERBURDEN REMOVAL</t>
  </si>
  <si>
    <t>287722</t>
  </si>
  <si>
    <t>DTL 505.510 PMI VAC ACCRUAL</t>
  </si>
  <si>
    <t>287723</t>
  </si>
  <si>
    <t>DTL 205.411 PMI SEC. 263A</t>
  </si>
  <si>
    <t>287725</t>
  </si>
  <si>
    <t>DTL 920.100 PMI RECLAMATION TRUST EARN</t>
  </si>
  <si>
    <t>287726</t>
  </si>
  <si>
    <t>Prop-Related</t>
  </si>
  <si>
    <t>DTL PMI PP&amp;E</t>
  </si>
  <si>
    <t>287735</t>
  </si>
  <si>
    <t>DTL 910.905 PMI COST DEPLETION</t>
  </si>
  <si>
    <t xml:space="preserve">   190</t>
  </si>
  <si>
    <t>Adj 3.4 SO2 Emission Allownaces</t>
  </si>
  <si>
    <t>1901000 Total</t>
  </si>
  <si>
    <t>2820000</t>
  </si>
  <si>
    <t>AC DEF INCTX-PROPT</t>
  </si>
  <si>
    <t>287704</t>
  </si>
  <si>
    <t>DTL 105.143/165 Basis Diff - Intangibles</t>
  </si>
  <si>
    <t>2820000 Total</t>
  </si>
  <si>
    <t>2821000</t>
  </si>
  <si>
    <t>AC DEF TAX-UTILITY</t>
  </si>
  <si>
    <t>287008</t>
  </si>
  <si>
    <t>ADIT - FEDERAL - PROPERTY, PLANT &amp; EQUIP</t>
  </si>
  <si>
    <t>287605</t>
  </si>
  <si>
    <t>DTL PP&amp;E Powertax</t>
  </si>
  <si>
    <t>DITBAL</t>
  </si>
  <si>
    <t>287692</t>
  </si>
  <si>
    <t>DTL 610.005N Sec 17</t>
  </si>
  <si>
    <t>287765</t>
  </si>
  <si>
    <t>DTL 610.095N Roll</t>
  </si>
  <si>
    <t>287766</t>
  </si>
  <si>
    <t>DTL 610.100N Amort</t>
  </si>
  <si>
    <t>287785</t>
  </si>
  <si>
    <t>DTL 105.144 Sec 1031 Exchange - CWIP</t>
  </si>
  <si>
    <t>2821000 Total</t>
  </si>
  <si>
    <t>2831000</t>
  </si>
  <si>
    <t>AC DEF IN TX UTIL</t>
  </si>
  <si>
    <t>287573</t>
  </si>
  <si>
    <t>DTL 415.873 Deferred Excess NPC-WA Hydro</t>
  </si>
  <si>
    <t>287576</t>
  </si>
  <si>
    <t>DTL 415.822 RgAst UT</t>
  </si>
  <si>
    <t>287582</t>
  </si>
  <si>
    <t>DTL 415.825 Contra Pensn Reg Asset CTG_W</t>
  </si>
  <si>
    <t>287591</t>
  </si>
  <si>
    <t>DTL 415.301 Environmental Clean-up Accrl</t>
  </si>
  <si>
    <t>287613</t>
  </si>
  <si>
    <t>DTL 605.100 Trojan Decomissioning Costs</t>
  </si>
  <si>
    <t>287614</t>
  </si>
  <si>
    <t>DTL 430.100 Weatherization</t>
  </si>
  <si>
    <t>287616</t>
  </si>
  <si>
    <t>DTL  Interim provision reg assets/Liabil</t>
  </si>
  <si>
    <t>287634</t>
  </si>
  <si>
    <t>DTL 415.300 Environmental Clean-up Accru</t>
  </si>
  <si>
    <t>287639</t>
  </si>
  <si>
    <t>DTL 415.510 WA Disallowed Colstrip 3-Wri</t>
  </si>
  <si>
    <t>287650</t>
  </si>
  <si>
    <t>DTL 205.100 Coal Pile Inventory Adjustme</t>
  </si>
  <si>
    <t>287654</t>
  </si>
  <si>
    <t>DTL 425.260 Lakeview Buyout</t>
  </si>
  <si>
    <t>287656</t>
  </si>
  <si>
    <t>DTL 425.280 Joseph Settlement</t>
  </si>
  <si>
    <t>287661</t>
  </si>
  <si>
    <t>DTL 425.360 Hermiston Swap</t>
  </si>
  <si>
    <t>287669</t>
  </si>
  <si>
    <t>DTL 210.180 PRE MEM</t>
  </si>
  <si>
    <t>287675</t>
  </si>
  <si>
    <t>DTL 740.100 Post Merger Loss-Reacq Debt</t>
  </si>
  <si>
    <t>DTL 920.110 Bridger Extraction Taxes Pay</t>
  </si>
  <si>
    <t>287708</t>
  </si>
  <si>
    <t>DTL 210.200 PREPAID PROPERTY TAXES</t>
  </si>
  <si>
    <t>DTL 910.910 PMI SEC. 471 INV ADJ</t>
  </si>
  <si>
    <t>287728</t>
  </si>
  <si>
    <t>DTL 415.800 GRID WST</t>
  </si>
  <si>
    <t>287730</t>
  </si>
  <si>
    <t>DTL 610.143 WA LOW ENERGY PROGRAM</t>
  </si>
  <si>
    <t>DTL 910.905 PMI Cost Depletion</t>
  </si>
  <si>
    <t>287737</t>
  </si>
  <si>
    <t>DTL 415.803 RTO Grid West N/R-W/O-WA</t>
  </si>
  <si>
    <t>287762</t>
  </si>
  <si>
    <t>DTL 705.260 Reg Asset</t>
  </si>
  <si>
    <t>287763</t>
  </si>
  <si>
    <t>DTL 715.720 NW Power</t>
  </si>
  <si>
    <t>287779</t>
  </si>
  <si>
    <t>DTL 415.850 Unrec Plt</t>
  </si>
  <si>
    <t>287990</t>
  </si>
  <si>
    <t>DTL - PMI Def Tax</t>
  </si>
  <si>
    <t>Powerdale UE-070624</t>
  </si>
  <si>
    <t>2831000 Total</t>
  </si>
  <si>
    <t>Adjustment 7.8 State Income Tax Expense</t>
  </si>
  <si>
    <t xml:space="preserve">  Adjustment 7.9 Normalization vs. Flow Through</t>
  </si>
  <si>
    <t>Adjustment 7.11 Aver Balance</t>
  </si>
  <si>
    <t xml:space="preserve">Total Accumulated Deferred Income Tax </t>
  </si>
  <si>
    <t xml:space="preserve">  Adjustment 8.11 Repairs Deduction</t>
  </si>
  <si>
    <t>Federal Income Tax</t>
  </si>
  <si>
    <t>Line</t>
  </si>
  <si>
    <t>No.</t>
  </si>
  <si>
    <t>(a)</t>
  </si>
  <si>
    <t>Description</t>
  </si>
  <si>
    <t>(b)</t>
  </si>
  <si>
    <t xml:space="preserve">(c) </t>
  </si>
  <si>
    <t>Accum. Deferred</t>
  </si>
  <si>
    <t>Income Tax</t>
  </si>
  <si>
    <t>(d)</t>
  </si>
  <si>
    <t>Deferred Income</t>
  </si>
  <si>
    <t>Tax Expense</t>
  </si>
  <si>
    <t>Adjustment  3.2 Revenue Normalization</t>
  </si>
  <si>
    <t>Adjustment 3.4 SO2 Emission Allowances</t>
  </si>
  <si>
    <t>Adjustment 4.6 DSM Removal</t>
  </si>
  <si>
    <t>Adjustment 4.8 MEHC Severance</t>
  </si>
  <si>
    <t>Adjustment 5.6 Removal of Colstrip 3</t>
  </si>
  <si>
    <t>Adjustment 8.3 Envronmental Remediation</t>
  </si>
  <si>
    <t>Adjustment 8.5 Miscellaneous Rate Base</t>
  </si>
  <si>
    <t>Adjustment 8.7 Powerdale</t>
  </si>
  <si>
    <t>Adjustment 8.8 Trojan</t>
  </si>
  <si>
    <t>Adjustment 8.10 Chehalis</t>
  </si>
  <si>
    <t>Adjustment 7.2 Tax Factor Correction</t>
  </si>
  <si>
    <t>Adjustment 7.5 FAS 109 Adjustment</t>
  </si>
  <si>
    <t>Adjustment 7.8 State Income Tax</t>
  </si>
  <si>
    <t>Adjustment 7.9 Normalization Vs Flow-Through</t>
  </si>
  <si>
    <t>Adjustment 7.10 Medicare Deferred Tax</t>
  </si>
  <si>
    <t>Adjustment 7.11 Average ADIT Balance</t>
  </si>
  <si>
    <t>Washington Unadjusted Results</t>
  </si>
  <si>
    <t>Staff Adjustments</t>
  </si>
  <si>
    <t>New Adjustment 7.9.2 Remove State Tax</t>
  </si>
  <si>
    <t>New Adjustment 7.9.3 Non-Prop Flow-Through</t>
  </si>
  <si>
    <t xml:space="preserve">Total Company Test Year Adjustments </t>
  </si>
  <si>
    <t xml:space="preserve">Washington Adjusted Results - Company </t>
  </si>
  <si>
    <t>Staff Adjustment 8.11 Repair Deduction</t>
  </si>
  <si>
    <t>Difference Staff versus Company</t>
  </si>
  <si>
    <t>Deferred Federal Income Tax</t>
  </si>
  <si>
    <t>Account 410.1 Provision for Deferred Income Taxes</t>
  </si>
  <si>
    <t>Exhibit No. KHB-2</t>
  </si>
  <si>
    <t>Docket UE-100749</t>
  </si>
  <si>
    <t>State of Washington</t>
  </si>
  <si>
    <t>Page 1 of 1</t>
  </si>
  <si>
    <t>Adjustment 7.9 Current Year Deferred Income Tax Normalization</t>
  </si>
  <si>
    <t>Adjustment</t>
  </si>
  <si>
    <t>Difference</t>
  </si>
  <si>
    <t>Operating Revenues:</t>
  </si>
  <si>
    <t>General Business Revenues</t>
  </si>
  <si>
    <t>Interdepartmental</t>
  </si>
  <si>
    <t>Special Sales</t>
  </si>
  <si>
    <t>Other operating revenues</t>
  </si>
  <si>
    <t>Total Operating Revenues</t>
  </si>
  <si>
    <t>Operating Expenses:</t>
  </si>
  <si>
    <t>Steam Production</t>
  </si>
  <si>
    <t>Nuclear Production</t>
  </si>
  <si>
    <t>Hydro Production</t>
  </si>
  <si>
    <t>Other Power Supply</t>
  </si>
  <si>
    <t>Transmission</t>
  </si>
  <si>
    <t>Distribution</t>
  </si>
  <si>
    <t>Customer Accounting</t>
  </si>
  <si>
    <t>Customer Service &amp; Info</t>
  </si>
  <si>
    <t>Sales</t>
  </si>
  <si>
    <t>Administrative &amp; General</t>
  </si>
  <si>
    <t>Total O&amp;M Expense</t>
  </si>
  <si>
    <t>Depreciation</t>
  </si>
  <si>
    <t>Amortization</t>
  </si>
  <si>
    <t>Taxes Other than Income</t>
  </si>
  <si>
    <t>Income Taxes:  Federal</t>
  </si>
  <si>
    <t xml:space="preserve">                       :  State</t>
  </si>
  <si>
    <t>Deferred Income Taxes</t>
  </si>
  <si>
    <t>Investment Tax Credit Adj.</t>
  </si>
  <si>
    <t>Misc. Revenue &amp; Expense</t>
  </si>
  <si>
    <t>Total Operating Expenses:</t>
  </si>
  <si>
    <t>Net Operating Income:</t>
  </si>
  <si>
    <t>Rate Base:</t>
  </si>
  <si>
    <t>Electric Plant in Service</t>
  </si>
  <si>
    <t>Plant Held for Future Use</t>
  </si>
  <si>
    <t>Misc. Deferred Debits</t>
  </si>
  <si>
    <t>Electric Plant Acq Adj</t>
  </si>
  <si>
    <t>Nuclear Fuel</t>
  </si>
  <si>
    <t>Prepayments</t>
  </si>
  <si>
    <t>Fuel Stock</t>
  </si>
  <si>
    <t>Material &amp; Supplies</t>
  </si>
  <si>
    <t>Working Capital</t>
  </si>
  <si>
    <t>Weatherization Loans</t>
  </si>
  <si>
    <t>Misc. Rate Base</t>
  </si>
  <si>
    <t>Total Electric Plant:</t>
  </si>
  <si>
    <t>Deductions:</t>
  </si>
  <si>
    <t>Accum. Prov. for Depreciation</t>
  </si>
  <si>
    <t>Accum. Prov. for Amortization</t>
  </si>
  <si>
    <t>Accum. Deferred Income Tax</t>
  </si>
  <si>
    <t>Unamortized ITC</t>
  </si>
  <si>
    <t>Customer Advances for Const.</t>
  </si>
  <si>
    <t>Customer Service Deposits</t>
  </si>
  <si>
    <t>Miscellaneous Deductions</t>
  </si>
  <si>
    <t>Total Deductions:</t>
  </si>
  <si>
    <t>Total Rate Base:</t>
  </si>
  <si>
    <t>Revenue Requirement</t>
  </si>
  <si>
    <t>TAX CALCULATION</t>
  </si>
  <si>
    <t>Per Company</t>
  </si>
  <si>
    <t>Operating Revenue</t>
  </si>
  <si>
    <t>Other Deductions</t>
  </si>
  <si>
    <t>Interest (AFUDC)</t>
  </si>
  <si>
    <t>Interest</t>
  </si>
  <si>
    <t>Schedule "M" additions</t>
  </si>
  <si>
    <t>Schedule "M" deductions</t>
  </si>
  <si>
    <t>Income Before Tax</t>
  </si>
  <si>
    <t>State Income Tax</t>
  </si>
  <si>
    <t>Taxable Income</t>
  </si>
  <si>
    <t>Adjustments to FIT</t>
  </si>
  <si>
    <t>Weighted Cost of Capital</t>
  </si>
  <si>
    <t>Conversion Factor</t>
  </si>
  <si>
    <t>Tax Rate</t>
  </si>
  <si>
    <t>State Tax Rate</t>
  </si>
  <si>
    <t>Washington</t>
  </si>
  <si>
    <t>7.9.1(a)</t>
  </si>
  <si>
    <t>(a) This portion of the adjustment removes the adjustment for state income tax related to the Company's original 7.9</t>
  </si>
  <si>
    <t>7.9.2(b)</t>
  </si>
  <si>
    <t>(b) This represents the removal of the non-property deferred tax to reflect flow-through.</t>
  </si>
  <si>
    <t xml:space="preserve">Total </t>
  </si>
  <si>
    <t>Adj 7.9</t>
  </si>
  <si>
    <t>Account 190.1 Accumulated Deferred Income Tax</t>
  </si>
  <si>
    <t>Fuller Exhibit No.  (RF-12) Page 5 of 6 'Flow-Through"</t>
  </si>
  <si>
    <t>Staff  Commission Basis vs. Company Normalized ADIT</t>
  </si>
  <si>
    <t>Staff Commission Basis vs. Company Commission Basis (RF-12)</t>
  </si>
  <si>
    <t>Total Adjusted Washington ADIT (Staff Commission Basis)</t>
  </si>
  <si>
    <t>Deferred Income Tax Expense (DIT)</t>
  </si>
  <si>
    <t>Total Washington Adjusted DITs (Staff Commission Basis)</t>
  </si>
  <si>
    <t>Staff  Commission Basis vs. Company Normalized DIT</t>
  </si>
  <si>
    <t>Fuller Exhibit No.  (RF-12) Page 3 of 6 'Flow-Through"</t>
  </si>
  <si>
    <t>Total Washington Adjusted DIT (Company)(a)</t>
  </si>
  <si>
    <t>Line No.</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</si>
  <si>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</si>
  <si>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</si>
  <si>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</si>
  <si>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</si>
  <si>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</si>
  <si>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</si>
  <si>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</si>
  <si>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</si>
  <si>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</si>
  <si>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</si>
  <si>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</si>
  <si>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</si>
  <si>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</si>
  <si>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</si>
  <si>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</si>
  <si>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</si>
  <si>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</si>
  <si>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</si>
  <si>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</si>
  <si>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</si>
  <si>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</si>
  <si>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</si>
  <si>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</si>
  <si>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</si>
  <si>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</si>
  <si>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</si>
  <si>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</si>
  <si>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</si>
  <si>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</si>
  <si>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</si>
  <si>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Adj 4.4</t>
  </si>
  <si>
    <t>Revenue Norm.</t>
  </si>
  <si>
    <t>SO2 Emmission</t>
  </si>
  <si>
    <t xml:space="preserve">Pension Curtail-  ment </t>
  </si>
  <si>
    <t>Adj 4.5</t>
  </si>
  <si>
    <t>Adj 7.5</t>
  </si>
  <si>
    <t>Adj 7.10</t>
  </si>
  <si>
    <t xml:space="preserve">Total Adjustments without Adj 7.8 </t>
  </si>
  <si>
    <t>Sub-total</t>
  </si>
  <si>
    <t>Adj 7.8</t>
  </si>
  <si>
    <t>Total Adjustments (Company Basis)</t>
  </si>
  <si>
    <t>State Tax Removal</t>
  </si>
  <si>
    <t>Medicare</t>
  </si>
  <si>
    <t>Current Yr Norm.</t>
  </si>
  <si>
    <t>Flow-Thru Contra Removal</t>
  </si>
  <si>
    <t>Trojan</t>
  </si>
  <si>
    <t>Powerdale</t>
  </si>
  <si>
    <t>Misc Rate Base</t>
  </si>
  <si>
    <t>Environ Remediation</t>
  </si>
  <si>
    <t>Colstrip #3</t>
  </si>
  <si>
    <t>MEHC Severance</t>
  </si>
  <si>
    <t>DSM Removal</t>
  </si>
  <si>
    <t>Adj 7.9.1</t>
  </si>
  <si>
    <t>Total Staff Reversal</t>
  </si>
  <si>
    <t>Adj 7.9.2</t>
  </si>
  <si>
    <t>Staff Non-prop Flow-Through</t>
  </si>
  <si>
    <t>Total Staff  Flow-Through vs Norm.</t>
  </si>
  <si>
    <t>Staff Reversal of Company Adj 7.9</t>
  </si>
  <si>
    <t>Staff SIT of reversal of Co. 7.9</t>
  </si>
  <si>
    <t>e=(c+d)</t>
  </si>
  <si>
    <t>h=(e+f)</t>
  </si>
  <si>
    <t>i=(h-e)</t>
  </si>
  <si>
    <t>k=(h-j)</t>
  </si>
  <si>
    <t>Total Washington Adjusted DIT (Company Basis)</t>
  </si>
  <si>
    <t>Total Washington Adjusted DIT (Staff Commission Basis)</t>
  </si>
  <si>
    <t>Staff Commission Basis vs. Company Basis (RF-12)</t>
  </si>
  <si>
    <t>TOTAL DEFERRED INCOME TAX EXPENSE</t>
  </si>
  <si>
    <t>Staff Reversal of Co Adj 7.9</t>
  </si>
  <si>
    <t xml:space="preserve">Total New Staff Adj. 7.9 Normalization vs. Flow-Through </t>
  </si>
  <si>
    <t>Fuller Exhibit No.___(RF-12)</t>
  </si>
  <si>
    <t>Staff Commission Basis vs. Company Commission Basis</t>
  </si>
  <si>
    <t>Washington Adjusted Results - Staff  (Comm. Basis)</t>
  </si>
  <si>
    <t>Account 282</t>
  </si>
  <si>
    <t>Account 283.1</t>
  </si>
  <si>
    <t>Deferred Income Tax Expense (1)</t>
  </si>
  <si>
    <t>Accumulated Deferred Income Tax  (2)</t>
  </si>
  <si>
    <t>(1)</t>
  </si>
  <si>
    <t>(2)</t>
  </si>
  <si>
    <t>Detail of Adjustment by Book-Tax Timing Difference and Account</t>
  </si>
  <si>
    <t>Total Washington Adjusted DIT (Company)</t>
  </si>
  <si>
    <t>e=c+d</t>
  </si>
  <si>
    <t>Staff SIT of reversal of Co. 7.9 (a)</t>
  </si>
  <si>
    <t>(a) The Company reflects federal income tax in the unadjusted results at 37.951% which includes state income tax therefore any adjustment related to unadjusted results that has a tax effect, the relative state income tax must be removed.</t>
  </si>
  <si>
    <t>j=h+i</t>
  </si>
  <si>
    <t>k=c+g+j</t>
  </si>
  <si>
    <t>Total Staff DIT before Adj 7.9 and 8.11</t>
  </si>
  <si>
    <t>g=d+f</t>
  </si>
  <si>
    <t>Total Account 190.1</t>
  </si>
  <si>
    <t>Account 282.1</t>
  </si>
  <si>
    <t xml:space="preserve">  Adjustment 7.8 State Income Tax Expense</t>
  </si>
  <si>
    <t xml:space="preserve">  Adjustment 7.11 Average Balance</t>
  </si>
  <si>
    <t>Total Adjustments Company Basis</t>
  </si>
  <si>
    <t xml:space="preserve">New Staff Flow-through vs Normalization </t>
  </si>
  <si>
    <t>Ad</t>
  </si>
  <si>
    <t>Revenue Normalization</t>
  </si>
  <si>
    <t>Colstrip #3 Removal</t>
  </si>
  <si>
    <t>Adj 7.2</t>
  </si>
  <si>
    <t>Tax Factor Correction</t>
  </si>
  <si>
    <t>Malin Midpoint</t>
  </si>
  <si>
    <t>State Income Tax Exp</t>
  </si>
  <si>
    <t>Tax Normalization</t>
  </si>
  <si>
    <t>Adj 7.11</t>
  </si>
  <si>
    <t>Average Balance</t>
  </si>
  <si>
    <t>New Staff Reversal of SIT</t>
  </si>
  <si>
    <t>New Staff Non-Prop Flow Through</t>
  </si>
  <si>
    <t>Adj 8.11</t>
  </si>
  <si>
    <t>Staff Repairs Deduction</t>
  </si>
  <si>
    <t>ae</t>
  </si>
  <si>
    <t>Summary of Company Adjustment to Deferred Income Taxes</t>
  </si>
  <si>
    <t>Staff Adjustments and Deferred Income Tax Balances</t>
  </si>
  <si>
    <t>Staff Repairs Deduction Adj 8.10</t>
  </si>
  <si>
    <t>i=(e+f+g)</t>
  </si>
  <si>
    <t>j=(i-e)</t>
  </si>
  <si>
    <t>l=(i-k)</t>
  </si>
  <si>
    <t>This adjustment reverses the Company adjustment to remove the effects flow-through tax recognition for 2009,</t>
  </si>
  <si>
    <t xml:space="preserve">reverses the deferred tax related to the Company's adjustment and removes non-property deferred tax to reflect </t>
  </si>
  <si>
    <t>flow-through treatment.</t>
  </si>
  <si>
    <t xml:space="preserve">Lines 1, 20 and 21 agree with the figures in Mr. Dalley's Exhibit No. (RBD-2),lines 25 and 49.  Lines 2 through 19 agree with Mr. Dalley's individual adjustments included in Exhibit No. (RBD-3) but do not add down to the total, consistent with the Company's presentation. </t>
  </si>
  <si>
    <t>Reverse Company Adjustment 7.9</t>
  </si>
  <si>
    <t>Revised 12/6/2010</t>
  </si>
  <si>
    <t>Total Staff  Flow-Through vs. Norm. Adj 7.9</t>
  </si>
  <si>
    <t>Total Staff  Flow-Through vs. Norm. NEW Adj 7.9</t>
  </si>
  <si>
    <t>SO2 Emission</t>
  </si>
  <si>
    <t>Total Staff  Flow-Through vs. Norm.</t>
  </si>
  <si>
    <t>Adj 3.4 SO2 Emission Allowances</t>
  </si>
  <si>
    <t xml:space="preserve">New Staff Flow-through vs. Normalization </t>
  </si>
  <si>
    <r>
      <t xml:space="preserve">Accumulated deferred income taxes are detailed by book-tax timing difference and adjustment as summarized in these columns on pages </t>
    </r>
    <r>
      <rPr>
        <i/>
        <sz val="12"/>
        <rFont val="Times New Roman"/>
        <family val="1"/>
      </rPr>
      <t xml:space="preserve">10 </t>
    </r>
    <r>
      <rPr>
        <sz val="12"/>
        <rFont val="Times New Roman"/>
        <family val="1"/>
      </rPr>
      <t xml:space="preserve">through </t>
    </r>
    <r>
      <rPr>
        <i/>
        <sz val="12"/>
        <rFont val="Times New Roman"/>
        <family val="1"/>
      </rPr>
      <t>19</t>
    </r>
  </si>
  <si>
    <r>
      <t xml:space="preserve">Deferred income tax expense is detailed by book-tax timing difference and adjustment summarized in these columns on pages 2 through </t>
    </r>
    <r>
      <rPr>
        <i/>
        <sz val="12"/>
        <rFont val="Times New Roman"/>
        <family val="1"/>
      </rPr>
      <t>9</t>
    </r>
  </si>
  <si>
    <t>;</t>
  </si>
</sst>
</file>

<file path=xl/styles.xml><?xml version="1.0" encoding="utf-8"?>
<styleSheet xmlns="http://schemas.openxmlformats.org/spreadsheetml/2006/main">
  <numFmts count="2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
    <numFmt numFmtId="165" formatCode="0.000%"/>
    <numFmt numFmtId="166" formatCode="0.000000"/>
    <numFmt numFmtId="167" formatCode="&quot;$&quot;#,##0.00"/>
    <numFmt numFmtId="168" formatCode="_(&quot;$&quot;* #,##0_);_(&quot;$&quot;* \(#,##0\);_(&quot;$&quot;* &quot;-&quot;??_);_(@_)"/>
    <numFmt numFmtId="169" formatCode="dd\-mmm\-yy_)"/>
    <numFmt numFmtId="170" formatCode="0.0"/>
    <numFmt numFmtId="171" formatCode="_(* #,##0.00000_);_(* \(#,##0.00000\);_(* &quot;-&quot;??_);_(@_)"/>
    <numFmt numFmtId="172" formatCode="0.0000000"/>
    <numFmt numFmtId="173" formatCode="d\.mmm\.yy"/>
    <numFmt numFmtId="174" formatCode="#."/>
    <numFmt numFmtId="175" formatCode="_(* ###0_);_(* \(###0\);_(* &quot;-&quot;_);_(@_)"/>
    <numFmt numFmtId="176" formatCode="_([$€-2]* #,##0.00_);_([$€-2]* \(#,##0.00\);_([$€-2]* &quot;-&quot;??_)"/>
    <numFmt numFmtId="177" formatCode="0000000"/>
    <numFmt numFmtId="178" formatCode="mmmm\ d\,\ yyyy"/>
    <numFmt numFmtId="179" formatCode="_(&quot;$&quot;* #,##0.0000_);_(&quot;$&quot;* \(#,##0.0000\);_(&quot;$&quot;* &quot;-&quot;????_);_(@_)"/>
    <numFmt numFmtId="180" formatCode="_(* #,##0.0_);_(* \(#,##0.0\);_(* &quot;-&quot;_);_(@_)"/>
    <numFmt numFmtId="181" formatCode="_(* #,##0_);_(* \(#,##0\);_(* &quot;-&quot;??_);_(@_)"/>
  </numFmts>
  <fonts count="58">
    <font>
      <sz val="10"/>
      <name val="Arial"/>
    </font>
    <font>
      <sz val="11"/>
      <color theme="1"/>
      <name val="Calibri"/>
      <family val="2"/>
      <scheme val="minor"/>
    </font>
    <font>
      <sz val="11"/>
      <color theme="1"/>
      <name val="Calibri"/>
      <family val="2"/>
      <scheme val="minor"/>
    </font>
    <font>
      <b/>
      <sz val="10"/>
      <name val="Times New Roman"/>
      <family val="1"/>
    </font>
    <font>
      <sz val="10"/>
      <name val="Times New Roman"/>
      <family val="1"/>
    </font>
    <font>
      <u/>
      <sz val="10"/>
      <name val="Times New Roman"/>
      <family val="1"/>
    </font>
    <font>
      <sz val="10"/>
      <name val="Arial"/>
      <family val="2"/>
    </font>
    <font>
      <sz val="12"/>
      <name val="Times New Roman"/>
      <family val="1"/>
    </font>
    <font>
      <sz val="10"/>
      <color indexed="8"/>
      <name val="Arial"/>
      <family val="2"/>
    </font>
    <font>
      <b/>
      <i/>
      <sz val="10"/>
      <name val="Times New Roman"/>
      <family val="1"/>
    </font>
    <font>
      <b/>
      <i/>
      <u/>
      <sz val="10"/>
      <name val="Times New Roman"/>
      <family val="1"/>
    </font>
    <font>
      <sz val="10"/>
      <name val="Arial"/>
      <family val="2"/>
    </font>
    <font>
      <b/>
      <sz val="12"/>
      <name val="Times New Roman"/>
      <family val="1"/>
    </font>
    <font>
      <b/>
      <sz val="14"/>
      <name val="Arial"/>
      <family val="2"/>
    </font>
    <font>
      <b/>
      <sz val="8"/>
      <color indexed="8"/>
      <name val="Arial"/>
      <family val="2"/>
    </font>
    <font>
      <b/>
      <sz val="12"/>
      <color indexed="8"/>
      <name val="Times New Roman"/>
      <family val="1"/>
    </font>
    <font>
      <sz val="8"/>
      <color indexed="18"/>
      <name val="Arial"/>
      <family val="2"/>
    </font>
    <font>
      <sz val="12"/>
      <color indexed="8"/>
      <name val="Times New Roman"/>
      <family val="1"/>
    </font>
    <font>
      <b/>
      <sz val="10"/>
      <color indexed="8"/>
      <name val="Arial"/>
      <family val="2"/>
    </font>
    <font>
      <sz val="12"/>
      <color rgb="FFFF0000"/>
      <name val="Times New Roman"/>
      <family val="1"/>
    </font>
    <font>
      <b/>
      <sz val="8"/>
      <color indexed="81"/>
      <name val="Tahoma"/>
      <family val="2"/>
    </font>
    <font>
      <sz val="8"/>
      <color indexed="81"/>
      <name val="Tahoma"/>
      <family val="2"/>
    </font>
    <font>
      <b/>
      <sz val="10"/>
      <color indexed="39"/>
      <name val="Arial"/>
      <family val="2"/>
    </font>
    <font>
      <b/>
      <sz val="12"/>
      <color indexed="8"/>
      <name val="Arial"/>
      <family val="2"/>
    </font>
    <font>
      <sz val="10"/>
      <color indexed="39"/>
      <name val="Arial"/>
      <family val="2"/>
    </font>
    <font>
      <sz val="10"/>
      <color indexed="10"/>
      <name val="Arial"/>
      <family val="2"/>
    </font>
    <font>
      <sz val="10"/>
      <color theme="1"/>
      <name val="Times New Roman"/>
      <family val="1"/>
    </font>
    <font>
      <sz val="10"/>
      <color indexed="12"/>
      <name val="Times New Roman"/>
      <family val="1"/>
    </font>
    <font>
      <sz val="10"/>
      <color indexed="8"/>
      <name val="MS Sans Serif"/>
      <family val="2"/>
    </font>
    <font>
      <sz val="11"/>
      <color indexed="8"/>
      <name val="Calibri"/>
      <family val="2"/>
    </font>
    <font>
      <sz val="12"/>
      <color indexed="24"/>
      <name val="Arial"/>
      <family val="2"/>
    </font>
    <font>
      <sz val="10"/>
      <name val="Helv"/>
    </font>
    <font>
      <sz val="12"/>
      <name val="Times"/>
      <family val="1"/>
    </font>
    <font>
      <sz val="1"/>
      <color indexed="16"/>
      <name val="Courier"/>
      <family val="3"/>
    </font>
    <font>
      <sz val="10"/>
      <name val="MS Serif"/>
      <family val="1"/>
    </font>
    <font>
      <sz val="10"/>
      <name val="Courier"/>
      <family val="3"/>
    </font>
    <font>
      <sz val="8"/>
      <name val="Arial"/>
      <family val="2"/>
    </font>
    <font>
      <b/>
      <sz val="12"/>
      <name val="Arial"/>
      <family val="2"/>
    </font>
    <font>
      <b/>
      <sz val="8"/>
      <name val="Arial"/>
      <family val="2"/>
    </font>
    <font>
      <sz val="10"/>
      <color indexed="12"/>
      <name val="Arial"/>
      <family val="2"/>
    </font>
    <font>
      <b/>
      <sz val="12"/>
      <color indexed="20"/>
      <name val="Arial"/>
      <family val="2"/>
    </font>
    <font>
      <b/>
      <sz val="10"/>
      <name val="Arial"/>
      <family val="2"/>
    </font>
    <font>
      <sz val="7"/>
      <name val="Small Fonts"/>
      <family val="2"/>
    </font>
    <font>
      <sz val="10"/>
      <name val="Geneva"/>
    </font>
    <font>
      <sz val="10"/>
      <name val="MS Sans Serif"/>
      <family val="2"/>
    </font>
    <font>
      <b/>
      <sz val="10"/>
      <name val="MS Sans Serif"/>
      <family val="2"/>
    </font>
    <font>
      <sz val="12"/>
      <color indexed="10"/>
      <name val="Arial"/>
      <family val="2"/>
    </font>
    <font>
      <sz val="12"/>
      <color indexed="10"/>
      <name val="Times"/>
      <family val="1"/>
    </font>
    <font>
      <i/>
      <sz val="10"/>
      <name val="Arial"/>
      <family val="2"/>
    </font>
    <font>
      <sz val="8"/>
      <name val="Helv"/>
    </font>
    <font>
      <b/>
      <sz val="8"/>
      <color indexed="8"/>
      <name val="Helv"/>
    </font>
    <font>
      <b/>
      <i/>
      <sz val="10"/>
      <name val="Arial"/>
      <family val="2"/>
    </font>
    <font>
      <b/>
      <sz val="12"/>
      <color indexed="56"/>
      <name val="Arial"/>
      <family val="2"/>
    </font>
    <font>
      <b/>
      <sz val="14"/>
      <color indexed="56"/>
      <name val="Arial"/>
      <family val="2"/>
    </font>
    <font>
      <b/>
      <i/>
      <sz val="10"/>
      <color theme="1"/>
      <name val="Times New Roman"/>
      <family val="1"/>
    </font>
    <font>
      <b/>
      <i/>
      <sz val="12"/>
      <color indexed="8"/>
      <name val="Times New Roman"/>
      <family val="1"/>
    </font>
    <font>
      <b/>
      <i/>
      <sz val="12"/>
      <name val="Times New Roman"/>
      <family val="1"/>
    </font>
    <font>
      <i/>
      <sz val="12"/>
      <name val="Times New Roman"/>
      <family val="1"/>
    </font>
  </fonts>
  <fills count="31">
    <fill>
      <patternFill patternType="none"/>
    </fill>
    <fill>
      <patternFill patternType="gray125"/>
    </fill>
    <fill>
      <patternFill patternType="solid">
        <fgColor indexed="9"/>
        <bgColor indexed="15"/>
      </patternFill>
    </fill>
    <fill>
      <patternFill patternType="solid">
        <fgColor indexed="9"/>
        <bgColor indexed="40"/>
      </patternFill>
    </fill>
    <fill>
      <patternFill patternType="solid">
        <fgColor indexed="9"/>
        <bgColor indexed="41"/>
      </patternFill>
    </fill>
    <fill>
      <patternFill patternType="solid">
        <fgColor indexed="41"/>
      </patternFill>
    </fill>
    <fill>
      <patternFill patternType="solid">
        <fgColor indexed="40"/>
        <bgColor indexed="64"/>
      </patternFill>
    </fill>
    <fill>
      <patternFill patternType="lightUp">
        <fgColor indexed="48"/>
        <bgColor indexed="41"/>
      </patternFill>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9"/>
        <bgColor indexed="9"/>
      </patternFill>
    </fill>
    <fill>
      <patternFill patternType="solid">
        <fgColor indexed="22"/>
        <bgColor indexed="64"/>
      </patternFill>
    </fill>
    <fill>
      <patternFill patternType="solid">
        <fgColor indexed="9"/>
        <bgColor indexed="64"/>
      </patternFill>
    </fill>
    <fill>
      <patternFill patternType="mediumGray">
        <fgColor indexed="22"/>
      </patternFill>
    </fill>
    <fill>
      <patternFill patternType="gray0625">
        <fgColor indexed="8"/>
      </patternFill>
    </fill>
    <fill>
      <patternFill patternType="gray125">
        <fgColor indexed="8"/>
      </patternFill>
    </fill>
    <fill>
      <patternFill patternType="solid">
        <fgColor theme="0" tint="-4.9989318521683403E-2"/>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8"/>
      </top>
      <bottom style="thin">
        <color indexed="8"/>
      </bottom>
      <diagonal/>
    </border>
    <border>
      <left/>
      <right/>
      <top style="thin">
        <color indexed="8"/>
      </top>
      <bottom/>
      <diagonal/>
    </border>
    <border>
      <left/>
      <right/>
      <top/>
      <bottom style="double">
        <color indexed="8"/>
      </bottom>
      <diagonal/>
    </border>
    <border>
      <left/>
      <right/>
      <top/>
      <bottom style="medium">
        <color indexed="8"/>
      </bottom>
      <diagonal/>
    </border>
    <border>
      <left/>
      <right/>
      <top/>
      <bottom style="thin">
        <color indexed="8"/>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bottom style="thin">
        <color indexed="64"/>
      </bottom>
      <diagonal/>
    </border>
    <border>
      <left/>
      <right style="hair">
        <color indexed="64"/>
      </right>
      <top/>
      <bottom/>
      <diagonal/>
    </border>
    <border>
      <left/>
      <right/>
      <top/>
      <bottom style="medium">
        <color indexed="64"/>
      </bottom>
      <diagonal/>
    </border>
    <border>
      <left/>
      <right/>
      <top style="hair">
        <color indexed="64"/>
      </top>
      <bottom/>
      <diagonal/>
    </border>
    <border>
      <left/>
      <right/>
      <top style="double">
        <color indexed="8"/>
      </top>
      <bottom/>
      <diagonal/>
    </border>
  </borders>
  <cellStyleXfs count="234">
    <xf numFmtId="0" fontId="0" fillId="0" borderId="0"/>
    <xf numFmtId="43"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2"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4" fontId="8" fillId="0" borderId="9" applyNumberFormat="0" applyProtection="0">
      <alignment horizontal="left" vertical="center" indent="1"/>
    </xf>
    <xf numFmtId="166" fontId="6" fillId="0" borderId="0">
      <alignment horizontal="left" wrapText="1"/>
    </xf>
    <xf numFmtId="44" fontId="11" fillId="0" borderId="0" applyFont="0" applyFill="0" applyBorder="0" applyAlignment="0" applyProtection="0"/>
    <xf numFmtId="4" fontId="13" fillId="2" borderId="0" applyNumberFormat="0" applyProtection="0">
      <alignment horizontal="left"/>
    </xf>
    <xf numFmtId="4" fontId="14" fillId="3" borderId="0" applyNumberFormat="0" applyProtection="0"/>
    <xf numFmtId="4" fontId="16" fillId="4" borderId="0" applyNumberFormat="0" applyProtection="0">
      <alignment horizontal="left" indent="1"/>
    </xf>
    <xf numFmtId="4" fontId="8" fillId="5" borderId="0" applyNumberFormat="0" applyProtection="0">
      <alignment horizontal="left" indent="1"/>
    </xf>
    <xf numFmtId="4" fontId="18" fillId="6" borderId="9" applyNumberFormat="0" applyProtection="0"/>
    <xf numFmtId="4" fontId="18" fillId="7" borderId="11" applyNumberFormat="0" applyProtection="0">
      <alignment horizontal="left" vertical="center" indent="1"/>
    </xf>
    <xf numFmtId="0" fontId="8" fillId="6" borderId="9" applyNumberFormat="0" applyProtection="0">
      <alignment horizontal="left" vertical="top"/>
    </xf>
    <xf numFmtId="43" fontId="6" fillId="0" borderId="0" applyFont="0" applyFill="0" applyBorder="0" applyAlignment="0" applyProtection="0"/>
    <xf numFmtId="4" fontId="18" fillId="8" borderId="9" applyNumberFormat="0" applyProtection="0">
      <alignment vertical="center"/>
    </xf>
    <xf numFmtId="4" fontId="22" fillId="9" borderId="9" applyNumberFormat="0" applyProtection="0">
      <alignment vertical="center"/>
    </xf>
    <xf numFmtId="4" fontId="18" fillId="9" borderId="9" applyNumberFormat="0" applyProtection="0">
      <alignment horizontal="left" vertical="center" indent="1"/>
    </xf>
    <xf numFmtId="0" fontId="18" fillId="9" borderId="9" applyNumberFormat="0" applyProtection="0">
      <alignment horizontal="left" vertical="top" indent="1"/>
    </xf>
    <xf numFmtId="4" fontId="8" fillId="10" borderId="9" applyNumberFormat="0" applyProtection="0">
      <alignment horizontal="right" vertical="center"/>
    </xf>
    <xf numFmtId="4" fontId="8" fillId="11" borderId="9" applyNumberFormat="0" applyProtection="0">
      <alignment horizontal="right" vertical="center"/>
    </xf>
    <xf numFmtId="4" fontId="8" fillId="12" borderId="9" applyNumberFormat="0" applyProtection="0">
      <alignment horizontal="right" vertical="center"/>
    </xf>
    <xf numFmtId="4" fontId="8" fillId="13" borderId="9" applyNumberFormat="0" applyProtection="0">
      <alignment horizontal="right" vertical="center"/>
    </xf>
    <xf numFmtId="4" fontId="8" fillId="14" borderId="9" applyNumberFormat="0" applyProtection="0">
      <alignment horizontal="right" vertical="center"/>
    </xf>
    <xf numFmtId="4" fontId="8" fillId="15" borderId="9" applyNumberFormat="0" applyProtection="0">
      <alignment horizontal="right" vertical="center"/>
    </xf>
    <xf numFmtId="4" fontId="8" fillId="16" borderId="9" applyNumberFormat="0" applyProtection="0">
      <alignment horizontal="right" vertical="center"/>
    </xf>
    <xf numFmtId="4" fontId="8" fillId="17" borderId="9" applyNumberFormat="0" applyProtection="0">
      <alignment horizontal="right" vertical="center"/>
    </xf>
    <xf numFmtId="4" fontId="8" fillId="18" borderId="9" applyNumberFormat="0" applyProtection="0">
      <alignment horizontal="right" vertical="center"/>
    </xf>
    <xf numFmtId="4" fontId="23" fillId="19" borderId="0" applyNumberFormat="0" applyProtection="0">
      <alignment horizontal="left" vertical="center" indent="1"/>
    </xf>
    <xf numFmtId="4" fontId="8" fillId="20" borderId="9" applyNumberFormat="0" applyProtection="0">
      <alignment horizontal="right" vertical="center"/>
    </xf>
    <xf numFmtId="0" fontId="6" fillId="19" borderId="9" applyNumberFormat="0" applyProtection="0">
      <alignment horizontal="left" vertical="center" indent="1"/>
    </xf>
    <xf numFmtId="0" fontId="6" fillId="19" borderId="9" applyNumberFormat="0" applyProtection="0">
      <alignment horizontal="left" vertical="top" indent="1"/>
    </xf>
    <xf numFmtId="0" fontId="6" fillId="6" borderId="9" applyNumberFormat="0" applyProtection="0">
      <alignment horizontal="left" vertical="center" indent="1"/>
    </xf>
    <xf numFmtId="0" fontId="6" fillId="6" borderId="9" applyNumberFormat="0" applyProtection="0">
      <alignment horizontal="left" vertical="top" indent="1"/>
    </xf>
    <xf numFmtId="0" fontId="6" fillId="21" borderId="9" applyNumberFormat="0" applyProtection="0">
      <alignment horizontal="left" vertical="center" indent="1"/>
    </xf>
    <xf numFmtId="0" fontId="6" fillId="21" borderId="9" applyNumberFormat="0" applyProtection="0">
      <alignment horizontal="left" vertical="top" indent="1"/>
    </xf>
    <xf numFmtId="0" fontId="6" fillId="22" borderId="9" applyNumberFormat="0" applyProtection="0">
      <alignment horizontal="left" vertical="center" indent="1"/>
    </xf>
    <xf numFmtId="0" fontId="6" fillId="22" borderId="9" applyNumberFormat="0" applyProtection="0">
      <alignment horizontal="left" vertical="top" indent="1"/>
    </xf>
    <xf numFmtId="4" fontId="8" fillId="23" borderId="9" applyNumberFormat="0" applyProtection="0">
      <alignment vertical="center"/>
    </xf>
    <xf numFmtId="4" fontId="24" fillId="23" borderId="9" applyNumberFormat="0" applyProtection="0">
      <alignment vertical="center"/>
    </xf>
    <xf numFmtId="4" fontId="8" fillId="23" borderId="9" applyNumberFormat="0" applyProtection="0">
      <alignment horizontal="left" vertical="center" indent="1"/>
    </xf>
    <xf numFmtId="0" fontId="8" fillId="23" borderId="9" applyNumberFormat="0" applyProtection="0">
      <alignment horizontal="left" vertical="top" indent="1"/>
    </xf>
    <xf numFmtId="4" fontId="8" fillId="0" borderId="9" applyNumberFormat="0" applyProtection="0">
      <alignment horizontal="right" vertical="center"/>
    </xf>
    <xf numFmtId="4" fontId="24" fillId="5" borderId="9" applyNumberFormat="0" applyProtection="0">
      <alignment horizontal="right" vertical="center"/>
    </xf>
    <xf numFmtId="4" fontId="25" fillId="5" borderId="9" applyNumberFormat="0" applyProtection="0">
      <alignment horizontal="right" vertical="center"/>
    </xf>
    <xf numFmtId="43" fontId="1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171"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66" fontId="6" fillId="0" borderId="0">
      <alignment horizontal="left" wrapText="1"/>
    </xf>
    <xf numFmtId="172"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2"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0" fontId="7" fillId="0" borderId="0"/>
    <xf numFmtId="0" fontId="7" fillId="0" borderId="0"/>
    <xf numFmtId="166" fontId="6" fillId="0" borderId="0">
      <alignment horizontal="left" wrapText="1"/>
    </xf>
    <xf numFmtId="166"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0" fontId="7" fillId="0" borderId="0"/>
    <xf numFmtId="171" fontId="6" fillId="0" borderId="0">
      <alignment horizontal="left" wrapText="1"/>
    </xf>
    <xf numFmtId="171"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66" fontId="6" fillId="0" borderId="0">
      <alignment horizontal="left" wrapText="1"/>
    </xf>
    <xf numFmtId="166" fontId="6" fillId="0" borderId="0">
      <alignment horizontal="left" wrapText="1"/>
    </xf>
    <xf numFmtId="0" fontId="7" fillId="0" borderId="0"/>
    <xf numFmtId="0" fontId="7" fillId="0" borderId="0"/>
    <xf numFmtId="166" fontId="6" fillId="0" borderId="0">
      <alignment horizontal="left" wrapText="1"/>
    </xf>
    <xf numFmtId="166"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0" fontId="7" fillId="0" borderId="0"/>
    <xf numFmtId="173" fontId="28" fillId="0" borderId="0" applyFill="0" applyBorder="0" applyAlignment="0"/>
    <xf numFmtId="41" fontId="6" fillId="25"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 fontId="30" fillId="0" borderId="0" applyFont="0" applyFill="0" applyBorder="0" applyAlignment="0" applyProtection="0"/>
    <xf numFmtId="0" fontId="31" fillId="0" borderId="0"/>
    <xf numFmtId="0" fontId="31" fillId="0" borderId="0"/>
    <xf numFmtId="0" fontId="32" fillId="0" borderId="0"/>
    <xf numFmtId="174" fontId="33" fillId="0" borderId="0">
      <protection locked="0"/>
    </xf>
    <xf numFmtId="0" fontId="32" fillId="0" borderId="0"/>
    <xf numFmtId="0" fontId="34" fillId="0" borderId="0" applyNumberFormat="0" applyAlignment="0">
      <alignment horizontal="left"/>
    </xf>
    <xf numFmtId="0" fontId="35" fillId="0" borderId="0" applyNumberFormat="0" applyAlignment="0"/>
    <xf numFmtId="0" fontId="31" fillId="0" borderId="0"/>
    <xf numFmtId="0" fontId="32" fillId="0" borderId="0"/>
    <xf numFmtId="0" fontId="31" fillId="0" borderId="0"/>
    <xf numFmtId="0" fontId="32" fillId="0" borderId="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75" fontId="6" fillId="0" borderId="0" applyFont="0" applyFill="0" applyBorder="0" applyAlignment="0" applyProtection="0"/>
    <xf numFmtId="0" fontId="30" fillId="0" borderId="0" applyFont="0" applyFill="0" applyBorder="0" applyAlignment="0" applyProtection="0"/>
    <xf numFmtId="166" fontId="6" fillId="0" borderId="0"/>
    <xf numFmtId="176" fontId="6" fillId="0" borderId="0" applyFont="0" applyFill="0" applyBorder="0" applyAlignment="0" applyProtection="0">
      <alignment horizontal="left" wrapText="1"/>
    </xf>
    <xf numFmtId="2" fontId="30" fillId="0" borderId="0" applyFont="0" applyFill="0" applyBorder="0" applyAlignment="0" applyProtection="0"/>
    <xf numFmtId="0" fontId="31" fillId="0" borderId="0"/>
    <xf numFmtId="38" fontId="36" fillId="25" borderId="0" applyNumberFormat="0" applyBorder="0" applyAlignment="0" applyProtection="0"/>
    <xf numFmtId="0" fontId="37" fillId="0" borderId="24" applyNumberFormat="0" applyAlignment="0" applyProtection="0">
      <alignment horizontal="left"/>
    </xf>
    <xf numFmtId="0" fontId="37" fillId="0" borderId="16">
      <alignment horizontal="left"/>
    </xf>
    <xf numFmtId="38" fontId="38" fillId="0" borderId="0"/>
    <xf numFmtId="40" fontId="38" fillId="0" borderId="0"/>
    <xf numFmtId="10" fontId="36" fillId="26" borderId="12" applyNumberFormat="0" applyBorder="0" applyAlignment="0" applyProtection="0"/>
    <xf numFmtId="41" fontId="39" fillId="9" borderId="25">
      <alignment horizontal="left"/>
      <protection locked="0"/>
    </xf>
    <xf numFmtId="10" fontId="39" fillId="9" borderId="25">
      <alignment horizontal="right"/>
      <protection locked="0"/>
    </xf>
    <xf numFmtId="41" fontId="39" fillId="9" borderId="25">
      <alignment horizontal="left"/>
      <protection locked="0"/>
    </xf>
    <xf numFmtId="0" fontId="36" fillId="25" borderId="0"/>
    <xf numFmtId="3" fontId="40" fillId="0" borderId="0" applyFill="0" applyBorder="0" applyAlignment="0" applyProtection="0"/>
    <xf numFmtId="44" fontId="41" fillId="0" borderId="26" applyNumberFormat="0" applyFont="0" applyAlignment="0">
      <alignment horizontal="center"/>
    </xf>
    <xf numFmtId="44" fontId="41" fillId="0" borderId="27" applyNumberFormat="0" applyFont="0" applyAlignment="0">
      <alignment horizontal="center"/>
    </xf>
    <xf numFmtId="37" fontId="42" fillId="0" borderId="0"/>
    <xf numFmtId="177" fontId="43" fillId="0" borderId="0"/>
    <xf numFmtId="0" fontId="6" fillId="0" borderId="0"/>
    <xf numFmtId="0" fontId="6" fillId="0" borderId="0"/>
    <xf numFmtId="0" fontId="6" fillId="0" borderId="0"/>
    <xf numFmtId="166" fontId="6" fillId="0" borderId="0">
      <alignment horizontal="left" wrapText="1"/>
    </xf>
    <xf numFmtId="0" fontId="11" fillId="0" borderId="0"/>
    <xf numFmtId="0" fontId="1" fillId="0" borderId="0"/>
    <xf numFmtId="0" fontId="6" fillId="0" borderId="0"/>
    <xf numFmtId="0" fontId="6" fillId="0" borderId="0"/>
    <xf numFmtId="0" fontId="1" fillId="0" borderId="0"/>
    <xf numFmtId="0" fontId="6" fillId="0" borderId="0"/>
    <xf numFmtId="0" fontId="6" fillId="0" borderId="0"/>
    <xf numFmtId="178" fontId="6" fillId="0" borderId="0">
      <alignment horizontal="left" wrapText="1"/>
    </xf>
    <xf numFmtId="0" fontId="6" fillId="0" borderId="0"/>
    <xf numFmtId="0" fontId="6" fillId="0" borderId="0"/>
    <xf numFmtId="0" fontId="31" fillId="0" borderId="0"/>
    <xf numFmtId="0" fontId="31" fillId="0" borderId="0"/>
    <xf numFmtId="0" fontId="32" fillId="0" borderId="0"/>
    <xf numFmtId="10" fontId="6" fillId="0" borderId="0" applyFont="0" applyFill="0" applyBorder="0" applyAlignment="0" applyProtection="0"/>
    <xf numFmtId="9" fontId="6" fillId="0" borderId="0" applyFont="0" applyFill="0" applyBorder="0" applyAlignment="0" applyProtection="0"/>
    <xf numFmtId="9" fontId="2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1" fontId="6" fillId="22" borderId="25"/>
    <xf numFmtId="0" fontId="44" fillId="0" borderId="0" applyNumberFormat="0" applyFont="0" applyFill="0" applyBorder="0" applyAlignment="0" applyProtection="0">
      <alignment horizontal="left"/>
    </xf>
    <xf numFmtId="15" fontId="44" fillId="0" borderId="0" applyFont="0" applyFill="0" applyBorder="0" applyAlignment="0" applyProtection="0"/>
    <xf numFmtId="4" fontId="44" fillId="0" borderId="0" applyFont="0" applyFill="0" applyBorder="0" applyAlignment="0" applyProtection="0"/>
    <xf numFmtId="0" fontId="45" fillId="0" borderId="28">
      <alignment horizontal="center"/>
    </xf>
    <xf numFmtId="3" fontId="44" fillId="0" borderId="0" applyFont="0" applyFill="0" applyBorder="0" applyAlignment="0" applyProtection="0"/>
    <xf numFmtId="0" fontId="44" fillId="27" borderId="0" applyNumberFormat="0" applyFont="0" applyBorder="0" applyAlignment="0" applyProtection="0"/>
    <xf numFmtId="0" fontId="32" fillId="0" borderId="0"/>
    <xf numFmtId="3" fontId="46" fillId="0" borderId="0" applyFill="0" applyBorder="0" applyAlignment="0" applyProtection="0"/>
    <xf numFmtId="0" fontId="47" fillId="0" borderId="0"/>
    <xf numFmtId="3" fontId="46" fillId="0" borderId="0" applyFill="0" applyBorder="0" applyAlignment="0" applyProtection="0"/>
    <xf numFmtId="42" fontId="6" fillId="26" borderId="0"/>
    <xf numFmtId="42" fontId="6" fillId="26" borderId="17">
      <alignment vertical="center"/>
    </xf>
    <xf numFmtId="0" fontId="41" fillId="26" borderId="7" applyNumberFormat="0">
      <alignment horizontal="center" vertical="center" wrapText="1"/>
    </xf>
    <xf numFmtId="10" fontId="6" fillId="26" borderId="0"/>
    <xf numFmtId="179" fontId="6" fillId="26" borderId="0"/>
    <xf numFmtId="0" fontId="38" fillId="0" borderId="0" applyBorder="0" applyAlignment="0"/>
    <xf numFmtId="42" fontId="6" fillId="26" borderId="2">
      <alignment horizontal="left"/>
    </xf>
    <xf numFmtId="179" fontId="48" fillId="26" borderId="2">
      <alignment horizontal="left"/>
    </xf>
    <xf numFmtId="0" fontId="38" fillId="0" borderId="0" applyBorder="0" applyAlignment="0"/>
    <xf numFmtId="14" fontId="49" fillId="0" borderId="0" applyNumberFormat="0" applyFill="0" applyBorder="0" applyAlignment="0" applyProtection="0">
      <alignment horizontal="left"/>
    </xf>
    <xf numFmtId="180" fontId="6" fillId="0" borderId="0" applyFont="0" applyFill="0" applyAlignment="0">
      <alignment horizontal="right"/>
    </xf>
    <xf numFmtId="39" fontId="6" fillId="28" borderId="0"/>
    <xf numFmtId="38" fontId="36" fillId="0" borderId="29"/>
    <xf numFmtId="38" fontId="38" fillId="0" borderId="2"/>
    <xf numFmtId="39" fontId="49" fillId="29" borderId="0"/>
    <xf numFmtId="0" fontId="6" fillId="0" borderId="0">
      <alignment horizontal="left" wrapText="1"/>
    </xf>
    <xf numFmtId="165" fontId="6" fillId="0" borderId="0">
      <alignment horizontal="left" wrapText="1"/>
    </xf>
    <xf numFmtId="40" fontId="50" fillId="0" borderId="0" applyBorder="0">
      <alignment horizontal="right"/>
    </xf>
    <xf numFmtId="41" fontId="51" fillId="26" borderId="0">
      <alignment horizontal="left"/>
    </xf>
    <xf numFmtId="167" fontId="52" fillId="26" borderId="0">
      <alignment horizontal="left" vertical="center"/>
    </xf>
    <xf numFmtId="0" fontId="41" fillId="26" borderId="0">
      <alignment horizontal="left" wrapText="1"/>
    </xf>
    <xf numFmtId="0" fontId="53" fillId="0" borderId="0">
      <alignment horizontal="left" vertical="center"/>
    </xf>
    <xf numFmtId="0" fontId="32" fillId="0" borderId="30"/>
  </cellStyleXfs>
  <cellXfs count="266">
    <xf numFmtId="0" fontId="0" fillId="0" borderId="0" xfId="0"/>
    <xf numFmtId="0" fontId="3" fillId="0" borderId="0" xfId="0" applyFont="1" applyFill="1" applyBorder="1"/>
    <xf numFmtId="0" fontId="4" fillId="0" borderId="0" xfId="0" applyFont="1" applyFill="1" applyBorder="1"/>
    <xf numFmtId="0" fontId="4" fillId="0" borderId="0" xfId="0" applyFont="1" applyFill="1" applyBorder="1" applyAlignment="1">
      <alignment horizontal="center"/>
    </xf>
    <xf numFmtId="49" fontId="4" fillId="0" borderId="0" xfId="0" applyNumberFormat="1" applyFont="1" applyFill="1" applyBorder="1" applyAlignment="1">
      <alignment horizontal="center"/>
    </xf>
    <xf numFmtId="0" fontId="5" fillId="0" borderId="0" xfId="0" applyFont="1" applyFill="1" applyBorder="1" applyAlignment="1">
      <alignment horizontal="center"/>
    </xf>
    <xf numFmtId="0" fontId="3" fillId="0" borderId="0" xfId="0" applyFont="1" applyFill="1" applyBorder="1" applyAlignment="1">
      <alignment horizontal="left"/>
    </xf>
    <xf numFmtId="0" fontId="4" fillId="0" borderId="0" xfId="1" applyNumberFormat="1" applyFont="1" applyFill="1" applyBorder="1" applyAlignment="1">
      <alignment horizontal="center"/>
    </xf>
    <xf numFmtId="0" fontId="4" fillId="0" borderId="0" xfId="0" applyFont="1" applyFill="1" applyBorder="1" applyAlignment="1">
      <alignment horizontal="left"/>
    </xf>
    <xf numFmtId="43" fontId="4" fillId="0" borderId="0" xfId="0" applyNumberFormat="1" applyFont="1" applyFill="1" applyBorder="1" applyAlignment="1">
      <alignment horizontal="center"/>
    </xf>
    <xf numFmtId="165" fontId="4" fillId="0" borderId="0" xfId="0" applyNumberFormat="1" applyFont="1" applyFill="1" applyBorder="1" applyAlignment="1">
      <alignment horizontal="center"/>
    </xf>
    <xf numFmtId="9" fontId="4" fillId="0" borderId="0" xfId="2" applyFont="1" applyFill="1" applyBorder="1" applyAlignment="1">
      <alignment horizontal="center"/>
    </xf>
    <xf numFmtId="41" fontId="4" fillId="0" borderId="0" xfId="1" applyNumberFormat="1" applyFont="1" applyFill="1" applyBorder="1" applyAlignment="1">
      <alignment horizontal="center"/>
    </xf>
    <xf numFmtId="0" fontId="4" fillId="0" borderId="0" xfId="2" applyNumberFormat="1" applyFont="1" applyFill="1" applyBorder="1" applyAlignment="1">
      <alignment horizontal="center"/>
    </xf>
    <xf numFmtId="164" fontId="4" fillId="0" borderId="0" xfId="0" applyNumberFormat="1" applyFont="1" applyFill="1" applyBorder="1" applyAlignment="1">
      <alignment horizontal="center"/>
    </xf>
    <xf numFmtId="0" fontId="4" fillId="0" borderId="0" xfId="0" quotePrefix="1" applyFont="1" applyFill="1" applyBorder="1" applyAlignment="1">
      <alignment horizontal="left"/>
    </xf>
    <xf numFmtId="0" fontId="4" fillId="0" borderId="0" xfId="1" applyNumberFormat="1" applyFont="1" applyFill="1" applyBorder="1" applyProtection="1">
      <protection locked="0"/>
    </xf>
    <xf numFmtId="0" fontId="4" fillId="0" borderId="1" xfId="0" applyFont="1" applyFill="1" applyBorder="1"/>
    <xf numFmtId="0" fontId="4" fillId="0" borderId="2" xfId="0" applyFont="1" applyFill="1" applyBorder="1"/>
    <xf numFmtId="0" fontId="4" fillId="0" borderId="2" xfId="0" applyFont="1" applyFill="1" applyBorder="1" applyAlignment="1">
      <alignment horizontal="center"/>
    </xf>
    <xf numFmtId="0" fontId="4" fillId="0" borderId="3" xfId="0" applyFont="1" applyFill="1" applyBorder="1" applyAlignment="1">
      <alignment horizontal="center"/>
    </xf>
    <xf numFmtId="0" fontId="4" fillId="0" borderId="4" xfId="0" quotePrefix="1" applyFont="1" applyFill="1" applyBorder="1" applyAlignment="1">
      <alignment horizontal="left"/>
    </xf>
    <xf numFmtId="0" fontId="4" fillId="0" borderId="5" xfId="0" applyFont="1" applyFill="1" applyBorder="1" applyAlignment="1">
      <alignment horizontal="center"/>
    </xf>
    <xf numFmtId="0" fontId="4" fillId="0" borderId="4" xfId="0" applyFont="1" applyFill="1" applyBorder="1"/>
    <xf numFmtId="0" fontId="4" fillId="0" borderId="6" xfId="0" quotePrefix="1" applyFont="1" applyFill="1" applyBorder="1" applyAlignment="1">
      <alignment horizontal="left"/>
    </xf>
    <xf numFmtId="0" fontId="4" fillId="0" borderId="7" xfId="0" applyFont="1" applyFill="1" applyBorder="1"/>
    <xf numFmtId="0" fontId="4" fillId="0" borderId="7" xfId="0" applyFont="1" applyFill="1" applyBorder="1" applyAlignment="1">
      <alignment horizontal="center"/>
    </xf>
    <xf numFmtId="0" fontId="4" fillId="0" borderId="8" xfId="0" applyFont="1" applyFill="1" applyBorder="1" applyAlignment="1">
      <alignment horizontal="center"/>
    </xf>
    <xf numFmtId="3" fontId="4" fillId="0" borderId="2" xfId="0" applyNumberFormat="1" applyFont="1" applyFill="1" applyBorder="1" applyAlignment="1">
      <alignment horizontal="center"/>
    </xf>
    <xf numFmtId="0" fontId="4" fillId="0" borderId="5" xfId="0" applyFont="1" applyFill="1" applyBorder="1"/>
    <xf numFmtId="0" fontId="4" fillId="0" borderId="0" xfId="0" applyFont="1" applyFill="1" applyBorder="1" applyAlignment="1">
      <alignment horizontal="right"/>
    </xf>
    <xf numFmtId="0" fontId="4" fillId="0" borderId="6" xfId="0" applyFont="1" applyFill="1" applyBorder="1"/>
    <xf numFmtId="0" fontId="4" fillId="0" borderId="7" xfId="0" applyFont="1" applyFill="1" applyBorder="1" applyAlignment="1">
      <alignment horizontal="right"/>
    </xf>
    <xf numFmtId="0" fontId="4" fillId="0" borderId="8" xfId="0" applyFont="1" applyFill="1" applyBorder="1"/>
    <xf numFmtId="0" fontId="9" fillId="0" borderId="0" xfId="0" applyFont="1" applyFill="1" applyBorder="1" applyAlignment="1">
      <alignment horizontal="left"/>
    </xf>
    <xf numFmtId="0" fontId="9" fillId="0" borderId="0" xfId="0" applyFont="1" applyFill="1" applyBorder="1"/>
    <xf numFmtId="0" fontId="9" fillId="0" borderId="0" xfId="0" applyFont="1" applyFill="1" applyBorder="1" applyAlignment="1">
      <alignment horizontal="center"/>
    </xf>
    <xf numFmtId="43" fontId="9" fillId="0" borderId="0" xfId="1" applyFont="1" applyFill="1" applyBorder="1" applyAlignment="1">
      <alignment horizontal="center"/>
    </xf>
    <xf numFmtId="164" fontId="9" fillId="0" borderId="0" xfId="2" applyNumberFormat="1" applyFont="1" applyFill="1" applyBorder="1" applyAlignment="1">
      <alignment horizontal="center"/>
    </xf>
    <xf numFmtId="0" fontId="10" fillId="0" borderId="0" xfId="0" applyFont="1" applyFill="1" applyBorder="1" applyAlignment="1">
      <alignment horizontal="center"/>
    </xf>
    <xf numFmtId="0" fontId="12" fillId="0" borderId="0" xfId="0" applyFont="1" applyFill="1"/>
    <xf numFmtId="0" fontId="7" fillId="0" borderId="0" xfId="0" applyFont="1" applyFill="1"/>
    <xf numFmtId="0" fontId="7" fillId="0" borderId="0" xfId="0" applyFont="1" applyFill="1" applyBorder="1"/>
    <xf numFmtId="43" fontId="7" fillId="0" borderId="0" xfId="1" applyFont="1" applyFill="1" applyBorder="1"/>
    <xf numFmtId="0" fontId="12" fillId="0" borderId="0" xfId="14" applyNumberFormat="1" applyFont="1" applyFill="1" applyBorder="1" applyProtection="1">
      <alignment horizontal="left"/>
      <protection locked="0"/>
    </xf>
    <xf numFmtId="0" fontId="12" fillId="0" borderId="0" xfId="14" applyNumberFormat="1" applyFont="1" applyFill="1" applyProtection="1">
      <alignment horizontal="left"/>
      <protection locked="0"/>
    </xf>
    <xf numFmtId="43" fontId="12" fillId="0" borderId="0" xfId="1" applyFont="1" applyFill="1" applyBorder="1" applyAlignment="1" applyProtection="1">
      <alignment horizontal="left"/>
      <protection locked="0"/>
    </xf>
    <xf numFmtId="0" fontId="7" fillId="0" borderId="0" xfId="0" applyFont="1" applyFill="1" applyBorder="1" applyAlignment="1">
      <alignment horizontal="center"/>
    </xf>
    <xf numFmtId="0" fontId="15" fillId="0" borderId="12" xfId="18" quotePrefix="1" applyNumberFormat="1" applyFont="1" applyFill="1" applyBorder="1" applyAlignment="1" applyProtection="1">
      <alignment horizontal="center" wrapText="1"/>
      <protection locked="0"/>
    </xf>
    <xf numFmtId="0" fontId="15" fillId="0" borderId="12" xfId="18" applyNumberFormat="1" applyFont="1" applyFill="1" applyBorder="1" applyAlignment="1" applyProtection="1">
      <alignment horizontal="center" wrapText="1"/>
      <protection locked="0"/>
    </xf>
    <xf numFmtId="0" fontId="15" fillId="0" borderId="2" xfId="18" applyNumberFormat="1" applyFont="1" applyFill="1" applyBorder="1" applyProtection="1">
      <protection locked="0"/>
    </xf>
    <xf numFmtId="0" fontId="15" fillId="0" borderId="12" xfId="20" quotePrefix="1" applyFont="1" applyFill="1" applyBorder="1" applyAlignment="1" applyProtection="1">
      <alignment horizontal="center" wrapText="1"/>
      <protection locked="0"/>
    </xf>
    <xf numFmtId="0" fontId="15" fillId="0" borderId="12" xfId="20" applyFont="1" applyFill="1" applyBorder="1" applyAlignment="1" applyProtection="1">
      <alignment horizontal="center" wrapText="1"/>
      <protection locked="0"/>
    </xf>
    <xf numFmtId="0" fontId="12" fillId="0" borderId="12" xfId="0" applyFont="1" applyFill="1" applyBorder="1" applyAlignment="1">
      <alignment horizontal="center" wrapText="1"/>
    </xf>
    <xf numFmtId="0" fontId="7" fillId="0" borderId="12" xfId="0" applyFont="1" applyFill="1" applyBorder="1" applyAlignment="1">
      <alignment horizontal="center" wrapText="1"/>
    </xf>
    <xf numFmtId="0" fontId="7" fillId="0" borderId="12" xfId="0" applyFont="1" applyFill="1" applyBorder="1" applyAlignment="1">
      <alignment wrapText="1"/>
    </xf>
    <xf numFmtId="43" fontId="7" fillId="0" borderId="12" xfId="1" applyFont="1" applyFill="1" applyBorder="1" applyAlignment="1" applyProtection="1">
      <alignment horizontal="center" wrapText="1"/>
      <protection locked="0"/>
    </xf>
    <xf numFmtId="0" fontId="7" fillId="0" borderId="12" xfId="0" applyFont="1" applyFill="1" applyBorder="1"/>
    <xf numFmtId="0" fontId="17" fillId="0" borderId="12" xfId="11" quotePrefix="1" applyNumberFormat="1" applyFont="1" applyFill="1" applyBorder="1" applyProtection="1">
      <alignment horizontal="left" vertical="center" indent="1"/>
      <protection locked="0"/>
    </xf>
    <xf numFmtId="0" fontId="17" fillId="0" borderId="12" xfId="11" applyNumberFormat="1" applyFont="1" applyFill="1" applyBorder="1" applyAlignment="1" applyProtection="1">
      <alignment vertical="center"/>
      <protection locked="0"/>
    </xf>
    <xf numFmtId="0" fontId="17" fillId="0" borderId="12" xfId="11" applyNumberFormat="1" applyFont="1" applyFill="1" applyBorder="1" applyProtection="1">
      <alignment horizontal="left" vertical="center" indent="1"/>
      <protection locked="0"/>
    </xf>
    <xf numFmtId="43" fontId="17" fillId="0" borderId="12" xfId="1" applyFont="1" applyFill="1" applyBorder="1" applyAlignment="1" applyProtection="1">
      <alignment horizontal="right" vertical="center"/>
      <protection locked="0"/>
    </xf>
    <xf numFmtId="43" fontId="7" fillId="0" borderId="12" xfId="1" applyFont="1" applyFill="1" applyBorder="1"/>
    <xf numFmtId="0" fontId="15" fillId="0" borderId="12" xfId="11" quotePrefix="1" applyNumberFormat="1" applyFont="1" applyFill="1" applyBorder="1" applyProtection="1">
      <alignment horizontal="left" vertical="center" indent="1"/>
      <protection locked="0"/>
    </xf>
    <xf numFmtId="43" fontId="15" fillId="0" borderId="12" xfId="1" applyFont="1" applyFill="1" applyBorder="1" applyAlignment="1" applyProtection="1">
      <alignment horizontal="right" vertical="center"/>
      <protection locked="0"/>
    </xf>
    <xf numFmtId="0" fontId="17" fillId="0" borderId="12" xfId="11" quotePrefix="1" applyNumberFormat="1" applyFont="1" applyFill="1" applyBorder="1">
      <alignment horizontal="left" vertical="center" indent="1"/>
    </xf>
    <xf numFmtId="43" fontId="17" fillId="0" borderId="12" xfId="1" applyFont="1" applyFill="1" applyBorder="1" applyAlignment="1">
      <alignment horizontal="right" vertical="center"/>
    </xf>
    <xf numFmtId="0" fontId="17" fillId="0" borderId="12" xfId="11" applyNumberFormat="1" applyFont="1" applyFill="1" applyBorder="1">
      <alignment horizontal="left" vertical="center" indent="1"/>
    </xf>
    <xf numFmtId="43" fontId="7" fillId="0" borderId="0" xfId="1" applyFont="1" applyFill="1"/>
    <xf numFmtId="43" fontId="19" fillId="0" borderId="0" xfId="1" applyFont="1" applyFill="1"/>
    <xf numFmtId="0" fontId="7" fillId="0" borderId="0" xfId="0" applyFont="1"/>
    <xf numFmtId="0" fontId="7" fillId="0" borderId="13" xfId="0" applyFont="1" applyBorder="1" applyAlignment="1">
      <alignment horizontal="center"/>
    </xf>
    <xf numFmtId="0" fontId="7" fillId="0" borderId="15" xfId="0" applyFont="1" applyBorder="1" applyAlignment="1">
      <alignment horizontal="center"/>
    </xf>
    <xf numFmtId="0" fontId="7" fillId="0" borderId="10" xfId="0" applyFont="1" applyBorder="1" applyAlignment="1">
      <alignment horizontal="center"/>
    </xf>
    <xf numFmtId="0" fontId="7" fillId="0" borderId="15" xfId="0" quotePrefix="1" applyFont="1" applyBorder="1" applyAlignment="1">
      <alignment horizontal="center"/>
    </xf>
    <xf numFmtId="0" fontId="7" fillId="0" borderId="0" xfId="0" quotePrefix="1" applyFont="1"/>
    <xf numFmtId="43" fontId="7" fillId="0" borderId="0" xfId="1" applyFont="1"/>
    <xf numFmtId="0" fontId="7" fillId="0" borderId="1" xfId="0" applyFont="1" applyBorder="1" applyAlignment="1">
      <alignment horizontal="center"/>
    </xf>
    <xf numFmtId="0" fontId="7" fillId="0" borderId="4" xfId="0" applyFont="1" applyBorder="1" applyAlignment="1">
      <alignment horizontal="center"/>
    </xf>
    <xf numFmtId="0" fontId="7" fillId="0" borderId="6" xfId="0" quotePrefix="1" applyFont="1" applyBorder="1" applyAlignment="1">
      <alignment horizontal="center"/>
    </xf>
    <xf numFmtId="0" fontId="7" fillId="0" borderId="3" xfId="0" applyFont="1" applyBorder="1" applyAlignment="1">
      <alignment horizontal="center"/>
    </xf>
    <xf numFmtId="0" fontId="7" fillId="0" borderId="5" xfId="0" applyFont="1" applyBorder="1" applyAlignment="1">
      <alignment horizontal="center"/>
    </xf>
    <xf numFmtId="0" fontId="7" fillId="0" borderId="8" xfId="0" quotePrefix="1" applyFont="1" applyBorder="1" applyAlignment="1">
      <alignment horizontal="center"/>
    </xf>
    <xf numFmtId="0" fontId="7" fillId="0" borderId="4" xfId="0" applyFont="1" applyBorder="1"/>
    <xf numFmtId="0" fontId="7" fillId="0" borderId="6" xfId="0" applyFont="1" applyBorder="1"/>
    <xf numFmtId="0" fontId="7" fillId="0" borderId="8" xfId="0" applyFont="1" applyBorder="1" applyAlignment="1">
      <alignment horizontal="center"/>
    </xf>
    <xf numFmtId="0" fontId="12" fillId="0" borderId="0" xfId="0" applyFont="1"/>
    <xf numFmtId="168" fontId="12" fillId="0" borderId="18" xfId="13" applyNumberFormat="1" applyFont="1" applyBorder="1"/>
    <xf numFmtId="0" fontId="7" fillId="0" borderId="0" xfId="0" applyFont="1" applyAlignment="1">
      <alignment horizontal="center"/>
    </xf>
    <xf numFmtId="0" fontId="12" fillId="0" borderId="0" xfId="0" applyFont="1" applyAlignment="1">
      <alignment horizontal="center"/>
    </xf>
    <xf numFmtId="43" fontId="7" fillId="0" borderId="12" xfId="1" applyFont="1" applyFill="1" applyBorder="1" applyAlignment="1">
      <alignment horizontal="center" wrapText="1"/>
    </xf>
    <xf numFmtId="0" fontId="4" fillId="0" borderId="0" xfId="53" applyFont="1"/>
    <xf numFmtId="0" fontId="3" fillId="0" borderId="0" xfId="53" applyFont="1" applyAlignment="1" applyProtection="1">
      <alignment horizontal="left"/>
    </xf>
    <xf numFmtId="0" fontId="4" fillId="0" borderId="0" xfId="53" applyFont="1" applyProtection="1"/>
    <xf numFmtId="0" fontId="4" fillId="0" borderId="0" xfId="53" applyFont="1" applyBorder="1" applyAlignment="1" applyProtection="1">
      <alignment horizontal="right"/>
    </xf>
    <xf numFmtId="0" fontId="4" fillId="0" borderId="0" xfId="53" applyFont="1" applyAlignment="1" applyProtection="1"/>
    <xf numFmtId="169" fontId="4" fillId="0" borderId="0" xfId="53" applyNumberFormat="1" applyFont="1" applyProtection="1"/>
    <xf numFmtId="0" fontId="26" fillId="0" borderId="0" xfId="53" applyFont="1"/>
    <xf numFmtId="0" fontId="4" fillId="0" borderId="0" xfId="53" applyFont="1" applyBorder="1"/>
    <xf numFmtId="0" fontId="4" fillId="0" borderId="0" xfId="53" applyFont="1" applyFill="1" applyAlignment="1" applyProtection="1">
      <alignment horizontal="right"/>
    </xf>
    <xf numFmtId="0" fontId="4" fillId="0" borderId="0" xfId="53" applyFont="1" applyFill="1" applyAlignment="1">
      <alignment horizontal="center"/>
    </xf>
    <xf numFmtId="170" fontId="4" fillId="0" borderId="0" xfId="54" applyNumberFormat="1" applyFont="1" applyFill="1" applyAlignment="1" applyProtection="1">
      <alignment horizontal="center"/>
    </xf>
    <xf numFmtId="170" fontId="4" fillId="0" borderId="0" xfId="54" applyNumberFormat="1" applyFont="1" applyFill="1" applyBorder="1" applyAlignment="1" applyProtection="1">
      <alignment horizontal="center"/>
    </xf>
    <xf numFmtId="0" fontId="4" fillId="0" borderId="0" xfId="53" applyFont="1" applyFill="1" applyAlignment="1" applyProtection="1">
      <alignment horizontal="center"/>
    </xf>
    <xf numFmtId="0" fontId="4" fillId="0" borderId="0" xfId="53" applyFont="1" applyBorder="1" applyAlignment="1" applyProtection="1">
      <alignment horizontal="center"/>
    </xf>
    <xf numFmtId="0" fontId="4" fillId="0" borderId="0" xfId="53" applyFont="1" applyAlignment="1" applyProtection="1">
      <alignment horizontal="center"/>
    </xf>
    <xf numFmtId="0" fontId="4" fillId="0" borderId="0" xfId="53" applyFont="1" applyAlignment="1" applyProtection="1">
      <alignment horizontal="right"/>
    </xf>
    <xf numFmtId="43" fontId="4" fillId="0" borderId="0" xfId="54" applyFont="1" applyProtection="1"/>
    <xf numFmtId="43" fontId="4" fillId="0" borderId="0" xfId="54" applyFont="1" applyAlignment="1" applyProtection="1">
      <alignment horizontal="center"/>
    </xf>
    <xf numFmtId="43" fontId="4" fillId="0" borderId="0" xfId="54" applyFont="1" applyBorder="1" applyProtection="1"/>
    <xf numFmtId="43" fontId="3" fillId="0" borderId="0" xfId="54" applyFont="1" applyBorder="1" applyProtection="1"/>
    <xf numFmtId="43" fontId="3" fillId="0" borderId="19" xfId="54" applyFont="1" applyBorder="1" applyProtection="1"/>
    <xf numFmtId="43" fontId="27" fillId="0" borderId="0" xfId="54" applyFont="1" applyFill="1" applyProtection="1"/>
    <xf numFmtId="0" fontId="3" fillId="0" borderId="0" xfId="53" applyFont="1" applyAlignment="1" applyProtection="1">
      <alignment horizontal="right"/>
    </xf>
    <xf numFmtId="43" fontId="3" fillId="0" borderId="20" xfId="54" applyFont="1" applyBorder="1" applyProtection="1"/>
    <xf numFmtId="37" fontId="4" fillId="0" borderId="0" xfId="53" applyNumberFormat="1" applyFont="1" applyProtection="1"/>
    <xf numFmtId="43" fontId="4" fillId="0" borderId="19" xfId="54" applyFont="1" applyBorder="1" applyProtection="1"/>
    <xf numFmtId="37" fontId="4" fillId="0" borderId="0" xfId="53" applyNumberFormat="1" applyFont="1" applyAlignment="1" applyProtection="1">
      <alignment horizontal="right"/>
    </xf>
    <xf numFmtId="37" fontId="4" fillId="0" borderId="0" xfId="54" applyNumberFormat="1" applyFont="1" applyProtection="1"/>
    <xf numFmtId="37" fontId="4" fillId="0" borderId="19" xfId="54" applyNumberFormat="1" applyFont="1" applyBorder="1" applyProtection="1"/>
    <xf numFmtId="43" fontId="3" fillId="0" borderId="0" xfId="54" applyFont="1" applyProtection="1"/>
    <xf numFmtId="10" fontId="4" fillId="0" borderId="0" xfId="53" applyNumberFormat="1" applyFont="1" applyBorder="1" applyProtection="1"/>
    <xf numFmtId="43" fontId="4" fillId="0" borderId="23" xfId="54" applyFont="1" applyBorder="1" applyProtection="1"/>
    <xf numFmtId="43" fontId="3" fillId="0" borderId="7" xfId="54" applyFont="1" applyBorder="1" applyProtection="1"/>
    <xf numFmtId="43" fontId="4" fillId="0" borderId="0" xfId="54" applyFont="1" applyBorder="1"/>
    <xf numFmtId="43" fontId="4" fillId="0" borderId="0" xfId="54" applyFont="1"/>
    <xf numFmtId="43" fontId="4" fillId="0" borderId="21" xfId="54" applyFont="1" applyBorder="1" applyProtection="1"/>
    <xf numFmtId="0" fontId="4" fillId="0" borderId="0" xfId="53" applyFont="1" applyFill="1"/>
    <xf numFmtId="165" fontId="4" fillId="0" borderId="0" xfId="55" applyNumberFormat="1" applyFont="1" applyFill="1"/>
    <xf numFmtId="0" fontId="15" fillId="0" borderId="12" xfId="18" applyNumberFormat="1" applyFont="1" applyFill="1" applyBorder="1" applyAlignment="1" applyProtection="1">
      <alignment horizontal="left"/>
      <protection locked="0"/>
    </xf>
    <xf numFmtId="0" fontId="7" fillId="0" borderId="12" xfId="0" applyFont="1" applyFill="1" applyBorder="1"/>
    <xf numFmtId="0" fontId="7" fillId="0" borderId="0" xfId="0" applyFont="1" applyFill="1" applyAlignment="1">
      <alignment horizontal="center"/>
    </xf>
    <xf numFmtId="0" fontId="17" fillId="0" borderId="12" xfId="11" applyNumberFormat="1" applyFont="1" applyFill="1" applyBorder="1" applyAlignment="1" applyProtection="1">
      <alignment horizontal="center" vertical="center"/>
      <protection locked="0"/>
    </xf>
    <xf numFmtId="0" fontId="7" fillId="0" borderId="6" xfId="0" applyFont="1" applyFill="1" applyBorder="1" applyAlignment="1">
      <alignment horizontal="center"/>
    </xf>
    <xf numFmtId="0" fontId="12" fillId="0" borderId="12" xfId="0" applyFont="1" applyFill="1" applyBorder="1" applyAlignment="1">
      <alignment wrapText="1"/>
    </xf>
    <xf numFmtId="0" fontId="15" fillId="0" borderId="2" xfId="18" quotePrefix="1" applyNumberFormat="1" applyFont="1" applyFill="1" applyBorder="1" applyAlignment="1" applyProtection="1">
      <alignment horizontal="center"/>
      <protection locked="0"/>
    </xf>
    <xf numFmtId="43" fontId="12" fillId="0" borderId="12" xfId="1" applyFont="1" applyFill="1" applyBorder="1" applyAlignment="1" applyProtection="1">
      <alignment horizontal="center" wrapText="1"/>
      <protection locked="0"/>
    </xf>
    <xf numFmtId="0" fontId="12" fillId="0" borderId="0" xfId="0" applyFont="1" applyFill="1" applyBorder="1" applyAlignment="1">
      <alignment horizontal="center"/>
    </xf>
    <xf numFmtId="0" fontId="12" fillId="0" borderId="13" xfId="0" applyFont="1" applyFill="1" applyBorder="1" applyAlignment="1">
      <alignment horizontal="center" wrapText="1"/>
    </xf>
    <xf numFmtId="41" fontId="7" fillId="0" borderId="12" xfId="0" applyNumberFormat="1" applyFont="1" applyFill="1" applyBorder="1" applyAlignment="1">
      <alignment horizontal="center"/>
    </xf>
    <xf numFmtId="41" fontId="15" fillId="0" borderId="12" xfId="20" quotePrefix="1" applyNumberFormat="1" applyFont="1" applyFill="1" applyBorder="1" applyAlignment="1" applyProtection="1">
      <alignment horizontal="center" wrapText="1"/>
      <protection locked="0"/>
    </xf>
    <xf numFmtId="41" fontId="12" fillId="0" borderId="12" xfId="0" applyNumberFormat="1" applyFont="1" applyFill="1" applyBorder="1" applyAlignment="1">
      <alignment horizontal="center" wrapText="1"/>
    </xf>
    <xf numFmtId="41" fontId="7" fillId="0" borderId="12" xfId="1" applyNumberFormat="1" applyFont="1" applyFill="1" applyBorder="1" applyAlignment="1">
      <alignment horizontal="center" wrapText="1"/>
    </xf>
    <xf numFmtId="41" fontId="7" fillId="0" borderId="12" xfId="0" applyNumberFormat="1" applyFont="1" applyFill="1" applyBorder="1"/>
    <xf numFmtId="41" fontId="17" fillId="0" borderId="12" xfId="1" applyNumberFormat="1" applyFont="1" applyFill="1" applyBorder="1" applyAlignment="1" applyProtection="1">
      <alignment horizontal="right" vertical="center"/>
      <protection locked="0"/>
    </xf>
    <xf numFmtId="41" fontId="7" fillId="0" borderId="12" xfId="1" applyNumberFormat="1" applyFont="1" applyFill="1" applyBorder="1"/>
    <xf numFmtId="41" fontId="15" fillId="0" borderId="12" xfId="1" applyNumberFormat="1" applyFont="1" applyFill="1" applyBorder="1" applyAlignment="1" applyProtection="1">
      <alignment horizontal="right" vertical="center"/>
      <protection locked="0"/>
    </xf>
    <xf numFmtId="41" fontId="17" fillId="0" borderId="12" xfId="1" applyNumberFormat="1" applyFont="1" applyFill="1" applyBorder="1" applyAlignment="1">
      <alignment horizontal="right" vertical="center"/>
    </xf>
    <xf numFmtId="41" fontId="12" fillId="0" borderId="12" xfId="1" applyNumberFormat="1" applyFont="1" applyFill="1" applyBorder="1"/>
    <xf numFmtId="41" fontId="15" fillId="0" borderId="12" xfId="20" quotePrefix="1" applyNumberFormat="1" applyFont="1" applyFill="1" applyBorder="1" applyAlignment="1" applyProtection="1">
      <alignment horizontal="center" vertical="center" wrapText="1"/>
      <protection locked="0"/>
    </xf>
    <xf numFmtId="41" fontId="15" fillId="0" borderId="12" xfId="20" applyNumberFormat="1" applyFont="1" applyFill="1" applyBorder="1" applyAlignment="1" applyProtection="1">
      <alignment horizontal="center" vertical="center" wrapText="1"/>
      <protection locked="0"/>
    </xf>
    <xf numFmtId="41" fontId="12" fillId="0" borderId="12" xfId="0" applyNumberFormat="1" applyFont="1" applyFill="1" applyBorder="1" applyAlignment="1">
      <alignment horizontal="center" vertical="center" wrapText="1"/>
    </xf>
    <xf numFmtId="41" fontId="7" fillId="0" borderId="12" xfId="0" applyNumberFormat="1" applyFont="1" applyFill="1" applyBorder="1" applyAlignment="1">
      <alignment horizontal="center" vertical="center" wrapText="1"/>
    </xf>
    <xf numFmtId="41" fontId="7" fillId="0" borderId="12" xfId="0" applyNumberFormat="1" applyFont="1" applyFill="1" applyBorder="1" applyAlignment="1">
      <alignment vertical="center" wrapText="1"/>
    </xf>
    <xf numFmtId="41" fontId="7" fillId="0" borderId="12" xfId="1" applyNumberFormat="1" applyFont="1" applyFill="1" applyBorder="1" applyAlignment="1" applyProtection="1">
      <alignment horizontal="center" vertical="center" wrapText="1"/>
      <protection locked="0"/>
    </xf>
    <xf numFmtId="41" fontId="7" fillId="0" borderId="0" xfId="0" applyNumberFormat="1" applyFont="1" applyFill="1" applyBorder="1" applyAlignment="1">
      <alignment horizontal="center" vertical="center"/>
    </xf>
    <xf numFmtId="41" fontId="7" fillId="0" borderId="12" xfId="1" applyNumberFormat="1" applyFont="1" applyFill="1" applyBorder="1" applyAlignment="1">
      <alignment horizontal="center" vertical="center" wrapText="1"/>
    </xf>
    <xf numFmtId="41" fontId="7" fillId="0" borderId="12" xfId="0" applyNumberFormat="1" applyFont="1" applyFill="1" applyBorder="1" applyAlignment="1">
      <alignment vertical="center"/>
    </xf>
    <xf numFmtId="41" fontId="7" fillId="0" borderId="12" xfId="1" applyNumberFormat="1" applyFont="1" applyFill="1" applyBorder="1" applyAlignment="1">
      <alignment vertical="center"/>
    </xf>
    <xf numFmtId="41" fontId="7" fillId="0" borderId="12" xfId="0" applyNumberFormat="1" applyFont="1" applyFill="1" applyBorder="1" applyAlignment="1">
      <alignment horizontal="center" vertical="center"/>
    </xf>
    <xf numFmtId="41" fontId="12" fillId="0" borderId="12" xfId="1" applyNumberFormat="1" applyFont="1" applyFill="1" applyBorder="1" applyAlignment="1">
      <alignment vertical="center"/>
    </xf>
    <xf numFmtId="41" fontId="12" fillId="0" borderId="12" xfId="0" quotePrefix="1" applyNumberFormat="1" applyFont="1" applyFill="1" applyBorder="1" applyAlignment="1">
      <alignment horizontal="center" wrapText="1"/>
    </xf>
    <xf numFmtId="41" fontId="12" fillId="0" borderId="12" xfId="1" quotePrefix="1" applyNumberFormat="1" applyFont="1" applyFill="1" applyBorder="1" applyAlignment="1" applyProtection="1">
      <alignment horizontal="center" wrapText="1"/>
      <protection locked="0"/>
    </xf>
    <xf numFmtId="41" fontId="12" fillId="0" borderId="0" xfId="0" applyNumberFormat="1" applyFont="1" applyFill="1" applyBorder="1" applyAlignment="1">
      <alignment horizontal="center"/>
    </xf>
    <xf numFmtId="41" fontId="12" fillId="0" borderId="0" xfId="0" applyNumberFormat="1" applyFont="1" applyFill="1" applyBorder="1" applyAlignment="1">
      <alignment horizontal="center" wrapText="1"/>
    </xf>
    <xf numFmtId="42" fontId="17" fillId="0" borderId="12" xfId="1" applyNumberFormat="1" applyFont="1" applyFill="1" applyBorder="1" applyAlignment="1" applyProtection="1">
      <alignment horizontal="right" vertical="center"/>
      <protection locked="0"/>
    </xf>
    <xf numFmtId="42" fontId="7" fillId="0" borderId="12" xfId="1" applyNumberFormat="1" applyFont="1" applyFill="1" applyBorder="1" applyAlignment="1">
      <alignment horizontal="center" vertical="center" wrapText="1"/>
    </xf>
    <xf numFmtId="42" fontId="7" fillId="0" borderId="12" xfId="1" applyNumberFormat="1" applyFont="1" applyFill="1" applyBorder="1" applyAlignment="1">
      <alignment vertical="center"/>
    </xf>
    <xf numFmtId="42" fontId="7" fillId="0" borderId="12" xfId="0" applyNumberFormat="1" applyFont="1" applyFill="1" applyBorder="1" applyAlignment="1">
      <alignment horizontal="center" vertical="center"/>
    </xf>
    <xf numFmtId="42" fontId="7" fillId="0" borderId="12" xfId="0" applyNumberFormat="1" applyFont="1" applyFill="1" applyBorder="1" applyAlignment="1">
      <alignment vertical="center"/>
    </xf>
    <xf numFmtId="42" fontId="12" fillId="0" borderId="12" xfId="1" applyNumberFormat="1" applyFont="1" applyFill="1" applyBorder="1" applyAlignment="1">
      <alignment vertical="center"/>
    </xf>
    <xf numFmtId="0" fontId="17" fillId="0" borderId="12" xfId="11" applyNumberFormat="1" applyFont="1" applyFill="1" applyBorder="1" applyAlignment="1" applyProtection="1">
      <alignment horizontal="center"/>
      <protection locked="0"/>
    </xf>
    <xf numFmtId="0" fontId="15" fillId="0" borderId="12" xfId="11" quotePrefix="1" applyNumberFormat="1" applyFont="1" applyFill="1" applyBorder="1" applyAlignment="1" applyProtection="1">
      <alignment horizontal="left" wrapText="1"/>
      <protection locked="0"/>
    </xf>
    <xf numFmtId="42" fontId="15" fillId="0" borderId="12" xfId="1" applyNumberFormat="1" applyFont="1" applyFill="1" applyBorder="1" applyAlignment="1" applyProtection="1">
      <alignment horizontal="right"/>
      <protection locked="0"/>
    </xf>
    <xf numFmtId="0" fontId="7" fillId="0" borderId="0" xfId="0" applyFont="1" applyFill="1" applyAlignment="1"/>
    <xf numFmtId="0" fontId="7" fillId="0" borderId="0" xfId="0" applyFont="1" applyFill="1" applyAlignment="1">
      <alignment horizontal="right"/>
    </xf>
    <xf numFmtId="41" fontId="7" fillId="0" borderId="12" xfId="1" applyNumberFormat="1" applyFont="1" applyFill="1" applyBorder="1" applyAlignment="1"/>
    <xf numFmtId="181" fontId="7" fillId="0" borderId="0" xfId="1" applyNumberFormat="1" applyFont="1"/>
    <xf numFmtId="168" fontId="12" fillId="0" borderId="16" xfId="13" applyNumberFormat="1" applyFont="1" applyBorder="1"/>
    <xf numFmtId="168" fontId="12" fillId="0" borderId="17" xfId="13" applyNumberFormat="1" applyFont="1" applyBorder="1"/>
    <xf numFmtId="41" fontId="7" fillId="0" borderId="12" xfId="1" applyNumberFormat="1" applyFont="1" applyFill="1" applyBorder="1" applyAlignment="1" applyProtection="1">
      <alignment horizontal="right" vertical="center"/>
      <protection locked="0"/>
    </xf>
    <xf numFmtId="41" fontId="7" fillId="0" borderId="12" xfId="1" applyNumberFormat="1" applyFont="1" applyFill="1" applyBorder="1" applyAlignment="1">
      <alignment horizontal="right" vertical="center"/>
    </xf>
    <xf numFmtId="0" fontId="12" fillId="0" borderId="12" xfId="20" quotePrefix="1" applyFont="1" applyFill="1" applyBorder="1" applyAlignment="1" applyProtection="1">
      <alignment horizontal="center" wrapText="1"/>
      <protection locked="0"/>
    </xf>
    <xf numFmtId="41" fontId="12" fillId="0" borderId="12" xfId="1" applyNumberFormat="1" applyFont="1" applyFill="1" applyBorder="1" applyAlignment="1" applyProtection="1">
      <alignment horizontal="right" vertical="center"/>
      <protection locked="0"/>
    </xf>
    <xf numFmtId="181" fontId="12" fillId="0" borderId="0" xfId="1" applyNumberFormat="1" applyFont="1" applyBorder="1"/>
    <xf numFmtId="0" fontId="15" fillId="0" borderId="2" xfId="18" applyNumberFormat="1" applyFont="1" applyFill="1" applyBorder="1" applyAlignment="1" applyProtection="1">
      <alignment horizontal="center"/>
      <protection locked="0"/>
    </xf>
    <xf numFmtId="0" fontId="15" fillId="0" borderId="12" xfId="18" applyNumberFormat="1" applyFont="1" applyFill="1" applyBorder="1" applyAlignment="1" applyProtection="1">
      <alignment horizontal="center"/>
      <protection locked="0"/>
    </xf>
    <xf numFmtId="0" fontId="7" fillId="0" borderId="0" xfId="0" quotePrefix="1" applyFont="1" applyFill="1"/>
    <xf numFmtId="0" fontId="7" fillId="0" borderId="0" xfId="0" quotePrefix="1" applyFont="1" applyFill="1" applyAlignment="1">
      <alignment horizontal="right"/>
    </xf>
    <xf numFmtId="0" fontId="12" fillId="0" borderId="0" xfId="0" quotePrefix="1" applyFont="1" applyFill="1" applyAlignment="1">
      <alignment horizontal="center"/>
    </xf>
    <xf numFmtId="41" fontId="12" fillId="0" borderId="1" xfId="0" quotePrefix="1" applyNumberFormat="1" applyFont="1" applyFill="1" applyBorder="1" applyAlignment="1">
      <alignment horizontal="center" wrapText="1"/>
    </xf>
    <xf numFmtId="0" fontId="12" fillId="0" borderId="0" xfId="14" quotePrefix="1" applyNumberFormat="1" applyFont="1" applyFill="1" applyProtection="1">
      <alignment horizontal="left"/>
      <protection locked="0"/>
    </xf>
    <xf numFmtId="0" fontId="7" fillId="0" borderId="0" xfId="0" quotePrefix="1" applyFont="1" applyFill="1" applyAlignment="1">
      <alignment horizontal="left"/>
    </xf>
    <xf numFmtId="0" fontId="17" fillId="0" borderId="12" xfId="11" applyNumberFormat="1" applyFont="1" applyFill="1" applyBorder="1" applyAlignment="1">
      <alignment horizontal="center" vertical="center"/>
    </xf>
    <xf numFmtId="0" fontId="15" fillId="0" borderId="12" xfId="11" quotePrefix="1" applyNumberFormat="1" applyFont="1" applyFill="1" applyBorder="1">
      <alignment horizontal="left" vertical="center" indent="1"/>
    </xf>
    <xf numFmtId="0" fontId="15" fillId="0" borderId="14" xfId="11" quotePrefix="1" applyNumberFormat="1" applyFont="1" applyFill="1" applyBorder="1">
      <alignment horizontal="left" vertical="center" indent="1"/>
    </xf>
    <xf numFmtId="0" fontId="17" fillId="0" borderId="16" xfId="11" quotePrefix="1" applyNumberFormat="1" applyFont="1" applyFill="1" applyBorder="1">
      <alignment horizontal="left" vertical="center" indent="1"/>
    </xf>
    <xf numFmtId="0" fontId="15" fillId="0" borderId="16" xfId="11" applyNumberFormat="1" applyFont="1" applyFill="1" applyBorder="1">
      <alignment horizontal="left" vertical="center" indent="1"/>
    </xf>
    <xf numFmtId="0" fontId="7" fillId="0" borderId="16" xfId="0" applyFont="1" applyFill="1" applyBorder="1"/>
    <xf numFmtId="0" fontId="12" fillId="0" borderId="16" xfId="0" applyFont="1" applyFill="1" applyBorder="1"/>
    <xf numFmtId="0" fontId="12" fillId="0" borderId="14" xfId="0" applyFont="1" applyFill="1" applyBorder="1"/>
    <xf numFmtId="43" fontId="7" fillId="0" borderId="0" xfId="0" applyNumberFormat="1" applyFont="1" applyFill="1"/>
    <xf numFmtId="0" fontId="15" fillId="0" borderId="12" xfId="11" applyNumberFormat="1" applyFont="1" applyFill="1" applyBorder="1" applyProtection="1">
      <alignment horizontal="left" vertical="center" indent="1"/>
      <protection locked="0"/>
    </xf>
    <xf numFmtId="0" fontId="15" fillId="0" borderId="16" xfId="11" applyNumberFormat="1" applyFont="1" applyFill="1" applyBorder="1" applyAlignment="1">
      <alignment vertical="center"/>
    </xf>
    <xf numFmtId="0" fontId="12" fillId="0" borderId="0" xfId="0" applyFont="1" applyFill="1" applyAlignment="1"/>
    <xf numFmtId="0" fontId="15" fillId="0" borderId="2" xfId="18" quotePrefix="1" applyNumberFormat="1" applyFont="1" applyFill="1" applyBorder="1" applyProtection="1">
      <protection locked="0"/>
    </xf>
    <xf numFmtId="0" fontId="12" fillId="0" borderId="12" xfId="0" quotePrefix="1" applyFont="1" applyFill="1" applyBorder="1" applyAlignment="1">
      <alignment horizontal="center" wrapText="1"/>
    </xf>
    <xf numFmtId="0" fontId="12" fillId="0" borderId="13" xfId="0" quotePrefix="1" applyFont="1" applyFill="1" applyBorder="1" applyAlignment="1">
      <alignment horizontal="center" wrapText="1"/>
    </xf>
    <xf numFmtId="181" fontId="15" fillId="0" borderId="12" xfId="1" quotePrefix="1" applyNumberFormat="1" applyFont="1" applyFill="1" applyBorder="1" applyAlignment="1" applyProtection="1">
      <alignment horizontal="center" wrapText="1"/>
      <protection locked="0"/>
    </xf>
    <xf numFmtId="181" fontId="15" fillId="0" borderId="12" xfId="1" applyNumberFormat="1" applyFont="1" applyFill="1" applyBorder="1" applyAlignment="1" applyProtection="1">
      <alignment horizontal="center" wrapText="1"/>
      <protection locked="0"/>
    </xf>
    <xf numFmtId="181" fontId="7" fillId="0" borderId="12" xfId="1" applyNumberFormat="1" applyFont="1" applyFill="1" applyBorder="1" applyAlignment="1">
      <alignment horizontal="center" wrapText="1"/>
    </xf>
    <xf numFmtId="181" fontId="7" fillId="0" borderId="13" xfId="1" applyNumberFormat="1" applyFont="1" applyFill="1" applyBorder="1" applyAlignment="1">
      <alignment horizontal="center" wrapText="1"/>
    </xf>
    <xf numFmtId="181" fontId="7" fillId="0" borderId="12" xfId="1" applyNumberFormat="1" applyFont="1" applyFill="1" applyBorder="1" applyAlignment="1">
      <alignment wrapText="1"/>
    </xf>
    <xf numFmtId="181" fontId="7" fillId="0" borderId="12" xfId="1" applyNumberFormat="1" applyFont="1" applyFill="1" applyBorder="1"/>
    <xf numFmtId="181" fontId="17" fillId="0" borderId="12" xfId="1" applyNumberFormat="1" applyFont="1" applyFill="1" applyBorder="1" applyAlignment="1" applyProtection="1">
      <alignment horizontal="right" vertical="center"/>
      <protection locked="0"/>
    </xf>
    <xf numFmtId="181" fontId="15" fillId="0" borderId="12" xfId="1" applyNumberFormat="1" applyFont="1" applyFill="1" applyBorder="1" applyAlignment="1" applyProtection="1">
      <alignment horizontal="right" vertical="center"/>
      <protection locked="0"/>
    </xf>
    <xf numFmtId="181" fontId="12" fillId="0" borderId="12" xfId="1" applyNumberFormat="1" applyFont="1" applyFill="1" applyBorder="1"/>
    <xf numFmtId="181" fontId="17" fillId="0" borderId="12" xfId="1" applyNumberFormat="1" applyFont="1" applyFill="1" applyBorder="1" applyAlignment="1">
      <alignment horizontal="right" vertical="center"/>
    </xf>
    <xf numFmtId="181" fontId="15" fillId="0" borderId="12" xfId="1" applyNumberFormat="1" applyFont="1" applyFill="1" applyBorder="1" applyAlignment="1">
      <alignment horizontal="right" vertical="center"/>
    </xf>
    <xf numFmtId="0" fontId="7" fillId="0" borderId="0" xfId="14" applyNumberFormat="1" applyFont="1" applyFill="1" applyBorder="1" applyAlignment="1" applyProtection="1">
      <alignment horizontal="right"/>
      <protection locked="0"/>
    </xf>
    <xf numFmtId="0" fontId="7" fillId="0" borderId="0" xfId="0" applyFont="1" applyFill="1" applyBorder="1" applyAlignment="1">
      <alignment horizontal="right"/>
    </xf>
    <xf numFmtId="0" fontId="26" fillId="0" borderId="0" xfId="53" applyFont="1" applyBorder="1"/>
    <xf numFmtId="0" fontId="26" fillId="0" borderId="0" xfId="53" applyFont="1" applyAlignment="1"/>
    <xf numFmtId="0" fontId="9" fillId="0" borderId="0" xfId="53" applyFont="1"/>
    <xf numFmtId="0" fontId="54" fillId="0" borderId="0" xfId="53" applyFont="1"/>
    <xf numFmtId="0" fontId="54" fillId="0" borderId="0" xfId="53" applyFont="1" applyBorder="1"/>
    <xf numFmtId="0" fontId="9" fillId="0" borderId="0" xfId="53" applyFont="1" applyAlignment="1" applyProtection="1">
      <alignment horizontal="right"/>
    </xf>
    <xf numFmtId="37" fontId="9" fillId="0" borderId="19" xfId="54" applyNumberFormat="1" applyFont="1" applyBorder="1" applyProtection="1"/>
    <xf numFmtId="43" fontId="9" fillId="0" borderId="0" xfId="54" applyFont="1" applyBorder="1" applyProtection="1"/>
    <xf numFmtId="0" fontId="9" fillId="0" borderId="0" xfId="53" applyFont="1" applyProtection="1"/>
    <xf numFmtId="37" fontId="9" fillId="0" borderId="0" xfId="53" applyNumberFormat="1" applyFont="1" applyProtection="1"/>
    <xf numFmtId="43" fontId="9" fillId="0" borderId="0" xfId="54" applyFont="1" applyProtection="1"/>
    <xf numFmtId="37" fontId="9" fillId="0" borderId="0" xfId="54" applyNumberFormat="1" applyFont="1" applyProtection="1"/>
    <xf numFmtId="0" fontId="54" fillId="0" borderId="0" xfId="53" applyFont="1" applyAlignment="1"/>
    <xf numFmtId="0" fontId="9" fillId="24" borderId="22" xfId="53" applyFont="1" applyFill="1" applyBorder="1" applyAlignment="1" applyProtection="1">
      <alignment horizontal="right"/>
    </xf>
    <xf numFmtId="0" fontId="9" fillId="0" borderId="21" xfId="53" applyFont="1" applyBorder="1" applyAlignment="1" applyProtection="1">
      <alignment horizontal="right"/>
    </xf>
    <xf numFmtId="181" fontId="7" fillId="0" borderId="7" xfId="1" applyNumberFormat="1" applyFont="1" applyBorder="1"/>
    <xf numFmtId="0" fontId="9" fillId="0" borderId="0" xfId="53" applyFont="1" applyBorder="1" applyAlignment="1">
      <alignment horizontal="right"/>
    </xf>
    <xf numFmtId="181" fontId="9" fillId="0" borderId="0" xfId="54" applyNumberFormat="1" applyFont="1" applyProtection="1"/>
    <xf numFmtId="181" fontId="9" fillId="0" borderId="0" xfId="54" applyNumberFormat="1" applyFont="1" applyBorder="1" applyProtection="1"/>
    <xf numFmtId="181" fontId="4" fillId="0" borderId="0" xfId="53" applyNumberFormat="1" applyFont="1" applyProtection="1"/>
    <xf numFmtId="181" fontId="4" fillId="0" borderId="0" xfId="54" applyNumberFormat="1" applyFont="1" applyProtection="1"/>
    <xf numFmtId="181" fontId="4" fillId="0" borderId="0" xfId="54" applyNumberFormat="1" applyFont="1" applyBorder="1" applyProtection="1"/>
    <xf numFmtId="181" fontId="9" fillId="0" borderId="19" xfId="54" applyNumberFormat="1" applyFont="1" applyBorder="1" applyProtection="1"/>
    <xf numFmtId="181" fontId="9" fillId="0" borderId="21" xfId="54" applyNumberFormat="1" applyFont="1" applyBorder="1" applyProtection="1"/>
    <xf numFmtId="181" fontId="9" fillId="0" borderId="0" xfId="54" applyNumberFormat="1" applyFont="1" applyFill="1" applyAlignment="1"/>
    <xf numFmtId="181" fontId="4" fillId="0" borderId="0" xfId="54" applyNumberFormat="1" applyFont="1" applyFill="1" applyAlignment="1"/>
    <xf numFmtId="0" fontId="55" fillId="0" borderId="12" xfId="11" applyNumberFormat="1" applyFont="1" applyFill="1" applyBorder="1" applyAlignment="1" applyProtection="1">
      <alignment horizontal="center" vertical="center"/>
      <protection locked="0"/>
    </xf>
    <xf numFmtId="41" fontId="56" fillId="0" borderId="12" xfId="1" applyNumberFormat="1" applyFont="1" applyFill="1" applyBorder="1" applyAlignment="1"/>
    <xf numFmtId="41" fontId="56" fillId="0" borderId="12" xfId="0" applyNumberFormat="1" applyFont="1" applyFill="1" applyBorder="1" applyAlignment="1">
      <alignment vertical="center"/>
    </xf>
    <xf numFmtId="0" fontId="56" fillId="0" borderId="0" xfId="0" applyFont="1" applyFill="1"/>
    <xf numFmtId="41" fontId="56" fillId="30" borderId="12" xfId="0" applyNumberFormat="1" applyFont="1" applyFill="1" applyBorder="1" applyAlignment="1">
      <alignment horizontal="center"/>
    </xf>
    <xf numFmtId="41" fontId="56" fillId="30" borderId="12" xfId="0" applyNumberFormat="1" applyFont="1" applyFill="1" applyBorder="1"/>
    <xf numFmtId="41" fontId="56" fillId="30" borderId="12" xfId="1" applyNumberFormat="1" applyFont="1" applyFill="1" applyBorder="1"/>
    <xf numFmtId="41" fontId="56" fillId="30" borderId="12" xfId="1" applyNumberFormat="1" applyFont="1" applyFill="1" applyBorder="1" applyAlignment="1" applyProtection="1">
      <alignment horizontal="right" vertical="center"/>
      <protection locked="0"/>
    </xf>
    <xf numFmtId="181" fontId="57" fillId="30" borderId="12" xfId="1" applyNumberFormat="1" applyFont="1" applyFill="1" applyBorder="1"/>
    <xf numFmtId="181" fontId="56" fillId="30" borderId="12" xfId="1" applyNumberFormat="1" applyFont="1" applyFill="1" applyBorder="1"/>
    <xf numFmtId="41" fontId="56" fillId="30" borderId="12" xfId="0" applyNumberFormat="1" applyFont="1" applyFill="1" applyBorder="1" applyAlignment="1">
      <alignment horizontal="center" vertical="center"/>
    </xf>
    <xf numFmtId="41" fontId="56" fillId="30" borderId="12" xfId="0" applyNumberFormat="1" applyFont="1" applyFill="1" applyBorder="1" applyAlignment="1">
      <alignment vertical="center"/>
    </xf>
    <xf numFmtId="41" fontId="55" fillId="30" borderId="12" xfId="1" applyNumberFormat="1" applyFont="1" applyFill="1" applyBorder="1" applyAlignment="1" applyProtection="1">
      <alignment horizontal="right" vertical="center"/>
      <protection locked="0"/>
    </xf>
    <xf numFmtId="41" fontId="56" fillId="30" borderId="12" xfId="1" applyNumberFormat="1" applyFont="1" applyFill="1" applyBorder="1" applyAlignment="1">
      <alignment vertical="center"/>
    </xf>
    <xf numFmtId="42" fontId="56" fillId="30" borderId="12" xfId="1" applyNumberFormat="1" applyFont="1" applyFill="1" applyBorder="1" applyAlignment="1">
      <alignment vertical="center"/>
    </xf>
    <xf numFmtId="41" fontId="55" fillId="30" borderId="12" xfId="20" quotePrefix="1" applyNumberFormat="1" applyFont="1" applyFill="1" applyBorder="1" applyAlignment="1" applyProtection="1">
      <alignment horizontal="center" wrapText="1"/>
      <protection locked="0"/>
    </xf>
    <xf numFmtId="41" fontId="56" fillId="30" borderId="12" xfId="0" applyNumberFormat="1" applyFont="1" applyFill="1" applyBorder="1" applyAlignment="1">
      <alignment horizontal="center" wrapText="1"/>
    </xf>
    <xf numFmtId="0" fontId="7" fillId="0" borderId="0" xfId="0" applyFont="1" applyAlignment="1">
      <alignment wrapText="1"/>
    </xf>
    <xf numFmtId="0" fontId="0" fillId="0" borderId="0" xfId="0" applyAlignment="1">
      <alignment wrapText="1"/>
    </xf>
  </cellXfs>
  <cellStyles count="234">
    <cellStyle name="_x0013_" xfId="56"/>
    <cellStyle name="_09GRC Gas Transport For Review" xfId="57"/>
    <cellStyle name="_4.06E Pass Throughs" xfId="58"/>
    <cellStyle name="_4.06E Pass Throughs_04 07E Wild Horse Wind Expansion (C) (2)" xfId="59"/>
    <cellStyle name="_4.06E Pass Throughs_Book9" xfId="60"/>
    <cellStyle name="_4.13E Montana Energy Tax" xfId="61"/>
    <cellStyle name="_4.13E Montana Energy Tax_04 07E Wild Horse Wind Expansion (C) (2)" xfId="62"/>
    <cellStyle name="_4.13E Montana Energy Tax_Book9" xfId="63"/>
    <cellStyle name="_AURORA WIP" xfId="64"/>
    <cellStyle name="_Book1" xfId="65"/>
    <cellStyle name="_Book1 (2)" xfId="66"/>
    <cellStyle name="_Book1 (2)_04 07E Wild Horse Wind Expansion (C) (2)" xfId="67"/>
    <cellStyle name="_Book1 (2)_Book9" xfId="68"/>
    <cellStyle name="_Book1_Book9" xfId="69"/>
    <cellStyle name="_Book2" xfId="70"/>
    <cellStyle name="_Book2_04 07E Wild Horse Wind Expansion (C) (2)" xfId="71"/>
    <cellStyle name="_Book2_Book9" xfId="72"/>
    <cellStyle name="_Book3" xfId="73"/>
    <cellStyle name="_Book5" xfId="74"/>
    <cellStyle name="_Chelan Debt Forecast 12.19.05" xfId="75"/>
    <cellStyle name="_Chelan Debt Forecast 12.19.05_Book9" xfId="76"/>
    <cellStyle name="_Costs not in AURORA 06GRC" xfId="77"/>
    <cellStyle name="_Costs not in AURORA 06GRC_04 07E Wild Horse Wind Expansion (C) (2)" xfId="78"/>
    <cellStyle name="_Costs not in AURORA 06GRC_Book9" xfId="79"/>
    <cellStyle name="_Costs not in AURORA 2006GRC 6.15.06" xfId="80"/>
    <cellStyle name="_Costs not in AURORA 2006GRC 6.15.06_04 07E Wild Horse Wind Expansion (C) (2)" xfId="81"/>
    <cellStyle name="_Costs not in AURORA 2006GRC 6.15.06_Book9" xfId="82"/>
    <cellStyle name="_Costs not in AURORA 2007 Rate Case" xfId="83"/>
    <cellStyle name="_Costs not in AURORA 2007 Rate Case_Book9" xfId="84"/>
    <cellStyle name="_Costs not in KWI3000 '06Budget" xfId="85"/>
    <cellStyle name="_Costs not in KWI3000 '06Budget_Book9" xfId="86"/>
    <cellStyle name="_DEM-WP (C) Power Cost 2006GRC Order" xfId="87"/>
    <cellStyle name="_DEM-WP (C) Power Cost 2006GRC Order_04 07E Wild Horse Wind Expansion (C) (2)" xfId="88"/>
    <cellStyle name="_DEM-WP (C) Power Cost 2006GRC Order_Book9" xfId="89"/>
    <cellStyle name="_DEM-WP Revised (HC) Wild Horse 2006GRC" xfId="90"/>
    <cellStyle name="_DEM-WP(C) Costs not in AURORA 2006GRC" xfId="91"/>
    <cellStyle name="_DEM-WP(C) Costs not in AURORA 2006GRC_Book9" xfId="92"/>
    <cellStyle name="_DEM-WP(C) Costs not in AURORA 2007GRC" xfId="93"/>
    <cellStyle name="_DEM-WP(C) Costs not in AURORA 2007PCORC-5.07Update" xfId="94"/>
    <cellStyle name="_DEM-WP(C) Sumas Proforma 11.5.07" xfId="95"/>
    <cellStyle name="_DEM-WP(C) Westside Hydro Data_051007" xfId="96"/>
    <cellStyle name="_Fixed Gas Transport 1 19 09" xfId="97"/>
    <cellStyle name="_Fuel Prices 4-14" xfId="98"/>
    <cellStyle name="_Fuel Prices 4-14_04 07E Wild Horse Wind Expansion (C) (2)" xfId="99"/>
    <cellStyle name="_Fuel Prices 4-14_Book9" xfId="100"/>
    <cellStyle name="_Gas Transportation Charges_2009GRC_120308" xfId="101"/>
    <cellStyle name="_Power Cost Value Copy 11.30.05 gas 1.09.06 AURORA at 1.10.06" xfId="102"/>
    <cellStyle name="_Power Cost Value Copy 11.30.05 gas 1.09.06 AURORA at 1.10.06_04 07E Wild Horse Wind Expansion (C) (2)" xfId="103"/>
    <cellStyle name="_Power Cost Value Copy 11.30.05 gas 1.09.06 AURORA at 1.10.06_Book9" xfId="104"/>
    <cellStyle name="_Recon to Darrin's 5.11.05 proforma" xfId="105"/>
    <cellStyle name="_Recon to Darrin's 5.11.05 proforma_Book9" xfId="106"/>
    <cellStyle name="_Sumas Proforma - 11-09-07" xfId="107"/>
    <cellStyle name="_Sumas Property Taxes v1" xfId="108"/>
    <cellStyle name="_Tenaska Comparison" xfId="109"/>
    <cellStyle name="_Tenaska Comparison_Book9" xfId="110"/>
    <cellStyle name="_Value Copy 11 30 05 gas 12 09 05 AURORA at 12 14 05" xfId="111"/>
    <cellStyle name="_Value Copy 11 30 05 gas 12 09 05 AURORA at 12 14 05_04 07E Wild Horse Wind Expansion (C) (2)" xfId="112"/>
    <cellStyle name="_Value Copy 11 30 05 gas 12 09 05 AURORA at 12 14 05_Book9" xfId="113"/>
    <cellStyle name="_VC 6.15.06 update on 06GRC power costs.xls Chart 1" xfId="114"/>
    <cellStyle name="_VC 6.15.06 update on 06GRC power costs.xls Chart 1_04 07E Wild Horse Wind Expansion (C) (2)" xfId="115"/>
    <cellStyle name="_VC 6.15.06 update on 06GRC power costs.xls Chart 1_Book9" xfId="116"/>
    <cellStyle name="_VC 6.15.06 update on 06GRC power costs.xls Chart 2" xfId="117"/>
    <cellStyle name="_VC 6.15.06 update on 06GRC power costs.xls Chart 2_04 07E Wild Horse Wind Expansion (C) (2)" xfId="118"/>
    <cellStyle name="_VC 6.15.06 update on 06GRC power costs.xls Chart 2_Book9" xfId="119"/>
    <cellStyle name="_VC 6.15.06 update on 06GRC power costs.xls Chart 3" xfId="120"/>
    <cellStyle name="_VC 6.15.06 update on 06GRC power costs.xls Chart 3_04 07E Wild Horse Wind Expansion (C) (2)" xfId="121"/>
    <cellStyle name="_VC 6.15.06 update on 06GRC power costs.xls Chart 3_Book9" xfId="122"/>
    <cellStyle name="0,0_x000d__x000a_NA_x000d__x000a_" xfId="123"/>
    <cellStyle name="Calc Currency (0)" xfId="124"/>
    <cellStyle name="CheckCell" xfId="125"/>
    <cellStyle name="Comma" xfId="1" builtinId="3"/>
    <cellStyle name="Comma 10" xfId="126"/>
    <cellStyle name="Comma 11" xfId="127"/>
    <cellStyle name="Comma 11 2" xfId="128"/>
    <cellStyle name="Comma 12" xfId="54"/>
    <cellStyle name="Comma 2" xfId="3"/>
    <cellStyle name="Comma 2 2" xfId="4"/>
    <cellStyle name="Comma 3" xfId="52"/>
    <cellStyle name="Comma 4" xfId="129"/>
    <cellStyle name="Comma 4 2" xfId="130"/>
    <cellStyle name="Comma 5" xfId="131"/>
    <cellStyle name="Comma 6" xfId="132"/>
    <cellStyle name="Comma 7" xfId="21"/>
    <cellStyle name="Comma 8" xfId="133"/>
    <cellStyle name="Comma 9" xfId="134"/>
    <cellStyle name="Comma0" xfId="135"/>
    <cellStyle name="Comma0 - Style2" xfId="136"/>
    <cellStyle name="Comma0 - Style4" xfId="137"/>
    <cellStyle name="Comma0 - Style5" xfId="138"/>
    <cellStyle name="Comma0_00COS Ind Allocators" xfId="139"/>
    <cellStyle name="Comma1 - Style1" xfId="140"/>
    <cellStyle name="Copied" xfId="141"/>
    <cellStyle name="COST1" xfId="142"/>
    <cellStyle name="Curren - Style1" xfId="143"/>
    <cellStyle name="Curren - Style2" xfId="144"/>
    <cellStyle name="Curren - Style5" xfId="145"/>
    <cellStyle name="Curren - Style6" xfId="146"/>
    <cellStyle name="Currency" xfId="13" builtinId="4"/>
    <cellStyle name="Currency 10" xfId="147"/>
    <cellStyle name="Currency 2" xfId="148"/>
    <cellStyle name="Currency 3" xfId="149"/>
    <cellStyle name="Currency 4" xfId="150"/>
    <cellStyle name="Currency 5" xfId="151"/>
    <cellStyle name="Currency 6" xfId="152"/>
    <cellStyle name="Currency 7" xfId="153"/>
    <cellStyle name="Currency 8" xfId="154"/>
    <cellStyle name="Currency 9" xfId="155"/>
    <cellStyle name="Currency0" xfId="156"/>
    <cellStyle name="Date" xfId="157"/>
    <cellStyle name="Entered" xfId="158"/>
    <cellStyle name="Euro" xfId="159"/>
    <cellStyle name="Fixed" xfId="160"/>
    <cellStyle name="Fixed3 - Style3" xfId="161"/>
    <cellStyle name="Grey" xfId="162"/>
    <cellStyle name="Header1" xfId="163"/>
    <cellStyle name="Header2" xfId="164"/>
    <cellStyle name="Heading1" xfId="165"/>
    <cellStyle name="Heading2" xfId="166"/>
    <cellStyle name="Input [yellow]" xfId="167"/>
    <cellStyle name="Input Cells" xfId="168"/>
    <cellStyle name="Input Cells Percent" xfId="169"/>
    <cellStyle name="Input Cells_Book9" xfId="170"/>
    <cellStyle name="Lines" xfId="171"/>
    <cellStyle name="LINKED" xfId="172"/>
    <cellStyle name="modified border" xfId="173"/>
    <cellStyle name="modified border1" xfId="174"/>
    <cellStyle name="no dec" xfId="175"/>
    <cellStyle name="Normal" xfId="0" builtinId="0"/>
    <cellStyle name="Normal - Style1" xfId="176"/>
    <cellStyle name="Normal 10" xfId="177"/>
    <cellStyle name="Normal 11" xfId="178"/>
    <cellStyle name="Normal 12" xfId="179"/>
    <cellStyle name="Normal 13" xfId="180"/>
    <cellStyle name="Normal 14" xfId="181"/>
    <cellStyle name="Normal 15" xfId="182"/>
    <cellStyle name="Normal 16" xfId="5"/>
    <cellStyle name="Normal 16 2" xfId="53"/>
    <cellStyle name="Normal 2" xfId="6"/>
    <cellStyle name="Normal 2 2" xfId="7"/>
    <cellStyle name="Normal 3" xfId="183"/>
    <cellStyle name="Normal 4" xfId="184"/>
    <cellStyle name="Normal 4 2" xfId="185"/>
    <cellStyle name="Normal 5" xfId="186"/>
    <cellStyle name="Normal 6" xfId="187"/>
    <cellStyle name="Normal 7" xfId="188"/>
    <cellStyle name="Normal 8" xfId="189"/>
    <cellStyle name="Normal 9" xfId="190"/>
    <cellStyle name="Percen - Style1" xfId="191"/>
    <cellStyle name="Percen - Style2" xfId="192"/>
    <cellStyle name="Percen - Style3" xfId="193"/>
    <cellStyle name="Percent" xfId="2" builtinId="5"/>
    <cellStyle name="Percent [2]" xfId="194"/>
    <cellStyle name="Percent 2" xfId="8"/>
    <cellStyle name="Percent 2 2" xfId="9"/>
    <cellStyle name="Percent 3" xfId="10"/>
    <cellStyle name="Percent 4" xfId="195"/>
    <cellStyle name="Percent 4 2" xfId="196"/>
    <cellStyle name="Percent 4 3" xfId="197"/>
    <cellStyle name="Percent 5" xfId="198"/>
    <cellStyle name="Percent 6" xfId="199"/>
    <cellStyle name="Percent 7" xfId="55"/>
    <cellStyle name="Processing" xfId="200"/>
    <cellStyle name="PSChar" xfId="201"/>
    <cellStyle name="PSDate" xfId="202"/>
    <cellStyle name="PSDec" xfId="203"/>
    <cellStyle name="PSHeading" xfId="204"/>
    <cellStyle name="PSInt" xfId="205"/>
    <cellStyle name="PSSpacer" xfId="206"/>
    <cellStyle name="purple - Style8" xfId="207"/>
    <cellStyle name="RED" xfId="208"/>
    <cellStyle name="Red - Style7" xfId="209"/>
    <cellStyle name="RED_04 07E Wild Horse Wind Expansion (C) (2)" xfId="210"/>
    <cellStyle name="Report" xfId="211"/>
    <cellStyle name="Report Bar" xfId="212"/>
    <cellStyle name="Report Heading" xfId="213"/>
    <cellStyle name="Report Percent" xfId="214"/>
    <cellStyle name="Report Unit Cost" xfId="215"/>
    <cellStyle name="Reports" xfId="216"/>
    <cellStyle name="Reports Total" xfId="217"/>
    <cellStyle name="Reports Unit Cost Total" xfId="218"/>
    <cellStyle name="Reports_Book9" xfId="219"/>
    <cellStyle name="RevList" xfId="220"/>
    <cellStyle name="round100" xfId="221"/>
    <cellStyle name="SAPBEXaggData" xfId="22"/>
    <cellStyle name="SAPBEXaggDataEmph" xfId="23"/>
    <cellStyle name="SAPBEXaggItem" xfId="24"/>
    <cellStyle name="SAPBEXaggItemX" xfId="25"/>
    <cellStyle name="SAPBEXchaText" xfId="18"/>
    <cellStyle name="SAPBEXexcBad7" xfId="26"/>
    <cellStyle name="SAPBEXexcBad8" xfId="27"/>
    <cellStyle name="SAPBEXexcBad9" xfId="28"/>
    <cellStyle name="SAPBEXexcCritical4" xfId="29"/>
    <cellStyle name="SAPBEXexcCritical5" xfId="30"/>
    <cellStyle name="SAPBEXexcCritical6" xfId="31"/>
    <cellStyle name="SAPBEXexcGood1" xfId="32"/>
    <cellStyle name="SAPBEXexcGood2" xfId="33"/>
    <cellStyle name="SAPBEXexcGood3" xfId="34"/>
    <cellStyle name="SAPBEXfilterDrill" xfId="19"/>
    <cellStyle name="SAPBEXfilterItem" xfId="17"/>
    <cellStyle name="SAPBEXfilterText" xfId="35"/>
    <cellStyle name="SAPBEXformats" xfId="36"/>
    <cellStyle name="SAPBEXheaderItem" xfId="16"/>
    <cellStyle name="SAPBEXheaderText" xfId="15"/>
    <cellStyle name="SAPBEXHLevel0" xfId="37"/>
    <cellStyle name="SAPBEXHLevel0X" xfId="38"/>
    <cellStyle name="SAPBEXHLevel1" xfId="39"/>
    <cellStyle name="SAPBEXHLevel1X" xfId="40"/>
    <cellStyle name="SAPBEXHLevel2" xfId="41"/>
    <cellStyle name="SAPBEXHLevel2X" xfId="42"/>
    <cellStyle name="SAPBEXHLevel3" xfId="43"/>
    <cellStyle name="SAPBEXHLevel3X" xfId="44"/>
    <cellStyle name="SAPBEXresData" xfId="45"/>
    <cellStyle name="SAPBEXresDataEmph" xfId="46"/>
    <cellStyle name="SAPBEXresItem" xfId="47"/>
    <cellStyle name="SAPBEXresItemX" xfId="48"/>
    <cellStyle name="SAPBEXstdData" xfId="49"/>
    <cellStyle name="SAPBEXstdDataEmph" xfId="50"/>
    <cellStyle name="SAPBEXstdItem" xfId="11"/>
    <cellStyle name="SAPBEXstdItemX" xfId="20"/>
    <cellStyle name="SAPBEXtitle" xfId="14"/>
    <cellStyle name="SAPBEXundefined" xfId="51"/>
    <cellStyle name="shade" xfId="222"/>
    <cellStyle name="StmtTtl1" xfId="223"/>
    <cellStyle name="StmtTtl2" xfId="224"/>
    <cellStyle name="STYL1 - Style1" xfId="225"/>
    <cellStyle name="Style 1" xfId="12"/>
    <cellStyle name="Style 1 2" xfId="226"/>
    <cellStyle name="Style 1_Book9" xfId="227"/>
    <cellStyle name="Subtotal" xfId="228"/>
    <cellStyle name="Sub-total" xfId="229"/>
    <cellStyle name="Title: Major" xfId="230"/>
    <cellStyle name="Title: Minor" xfId="231"/>
    <cellStyle name="Title: Worksheet" xfId="232"/>
    <cellStyle name="Total4 - Style4" xfId="233"/>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95250</xdr:colOff>
      <xdr:row>17</xdr:row>
      <xdr:rowOff>95251</xdr:rowOff>
    </xdr:from>
    <xdr:to>
      <xdr:col>10</xdr:col>
      <xdr:colOff>0</xdr:colOff>
      <xdr:row>21</xdr:row>
      <xdr:rowOff>19051</xdr:rowOff>
    </xdr:to>
    <xdr:sp macro="" textlink="">
      <xdr:nvSpPr>
        <xdr:cNvPr id="2" name="Text 12"/>
        <xdr:cNvSpPr txBox="1">
          <a:spLocks noChangeArrowheads="1"/>
        </xdr:cNvSpPr>
      </xdr:nvSpPr>
      <xdr:spPr bwMode="auto">
        <a:xfrm>
          <a:off x="266700" y="2686051"/>
          <a:ext cx="6457950" cy="533400"/>
        </a:xfrm>
        <a:prstGeom prst="rect">
          <a:avLst/>
        </a:prstGeom>
        <a:solidFill>
          <a:srgbClr val="FFFFFF"/>
        </a:solidFill>
        <a:ln w="1">
          <a:noFill/>
          <a:miter lim="800000"/>
          <a:headEnd/>
          <a:tailEnd/>
        </a:ln>
      </xdr:spPr>
      <xdr:txBody>
        <a:bodyPr vertOverflow="clip" wrap="square" lIns="27432"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a:latin typeface="Times New Roman" pitchFamily="18" charset="0"/>
              <a:ea typeface="+mn-ea"/>
              <a:cs typeface="Times New Roman" pitchFamily="18" charset="0"/>
            </a:rPr>
            <a:t>As described in the testimony and exhibits of Company witness Ryan Fuller, the income taxes in this case have been presented on a fully normalized basis. Accordingly, this adjustment removes base period Washington allocated income tax flow-through associated with property related book-tax differences.</a:t>
          </a:r>
          <a:endParaRPr lang="en-US" sz="1050">
            <a:latin typeface="Times New Roman" pitchFamily="18" charset="0"/>
            <a:cs typeface="Times New Roman" pitchFamily="18" charset="0"/>
          </a:endParaRPr>
        </a:p>
        <a:p>
          <a:pPr algn="l" rtl="0">
            <a:defRPr sz="1000"/>
          </a:pPr>
          <a:endParaRPr lang="en-US" sz="900" b="0" i="0" u="none" strike="noStrike" baseline="0">
            <a:solidFill>
              <a:srgbClr val="000000"/>
            </a:solidFill>
            <a:latin typeface="Arial"/>
            <a:cs typeface="Arial"/>
          </a:endParaRPr>
        </a:p>
      </xdr:txBody>
    </xdr:sp>
    <xdr:clientData/>
  </xdr:twoCellAnchor>
  <xdr:twoCellAnchor>
    <xdr:from>
      <xdr:col>1</xdr:col>
      <xdr:colOff>85725</xdr:colOff>
      <xdr:row>25</xdr:row>
      <xdr:rowOff>95250</xdr:rowOff>
    </xdr:from>
    <xdr:to>
      <xdr:col>8</xdr:col>
      <xdr:colOff>838200</xdr:colOff>
      <xdr:row>30</xdr:row>
      <xdr:rowOff>9525</xdr:rowOff>
    </xdr:to>
    <xdr:sp macro="" textlink="">
      <xdr:nvSpPr>
        <xdr:cNvPr id="3" name="TextBox 2"/>
        <xdr:cNvSpPr txBox="1"/>
      </xdr:nvSpPr>
      <xdr:spPr>
        <a:xfrm>
          <a:off x="257175" y="3905250"/>
          <a:ext cx="5915025"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1"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latin typeface="Times New Roman" pitchFamily="18" charset="0"/>
              <a:ea typeface="+mn-ea"/>
              <a:cs typeface="Times New Roman" pitchFamily="18" charset="0"/>
            </a:rPr>
            <a:t>Removal of Adjustment 7.9 Current Year Deferred Income Tax Normalization. This adjustment removes the Company’s adjustment to remove flow-through tax recognition for the current year for property </a:t>
          </a:r>
          <a:r>
            <a:rPr lang="en-US" sz="1000" b="1" i="1">
              <a:solidFill>
                <a:schemeClr val="dk1"/>
              </a:solidFill>
              <a:latin typeface="Times New Roman" pitchFamily="18" charset="0"/>
              <a:ea typeface="+mn-ea"/>
              <a:cs typeface="Times New Roman" pitchFamily="18" charset="0"/>
            </a:rPr>
            <a:t>related book-tax differences as well as the non property related differences embedded in the unadjusted results. ( Staff</a:t>
          </a:r>
          <a:r>
            <a:rPr lang="en-US" sz="1000" b="1" i="1" baseline="0">
              <a:solidFill>
                <a:schemeClr val="dk1"/>
              </a:solidFill>
              <a:latin typeface="Times New Roman" pitchFamily="18" charset="0"/>
              <a:ea typeface="+mn-ea"/>
              <a:cs typeface="Times New Roman" pitchFamily="18" charset="0"/>
            </a:rPr>
            <a:t> calculation of this adjustment is included in Exhibit  No.___KHB-6.)</a:t>
          </a:r>
          <a:endParaRPr lang="en-US" sz="1000" b="1" i="1">
            <a:solidFill>
              <a:schemeClr val="dk1"/>
            </a:solidFill>
            <a:latin typeface="Times New Roman" pitchFamily="18" charset="0"/>
            <a:ea typeface="+mn-ea"/>
            <a:cs typeface="Times New Roman" pitchFamily="18" charset="0"/>
          </a:endParaRP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J364"/>
  <sheetViews>
    <sheetView workbookViewId="0">
      <selection activeCell="K79" sqref="K79"/>
    </sheetView>
  </sheetViews>
  <sheetFormatPr defaultColWidth="10" defaultRowHeight="12.75"/>
  <cols>
    <col min="1" max="1" width="2.5703125" style="2" customWidth="1"/>
    <col min="2" max="2" width="13" style="2" customWidth="1"/>
    <col min="3" max="3" width="14.5703125" style="2" customWidth="1"/>
    <col min="4" max="4" width="11" style="2" customWidth="1"/>
    <col min="5" max="5" width="4.7109375" style="2" customWidth="1"/>
    <col min="6" max="6" width="12.42578125" style="2" customWidth="1"/>
    <col min="7" max="7" width="9.5703125" style="2" customWidth="1"/>
    <col min="8" max="8" width="12.140625" style="2" customWidth="1"/>
    <col min="9" max="9" width="14.28515625" style="2" customWidth="1"/>
    <col min="10" max="10" width="6.5703125" style="2" customWidth="1"/>
    <col min="11" max="256" width="10" style="2"/>
    <col min="257" max="257" width="2.5703125" style="2" customWidth="1"/>
    <col min="258" max="258" width="7.140625" style="2" customWidth="1"/>
    <col min="259" max="259" width="16.85546875" style="2" customWidth="1"/>
    <col min="260" max="260" width="9.7109375" style="2" customWidth="1"/>
    <col min="261" max="261" width="4.7109375" style="2" customWidth="1"/>
    <col min="262" max="262" width="14.42578125" style="2" customWidth="1"/>
    <col min="263" max="263" width="11.140625" style="2" customWidth="1"/>
    <col min="264" max="264" width="10.28515625" style="2" customWidth="1"/>
    <col min="265" max="265" width="13" style="2" customWidth="1"/>
    <col min="266" max="266" width="8.28515625" style="2" customWidth="1"/>
    <col min="267" max="512" width="10" style="2"/>
    <col min="513" max="513" width="2.5703125" style="2" customWidth="1"/>
    <col min="514" max="514" width="7.140625" style="2" customWidth="1"/>
    <col min="515" max="515" width="16.85546875" style="2" customWidth="1"/>
    <col min="516" max="516" width="9.7109375" style="2" customWidth="1"/>
    <col min="517" max="517" width="4.7109375" style="2" customWidth="1"/>
    <col min="518" max="518" width="14.42578125" style="2" customWidth="1"/>
    <col min="519" max="519" width="11.140625" style="2" customWidth="1"/>
    <col min="520" max="520" width="10.28515625" style="2" customWidth="1"/>
    <col min="521" max="521" width="13" style="2" customWidth="1"/>
    <col min="522" max="522" width="8.28515625" style="2" customWidth="1"/>
    <col min="523" max="768" width="10" style="2"/>
    <col min="769" max="769" width="2.5703125" style="2" customWidth="1"/>
    <col min="770" max="770" width="7.140625" style="2" customWidth="1"/>
    <col min="771" max="771" width="16.85546875" style="2" customWidth="1"/>
    <col min="772" max="772" width="9.7109375" style="2" customWidth="1"/>
    <col min="773" max="773" width="4.7109375" style="2" customWidth="1"/>
    <col min="774" max="774" width="14.42578125" style="2" customWidth="1"/>
    <col min="775" max="775" width="11.140625" style="2" customWidth="1"/>
    <col min="776" max="776" width="10.28515625" style="2" customWidth="1"/>
    <col min="777" max="777" width="13" style="2" customWidth="1"/>
    <col min="778" max="778" width="8.28515625" style="2" customWidth="1"/>
    <col min="779" max="1024" width="10" style="2"/>
    <col min="1025" max="1025" width="2.5703125" style="2" customWidth="1"/>
    <col min="1026" max="1026" width="7.140625" style="2" customWidth="1"/>
    <col min="1027" max="1027" width="16.85546875" style="2" customWidth="1"/>
    <col min="1028" max="1028" width="9.7109375" style="2" customWidth="1"/>
    <col min="1029" max="1029" width="4.7109375" style="2" customWidth="1"/>
    <col min="1030" max="1030" width="14.42578125" style="2" customWidth="1"/>
    <col min="1031" max="1031" width="11.140625" style="2" customWidth="1"/>
    <col min="1032" max="1032" width="10.28515625" style="2" customWidth="1"/>
    <col min="1033" max="1033" width="13" style="2" customWidth="1"/>
    <col min="1034" max="1034" width="8.28515625" style="2" customWidth="1"/>
    <col min="1035" max="1280" width="10" style="2"/>
    <col min="1281" max="1281" width="2.5703125" style="2" customWidth="1"/>
    <col min="1282" max="1282" width="7.140625" style="2" customWidth="1"/>
    <col min="1283" max="1283" width="16.85546875" style="2" customWidth="1"/>
    <col min="1284" max="1284" width="9.7109375" style="2" customWidth="1"/>
    <col min="1285" max="1285" width="4.7109375" style="2" customWidth="1"/>
    <col min="1286" max="1286" width="14.42578125" style="2" customWidth="1"/>
    <col min="1287" max="1287" width="11.140625" style="2" customWidth="1"/>
    <col min="1288" max="1288" width="10.28515625" style="2" customWidth="1"/>
    <col min="1289" max="1289" width="13" style="2" customWidth="1"/>
    <col min="1290" max="1290" width="8.28515625" style="2" customWidth="1"/>
    <col min="1291" max="1536" width="10" style="2"/>
    <col min="1537" max="1537" width="2.5703125" style="2" customWidth="1"/>
    <col min="1538" max="1538" width="7.140625" style="2" customWidth="1"/>
    <col min="1539" max="1539" width="16.85546875" style="2" customWidth="1"/>
    <col min="1540" max="1540" width="9.7109375" style="2" customWidth="1"/>
    <col min="1541" max="1541" width="4.7109375" style="2" customWidth="1"/>
    <col min="1542" max="1542" width="14.42578125" style="2" customWidth="1"/>
    <col min="1543" max="1543" width="11.140625" style="2" customWidth="1"/>
    <col min="1544" max="1544" width="10.28515625" style="2" customWidth="1"/>
    <col min="1545" max="1545" width="13" style="2" customWidth="1"/>
    <col min="1546" max="1546" width="8.28515625" style="2" customWidth="1"/>
    <col min="1547" max="1792" width="10" style="2"/>
    <col min="1793" max="1793" width="2.5703125" style="2" customWidth="1"/>
    <col min="1794" max="1794" width="7.140625" style="2" customWidth="1"/>
    <col min="1795" max="1795" width="16.85546875" style="2" customWidth="1"/>
    <col min="1796" max="1796" width="9.7109375" style="2" customWidth="1"/>
    <col min="1797" max="1797" width="4.7109375" style="2" customWidth="1"/>
    <col min="1798" max="1798" width="14.42578125" style="2" customWidth="1"/>
    <col min="1799" max="1799" width="11.140625" style="2" customWidth="1"/>
    <col min="1800" max="1800" width="10.28515625" style="2" customWidth="1"/>
    <col min="1801" max="1801" width="13" style="2" customWidth="1"/>
    <col min="1802" max="1802" width="8.28515625" style="2" customWidth="1"/>
    <col min="1803" max="2048" width="10" style="2"/>
    <col min="2049" max="2049" width="2.5703125" style="2" customWidth="1"/>
    <col min="2050" max="2050" width="7.140625" style="2" customWidth="1"/>
    <col min="2051" max="2051" width="16.85546875" style="2" customWidth="1"/>
    <col min="2052" max="2052" width="9.7109375" style="2" customWidth="1"/>
    <col min="2053" max="2053" width="4.7109375" style="2" customWidth="1"/>
    <col min="2054" max="2054" width="14.42578125" style="2" customWidth="1"/>
    <col min="2055" max="2055" width="11.140625" style="2" customWidth="1"/>
    <col min="2056" max="2056" width="10.28515625" style="2" customWidth="1"/>
    <col min="2057" max="2057" width="13" style="2" customWidth="1"/>
    <col min="2058" max="2058" width="8.28515625" style="2" customWidth="1"/>
    <col min="2059" max="2304" width="10" style="2"/>
    <col min="2305" max="2305" width="2.5703125" style="2" customWidth="1"/>
    <col min="2306" max="2306" width="7.140625" style="2" customWidth="1"/>
    <col min="2307" max="2307" width="16.85546875" style="2" customWidth="1"/>
    <col min="2308" max="2308" width="9.7109375" style="2" customWidth="1"/>
    <col min="2309" max="2309" width="4.7109375" style="2" customWidth="1"/>
    <col min="2310" max="2310" width="14.42578125" style="2" customWidth="1"/>
    <col min="2311" max="2311" width="11.140625" style="2" customWidth="1"/>
    <col min="2312" max="2312" width="10.28515625" style="2" customWidth="1"/>
    <col min="2313" max="2313" width="13" style="2" customWidth="1"/>
    <col min="2314" max="2314" width="8.28515625" style="2" customWidth="1"/>
    <col min="2315" max="2560" width="10" style="2"/>
    <col min="2561" max="2561" width="2.5703125" style="2" customWidth="1"/>
    <col min="2562" max="2562" width="7.140625" style="2" customWidth="1"/>
    <col min="2563" max="2563" width="16.85546875" style="2" customWidth="1"/>
    <col min="2564" max="2564" width="9.7109375" style="2" customWidth="1"/>
    <col min="2565" max="2565" width="4.7109375" style="2" customWidth="1"/>
    <col min="2566" max="2566" width="14.42578125" style="2" customWidth="1"/>
    <col min="2567" max="2567" width="11.140625" style="2" customWidth="1"/>
    <col min="2568" max="2568" width="10.28515625" style="2" customWidth="1"/>
    <col min="2569" max="2569" width="13" style="2" customWidth="1"/>
    <col min="2570" max="2570" width="8.28515625" style="2" customWidth="1"/>
    <col min="2571" max="2816" width="10" style="2"/>
    <col min="2817" max="2817" width="2.5703125" style="2" customWidth="1"/>
    <col min="2818" max="2818" width="7.140625" style="2" customWidth="1"/>
    <col min="2819" max="2819" width="16.85546875" style="2" customWidth="1"/>
    <col min="2820" max="2820" width="9.7109375" style="2" customWidth="1"/>
    <col min="2821" max="2821" width="4.7109375" style="2" customWidth="1"/>
    <col min="2822" max="2822" width="14.42578125" style="2" customWidth="1"/>
    <col min="2823" max="2823" width="11.140625" style="2" customWidth="1"/>
    <col min="2824" max="2824" width="10.28515625" style="2" customWidth="1"/>
    <col min="2825" max="2825" width="13" style="2" customWidth="1"/>
    <col min="2826" max="2826" width="8.28515625" style="2" customWidth="1"/>
    <col min="2827" max="3072" width="10" style="2"/>
    <col min="3073" max="3073" width="2.5703125" style="2" customWidth="1"/>
    <col min="3074" max="3074" width="7.140625" style="2" customWidth="1"/>
    <col min="3075" max="3075" width="16.85546875" style="2" customWidth="1"/>
    <col min="3076" max="3076" width="9.7109375" style="2" customWidth="1"/>
    <col min="3077" max="3077" width="4.7109375" style="2" customWidth="1"/>
    <col min="3078" max="3078" width="14.42578125" style="2" customWidth="1"/>
    <col min="3079" max="3079" width="11.140625" style="2" customWidth="1"/>
    <col min="3080" max="3080" width="10.28515625" style="2" customWidth="1"/>
    <col min="3081" max="3081" width="13" style="2" customWidth="1"/>
    <col min="3082" max="3082" width="8.28515625" style="2" customWidth="1"/>
    <col min="3083" max="3328" width="10" style="2"/>
    <col min="3329" max="3329" width="2.5703125" style="2" customWidth="1"/>
    <col min="3330" max="3330" width="7.140625" style="2" customWidth="1"/>
    <col min="3331" max="3331" width="16.85546875" style="2" customWidth="1"/>
    <col min="3332" max="3332" width="9.7109375" style="2" customWidth="1"/>
    <col min="3333" max="3333" width="4.7109375" style="2" customWidth="1"/>
    <col min="3334" max="3334" width="14.42578125" style="2" customWidth="1"/>
    <col min="3335" max="3335" width="11.140625" style="2" customWidth="1"/>
    <col min="3336" max="3336" width="10.28515625" style="2" customWidth="1"/>
    <col min="3337" max="3337" width="13" style="2" customWidth="1"/>
    <col min="3338" max="3338" width="8.28515625" style="2" customWidth="1"/>
    <col min="3339" max="3584" width="10" style="2"/>
    <col min="3585" max="3585" width="2.5703125" style="2" customWidth="1"/>
    <col min="3586" max="3586" width="7.140625" style="2" customWidth="1"/>
    <col min="3587" max="3587" width="16.85546875" style="2" customWidth="1"/>
    <col min="3588" max="3588" width="9.7109375" style="2" customWidth="1"/>
    <col min="3589" max="3589" width="4.7109375" style="2" customWidth="1"/>
    <col min="3590" max="3590" width="14.42578125" style="2" customWidth="1"/>
    <col min="3591" max="3591" width="11.140625" style="2" customWidth="1"/>
    <col min="3592" max="3592" width="10.28515625" style="2" customWidth="1"/>
    <col min="3593" max="3593" width="13" style="2" customWidth="1"/>
    <col min="3594" max="3594" width="8.28515625" style="2" customWidth="1"/>
    <col min="3595" max="3840" width="10" style="2"/>
    <col min="3841" max="3841" width="2.5703125" style="2" customWidth="1"/>
    <col min="3842" max="3842" width="7.140625" style="2" customWidth="1"/>
    <col min="3843" max="3843" width="16.85546875" style="2" customWidth="1"/>
    <col min="3844" max="3844" width="9.7109375" style="2" customWidth="1"/>
    <col min="3845" max="3845" width="4.7109375" style="2" customWidth="1"/>
    <col min="3846" max="3846" width="14.42578125" style="2" customWidth="1"/>
    <col min="3847" max="3847" width="11.140625" style="2" customWidth="1"/>
    <col min="3848" max="3848" width="10.28515625" style="2" customWidth="1"/>
    <col min="3849" max="3849" width="13" style="2" customWidth="1"/>
    <col min="3850" max="3850" width="8.28515625" style="2" customWidth="1"/>
    <col min="3851" max="4096" width="10" style="2"/>
    <col min="4097" max="4097" width="2.5703125" style="2" customWidth="1"/>
    <col min="4098" max="4098" width="7.140625" style="2" customWidth="1"/>
    <col min="4099" max="4099" width="16.85546875" style="2" customWidth="1"/>
    <col min="4100" max="4100" width="9.7109375" style="2" customWidth="1"/>
    <col min="4101" max="4101" width="4.7109375" style="2" customWidth="1"/>
    <col min="4102" max="4102" width="14.42578125" style="2" customWidth="1"/>
    <col min="4103" max="4103" width="11.140625" style="2" customWidth="1"/>
    <col min="4104" max="4104" width="10.28515625" style="2" customWidth="1"/>
    <col min="4105" max="4105" width="13" style="2" customWidth="1"/>
    <col min="4106" max="4106" width="8.28515625" style="2" customWidth="1"/>
    <col min="4107" max="4352" width="10" style="2"/>
    <col min="4353" max="4353" width="2.5703125" style="2" customWidth="1"/>
    <col min="4354" max="4354" width="7.140625" style="2" customWidth="1"/>
    <col min="4355" max="4355" width="16.85546875" style="2" customWidth="1"/>
    <col min="4356" max="4356" width="9.7109375" style="2" customWidth="1"/>
    <col min="4357" max="4357" width="4.7109375" style="2" customWidth="1"/>
    <col min="4358" max="4358" width="14.42578125" style="2" customWidth="1"/>
    <col min="4359" max="4359" width="11.140625" style="2" customWidth="1"/>
    <col min="4360" max="4360" width="10.28515625" style="2" customWidth="1"/>
    <col min="4361" max="4361" width="13" style="2" customWidth="1"/>
    <col min="4362" max="4362" width="8.28515625" style="2" customWidth="1"/>
    <col min="4363" max="4608" width="10" style="2"/>
    <col min="4609" max="4609" width="2.5703125" style="2" customWidth="1"/>
    <col min="4610" max="4610" width="7.140625" style="2" customWidth="1"/>
    <col min="4611" max="4611" width="16.85546875" style="2" customWidth="1"/>
    <col min="4612" max="4612" width="9.7109375" style="2" customWidth="1"/>
    <col min="4613" max="4613" width="4.7109375" style="2" customWidth="1"/>
    <col min="4614" max="4614" width="14.42578125" style="2" customWidth="1"/>
    <col min="4615" max="4615" width="11.140625" style="2" customWidth="1"/>
    <col min="4616" max="4616" width="10.28515625" style="2" customWidth="1"/>
    <col min="4617" max="4617" width="13" style="2" customWidth="1"/>
    <col min="4618" max="4618" width="8.28515625" style="2" customWidth="1"/>
    <col min="4619" max="4864" width="10" style="2"/>
    <col min="4865" max="4865" width="2.5703125" style="2" customWidth="1"/>
    <col min="4866" max="4866" width="7.140625" style="2" customWidth="1"/>
    <col min="4867" max="4867" width="16.85546875" style="2" customWidth="1"/>
    <col min="4868" max="4868" width="9.7109375" style="2" customWidth="1"/>
    <col min="4869" max="4869" width="4.7109375" style="2" customWidth="1"/>
    <col min="4870" max="4870" width="14.42578125" style="2" customWidth="1"/>
    <col min="4871" max="4871" width="11.140625" style="2" customWidth="1"/>
    <col min="4872" max="4872" width="10.28515625" style="2" customWidth="1"/>
    <col min="4873" max="4873" width="13" style="2" customWidth="1"/>
    <col min="4874" max="4874" width="8.28515625" style="2" customWidth="1"/>
    <col min="4875" max="5120" width="10" style="2"/>
    <col min="5121" max="5121" width="2.5703125" style="2" customWidth="1"/>
    <col min="5122" max="5122" width="7.140625" style="2" customWidth="1"/>
    <col min="5123" max="5123" width="16.85546875" style="2" customWidth="1"/>
    <col min="5124" max="5124" width="9.7109375" style="2" customWidth="1"/>
    <col min="5125" max="5125" width="4.7109375" style="2" customWidth="1"/>
    <col min="5126" max="5126" width="14.42578125" style="2" customWidth="1"/>
    <col min="5127" max="5127" width="11.140625" style="2" customWidth="1"/>
    <col min="5128" max="5128" width="10.28515625" style="2" customWidth="1"/>
    <col min="5129" max="5129" width="13" style="2" customWidth="1"/>
    <col min="5130" max="5130" width="8.28515625" style="2" customWidth="1"/>
    <col min="5131" max="5376" width="10" style="2"/>
    <col min="5377" max="5377" width="2.5703125" style="2" customWidth="1"/>
    <col min="5378" max="5378" width="7.140625" style="2" customWidth="1"/>
    <col min="5379" max="5379" width="16.85546875" style="2" customWidth="1"/>
    <col min="5380" max="5380" width="9.7109375" style="2" customWidth="1"/>
    <col min="5381" max="5381" width="4.7109375" style="2" customWidth="1"/>
    <col min="5382" max="5382" width="14.42578125" style="2" customWidth="1"/>
    <col min="5383" max="5383" width="11.140625" style="2" customWidth="1"/>
    <col min="5384" max="5384" width="10.28515625" style="2" customWidth="1"/>
    <col min="5385" max="5385" width="13" style="2" customWidth="1"/>
    <col min="5386" max="5386" width="8.28515625" style="2" customWidth="1"/>
    <col min="5387" max="5632" width="10" style="2"/>
    <col min="5633" max="5633" width="2.5703125" style="2" customWidth="1"/>
    <col min="5634" max="5634" width="7.140625" style="2" customWidth="1"/>
    <col min="5635" max="5635" width="16.85546875" style="2" customWidth="1"/>
    <col min="5636" max="5636" width="9.7109375" style="2" customWidth="1"/>
    <col min="5637" max="5637" width="4.7109375" style="2" customWidth="1"/>
    <col min="5638" max="5638" width="14.42578125" style="2" customWidth="1"/>
    <col min="5639" max="5639" width="11.140625" style="2" customWidth="1"/>
    <col min="5640" max="5640" width="10.28515625" style="2" customWidth="1"/>
    <col min="5641" max="5641" width="13" style="2" customWidth="1"/>
    <col min="5642" max="5642" width="8.28515625" style="2" customWidth="1"/>
    <col min="5643" max="5888" width="10" style="2"/>
    <col min="5889" max="5889" width="2.5703125" style="2" customWidth="1"/>
    <col min="5890" max="5890" width="7.140625" style="2" customWidth="1"/>
    <col min="5891" max="5891" width="16.85546875" style="2" customWidth="1"/>
    <col min="5892" max="5892" width="9.7109375" style="2" customWidth="1"/>
    <col min="5893" max="5893" width="4.7109375" style="2" customWidth="1"/>
    <col min="5894" max="5894" width="14.42578125" style="2" customWidth="1"/>
    <col min="5895" max="5895" width="11.140625" style="2" customWidth="1"/>
    <col min="5896" max="5896" width="10.28515625" style="2" customWidth="1"/>
    <col min="5897" max="5897" width="13" style="2" customWidth="1"/>
    <col min="5898" max="5898" width="8.28515625" style="2" customWidth="1"/>
    <col min="5899" max="6144" width="10" style="2"/>
    <col min="6145" max="6145" width="2.5703125" style="2" customWidth="1"/>
    <col min="6146" max="6146" width="7.140625" style="2" customWidth="1"/>
    <col min="6147" max="6147" width="16.85546875" style="2" customWidth="1"/>
    <col min="6148" max="6148" width="9.7109375" style="2" customWidth="1"/>
    <col min="6149" max="6149" width="4.7109375" style="2" customWidth="1"/>
    <col min="6150" max="6150" width="14.42578125" style="2" customWidth="1"/>
    <col min="6151" max="6151" width="11.140625" style="2" customWidth="1"/>
    <col min="6152" max="6152" width="10.28515625" style="2" customWidth="1"/>
    <col min="6153" max="6153" width="13" style="2" customWidth="1"/>
    <col min="6154" max="6154" width="8.28515625" style="2" customWidth="1"/>
    <col min="6155" max="6400" width="10" style="2"/>
    <col min="6401" max="6401" width="2.5703125" style="2" customWidth="1"/>
    <col min="6402" max="6402" width="7.140625" style="2" customWidth="1"/>
    <col min="6403" max="6403" width="16.85546875" style="2" customWidth="1"/>
    <col min="6404" max="6404" width="9.7109375" style="2" customWidth="1"/>
    <col min="6405" max="6405" width="4.7109375" style="2" customWidth="1"/>
    <col min="6406" max="6406" width="14.42578125" style="2" customWidth="1"/>
    <col min="6407" max="6407" width="11.140625" style="2" customWidth="1"/>
    <col min="6408" max="6408" width="10.28515625" style="2" customWidth="1"/>
    <col min="6409" max="6409" width="13" style="2" customWidth="1"/>
    <col min="6410" max="6410" width="8.28515625" style="2" customWidth="1"/>
    <col min="6411" max="6656" width="10" style="2"/>
    <col min="6657" max="6657" width="2.5703125" style="2" customWidth="1"/>
    <col min="6658" max="6658" width="7.140625" style="2" customWidth="1"/>
    <col min="6659" max="6659" width="16.85546875" style="2" customWidth="1"/>
    <col min="6660" max="6660" width="9.7109375" style="2" customWidth="1"/>
    <col min="6661" max="6661" width="4.7109375" style="2" customWidth="1"/>
    <col min="6662" max="6662" width="14.42578125" style="2" customWidth="1"/>
    <col min="6663" max="6663" width="11.140625" style="2" customWidth="1"/>
    <col min="6664" max="6664" width="10.28515625" style="2" customWidth="1"/>
    <col min="6665" max="6665" width="13" style="2" customWidth="1"/>
    <col min="6666" max="6666" width="8.28515625" style="2" customWidth="1"/>
    <col min="6667" max="6912" width="10" style="2"/>
    <col min="6913" max="6913" width="2.5703125" style="2" customWidth="1"/>
    <col min="6914" max="6914" width="7.140625" style="2" customWidth="1"/>
    <col min="6915" max="6915" width="16.85546875" style="2" customWidth="1"/>
    <col min="6916" max="6916" width="9.7109375" style="2" customWidth="1"/>
    <col min="6917" max="6917" width="4.7109375" style="2" customWidth="1"/>
    <col min="6918" max="6918" width="14.42578125" style="2" customWidth="1"/>
    <col min="6919" max="6919" width="11.140625" style="2" customWidth="1"/>
    <col min="6920" max="6920" width="10.28515625" style="2" customWidth="1"/>
    <col min="6921" max="6921" width="13" style="2" customWidth="1"/>
    <col min="6922" max="6922" width="8.28515625" style="2" customWidth="1"/>
    <col min="6923" max="7168" width="10" style="2"/>
    <col min="7169" max="7169" width="2.5703125" style="2" customWidth="1"/>
    <col min="7170" max="7170" width="7.140625" style="2" customWidth="1"/>
    <col min="7171" max="7171" width="16.85546875" style="2" customWidth="1"/>
    <col min="7172" max="7172" width="9.7109375" style="2" customWidth="1"/>
    <col min="7173" max="7173" width="4.7109375" style="2" customWidth="1"/>
    <col min="7174" max="7174" width="14.42578125" style="2" customWidth="1"/>
    <col min="7175" max="7175" width="11.140625" style="2" customWidth="1"/>
    <col min="7176" max="7176" width="10.28515625" style="2" customWidth="1"/>
    <col min="7177" max="7177" width="13" style="2" customWidth="1"/>
    <col min="7178" max="7178" width="8.28515625" style="2" customWidth="1"/>
    <col min="7179" max="7424" width="10" style="2"/>
    <col min="7425" max="7425" width="2.5703125" style="2" customWidth="1"/>
    <col min="7426" max="7426" width="7.140625" style="2" customWidth="1"/>
    <col min="7427" max="7427" width="16.85546875" style="2" customWidth="1"/>
    <col min="7428" max="7428" width="9.7109375" style="2" customWidth="1"/>
    <col min="7429" max="7429" width="4.7109375" style="2" customWidth="1"/>
    <col min="7430" max="7430" width="14.42578125" style="2" customWidth="1"/>
    <col min="7431" max="7431" width="11.140625" style="2" customWidth="1"/>
    <col min="7432" max="7432" width="10.28515625" style="2" customWidth="1"/>
    <col min="7433" max="7433" width="13" style="2" customWidth="1"/>
    <col min="7434" max="7434" width="8.28515625" style="2" customWidth="1"/>
    <col min="7435" max="7680" width="10" style="2"/>
    <col min="7681" max="7681" width="2.5703125" style="2" customWidth="1"/>
    <col min="7682" max="7682" width="7.140625" style="2" customWidth="1"/>
    <col min="7683" max="7683" width="16.85546875" style="2" customWidth="1"/>
    <col min="7684" max="7684" width="9.7109375" style="2" customWidth="1"/>
    <col min="7685" max="7685" width="4.7109375" style="2" customWidth="1"/>
    <col min="7686" max="7686" width="14.42578125" style="2" customWidth="1"/>
    <col min="7687" max="7687" width="11.140625" style="2" customWidth="1"/>
    <col min="7688" max="7688" width="10.28515625" style="2" customWidth="1"/>
    <col min="7689" max="7689" width="13" style="2" customWidth="1"/>
    <col min="7690" max="7690" width="8.28515625" style="2" customWidth="1"/>
    <col min="7691" max="7936" width="10" style="2"/>
    <col min="7937" max="7937" width="2.5703125" style="2" customWidth="1"/>
    <col min="7938" max="7938" width="7.140625" style="2" customWidth="1"/>
    <col min="7939" max="7939" width="16.85546875" style="2" customWidth="1"/>
    <col min="7940" max="7940" width="9.7109375" style="2" customWidth="1"/>
    <col min="7941" max="7941" width="4.7109375" style="2" customWidth="1"/>
    <col min="7942" max="7942" width="14.42578125" style="2" customWidth="1"/>
    <col min="7943" max="7943" width="11.140625" style="2" customWidth="1"/>
    <col min="7944" max="7944" width="10.28515625" style="2" customWidth="1"/>
    <col min="7945" max="7945" width="13" style="2" customWidth="1"/>
    <col min="7946" max="7946" width="8.28515625" style="2" customWidth="1"/>
    <col min="7947" max="8192" width="10" style="2"/>
    <col min="8193" max="8193" width="2.5703125" style="2" customWidth="1"/>
    <col min="8194" max="8194" width="7.140625" style="2" customWidth="1"/>
    <col min="8195" max="8195" width="16.85546875" style="2" customWidth="1"/>
    <col min="8196" max="8196" width="9.7109375" style="2" customWidth="1"/>
    <col min="8197" max="8197" width="4.7109375" style="2" customWidth="1"/>
    <col min="8198" max="8198" width="14.42578125" style="2" customWidth="1"/>
    <col min="8199" max="8199" width="11.140625" style="2" customWidth="1"/>
    <col min="8200" max="8200" width="10.28515625" style="2" customWidth="1"/>
    <col min="8201" max="8201" width="13" style="2" customWidth="1"/>
    <col min="8202" max="8202" width="8.28515625" style="2" customWidth="1"/>
    <col min="8203" max="8448" width="10" style="2"/>
    <col min="8449" max="8449" width="2.5703125" style="2" customWidth="1"/>
    <col min="8450" max="8450" width="7.140625" style="2" customWidth="1"/>
    <col min="8451" max="8451" width="16.85546875" style="2" customWidth="1"/>
    <col min="8452" max="8452" width="9.7109375" style="2" customWidth="1"/>
    <col min="8453" max="8453" width="4.7109375" style="2" customWidth="1"/>
    <col min="8454" max="8454" width="14.42578125" style="2" customWidth="1"/>
    <col min="8455" max="8455" width="11.140625" style="2" customWidth="1"/>
    <col min="8456" max="8456" width="10.28515625" style="2" customWidth="1"/>
    <col min="8457" max="8457" width="13" style="2" customWidth="1"/>
    <col min="8458" max="8458" width="8.28515625" style="2" customWidth="1"/>
    <col min="8459" max="8704" width="10" style="2"/>
    <col min="8705" max="8705" width="2.5703125" style="2" customWidth="1"/>
    <col min="8706" max="8706" width="7.140625" style="2" customWidth="1"/>
    <col min="8707" max="8707" width="16.85546875" style="2" customWidth="1"/>
    <col min="8708" max="8708" width="9.7109375" style="2" customWidth="1"/>
    <col min="8709" max="8709" width="4.7109375" style="2" customWidth="1"/>
    <col min="8710" max="8710" width="14.42578125" style="2" customWidth="1"/>
    <col min="8711" max="8711" width="11.140625" style="2" customWidth="1"/>
    <col min="8712" max="8712" width="10.28515625" style="2" customWidth="1"/>
    <col min="8713" max="8713" width="13" style="2" customWidth="1"/>
    <col min="8714" max="8714" width="8.28515625" style="2" customWidth="1"/>
    <col min="8715" max="8960" width="10" style="2"/>
    <col min="8961" max="8961" width="2.5703125" style="2" customWidth="1"/>
    <col min="8962" max="8962" width="7.140625" style="2" customWidth="1"/>
    <col min="8963" max="8963" width="16.85546875" style="2" customWidth="1"/>
    <col min="8964" max="8964" width="9.7109375" style="2" customWidth="1"/>
    <col min="8965" max="8965" width="4.7109375" style="2" customWidth="1"/>
    <col min="8966" max="8966" width="14.42578125" style="2" customWidth="1"/>
    <col min="8967" max="8967" width="11.140625" style="2" customWidth="1"/>
    <col min="8968" max="8968" width="10.28515625" style="2" customWidth="1"/>
    <col min="8969" max="8969" width="13" style="2" customWidth="1"/>
    <col min="8970" max="8970" width="8.28515625" style="2" customWidth="1"/>
    <col min="8971" max="9216" width="10" style="2"/>
    <col min="9217" max="9217" width="2.5703125" style="2" customWidth="1"/>
    <col min="9218" max="9218" width="7.140625" style="2" customWidth="1"/>
    <col min="9219" max="9219" width="16.85546875" style="2" customWidth="1"/>
    <col min="9220" max="9220" width="9.7109375" style="2" customWidth="1"/>
    <col min="9221" max="9221" width="4.7109375" style="2" customWidth="1"/>
    <col min="9222" max="9222" width="14.42578125" style="2" customWidth="1"/>
    <col min="9223" max="9223" width="11.140625" style="2" customWidth="1"/>
    <col min="9224" max="9224" width="10.28515625" style="2" customWidth="1"/>
    <col min="9225" max="9225" width="13" style="2" customWidth="1"/>
    <col min="9226" max="9226" width="8.28515625" style="2" customWidth="1"/>
    <col min="9227" max="9472" width="10" style="2"/>
    <col min="9473" max="9473" width="2.5703125" style="2" customWidth="1"/>
    <col min="9474" max="9474" width="7.140625" style="2" customWidth="1"/>
    <col min="9475" max="9475" width="16.85546875" style="2" customWidth="1"/>
    <col min="9476" max="9476" width="9.7109375" style="2" customWidth="1"/>
    <col min="9477" max="9477" width="4.7109375" style="2" customWidth="1"/>
    <col min="9478" max="9478" width="14.42578125" style="2" customWidth="1"/>
    <col min="9479" max="9479" width="11.140625" style="2" customWidth="1"/>
    <col min="9480" max="9480" width="10.28515625" style="2" customWidth="1"/>
    <col min="9481" max="9481" width="13" style="2" customWidth="1"/>
    <col min="9482" max="9482" width="8.28515625" style="2" customWidth="1"/>
    <col min="9483" max="9728" width="10" style="2"/>
    <col min="9729" max="9729" width="2.5703125" style="2" customWidth="1"/>
    <col min="9730" max="9730" width="7.140625" style="2" customWidth="1"/>
    <col min="9731" max="9731" width="16.85546875" style="2" customWidth="1"/>
    <col min="9732" max="9732" width="9.7109375" style="2" customWidth="1"/>
    <col min="9733" max="9733" width="4.7109375" style="2" customWidth="1"/>
    <col min="9734" max="9734" width="14.42578125" style="2" customWidth="1"/>
    <col min="9735" max="9735" width="11.140625" style="2" customWidth="1"/>
    <col min="9736" max="9736" width="10.28515625" style="2" customWidth="1"/>
    <col min="9737" max="9737" width="13" style="2" customWidth="1"/>
    <col min="9738" max="9738" width="8.28515625" style="2" customWidth="1"/>
    <col min="9739" max="9984" width="10" style="2"/>
    <col min="9985" max="9985" width="2.5703125" style="2" customWidth="1"/>
    <col min="9986" max="9986" width="7.140625" style="2" customWidth="1"/>
    <col min="9987" max="9987" width="16.85546875" style="2" customWidth="1"/>
    <col min="9988" max="9988" width="9.7109375" style="2" customWidth="1"/>
    <col min="9989" max="9989" width="4.7109375" style="2" customWidth="1"/>
    <col min="9990" max="9990" width="14.42578125" style="2" customWidth="1"/>
    <col min="9991" max="9991" width="11.140625" style="2" customWidth="1"/>
    <col min="9992" max="9992" width="10.28515625" style="2" customWidth="1"/>
    <col min="9993" max="9993" width="13" style="2" customWidth="1"/>
    <col min="9994" max="9994" width="8.28515625" style="2" customWidth="1"/>
    <col min="9995" max="10240" width="10" style="2"/>
    <col min="10241" max="10241" width="2.5703125" style="2" customWidth="1"/>
    <col min="10242" max="10242" width="7.140625" style="2" customWidth="1"/>
    <col min="10243" max="10243" width="16.85546875" style="2" customWidth="1"/>
    <col min="10244" max="10244" width="9.7109375" style="2" customWidth="1"/>
    <col min="10245" max="10245" width="4.7109375" style="2" customWidth="1"/>
    <col min="10246" max="10246" width="14.42578125" style="2" customWidth="1"/>
    <col min="10247" max="10247" width="11.140625" style="2" customWidth="1"/>
    <col min="10248" max="10248" width="10.28515625" style="2" customWidth="1"/>
    <col min="10249" max="10249" width="13" style="2" customWidth="1"/>
    <col min="10250" max="10250" width="8.28515625" style="2" customWidth="1"/>
    <col min="10251" max="10496" width="10" style="2"/>
    <col min="10497" max="10497" width="2.5703125" style="2" customWidth="1"/>
    <col min="10498" max="10498" width="7.140625" style="2" customWidth="1"/>
    <col min="10499" max="10499" width="16.85546875" style="2" customWidth="1"/>
    <col min="10500" max="10500" width="9.7109375" style="2" customWidth="1"/>
    <col min="10501" max="10501" width="4.7109375" style="2" customWidth="1"/>
    <col min="10502" max="10502" width="14.42578125" style="2" customWidth="1"/>
    <col min="10503" max="10503" width="11.140625" style="2" customWidth="1"/>
    <col min="10504" max="10504" width="10.28515625" style="2" customWidth="1"/>
    <col min="10505" max="10505" width="13" style="2" customWidth="1"/>
    <col min="10506" max="10506" width="8.28515625" style="2" customWidth="1"/>
    <col min="10507" max="10752" width="10" style="2"/>
    <col min="10753" max="10753" width="2.5703125" style="2" customWidth="1"/>
    <col min="10754" max="10754" width="7.140625" style="2" customWidth="1"/>
    <col min="10755" max="10755" width="16.85546875" style="2" customWidth="1"/>
    <col min="10756" max="10756" width="9.7109375" style="2" customWidth="1"/>
    <col min="10757" max="10757" width="4.7109375" style="2" customWidth="1"/>
    <col min="10758" max="10758" width="14.42578125" style="2" customWidth="1"/>
    <col min="10759" max="10759" width="11.140625" style="2" customWidth="1"/>
    <col min="10760" max="10760" width="10.28515625" style="2" customWidth="1"/>
    <col min="10761" max="10761" width="13" style="2" customWidth="1"/>
    <col min="10762" max="10762" width="8.28515625" style="2" customWidth="1"/>
    <col min="10763" max="11008" width="10" style="2"/>
    <col min="11009" max="11009" width="2.5703125" style="2" customWidth="1"/>
    <col min="11010" max="11010" width="7.140625" style="2" customWidth="1"/>
    <col min="11011" max="11011" width="16.85546875" style="2" customWidth="1"/>
    <col min="11012" max="11012" width="9.7109375" style="2" customWidth="1"/>
    <col min="11013" max="11013" width="4.7109375" style="2" customWidth="1"/>
    <col min="11014" max="11014" width="14.42578125" style="2" customWidth="1"/>
    <col min="11015" max="11015" width="11.140625" style="2" customWidth="1"/>
    <col min="11016" max="11016" width="10.28515625" style="2" customWidth="1"/>
    <col min="11017" max="11017" width="13" style="2" customWidth="1"/>
    <col min="11018" max="11018" width="8.28515625" style="2" customWidth="1"/>
    <col min="11019" max="11264" width="10" style="2"/>
    <col min="11265" max="11265" width="2.5703125" style="2" customWidth="1"/>
    <col min="11266" max="11266" width="7.140625" style="2" customWidth="1"/>
    <col min="11267" max="11267" width="16.85546875" style="2" customWidth="1"/>
    <col min="11268" max="11268" width="9.7109375" style="2" customWidth="1"/>
    <col min="11269" max="11269" width="4.7109375" style="2" customWidth="1"/>
    <col min="11270" max="11270" width="14.42578125" style="2" customWidth="1"/>
    <col min="11271" max="11271" width="11.140625" style="2" customWidth="1"/>
    <col min="11272" max="11272" width="10.28515625" style="2" customWidth="1"/>
    <col min="11273" max="11273" width="13" style="2" customWidth="1"/>
    <col min="11274" max="11274" width="8.28515625" style="2" customWidth="1"/>
    <col min="11275" max="11520" width="10" style="2"/>
    <col min="11521" max="11521" width="2.5703125" style="2" customWidth="1"/>
    <col min="11522" max="11522" width="7.140625" style="2" customWidth="1"/>
    <col min="11523" max="11523" width="16.85546875" style="2" customWidth="1"/>
    <col min="11524" max="11524" width="9.7109375" style="2" customWidth="1"/>
    <col min="11525" max="11525" width="4.7109375" style="2" customWidth="1"/>
    <col min="11526" max="11526" width="14.42578125" style="2" customWidth="1"/>
    <col min="11527" max="11527" width="11.140625" style="2" customWidth="1"/>
    <col min="11528" max="11528" width="10.28515625" style="2" customWidth="1"/>
    <col min="11529" max="11529" width="13" style="2" customWidth="1"/>
    <col min="11530" max="11530" width="8.28515625" style="2" customWidth="1"/>
    <col min="11531" max="11776" width="10" style="2"/>
    <col min="11777" max="11777" width="2.5703125" style="2" customWidth="1"/>
    <col min="11778" max="11778" width="7.140625" style="2" customWidth="1"/>
    <col min="11779" max="11779" width="16.85546875" style="2" customWidth="1"/>
    <col min="11780" max="11780" width="9.7109375" style="2" customWidth="1"/>
    <col min="11781" max="11781" width="4.7109375" style="2" customWidth="1"/>
    <col min="11782" max="11782" width="14.42578125" style="2" customWidth="1"/>
    <col min="11783" max="11783" width="11.140625" style="2" customWidth="1"/>
    <col min="11784" max="11784" width="10.28515625" style="2" customWidth="1"/>
    <col min="11785" max="11785" width="13" style="2" customWidth="1"/>
    <col min="11786" max="11786" width="8.28515625" style="2" customWidth="1"/>
    <col min="11787" max="12032" width="10" style="2"/>
    <col min="12033" max="12033" width="2.5703125" style="2" customWidth="1"/>
    <col min="12034" max="12034" width="7.140625" style="2" customWidth="1"/>
    <col min="12035" max="12035" width="16.85546875" style="2" customWidth="1"/>
    <col min="12036" max="12036" width="9.7109375" style="2" customWidth="1"/>
    <col min="12037" max="12037" width="4.7109375" style="2" customWidth="1"/>
    <col min="12038" max="12038" width="14.42578125" style="2" customWidth="1"/>
    <col min="12039" max="12039" width="11.140625" style="2" customWidth="1"/>
    <col min="12040" max="12040" width="10.28515625" style="2" customWidth="1"/>
    <col min="12041" max="12041" width="13" style="2" customWidth="1"/>
    <col min="12042" max="12042" width="8.28515625" style="2" customWidth="1"/>
    <col min="12043" max="12288" width="10" style="2"/>
    <col min="12289" max="12289" width="2.5703125" style="2" customWidth="1"/>
    <col min="12290" max="12290" width="7.140625" style="2" customWidth="1"/>
    <col min="12291" max="12291" width="16.85546875" style="2" customWidth="1"/>
    <col min="12292" max="12292" width="9.7109375" style="2" customWidth="1"/>
    <col min="12293" max="12293" width="4.7109375" style="2" customWidth="1"/>
    <col min="12294" max="12294" width="14.42578125" style="2" customWidth="1"/>
    <col min="12295" max="12295" width="11.140625" style="2" customWidth="1"/>
    <col min="12296" max="12296" width="10.28515625" style="2" customWidth="1"/>
    <col min="12297" max="12297" width="13" style="2" customWidth="1"/>
    <col min="12298" max="12298" width="8.28515625" style="2" customWidth="1"/>
    <col min="12299" max="12544" width="10" style="2"/>
    <col min="12545" max="12545" width="2.5703125" style="2" customWidth="1"/>
    <col min="12546" max="12546" width="7.140625" style="2" customWidth="1"/>
    <col min="12547" max="12547" width="16.85546875" style="2" customWidth="1"/>
    <col min="12548" max="12548" width="9.7109375" style="2" customWidth="1"/>
    <col min="12549" max="12549" width="4.7109375" style="2" customWidth="1"/>
    <col min="12550" max="12550" width="14.42578125" style="2" customWidth="1"/>
    <col min="12551" max="12551" width="11.140625" style="2" customWidth="1"/>
    <col min="12552" max="12552" width="10.28515625" style="2" customWidth="1"/>
    <col min="12553" max="12553" width="13" style="2" customWidth="1"/>
    <col min="12554" max="12554" width="8.28515625" style="2" customWidth="1"/>
    <col min="12555" max="12800" width="10" style="2"/>
    <col min="12801" max="12801" width="2.5703125" style="2" customWidth="1"/>
    <col min="12802" max="12802" width="7.140625" style="2" customWidth="1"/>
    <col min="12803" max="12803" width="16.85546875" style="2" customWidth="1"/>
    <col min="12804" max="12804" width="9.7109375" style="2" customWidth="1"/>
    <col min="12805" max="12805" width="4.7109375" style="2" customWidth="1"/>
    <col min="12806" max="12806" width="14.42578125" style="2" customWidth="1"/>
    <col min="12807" max="12807" width="11.140625" style="2" customWidth="1"/>
    <col min="12808" max="12808" width="10.28515625" style="2" customWidth="1"/>
    <col min="12809" max="12809" width="13" style="2" customWidth="1"/>
    <col min="12810" max="12810" width="8.28515625" style="2" customWidth="1"/>
    <col min="12811" max="13056" width="10" style="2"/>
    <col min="13057" max="13057" width="2.5703125" style="2" customWidth="1"/>
    <col min="13058" max="13058" width="7.140625" style="2" customWidth="1"/>
    <col min="13059" max="13059" width="16.85546875" style="2" customWidth="1"/>
    <col min="13060" max="13060" width="9.7109375" style="2" customWidth="1"/>
    <col min="13061" max="13061" width="4.7109375" style="2" customWidth="1"/>
    <col min="13062" max="13062" width="14.42578125" style="2" customWidth="1"/>
    <col min="13063" max="13063" width="11.140625" style="2" customWidth="1"/>
    <col min="13064" max="13064" width="10.28515625" style="2" customWidth="1"/>
    <col min="13065" max="13065" width="13" style="2" customWidth="1"/>
    <col min="13066" max="13066" width="8.28515625" style="2" customWidth="1"/>
    <col min="13067" max="13312" width="10" style="2"/>
    <col min="13313" max="13313" width="2.5703125" style="2" customWidth="1"/>
    <col min="13314" max="13314" width="7.140625" style="2" customWidth="1"/>
    <col min="13315" max="13315" width="16.85546875" style="2" customWidth="1"/>
    <col min="13316" max="13316" width="9.7109375" style="2" customWidth="1"/>
    <col min="13317" max="13317" width="4.7109375" style="2" customWidth="1"/>
    <col min="13318" max="13318" width="14.42578125" style="2" customWidth="1"/>
    <col min="13319" max="13319" width="11.140625" style="2" customWidth="1"/>
    <col min="13320" max="13320" width="10.28515625" style="2" customWidth="1"/>
    <col min="13321" max="13321" width="13" style="2" customWidth="1"/>
    <col min="13322" max="13322" width="8.28515625" style="2" customWidth="1"/>
    <col min="13323" max="13568" width="10" style="2"/>
    <col min="13569" max="13569" width="2.5703125" style="2" customWidth="1"/>
    <col min="13570" max="13570" width="7.140625" style="2" customWidth="1"/>
    <col min="13571" max="13571" width="16.85546875" style="2" customWidth="1"/>
    <col min="13572" max="13572" width="9.7109375" style="2" customWidth="1"/>
    <col min="13573" max="13573" width="4.7109375" style="2" customWidth="1"/>
    <col min="13574" max="13574" width="14.42578125" style="2" customWidth="1"/>
    <col min="13575" max="13575" width="11.140625" style="2" customWidth="1"/>
    <col min="13576" max="13576" width="10.28515625" style="2" customWidth="1"/>
    <col min="13577" max="13577" width="13" style="2" customWidth="1"/>
    <col min="13578" max="13578" width="8.28515625" style="2" customWidth="1"/>
    <col min="13579" max="13824" width="10" style="2"/>
    <col min="13825" max="13825" width="2.5703125" style="2" customWidth="1"/>
    <col min="13826" max="13826" width="7.140625" style="2" customWidth="1"/>
    <col min="13827" max="13827" width="16.85546875" style="2" customWidth="1"/>
    <col min="13828" max="13828" width="9.7109375" style="2" customWidth="1"/>
    <col min="13829" max="13829" width="4.7109375" style="2" customWidth="1"/>
    <col min="13830" max="13830" width="14.42578125" style="2" customWidth="1"/>
    <col min="13831" max="13831" width="11.140625" style="2" customWidth="1"/>
    <col min="13832" max="13832" width="10.28515625" style="2" customWidth="1"/>
    <col min="13833" max="13833" width="13" style="2" customWidth="1"/>
    <col min="13834" max="13834" width="8.28515625" style="2" customWidth="1"/>
    <col min="13835" max="14080" width="10" style="2"/>
    <col min="14081" max="14081" width="2.5703125" style="2" customWidth="1"/>
    <col min="14082" max="14082" width="7.140625" style="2" customWidth="1"/>
    <col min="14083" max="14083" width="16.85546875" style="2" customWidth="1"/>
    <col min="14084" max="14084" width="9.7109375" style="2" customWidth="1"/>
    <col min="14085" max="14085" width="4.7109375" style="2" customWidth="1"/>
    <col min="14086" max="14086" width="14.42578125" style="2" customWidth="1"/>
    <col min="14087" max="14087" width="11.140625" style="2" customWidth="1"/>
    <col min="14088" max="14088" width="10.28515625" style="2" customWidth="1"/>
    <col min="14089" max="14089" width="13" style="2" customWidth="1"/>
    <col min="14090" max="14090" width="8.28515625" style="2" customWidth="1"/>
    <col min="14091" max="14336" width="10" style="2"/>
    <col min="14337" max="14337" width="2.5703125" style="2" customWidth="1"/>
    <col min="14338" max="14338" width="7.140625" style="2" customWidth="1"/>
    <col min="14339" max="14339" width="16.85546875" style="2" customWidth="1"/>
    <col min="14340" max="14340" width="9.7109375" style="2" customWidth="1"/>
    <col min="14341" max="14341" width="4.7109375" style="2" customWidth="1"/>
    <col min="14342" max="14342" width="14.42578125" style="2" customWidth="1"/>
    <col min="14343" max="14343" width="11.140625" style="2" customWidth="1"/>
    <col min="14344" max="14344" width="10.28515625" style="2" customWidth="1"/>
    <col min="14345" max="14345" width="13" style="2" customWidth="1"/>
    <col min="14346" max="14346" width="8.28515625" style="2" customWidth="1"/>
    <col min="14347" max="14592" width="10" style="2"/>
    <col min="14593" max="14593" width="2.5703125" style="2" customWidth="1"/>
    <col min="14594" max="14594" width="7.140625" style="2" customWidth="1"/>
    <col min="14595" max="14595" width="16.85546875" style="2" customWidth="1"/>
    <col min="14596" max="14596" width="9.7109375" style="2" customWidth="1"/>
    <col min="14597" max="14597" width="4.7109375" style="2" customWidth="1"/>
    <col min="14598" max="14598" width="14.42578125" style="2" customWidth="1"/>
    <col min="14599" max="14599" width="11.140625" style="2" customWidth="1"/>
    <col min="14600" max="14600" width="10.28515625" style="2" customWidth="1"/>
    <col min="14601" max="14601" width="13" style="2" customWidth="1"/>
    <col min="14602" max="14602" width="8.28515625" style="2" customWidth="1"/>
    <col min="14603" max="14848" width="10" style="2"/>
    <col min="14849" max="14849" width="2.5703125" style="2" customWidth="1"/>
    <col min="14850" max="14850" width="7.140625" style="2" customWidth="1"/>
    <col min="14851" max="14851" width="16.85546875" style="2" customWidth="1"/>
    <col min="14852" max="14852" width="9.7109375" style="2" customWidth="1"/>
    <col min="14853" max="14853" width="4.7109375" style="2" customWidth="1"/>
    <col min="14854" max="14854" width="14.42578125" style="2" customWidth="1"/>
    <col min="14855" max="14855" width="11.140625" style="2" customWidth="1"/>
    <col min="14856" max="14856" width="10.28515625" style="2" customWidth="1"/>
    <col min="14857" max="14857" width="13" style="2" customWidth="1"/>
    <col min="14858" max="14858" width="8.28515625" style="2" customWidth="1"/>
    <col min="14859" max="15104" width="10" style="2"/>
    <col min="15105" max="15105" width="2.5703125" style="2" customWidth="1"/>
    <col min="15106" max="15106" width="7.140625" style="2" customWidth="1"/>
    <col min="15107" max="15107" width="16.85546875" style="2" customWidth="1"/>
    <col min="15108" max="15108" width="9.7109375" style="2" customWidth="1"/>
    <col min="15109" max="15109" width="4.7109375" style="2" customWidth="1"/>
    <col min="15110" max="15110" width="14.42578125" style="2" customWidth="1"/>
    <col min="15111" max="15111" width="11.140625" style="2" customWidth="1"/>
    <col min="15112" max="15112" width="10.28515625" style="2" customWidth="1"/>
    <col min="15113" max="15113" width="13" style="2" customWidth="1"/>
    <col min="15114" max="15114" width="8.28515625" style="2" customWidth="1"/>
    <col min="15115" max="15360" width="10" style="2"/>
    <col min="15361" max="15361" width="2.5703125" style="2" customWidth="1"/>
    <col min="15362" max="15362" width="7.140625" style="2" customWidth="1"/>
    <col min="15363" max="15363" width="16.85546875" style="2" customWidth="1"/>
    <col min="15364" max="15364" width="9.7109375" style="2" customWidth="1"/>
    <col min="15365" max="15365" width="4.7109375" style="2" customWidth="1"/>
    <col min="15366" max="15366" width="14.42578125" style="2" customWidth="1"/>
    <col min="15367" max="15367" width="11.140625" style="2" customWidth="1"/>
    <col min="15368" max="15368" width="10.28515625" style="2" customWidth="1"/>
    <col min="15369" max="15369" width="13" style="2" customWidth="1"/>
    <col min="15370" max="15370" width="8.28515625" style="2" customWidth="1"/>
    <col min="15371" max="15616" width="10" style="2"/>
    <col min="15617" max="15617" width="2.5703125" style="2" customWidth="1"/>
    <col min="15618" max="15618" width="7.140625" style="2" customWidth="1"/>
    <col min="15619" max="15619" width="16.85546875" style="2" customWidth="1"/>
    <col min="15620" max="15620" width="9.7109375" style="2" customWidth="1"/>
    <col min="15621" max="15621" width="4.7109375" style="2" customWidth="1"/>
    <col min="15622" max="15622" width="14.42578125" style="2" customWidth="1"/>
    <col min="15623" max="15623" width="11.140625" style="2" customWidth="1"/>
    <col min="15624" max="15624" width="10.28515625" style="2" customWidth="1"/>
    <col min="15625" max="15625" width="13" style="2" customWidth="1"/>
    <col min="15626" max="15626" width="8.28515625" style="2" customWidth="1"/>
    <col min="15627" max="15872" width="10" style="2"/>
    <col min="15873" max="15873" width="2.5703125" style="2" customWidth="1"/>
    <col min="15874" max="15874" width="7.140625" style="2" customWidth="1"/>
    <col min="15875" max="15875" width="16.85546875" style="2" customWidth="1"/>
    <col min="15876" max="15876" width="9.7109375" style="2" customWidth="1"/>
    <col min="15877" max="15877" width="4.7109375" style="2" customWidth="1"/>
    <col min="15878" max="15878" width="14.42578125" style="2" customWidth="1"/>
    <col min="15879" max="15879" width="11.140625" style="2" customWidth="1"/>
    <col min="15880" max="15880" width="10.28515625" style="2" customWidth="1"/>
    <col min="15881" max="15881" width="13" style="2" customWidth="1"/>
    <col min="15882" max="15882" width="8.28515625" style="2" customWidth="1"/>
    <col min="15883" max="16128" width="10" style="2"/>
    <col min="16129" max="16129" width="2.5703125" style="2" customWidth="1"/>
    <col min="16130" max="16130" width="7.140625" style="2" customWidth="1"/>
    <col min="16131" max="16131" width="16.85546875" style="2" customWidth="1"/>
    <col min="16132" max="16132" width="9.7109375" style="2" customWidth="1"/>
    <col min="16133" max="16133" width="4.7109375" style="2" customWidth="1"/>
    <col min="16134" max="16134" width="14.42578125" style="2" customWidth="1"/>
    <col min="16135" max="16135" width="11.140625" style="2" customWidth="1"/>
    <col min="16136" max="16136" width="10.28515625" style="2" customWidth="1"/>
    <col min="16137" max="16137" width="13" style="2" customWidth="1"/>
    <col min="16138" max="16138" width="8.28515625" style="2" customWidth="1"/>
    <col min="16139" max="16384" width="10" style="2"/>
  </cols>
  <sheetData>
    <row r="1" spans="2:10" ht="12" customHeight="1">
      <c r="B1" s="1" t="s">
        <v>0</v>
      </c>
      <c r="D1" s="3"/>
      <c r="E1" s="3"/>
      <c r="F1" s="3"/>
      <c r="G1" s="3"/>
      <c r="H1" s="3"/>
      <c r="I1" s="3"/>
      <c r="J1" s="4"/>
    </row>
    <row r="2" spans="2:10" ht="12" customHeight="1">
      <c r="B2" s="1" t="s">
        <v>1</v>
      </c>
      <c r="D2" s="3"/>
      <c r="E2" s="3"/>
      <c r="F2" s="3"/>
      <c r="G2" s="3"/>
      <c r="H2" s="3"/>
      <c r="I2" s="3"/>
      <c r="J2" s="3"/>
    </row>
    <row r="3" spans="2:10" ht="12" customHeight="1">
      <c r="B3" s="1" t="s">
        <v>2</v>
      </c>
      <c r="D3" s="3"/>
      <c r="E3" s="3"/>
      <c r="F3" s="3"/>
      <c r="G3" s="3"/>
      <c r="H3" s="3"/>
      <c r="I3" s="3"/>
      <c r="J3" s="3"/>
    </row>
    <row r="4" spans="2:10" ht="12" customHeight="1">
      <c r="D4" s="3"/>
      <c r="E4" s="3"/>
      <c r="F4" s="3"/>
      <c r="G4" s="3"/>
      <c r="H4" s="3"/>
      <c r="I4" s="3"/>
      <c r="J4" s="3"/>
    </row>
    <row r="5" spans="2:10" ht="12" customHeight="1">
      <c r="D5" s="3"/>
      <c r="E5" s="3"/>
      <c r="F5" s="3"/>
      <c r="G5" s="3"/>
      <c r="H5" s="3"/>
      <c r="I5" s="3"/>
      <c r="J5" s="3"/>
    </row>
    <row r="6" spans="2:10" ht="12" customHeight="1">
      <c r="D6" s="3"/>
      <c r="E6" s="3"/>
      <c r="F6" s="3"/>
      <c r="G6" s="3"/>
      <c r="H6" s="3"/>
      <c r="I6" s="36" t="s">
        <v>3</v>
      </c>
      <c r="J6" s="3"/>
    </row>
    <row r="7" spans="2:10" ht="12" customHeight="1">
      <c r="D7" s="5" t="s">
        <v>4</v>
      </c>
      <c r="E7" s="5"/>
      <c r="F7" s="5"/>
      <c r="G7" s="5"/>
      <c r="H7" s="5"/>
      <c r="I7" s="39" t="s">
        <v>5</v>
      </c>
      <c r="J7" s="5"/>
    </row>
    <row r="8" spans="2:10" ht="12" customHeight="1">
      <c r="B8" s="6" t="s">
        <v>6</v>
      </c>
      <c r="D8" s="3"/>
      <c r="E8" s="3"/>
      <c r="F8" s="3"/>
      <c r="G8" s="3"/>
      <c r="H8" s="3"/>
      <c r="I8" s="7"/>
      <c r="J8" s="3"/>
    </row>
    <row r="9" spans="2:10" ht="12" customHeight="1">
      <c r="B9" s="6"/>
      <c r="D9" s="3"/>
      <c r="E9" s="3"/>
      <c r="F9" s="3"/>
      <c r="G9" s="3"/>
      <c r="H9" s="3"/>
      <c r="I9" s="7"/>
      <c r="J9" s="3"/>
    </row>
    <row r="10" spans="2:10" ht="12" customHeight="1">
      <c r="B10" s="34" t="s">
        <v>7</v>
      </c>
      <c r="C10" s="35"/>
      <c r="D10" s="36">
        <v>41010</v>
      </c>
      <c r="E10" s="36"/>
      <c r="F10" s="37"/>
      <c r="G10" s="36"/>
      <c r="H10" s="38"/>
      <c r="I10" s="37">
        <f>+'KHB-6 Pg 1'!G11</f>
        <v>-323865</v>
      </c>
      <c r="J10" s="9"/>
    </row>
    <row r="11" spans="2:10" ht="12" customHeight="1">
      <c r="B11" s="34"/>
      <c r="C11" s="35"/>
      <c r="D11" s="36"/>
      <c r="E11" s="36"/>
      <c r="F11" s="37"/>
      <c r="G11" s="36"/>
      <c r="H11" s="38"/>
      <c r="I11" s="37"/>
      <c r="J11" s="3"/>
    </row>
    <row r="12" spans="2:10" ht="12" customHeight="1">
      <c r="B12" s="34" t="s">
        <v>8</v>
      </c>
      <c r="C12" s="35"/>
      <c r="D12" s="36">
        <v>282</v>
      </c>
      <c r="E12" s="36"/>
      <c r="F12" s="37"/>
      <c r="G12" s="36"/>
      <c r="H12" s="38"/>
      <c r="I12" s="37">
        <f>+'KHB-6 Pg 1'!G13</f>
        <v>-5401575</v>
      </c>
      <c r="J12" s="9"/>
    </row>
    <row r="13" spans="2:10" ht="12" customHeight="1">
      <c r="B13" s="8"/>
      <c r="D13" s="3"/>
      <c r="E13" s="3"/>
      <c r="F13" s="7"/>
      <c r="G13" s="10"/>
      <c r="H13" s="11"/>
      <c r="I13" s="7"/>
      <c r="J13" s="3"/>
    </row>
    <row r="14" spans="2:10" ht="12" customHeight="1">
      <c r="B14" s="8"/>
      <c r="D14" s="3"/>
      <c r="E14" s="3"/>
      <c r="F14" s="12"/>
      <c r="G14" s="3"/>
      <c r="H14" s="13"/>
      <c r="I14" s="12"/>
      <c r="J14" s="14"/>
    </row>
    <row r="15" spans="2:10" ht="12" customHeight="1">
      <c r="B15" s="8"/>
      <c r="D15" s="3"/>
      <c r="E15" s="3"/>
      <c r="F15" s="12"/>
      <c r="G15" s="3"/>
      <c r="H15" s="13"/>
      <c r="I15" s="7"/>
      <c r="J15" s="14"/>
    </row>
    <row r="16" spans="2:10" ht="12" customHeight="1">
      <c r="B16" s="15" t="s">
        <v>9</v>
      </c>
      <c r="D16" s="3"/>
      <c r="E16" s="3"/>
      <c r="F16" s="7"/>
      <c r="G16" s="3"/>
      <c r="H16" s="13"/>
      <c r="I16" s="7"/>
      <c r="J16" s="3"/>
    </row>
    <row r="17" spans="2:10" ht="12" customHeight="1">
      <c r="B17" s="1" t="s">
        <v>10</v>
      </c>
      <c r="D17" s="3"/>
      <c r="E17" s="3"/>
      <c r="F17" s="16"/>
      <c r="G17" s="3"/>
      <c r="H17" s="3"/>
      <c r="I17" s="3"/>
      <c r="J17" s="3"/>
    </row>
    <row r="18" spans="2:10" ht="12" customHeight="1">
      <c r="B18" s="17"/>
      <c r="C18" s="18"/>
      <c r="D18" s="19"/>
      <c r="E18" s="19"/>
      <c r="F18" s="19"/>
      <c r="G18" s="19"/>
      <c r="H18" s="19"/>
      <c r="I18" s="19"/>
      <c r="J18" s="20"/>
    </row>
    <row r="19" spans="2:10" ht="12" customHeight="1">
      <c r="B19" s="21"/>
      <c r="D19" s="3"/>
      <c r="E19" s="3"/>
      <c r="F19" s="3"/>
      <c r="G19" s="3"/>
      <c r="H19" s="3"/>
      <c r="I19" s="3"/>
      <c r="J19" s="22"/>
    </row>
    <row r="20" spans="2:10" ht="12" customHeight="1">
      <c r="B20" s="23"/>
      <c r="D20" s="3"/>
      <c r="E20" s="3"/>
      <c r="F20" s="3"/>
      <c r="G20" s="3"/>
      <c r="H20" s="3"/>
      <c r="I20" s="3"/>
      <c r="J20" s="22"/>
    </row>
    <row r="21" spans="2:10" ht="12" customHeight="1">
      <c r="B21" s="21"/>
      <c r="D21" s="3"/>
      <c r="E21" s="3"/>
      <c r="F21" s="3"/>
      <c r="G21" s="3"/>
      <c r="H21" s="3"/>
      <c r="I21" s="3"/>
      <c r="J21" s="22"/>
    </row>
    <row r="22" spans="2:10" ht="12" customHeight="1">
      <c r="B22" s="24"/>
      <c r="C22" s="25"/>
      <c r="D22" s="26"/>
      <c r="E22" s="26"/>
      <c r="F22" s="26"/>
      <c r="G22" s="26"/>
      <c r="H22" s="26"/>
      <c r="I22" s="26"/>
      <c r="J22" s="27"/>
    </row>
    <row r="23" spans="2:10" ht="12" customHeight="1">
      <c r="B23" s="15"/>
      <c r="D23" s="3"/>
      <c r="E23" s="3"/>
      <c r="F23" s="3"/>
      <c r="G23" s="3"/>
      <c r="H23" s="3"/>
      <c r="I23" s="3"/>
      <c r="J23" s="3"/>
    </row>
    <row r="24" spans="2:10" ht="12" customHeight="1">
      <c r="B24" s="6" t="s">
        <v>11</v>
      </c>
      <c r="D24" s="3"/>
      <c r="E24" s="3"/>
      <c r="F24" s="3"/>
      <c r="G24" s="3"/>
      <c r="H24" s="3"/>
      <c r="I24" s="3"/>
      <c r="J24" s="3"/>
    </row>
    <row r="25" spans="2:10" ht="12" customHeight="1">
      <c r="B25" s="15"/>
      <c r="D25" s="3"/>
      <c r="E25" s="3"/>
      <c r="F25" s="3"/>
      <c r="G25" s="3"/>
      <c r="H25" s="3"/>
      <c r="I25" s="3"/>
      <c r="J25" s="3"/>
    </row>
    <row r="26" spans="2:10" ht="12" customHeight="1">
      <c r="B26" s="17"/>
      <c r="C26" s="18"/>
      <c r="D26" s="19"/>
      <c r="E26" s="19"/>
      <c r="F26" s="28"/>
      <c r="G26" s="19"/>
      <c r="H26" s="19"/>
      <c r="I26" s="19"/>
      <c r="J26" s="20"/>
    </row>
    <row r="27" spans="2:10" ht="12" customHeight="1">
      <c r="B27" s="23"/>
      <c r="J27" s="29"/>
    </row>
    <row r="28" spans="2:10">
      <c r="B28" s="23"/>
      <c r="J28" s="29"/>
    </row>
    <row r="29" spans="2:10">
      <c r="B29" s="23"/>
      <c r="D29" s="5"/>
      <c r="G29" s="5"/>
      <c r="I29" s="5"/>
      <c r="J29" s="29"/>
    </row>
    <row r="30" spans="2:10">
      <c r="B30" s="23"/>
      <c r="D30" s="30"/>
      <c r="J30" s="29"/>
    </row>
    <row r="31" spans="2:10">
      <c r="B31" s="31"/>
      <c r="C31" s="25"/>
      <c r="D31" s="32"/>
      <c r="E31" s="25"/>
      <c r="F31" s="25"/>
      <c r="G31" s="25"/>
      <c r="H31" s="25"/>
      <c r="I31" s="25"/>
      <c r="J31" s="33"/>
    </row>
    <row r="32" spans="2:10">
      <c r="D32" s="30"/>
    </row>
    <row r="33" spans="4:4">
      <c r="D33" s="30"/>
    </row>
    <row r="34" spans="4:4">
      <c r="D34" s="30"/>
    </row>
    <row r="35" spans="4:4">
      <c r="D35" s="30"/>
    </row>
    <row r="36" spans="4:4">
      <c r="D36" s="30"/>
    </row>
    <row r="37" spans="4:4">
      <c r="D37" s="30"/>
    </row>
    <row r="38" spans="4:4">
      <c r="D38" s="30"/>
    </row>
    <row r="39" spans="4:4">
      <c r="D39" s="30"/>
    </row>
    <row r="40" spans="4:4">
      <c r="D40" s="30"/>
    </row>
    <row r="41" spans="4:4">
      <c r="D41" s="30"/>
    </row>
    <row r="42" spans="4:4">
      <c r="D42" s="30"/>
    </row>
    <row r="43" spans="4:4">
      <c r="D43" s="30"/>
    </row>
    <row r="44" spans="4:4">
      <c r="D44" s="30"/>
    </row>
    <row r="45" spans="4:4">
      <c r="D45" s="30"/>
    </row>
    <row r="46" spans="4:4">
      <c r="D46" s="30"/>
    </row>
    <row r="47" spans="4:4">
      <c r="D47" s="30"/>
    </row>
    <row r="48" spans="4:4">
      <c r="D48" s="30"/>
    </row>
    <row r="49" spans="4:4">
      <c r="D49" s="30"/>
    </row>
    <row r="50" spans="4:4">
      <c r="D50" s="30"/>
    </row>
    <row r="51" spans="4:4">
      <c r="D51" s="30"/>
    </row>
    <row r="52" spans="4:4">
      <c r="D52" s="30"/>
    </row>
    <row r="53" spans="4:4">
      <c r="D53" s="30"/>
    </row>
    <row r="54" spans="4:4">
      <c r="D54" s="30"/>
    </row>
    <row r="55" spans="4:4">
      <c r="D55" s="30"/>
    </row>
    <row r="56" spans="4:4">
      <c r="D56" s="30"/>
    </row>
    <row r="57" spans="4:4">
      <c r="D57" s="30"/>
    </row>
    <row r="58" spans="4:4">
      <c r="D58" s="30"/>
    </row>
    <row r="59" spans="4:4">
      <c r="D59" s="30"/>
    </row>
    <row r="60" spans="4:4">
      <c r="D60" s="30"/>
    </row>
    <row r="61" spans="4:4">
      <c r="D61" s="30"/>
    </row>
    <row r="62" spans="4:4">
      <c r="D62" s="30"/>
    </row>
    <row r="63" spans="4:4">
      <c r="D63" s="30"/>
    </row>
    <row r="64" spans="4:4">
      <c r="D64" s="30"/>
    </row>
    <row r="65" spans="4:4">
      <c r="D65" s="30"/>
    </row>
    <row r="66" spans="4:4">
      <c r="D66" s="30"/>
    </row>
    <row r="67" spans="4:4">
      <c r="D67" s="30"/>
    </row>
    <row r="68" spans="4:4">
      <c r="D68" s="30"/>
    </row>
    <row r="69" spans="4:4">
      <c r="D69" s="30"/>
    </row>
    <row r="70" spans="4:4">
      <c r="D70" s="30"/>
    </row>
    <row r="71" spans="4:4">
      <c r="D71" s="30"/>
    </row>
    <row r="72" spans="4:4">
      <c r="D72" s="30"/>
    </row>
    <row r="73" spans="4:4">
      <c r="D73" s="30"/>
    </row>
    <row r="74" spans="4:4">
      <c r="D74" s="30"/>
    </row>
    <row r="75" spans="4:4">
      <c r="D75" s="30"/>
    </row>
    <row r="76" spans="4:4">
      <c r="D76" s="30"/>
    </row>
    <row r="77" spans="4:4">
      <c r="D77" s="30"/>
    </row>
    <row r="78" spans="4:4">
      <c r="D78" s="30"/>
    </row>
    <row r="79" spans="4:4">
      <c r="D79" s="30"/>
    </row>
    <row r="80" spans="4:4">
      <c r="D80" s="30"/>
    </row>
    <row r="81" spans="4:4">
      <c r="D81" s="30"/>
    </row>
    <row r="82" spans="4:4">
      <c r="D82" s="30"/>
    </row>
    <row r="83" spans="4:4">
      <c r="D83" s="30"/>
    </row>
    <row r="84" spans="4:4">
      <c r="D84" s="30"/>
    </row>
    <row r="85" spans="4:4">
      <c r="D85" s="30"/>
    </row>
    <row r="86" spans="4:4">
      <c r="D86" s="30"/>
    </row>
    <row r="87" spans="4:4">
      <c r="D87" s="30"/>
    </row>
    <row r="88" spans="4:4">
      <c r="D88" s="30"/>
    </row>
    <row r="89" spans="4:4">
      <c r="D89" s="30"/>
    </row>
    <row r="90" spans="4:4">
      <c r="D90" s="30"/>
    </row>
    <row r="91" spans="4:4">
      <c r="D91" s="30"/>
    </row>
    <row r="92" spans="4:4">
      <c r="D92" s="30"/>
    </row>
    <row r="93" spans="4:4">
      <c r="D93" s="30"/>
    </row>
    <row r="94" spans="4:4">
      <c r="D94" s="30"/>
    </row>
    <row r="95" spans="4:4">
      <c r="D95" s="30"/>
    </row>
    <row r="96" spans="4:4">
      <c r="D96" s="30"/>
    </row>
    <row r="97" spans="4:4">
      <c r="D97" s="30"/>
    </row>
    <row r="98" spans="4:4">
      <c r="D98" s="30"/>
    </row>
    <row r="99" spans="4:4">
      <c r="D99" s="30"/>
    </row>
    <row r="100" spans="4:4">
      <c r="D100" s="30"/>
    </row>
    <row r="101" spans="4:4">
      <c r="D101" s="30"/>
    </row>
    <row r="102" spans="4:4">
      <c r="D102" s="30"/>
    </row>
    <row r="103" spans="4:4">
      <c r="D103" s="30"/>
    </row>
    <row r="104" spans="4:4">
      <c r="D104" s="30"/>
    </row>
    <row r="105" spans="4:4">
      <c r="D105" s="30"/>
    </row>
    <row r="106" spans="4:4">
      <c r="D106" s="30"/>
    </row>
    <row r="107" spans="4:4">
      <c r="D107" s="30"/>
    </row>
    <row r="108" spans="4:4">
      <c r="D108" s="30"/>
    </row>
    <row r="109" spans="4:4">
      <c r="D109" s="30"/>
    </row>
    <row r="110" spans="4:4">
      <c r="D110" s="30"/>
    </row>
    <row r="111" spans="4:4">
      <c r="D111" s="30"/>
    </row>
    <row r="112" spans="4:4">
      <c r="D112" s="30"/>
    </row>
    <row r="113" spans="4:4">
      <c r="D113" s="30"/>
    </row>
    <row r="114" spans="4:4">
      <c r="D114" s="30"/>
    </row>
    <row r="115" spans="4:4">
      <c r="D115" s="30"/>
    </row>
    <row r="116" spans="4:4">
      <c r="D116" s="30"/>
    </row>
    <row r="117" spans="4:4">
      <c r="D117" s="30"/>
    </row>
    <row r="118" spans="4:4">
      <c r="D118" s="30"/>
    </row>
    <row r="119" spans="4:4">
      <c r="D119" s="30"/>
    </row>
    <row r="120" spans="4:4">
      <c r="D120" s="30"/>
    </row>
    <row r="121" spans="4:4">
      <c r="D121" s="30"/>
    </row>
    <row r="122" spans="4:4">
      <c r="D122" s="30"/>
    </row>
    <row r="123" spans="4:4">
      <c r="D123" s="30"/>
    </row>
    <row r="124" spans="4:4">
      <c r="D124" s="30"/>
    </row>
    <row r="125" spans="4:4">
      <c r="D125" s="30"/>
    </row>
    <row r="126" spans="4:4">
      <c r="D126" s="30"/>
    </row>
    <row r="127" spans="4:4">
      <c r="D127" s="30"/>
    </row>
    <row r="128" spans="4:4">
      <c r="D128" s="30"/>
    </row>
    <row r="129" spans="4:4">
      <c r="D129" s="30"/>
    </row>
    <row r="130" spans="4:4">
      <c r="D130" s="30"/>
    </row>
    <row r="131" spans="4:4">
      <c r="D131" s="30"/>
    </row>
    <row r="132" spans="4:4">
      <c r="D132" s="30"/>
    </row>
    <row r="133" spans="4:4">
      <c r="D133" s="30"/>
    </row>
    <row r="134" spans="4:4">
      <c r="D134" s="30"/>
    </row>
    <row r="135" spans="4:4">
      <c r="D135" s="30"/>
    </row>
    <row r="136" spans="4:4">
      <c r="D136" s="30"/>
    </row>
    <row r="137" spans="4:4">
      <c r="D137" s="30"/>
    </row>
    <row r="138" spans="4:4">
      <c r="D138" s="30"/>
    </row>
    <row r="139" spans="4:4">
      <c r="D139" s="30"/>
    </row>
    <row r="140" spans="4:4">
      <c r="D140" s="30"/>
    </row>
    <row r="141" spans="4:4">
      <c r="D141" s="30"/>
    </row>
    <row r="142" spans="4:4">
      <c r="D142" s="30"/>
    </row>
    <row r="143" spans="4:4">
      <c r="D143" s="30"/>
    </row>
    <row r="144" spans="4:4">
      <c r="D144" s="30"/>
    </row>
    <row r="145" spans="4:4">
      <c r="D145" s="30"/>
    </row>
    <row r="146" spans="4:4">
      <c r="D146" s="30"/>
    </row>
    <row r="147" spans="4:4">
      <c r="D147" s="30"/>
    </row>
    <row r="148" spans="4:4">
      <c r="D148" s="30"/>
    </row>
    <row r="149" spans="4:4">
      <c r="D149" s="30"/>
    </row>
    <row r="150" spans="4:4">
      <c r="D150" s="30"/>
    </row>
    <row r="151" spans="4:4">
      <c r="D151" s="30"/>
    </row>
    <row r="152" spans="4:4">
      <c r="D152" s="30"/>
    </row>
    <row r="153" spans="4:4">
      <c r="D153" s="30"/>
    </row>
    <row r="154" spans="4:4">
      <c r="D154" s="30"/>
    </row>
    <row r="155" spans="4:4">
      <c r="D155" s="30"/>
    </row>
    <row r="156" spans="4:4">
      <c r="D156" s="30"/>
    </row>
    <row r="157" spans="4:4">
      <c r="D157" s="30"/>
    </row>
    <row r="158" spans="4:4">
      <c r="D158" s="30"/>
    </row>
    <row r="159" spans="4:4">
      <c r="D159" s="30"/>
    </row>
    <row r="160" spans="4:4">
      <c r="D160" s="30"/>
    </row>
    <row r="161" spans="4:4">
      <c r="D161" s="30"/>
    </row>
    <row r="162" spans="4:4">
      <c r="D162" s="30"/>
    </row>
    <row r="163" spans="4:4">
      <c r="D163" s="30"/>
    </row>
    <row r="164" spans="4:4">
      <c r="D164" s="30"/>
    </row>
    <row r="165" spans="4:4">
      <c r="D165" s="30"/>
    </row>
    <row r="166" spans="4:4">
      <c r="D166" s="30"/>
    </row>
    <row r="167" spans="4:4">
      <c r="D167" s="30"/>
    </row>
    <row r="168" spans="4:4">
      <c r="D168" s="30"/>
    </row>
    <row r="169" spans="4:4">
      <c r="D169" s="30"/>
    </row>
    <row r="170" spans="4:4">
      <c r="D170" s="30"/>
    </row>
    <row r="171" spans="4:4">
      <c r="D171" s="30"/>
    </row>
    <row r="172" spans="4:4">
      <c r="D172" s="30"/>
    </row>
    <row r="173" spans="4:4">
      <c r="D173" s="30"/>
    </row>
    <row r="174" spans="4:4">
      <c r="D174" s="30"/>
    </row>
    <row r="175" spans="4:4">
      <c r="D175" s="30"/>
    </row>
    <row r="176" spans="4:4">
      <c r="D176" s="30"/>
    </row>
    <row r="177" spans="4:4">
      <c r="D177" s="30"/>
    </row>
    <row r="178" spans="4:4">
      <c r="D178" s="30"/>
    </row>
    <row r="179" spans="4:4">
      <c r="D179" s="30"/>
    </row>
    <row r="180" spans="4:4">
      <c r="D180" s="30"/>
    </row>
    <row r="181" spans="4:4">
      <c r="D181" s="30"/>
    </row>
    <row r="182" spans="4:4">
      <c r="D182" s="30"/>
    </row>
    <row r="183" spans="4:4">
      <c r="D183" s="30"/>
    </row>
    <row r="184" spans="4:4">
      <c r="D184" s="30"/>
    </row>
    <row r="185" spans="4:4">
      <c r="D185" s="30"/>
    </row>
    <row r="186" spans="4:4">
      <c r="D186" s="30"/>
    </row>
    <row r="187" spans="4:4">
      <c r="D187" s="30"/>
    </row>
    <row r="188" spans="4:4">
      <c r="D188" s="30"/>
    </row>
    <row r="189" spans="4:4">
      <c r="D189" s="30"/>
    </row>
    <row r="190" spans="4:4">
      <c r="D190" s="30"/>
    </row>
    <row r="191" spans="4:4">
      <c r="D191" s="30"/>
    </row>
    <row r="192" spans="4:4">
      <c r="D192" s="30"/>
    </row>
    <row r="193" spans="4:4">
      <c r="D193" s="30"/>
    </row>
    <row r="194" spans="4:4">
      <c r="D194" s="30"/>
    </row>
    <row r="195" spans="4:4">
      <c r="D195" s="30"/>
    </row>
    <row r="196" spans="4:4">
      <c r="D196" s="30"/>
    </row>
    <row r="197" spans="4:4">
      <c r="D197" s="30"/>
    </row>
    <row r="198" spans="4:4">
      <c r="D198" s="30"/>
    </row>
    <row r="199" spans="4:4">
      <c r="D199" s="30"/>
    </row>
    <row r="200" spans="4:4">
      <c r="D200" s="30"/>
    </row>
    <row r="201" spans="4:4">
      <c r="D201" s="30"/>
    </row>
    <row r="202" spans="4:4">
      <c r="D202" s="30"/>
    </row>
    <row r="203" spans="4:4">
      <c r="D203" s="30"/>
    </row>
    <row r="204" spans="4:4">
      <c r="D204" s="30"/>
    </row>
    <row r="205" spans="4:4">
      <c r="D205" s="30"/>
    </row>
    <row r="206" spans="4:4">
      <c r="D206" s="30"/>
    </row>
    <row r="207" spans="4:4">
      <c r="D207" s="30"/>
    </row>
    <row r="208" spans="4:4">
      <c r="D208" s="30"/>
    </row>
    <row r="209" spans="4:4">
      <c r="D209" s="30"/>
    </row>
    <row r="210" spans="4:4">
      <c r="D210" s="30"/>
    </row>
    <row r="211" spans="4:4">
      <c r="D211" s="30"/>
    </row>
    <row r="212" spans="4:4">
      <c r="D212" s="30"/>
    </row>
    <row r="213" spans="4:4">
      <c r="D213" s="30"/>
    </row>
    <row r="214" spans="4:4">
      <c r="D214" s="30"/>
    </row>
    <row r="215" spans="4:4">
      <c r="D215" s="30"/>
    </row>
    <row r="216" spans="4:4">
      <c r="D216" s="30"/>
    </row>
    <row r="217" spans="4:4">
      <c r="D217" s="30"/>
    </row>
    <row r="218" spans="4:4">
      <c r="D218" s="30"/>
    </row>
    <row r="219" spans="4:4">
      <c r="D219" s="30"/>
    </row>
    <row r="220" spans="4:4">
      <c r="D220" s="30"/>
    </row>
    <row r="221" spans="4:4">
      <c r="D221" s="30"/>
    </row>
    <row r="222" spans="4:4">
      <c r="D222" s="30"/>
    </row>
    <row r="223" spans="4:4">
      <c r="D223" s="30"/>
    </row>
    <row r="224" spans="4:4">
      <c r="D224" s="30"/>
    </row>
    <row r="225" spans="4:4">
      <c r="D225" s="30"/>
    </row>
    <row r="226" spans="4:4">
      <c r="D226" s="30"/>
    </row>
    <row r="227" spans="4:4">
      <c r="D227" s="30"/>
    </row>
    <row r="228" spans="4:4">
      <c r="D228" s="30"/>
    </row>
    <row r="229" spans="4:4">
      <c r="D229" s="30"/>
    </row>
    <row r="230" spans="4:4">
      <c r="D230" s="30"/>
    </row>
    <row r="231" spans="4:4">
      <c r="D231" s="30"/>
    </row>
    <row r="232" spans="4:4">
      <c r="D232" s="30"/>
    </row>
    <row r="233" spans="4:4">
      <c r="D233" s="30"/>
    </row>
    <row r="234" spans="4:4">
      <c r="D234" s="30"/>
    </row>
    <row r="235" spans="4:4">
      <c r="D235" s="30"/>
    </row>
    <row r="236" spans="4:4">
      <c r="D236" s="30"/>
    </row>
    <row r="237" spans="4:4">
      <c r="D237" s="30"/>
    </row>
    <row r="238" spans="4:4">
      <c r="D238" s="30"/>
    </row>
    <row r="239" spans="4:4">
      <c r="D239" s="30"/>
    </row>
    <row r="240" spans="4:4">
      <c r="D240" s="30"/>
    </row>
    <row r="241" spans="4:4">
      <c r="D241" s="30"/>
    </row>
    <row r="242" spans="4:4">
      <c r="D242" s="30"/>
    </row>
    <row r="243" spans="4:4">
      <c r="D243" s="30"/>
    </row>
    <row r="244" spans="4:4">
      <c r="D244" s="30"/>
    </row>
    <row r="245" spans="4:4">
      <c r="D245" s="30"/>
    </row>
    <row r="246" spans="4:4">
      <c r="D246" s="30"/>
    </row>
    <row r="247" spans="4:4">
      <c r="D247" s="30"/>
    </row>
    <row r="248" spans="4:4">
      <c r="D248" s="30"/>
    </row>
    <row r="249" spans="4:4">
      <c r="D249" s="30"/>
    </row>
    <row r="250" spans="4:4">
      <c r="D250" s="30"/>
    </row>
    <row r="251" spans="4:4">
      <c r="D251" s="30"/>
    </row>
    <row r="252" spans="4:4">
      <c r="D252" s="30"/>
    </row>
    <row r="253" spans="4:4">
      <c r="D253" s="30"/>
    </row>
    <row r="254" spans="4:4">
      <c r="D254" s="30"/>
    </row>
    <row r="255" spans="4:4">
      <c r="D255" s="30"/>
    </row>
    <row r="256" spans="4:4">
      <c r="D256" s="30"/>
    </row>
    <row r="257" spans="4:4">
      <c r="D257" s="30"/>
    </row>
    <row r="258" spans="4:4">
      <c r="D258" s="30"/>
    </row>
    <row r="259" spans="4:4">
      <c r="D259" s="30"/>
    </row>
    <row r="260" spans="4:4">
      <c r="D260" s="30"/>
    </row>
    <row r="261" spans="4:4">
      <c r="D261" s="30"/>
    </row>
    <row r="262" spans="4:4">
      <c r="D262" s="30"/>
    </row>
    <row r="263" spans="4:4">
      <c r="D263" s="30"/>
    </row>
    <row r="264" spans="4:4">
      <c r="D264" s="30"/>
    </row>
    <row r="265" spans="4:4">
      <c r="D265" s="30"/>
    </row>
    <row r="266" spans="4:4">
      <c r="D266" s="30"/>
    </row>
    <row r="267" spans="4:4">
      <c r="D267" s="30"/>
    </row>
    <row r="268" spans="4:4">
      <c r="D268" s="30"/>
    </row>
    <row r="269" spans="4:4">
      <c r="D269" s="30"/>
    </row>
    <row r="270" spans="4:4">
      <c r="D270" s="30"/>
    </row>
    <row r="271" spans="4:4">
      <c r="D271" s="30"/>
    </row>
    <row r="272" spans="4:4">
      <c r="D272" s="30"/>
    </row>
    <row r="273" spans="4:4">
      <c r="D273" s="30"/>
    </row>
    <row r="274" spans="4:4">
      <c r="D274" s="30"/>
    </row>
    <row r="275" spans="4:4">
      <c r="D275" s="30"/>
    </row>
    <row r="276" spans="4:4">
      <c r="D276" s="30"/>
    </row>
    <row r="277" spans="4:4">
      <c r="D277" s="30"/>
    </row>
    <row r="278" spans="4:4">
      <c r="D278" s="30"/>
    </row>
    <row r="279" spans="4:4">
      <c r="D279" s="30"/>
    </row>
    <row r="280" spans="4:4">
      <c r="D280" s="30"/>
    </row>
    <row r="281" spans="4:4">
      <c r="D281" s="30"/>
    </row>
    <row r="282" spans="4:4">
      <c r="D282" s="30"/>
    </row>
    <row r="283" spans="4:4">
      <c r="D283" s="30"/>
    </row>
    <row r="284" spans="4:4">
      <c r="D284" s="30"/>
    </row>
    <row r="285" spans="4:4">
      <c r="D285" s="30"/>
    </row>
    <row r="286" spans="4:4">
      <c r="D286" s="30"/>
    </row>
    <row r="287" spans="4:4">
      <c r="D287" s="30"/>
    </row>
    <row r="288" spans="4:4">
      <c r="D288" s="30"/>
    </row>
    <row r="289" spans="4:4">
      <c r="D289" s="30"/>
    </row>
    <row r="290" spans="4:4">
      <c r="D290" s="30"/>
    </row>
    <row r="291" spans="4:4">
      <c r="D291" s="30"/>
    </row>
    <row r="292" spans="4:4">
      <c r="D292" s="30"/>
    </row>
    <row r="293" spans="4:4">
      <c r="D293" s="30"/>
    </row>
    <row r="294" spans="4:4">
      <c r="D294" s="30"/>
    </row>
    <row r="295" spans="4:4">
      <c r="D295" s="30"/>
    </row>
    <row r="296" spans="4:4">
      <c r="D296" s="30"/>
    </row>
    <row r="297" spans="4:4">
      <c r="D297" s="30"/>
    </row>
    <row r="298" spans="4:4">
      <c r="D298" s="30"/>
    </row>
    <row r="299" spans="4:4">
      <c r="D299" s="30"/>
    </row>
    <row r="300" spans="4:4">
      <c r="D300" s="30"/>
    </row>
    <row r="301" spans="4:4">
      <c r="D301" s="30"/>
    </row>
    <row r="302" spans="4:4">
      <c r="D302" s="30"/>
    </row>
    <row r="303" spans="4:4">
      <c r="D303" s="30"/>
    </row>
    <row r="304" spans="4:4">
      <c r="D304" s="30"/>
    </row>
    <row r="305" spans="4:4">
      <c r="D305" s="30"/>
    </row>
    <row r="306" spans="4:4">
      <c r="D306" s="30"/>
    </row>
    <row r="307" spans="4:4">
      <c r="D307" s="30"/>
    </row>
    <row r="308" spans="4:4">
      <c r="D308" s="30"/>
    </row>
    <row r="309" spans="4:4">
      <c r="D309" s="30"/>
    </row>
    <row r="310" spans="4:4">
      <c r="D310" s="30"/>
    </row>
    <row r="311" spans="4:4">
      <c r="D311" s="30"/>
    </row>
    <row r="312" spans="4:4">
      <c r="D312" s="30"/>
    </row>
    <row r="313" spans="4:4">
      <c r="D313" s="30"/>
    </row>
    <row r="314" spans="4:4">
      <c r="D314" s="30"/>
    </row>
    <row r="315" spans="4:4">
      <c r="D315" s="30"/>
    </row>
    <row r="316" spans="4:4">
      <c r="D316" s="30"/>
    </row>
    <row r="317" spans="4:4">
      <c r="D317" s="30"/>
    </row>
    <row r="318" spans="4:4">
      <c r="D318" s="30"/>
    </row>
    <row r="319" spans="4:4">
      <c r="D319" s="30"/>
    </row>
    <row r="320" spans="4:4">
      <c r="D320" s="30"/>
    </row>
    <row r="321" spans="4:4">
      <c r="D321" s="30"/>
    </row>
    <row r="322" spans="4:4">
      <c r="D322" s="30"/>
    </row>
    <row r="323" spans="4:4">
      <c r="D323" s="30"/>
    </row>
    <row r="324" spans="4:4">
      <c r="D324" s="30"/>
    </row>
    <row r="325" spans="4:4">
      <c r="D325" s="30"/>
    </row>
    <row r="326" spans="4:4">
      <c r="D326" s="30"/>
    </row>
    <row r="327" spans="4:4">
      <c r="D327" s="30"/>
    </row>
    <row r="328" spans="4:4">
      <c r="D328" s="30"/>
    </row>
    <row r="329" spans="4:4">
      <c r="D329" s="30"/>
    </row>
    <row r="330" spans="4:4">
      <c r="D330" s="30"/>
    </row>
    <row r="331" spans="4:4">
      <c r="D331" s="30"/>
    </row>
    <row r="332" spans="4:4">
      <c r="D332" s="30"/>
    </row>
    <row r="333" spans="4:4">
      <c r="D333" s="30"/>
    </row>
    <row r="334" spans="4:4">
      <c r="D334" s="30"/>
    </row>
    <row r="335" spans="4:4">
      <c r="D335" s="30"/>
    </row>
    <row r="336" spans="4:4">
      <c r="D336" s="30"/>
    </row>
    <row r="337" spans="4:4">
      <c r="D337" s="30"/>
    </row>
    <row r="338" spans="4:4">
      <c r="D338" s="30"/>
    </row>
    <row r="339" spans="4:4">
      <c r="D339" s="30"/>
    </row>
    <row r="340" spans="4:4">
      <c r="D340" s="30"/>
    </row>
    <row r="341" spans="4:4">
      <c r="D341" s="30"/>
    </row>
    <row r="342" spans="4:4">
      <c r="D342" s="30"/>
    </row>
    <row r="343" spans="4:4">
      <c r="D343" s="30"/>
    </row>
    <row r="344" spans="4:4">
      <c r="D344" s="30"/>
    </row>
    <row r="345" spans="4:4">
      <c r="D345" s="30"/>
    </row>
    <row r="346" spans="4:4">
      <c r="D346" s="30"/>
    </row>
    <row r="347" spans="4:4">
      <c r="D347" s="30"/>
    </row>
    <row r="348" spans="4:4">
      <c r="D348" s="30"/>
    </row>
    <row r="349" spans="4:4">
      <c r="D349" s="30"/>
    </row>
    <row r="350" spans="4:4">
      <c r="D350" s="30"/>
    </row>
    <row r="351" spans="4:4">
      <c r="D351" s="30"/>
    </row>
    <row r="352" spans="4:4">
      <c r="D352" s="30"/>
    </row>
    <row r="353" spans="4:4">
      <c r="D353" s="30"/>
    </row>
    <row r="354" spans="4:4">
      <c r="D354" s="30"/>
    </row>
    <row r="355" spans="4:4">
      <c r="D355" s="30"/>
    </row>
    <row r="356" spans="4:4">
      <c r="D356" s="30"/>
    </row>
    <row r="357" spans="4:4">
      <c r="D357" s="30"/>
    </row>
    <row r="358" spans="4:4">
      <c r="D358" s="30"/>
    </row>
    <row r="359" spans="4:4">
      <c r="D359" s="30"/>
    </row>
    <row r="360" spans="4:4">
      <c r="D360" s="30"/>
    </row>
    <row r="361" spans="4:4">
      <c r="D361" s="30"/>
    </row>
    <row r="362" spans="4:4">
      <c r="D362" s="30"/>
    </row>
    <row r="363" spans="4:4">
      <c r="D363" s="30"/>
    </row>
    <row r="364" spans="4:4">
      <c r="D364" s="30"/>
    </row>
  </sheetData>
  <conditionalFormatting sqref="J1">
    <cfRule type="cellIs" dxfId="2" priority="3" stopIfTrue="1" operator="equal">
      <formula>"x.x"</formula>
    </cfRule>
  </conditionalFormatting>
  <conditionalFormatting sqref="B8:B9">
    <cfRule type="cellIs" dxfId="1" priority="2" stopIfTrue="1" operator="equal">
      <formula>"Adjustment to Income/Expense/Rate Base:"</formula>
    </cfRule>
  </conditionalFormatting>
  <conditionalFormatting sqref="I6">
    <cfRule type="cellIs" dxfId="0" priority="1" stopIfTrue="1" operator="equal">
      <formula>"Update"</formula>
    </cfRule>
  </conditionalFormatting>
  <dataValidations count="4">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65515:E65552 E10:E16 JA10:JA16 SW10:SW16 ACS10:ACS16 AMO10:AMO16 AWK10:AWK16 BGG10:BGG16 BQC10:BQC16 BZY10:BZY16 CJU10:CJU16 CTQ10:CTQ16 DDM10:DDM16 DNI10:DNI16 DXE10:DXE16 EHA10:EHA16 EQW10:EQW16 FAS10:FAS16 FKO10:FKO16 FUK10:FUK16 GEG10:GEG16 GOC10:GOC16 GXY10:GXY16 HHU10:HHU16 HRQ10:HRQ16 IBM10:IBM16 ILI10:ILI16 IVE10:IVE16 JFA10:JFA16 JOW10:JOW16 JYS10:JYS16 KIO10:KIO16 KSK10:KSK16 LCG10:LCG16 LMC10:LMC16 LVY10:LVY16 MFU10:MFU16 MPQ10:MPQ16 MZM10:MZM16 NJI10:NJI16 NTE10:NTE16 ODA10:ODA16 OMW10:OMW16 OWS10:OWS16 PGO10:PGO16 PQK10:PQK16 QAG10:QAG16 QKC10:QKC16 QTY10:QTY16 RDU10:RDU16 RNQ10:RNQ16 RXM10:RXM16 SHI10:SHI16 SRE10:SRE16 TBA10:TBA16 TKW10:TKW16 TUS10:TUS16 UEO10:UEO16 UOK10:UOK16 UYG10:UYG16 VIC10:VIC16 VRY10:VRY16 WBU10:WBU16 WLQ10:WLQ16 WVM10:WVM16 WVM983019:WVM983056 WLQ983019:WLQ983056 WBU983019:WBU983056 VRY983019:VRY983056 VIC983019:VIC983056 UYG983019:UYG983056 UOK983019:UOK983056 UEO983019:UEO983056 TUS983019:TUS983056 TKW983019:TKW983056 TBA983019:TBA983056 SRE983019:SRE983056 SHI983019:SHI983056 RXM983019:RXM983056 RNQ983019:RNQ983056 RDU983019:RDU983056 QTY983019:QTY983056 QKC983019:QKC983056 QAG983019:QAG983056 PQK983019:PQK983056 PGO983019:PGO983056 OWS983019:OWS983056 OMW983019:OMW983056 ODA983019:ODA983056 NTE983019:NTE983056 NJI983019:NJI983056 MZM983019:MZM983056 MPQ983019:MPQ983056 MFU983019:MFU983056 LVY983019:LVY983056 LMC983019:LMC983056 LCG983019:LCG983056 KSK983019:KSK983056 KIO983019:KIO983056 JYS983019:JYS983056 JOW983019:JOW983056 JFA983019:JFA983056 IVE983019:IVE983056 ILI983019:ILI983056 IBM983019:IBM983056 HRQ983019:HRQ983056 HHU983019:HHU983056 GXY983019:GXY983056 GOC983019:GOC983056 GEG983019:GEG983056 FUK983019:FUK983056 FKO983019:FKO983056 FAS983019:FAS983056 EQW983019:EQW983056 EHA983019:EHA983056 DXE983019:DXE983056 DNI983019:DNI983056 DDM983019:DDM983056 CTQ983019:CTQ983056 CJU983019:CJU983056 BZY983019:BZY983056 BQC983019:BQC983056 BGG983019:BGG983056 AWK983019:AWK983056 AMO983019:AMO983056 ACS983019:ACS983056 SW983019:SW983056 JA983019:JA983056 E983019:E983056 WVM917483:WVM917520 WLQ917483:WLQ917520 WBU917483:WBU917520 VRY917483:VRY917520 VIC917483:VIC917520 UYG917483:UYG917520 UOK917483:UOK917520 UEO917483:UEO917520 TUS917483:TUS917520 TKW917483:TKW917520 TBA917483:TBA917520 SRE917483:SRE917520 SHI917483:SHI917520 RXM917483:RXM917520 RNQ917483:RNQ917520 RDU917483:RDU917520 QTY917483:QTY917520 QKC917483:QKC917520 QAG917483:QAG917520 PQK917483:PQK917520 PGO917483:PGO917520 OWS917483:OWS917520 OMW917483:OMW917520 ODA917483:ODA917520 NTE917483:NTE917520 NJI917483:NJI917520 MZM917483:MZM917520 MPQ917483:MPQ917520 MFU917483:MFU917520 LVY917483:LVY917520 LMC917483:LMC917520 LCG917483:LCG917520 KSK917483:KSK917520 KIO917483:KIO917520 JYS917483:JYS917520 JOW917483:JOW917520 JFA917483:JFA917520 IVE917483:IVE917520 ILI917483:ILI917520 IBM917483:IBM917520 HRQ917483:HRQ917520 HHU917483:HHU917520 GXY917483:GXY917520 GOC917483:GOC917520 GEG917483:GEG917520 FUK917483:FUK917520 FKO917483:FKO917520 FAS917483:FAS917520 EQW917483:EQW917520 EHA917483:EHA917520 DXE917483:DXE917520 DNI917483:DNI917520 DDM917483:DDM917520 CTQ917483:CTQ917520 CJU917483:CJU917520 BZY917483:BZY917520 BQC917483:BQC917520 BGG917483:BGG917520 AWK917483:AWK917520 AMO917483:AMO917520 ACS917483:ACS917520 SW917483:SW917520 JA917483:JA917520 E917483:E917520 WVM851947:WVM851984 WLQ851947:WLQ851984 WBU851947:WBU851984 VRY851947:VRY851984 VIC851947:VIC851984 UYG851947:UYG851984 UOK851947:UOK851984 UEO851947:UEO851984 TUS851947:TUS851984 TKW851947:TKW851984 TBA851947:TBA851984 SRE851947:SRE851984 SHI851947:SHI851984 RXM851947:RXM851984 RNQ851947:RNQ851984 RDU851947:RDU851984 QTY851947:QTY851984 QKC851947:QKC851984 QAG851947:QAG851984 PQK851947:PQK851984 PGO851947:PGO851984 OWS851947:OWS851984 OMW851947:OMW851984 ODA851947:ODA851984 NTE851947:NTE851984 NJI851947:NJI851984 MZM851947:MZM851984 MPQ851947:MPQ851984 MFU851947:MFU851984 LVY851947:LVY851984 LMC851947:LMC851984 LCG851947:LCG851984 KSK851947:KSK851984 KIO851947:KIO851984 JYS851947:JYS851984 JOW851947:JOW851984 JFA851947:JFA851984 IVE851947:IVE851984 ILI851947:ILI851984 IBM851947:IBM851984 HRQ851947:HRQ851984 HHU851947:HHU851984 GXY851947:GXY851984 GOC851947:GOC851984 GEG851947:GEG851984 FUK851947:FUK851984 FKO851947:FKO851984 FAS851947:FAS851984 EQW851947:EQW851984 EHA851947:EHA851984 DXE851947:DXE851984 DNI851947:DNI851984 DDM851947:DDM851984 CTQ851947:CTQ851984 CJU851947:CJU851984 BZY851947:BZY851984 BQC851947:BQC851984 BGG851947:BGG851984 AWK851947:AWK851984 AMO851947:AMO851984 ACS851947:ACS851984 SW851947:SW851984 JA851947:JA851984 E851947:E851984 WVM786411:WVM786448 WLQ786411:WLQ786448 WBU786411:WBU786448 VRY786411:VRY786448 VIC786411:VIC786448 UYG786411:UYG786448 UOK786411:UOK786448 UEO786411:UEO786448 TUS786411:TUS786448 TKW786411:TKW786448 TBA786411:TBA786448 SRE786411:SRE786448 SHI786411:SHI786448 RXM786411:RXM786448 RNQ786411:RNQ786448 RDU786411:RDU786448 QTY786411:QTY786448 QKC786411:QKC786448 QAG786411:QAG786448 PQK786411:PQK786448 PGO786411:PGO786448 OWS786411:OWS786448 OMW786411:OMW786448 ODA786411:ODA786448 NTE786411:NTE786448 NJI786411:NJI786448 MZM786411:MZM786448 MPQ786411:MPQ786448 MFU786411:MFU786448 LVY786411:LVY786448 LMC786411:LMC786448 LCG786411:LCG786448 KSK786411:KSK786448 KIO786411:KIO786448 JYS786411:JYS786448 JOW786411:JOW786448 JFA786411:JFA786448 IVE786411:IVE786448 ILI786411:ILI786448 IBM786411:IBM786448 HRQ786411:HRQ786448 HHU786411:HHU786448 GXY786411:GXY786448 GOC786411:GOC786448 GEG786411:GEG786448 FUK786411:FUK786448 FKO786411:FKO786448 FAS786411:FAS786448 EQW786411:EQW786448 EHA786411:EHA786448 DXE786411:DXE786448 DNI786411:DNI786448 DDM786411:DDM786448 CTQ786411:CTQ786448 CJU786411:CJU786448 BZY786411:BZY786448 BQC786411:BQC786448 BGG786411:BGG786448 AWK786411:AWK786448 AMO786411:AMO786448 ACS786411:ACS786448 SW786411:SW786448 JA786411:JA786448 E786411:E786448 WVM720875:WVM720912 WLQ720875:WLQ720912 WBU720875:WBU720912 VRY720875:VRY720912 VIC720875:VIC720912 UYG720875:UYG720912 UOK720875:UOK720912 UEO720875:UEO720912 TUS720875:TUS720912 TKW720875:TKW720912 TBA720875:TBA720912 SRE720875:SRE720912 SHI720875:SHI720912 RXM720875:RXM720912 RNQ720875:RNQ720912 RDU720875:RDU720912 QTY720875:QTY720912 QKC720875:QKC720912 QAG720875:QAG720912 PQK720875:PQK720912 PGO720875:PGO720912 OWS720875:OWS720912 OMW720875:OMW720912 ODA720875:ODA720912 NTE720875:NTE720912 NJI720875:NJI720912 MZM720875:MZM720912 MPQ720875:MPQ720912 MFU720875:MFU720912 LVY720875:LVY720912 LMC720875:LMC720912 LCG720875:LCG720912 KSK720875:KSK720912 KIO720875:KIO720912 JYS720875:JYS720912 JOW720875:JOW720912 JFA720875:JFA720912 IVE720875:IVE720912 ILI720875:ILI720912 IBM720875:IBM720912 HRQ720875:HRQ720912 HHU720875:HHU720912 GXY720875:GXY720912 GOC720875:GOC720912 GEG720875:GEG720912 FUK720875:FUK720912 FKO720875:FKO720912 FAS720875:FAS720912 EQW720875:EQW720912 EHA720875:EHA720912 DXE720875:DXE720912 DNI720875:DNI720912 DDM720875:DDM720912 CTQ720875:CTQ720912 CJU720875:CJU720912 BZY720875:BZY720912 BQC720875:BQC720912 BGG720875:BGG720912 AWK720875:AWK720912 AMO720875:AMO720912 ACS720875:ACS720912 SW720875:SW720912 JA720875:JA720912 E720875:E720912 WVM655339:WVM655376 WLQ655339:WLQ655376 WBU655339:WBU655376 VRY655339:VRY655376 VIC655339:VIC655376 UYG655339:UYG655376 UOK655339:UOK655376 UEO655339:UEO655376 TUS655339:TUS655376 TKW655339:TKW655376 TBA655339:TBA655376 SRE655339:SRE655376 SHI655339:SHI655376 RXM655339:RXM655376 RNQ655339:RNQ655376 RDU655339:RDU655376 QTY655339:QTY655376 QKC655339:QKC655376 QAG655339:QAG655376 PQK655339:PQK655376 PGO655339:PGO655376 OWS655339:OWS655376 OMW655339:OMW655376 ODA655339:ODA655376 NTE655339:NTE655376 NJI655339:NJI655376 MZM655339:MZM655376 MPQ655339:MPQ655376 MFU655339:MFU655376 LVY655339:LVY655376 LMC655339:LMC655376 LCG655339:LCG655376 KSK655339:KSK655376 KIO655339:KIO655376 JYS655339:JYS655376 JOW655339:JOW655376 JFA655339:JFA655376 IVE655339:IVE655376 ILI655339:ILI655376 IBM655339:IBM655376 HRQ655339:HRQ655376 HHU655339:HHU655376 GXY655339:GXY655376 GOC655339:GOC655376 GEG655339:GEG655376 FUK655339:FUK655376 FKO655339:FKO655376 FAS655339:FAS655376 EQW655339:EQW655376 EHA655339:EHA655376 DXE655339:DXE655376 DNI655339:DNI655376 DDM655339:DDM655376 CTQ655339:CTQ655376 CJU655339:CJU655376 BZY655339:BZY655376 BQC655339:BQC655376 BGG655339:BGG655376 AWK655339:AWK655376 AMO655339:AMO655376 ACS655339:ACS655376 SW655339:SW655376 JA655339:JA655376 E655339:E655376 WVM589803:WVM589840 WLQ589803:WLQ589840 WBU589803:WBU589840 VRY589803:VRY589840 VIC589803:VIC589840 UYG589803:UYG589840 UOK589803:UOK589840 UEO589803:UEO589840 TUS589803:TUS589840 TKW589803:TKW589840 TBA589803:TBA589840 SRE589803:SRE589840 SHI589803:SHI589840 RXM589803:RXM589840 RNQ589803:RNQ589840 RDU589803:RDU589840 QTY589803:QTY589840 QKC589803:QKC589840 QAG589803:QAG589840 PQK589803:PQK589840 PGO589803:PGO589840 OWS589803:OWS589840 OMW589803:OMW589840 ODA589803:ODA589840 NTE589803:NTE589840 NJI589803:NJI589840 MZM589803:MZM589840 MPQ589803:MPQ589840 MFU589803:MFU589840 LVY589803:LVY589840 LMC589803:LMC589840 LCG589803:LCG589840 KSK589803:KSK589840 KIO589803:KIO589840 JYS589803:JYS589840 JOW589803:JOW589840 JFA589803:JFA589840 IVE589803:IVE589840 ILI589803:ILI589840 IBM589803:IBM589840 HRQ589803:HRQ589840 HHU589803:HHU589840 GXY589803:GXY589840 GOC589803:GOC589840 GEG589803:GEG589840 FUK589803:FUK589840 FKO589803:FKO589840 FAS589803:FAS589840 EQW589803:EQW589840 EHA589803:EHA589840 DXE589803:DXE589840 DNI589803:DNI589840 DDM589803:DDM589840 CTQ589803:CTQ589840 CJU589803:CJU589840 BZY589803:BZY589840 BQC589803:BQC589840 BGG589803:BGG589840 AWK589803:AWK589840 AMO589803:AMO589840 ACS589803:ACS589840 SW589803:SW589840 JA589803:JA589840 E589803:E589840 WVM524267:WVM524304 WLQ524267:WLQ524304 WBU524267:WBU524304 VRY524267:VRY524304 VIC524267:VIC524304 UYG524267:UYG524304 UOK524267:UOK524304 UEO524267:UEO524304 TUS524267:TUS524304 TKW524267:TKW524304 TBA524267:TBA524304 SRE524267:SRE524304 SHI524267:SHI524304 RXM524267:RXM524304 RNQ524267:RNQ524304 RDU524267:RDU524304 QTY524267:QTY524304 QKC524267:QKC524304 QAG524267:QAG524304 PQK524267:PQK524304 PGO524267:PGO524304 OWS524267:OWS524304 OMW524267:OMW524304 ODA524267:ODA524304 NTE524267:NTE524304 NJI524267:NJI524304 MZM524267:MZM524304 MPQ524267:MPQ524304 MFU524267:MFU524304 LVY524267:LVY524304 LMC524267:LMC524304 LCG524267:LCG524304 KSK524267:KSK524304 KIO524267:KIO524304 JYS524267:JYS524304 JOW524267:JOW524304 JFA524267:JFA524304 IVE524267:IVE524304 ILI524267:ILI524304 IBM524267:IBM524304 HRQ524267:HRQ524304 HHU524267:HHU524304 GXY524267:GXY524304 GOC524267:GOC524304 GEG524267:GEG524304 FUK524267:FUK524304 FKO524267:FKO524304 FAS524267:FAS524304 EQW524267:EQW524304 EHA524267:EHA524304 DXE524267:DXE524304 DNI524267:DNI524304 DDM524267:DDM524304 CTQ524267:CTQ524304 CJU524267:CJU524304 BZY524267:BZY524304 BQC524267:BQC524304 BGG524267:BGG524304 AWK524267:AWK524304 AMO524267:AMO524304 ACS524267:ACS524304 SW524267:SW524304 JA524267:JA524304 E524267:E524304 WVM458731:WVM458768 WLQ458731:WLQ458768 WBU458731:WBU458768 VRY458731:VRY458768 VIC458731:VIC458768 UYG458731:UYG458768 UOK458731:UOK458768 UEO458731:UEO458768 TUS458731:TUS458768 TKW458731:TKW458768 TBA458731:TBA458768 SRE458731:SRE458768 SHI458731:SHI458768 RXM458731:RXM458768 RNQ458731:RNQ458768 RDU458731:RDU458768 QTY458731:QTY458768 QKC458731:QKC458768 QAG458731:QAG458768 PQK458731:PQK458768 PGO458731:PGO458768 OWS458731:OWS458768 OMW458731:OMW458768 ODA458731:ODA458768 NTE458731:NTE458768 NJI458731:NJI458768 MZM458731:MZM458768 MPQ458731:MPQ458768 MFU458731:MFU458768 LVY458731:LVY458768 LMC458731:LMC458768 LCG458731:LCG458768 KSK458731:KSK458768 KIO458731:KIO458768 JYS458731:JYS458768 JOW458731:JOW458768 JFA458731:JFA458768 IVE458731:IVE458768 ILI458731:ILI458768 IBM458731:IBM458768 HRQ458731:HRQ458768 HHU458731:HHU458768 GXY458731:GXY458768 GOC458731:GOC458768 GEG458731:GEG458768 FUK458731:FUK458768 FKO458731:FKO458768 FAS458731:FAS458768 EQW458731:EQW458768 EHA458731:EHA458768 DXE458731:DXE458768 DNI458731:DNI458768 DDM458731:DDM458768 CTQ458731:CTQ458768 CJU458731:CJU458768 BZY458731:BZY458768 BQC458731:BQC458768 BGG458731:BGG458768 AWK458731:AWK458768 AMO458731:AMO458768 ACS458731:ACS458768 SW458731:SW458768 JA458731:JA458768 E458731:E458768 WVM393195:WVM393232 WLQ393195:WLQ393232 WBU393195:WBU393232 VRY393195:VRY393232 VIC393195:VIC393232 UYG393195:UYG393232 UOK393195:UOK393232 UEO393195:UEO393232 TUS393195:TUS393232 TKW393195:TKW393232 TBA393195:TBA393232 SRE393195:SRE393232 SHI393195:SHI393232 RXM393195:RXM393232 RNQ393195:RNQ393232 RDU393195:RDU393232 QTY393195:QTY393232 QKC393195:QKC393232 QAG393195:QAG393232 PQK393195:PQK393232 PGO393195:PGO393232 OWS393195:OWS393232 OMW393195:OMW393232 ODA393195:ODA393232 NTE393195:NTE393232 NJI393195:NJI393232 MZM393195:MZM393232 MPQ393195:MPQ393232 MFU393195:MFU393232 LVY393195:LVY393232 LMC393195:LMC393232 LCG393195:LCG393232 KSK393195:KSK393232 KIO393195:KIO393232 JYS393195:JYS393232 JOW393195:JOW393232 JFA393195:JFA393232 IVE393195:IVE393232 ILI393195:ILI393232 IBM393195:IBM393232 HRQ393195:HRQ393232 HHU393195:HHU393232 GXY393195:GXY393232 GOC393195:GOC393232 GEG393195:GEG393232 FUK393195:FUK393232 FKO393195:FKO393232 FAS393195:FAS393232 EQW393195:EQW393232 EHA393195:EHA393232 DXE393195:DXE393232 DNI393195:DNI393232 DDM393195:DDM393232 CTQ393195:CTQ393232 CJU393195:CJU393232 BZY393195:BZY393232 BQC393195:BQC393232 BGG393195:BGG393232 AWK393195:AWK393232 AMO393195:AMO393232 ACS393195:ACS393232 SW393195:SW393232 JA393195:JA393232 E393195:E393232 WVM327659:WVM327696 WLQ327659:WLQ327696 WBU327659:WBU327696 VRY327659:VRY327696 VIC327659:VIC327696 UYG327659:UYG327696 UOK327659:UOK327696 UEO327659:UEO327696 TUS327659:TUS327696 TKW327659:TKW327696 TBA327659:TBA327696 SRE327659:SRE327696 SHI327659:SHI327696 RXM327659:RXM327696 RNQ327659:RNQ327696 RDU327659:RDU327696 QTY327659:QTY327696 QKC327659:QKC327696 QAG327659:QAG327696 PQK327659:PQK327696 PGO327659:PGO327696 OWS327659:OWS327696 OMW327659:OMW327696 ODA327659:ODA327696 NTE327659:NTE327696 NJI327659:NJI327696 MZM327659:MZM327696 MPQ327659:MPQ327696 MFU327659:MFU327696 LVY327659:LVY327696 LMC327659:LMC327696 LCG327659:LCG327696 KSK327659:KSK327696 KIO327659:KIO327696 JYS327659:JYS327696 JOW327659:JOW327696 JFA327659:JFA327696 IVE327659:IVE327696 ILI327659:ILI327696 IBM327659:IBM327696 HRQ327659:HRQ327696 HHU327659:HHU327696 GXY327659:GXY327696 GOC327659:GOC327696 GEG327659:GEG327696 FUK327659:FUK327696 FKO327659:FKO327696 FAS327659:FAS327696 EQW327659:EQW327696 EHA327659:EHA327696 DXE327659:DXE327696 DNI327659:DNI327696 DDM327659:DDM327696 CTQ327659:CTQ327696 CJU327659:CJU327696 BZY327659:BZY327696 BQC327659:BQC327696 BGG327659:BGG327696 AWK327659:AWK327696 AMO327659:AMO327696 ACS327659:ACS327696 SW327659:SW327696 JA327659:JA327696 E327659:E327696 WVM262123:WVM262160 WLQ262123:WLQ262160 WBU262123:WBU262160 VRY262123:VRY262160 VIC262123:VIC262160 UYG262123:UYG262160 UOK262123:UOK262160 UEO262123:UEO262160 TUS262123:TUS262160 TKW262123:TKW262160 TBA262123:TBA262160 SRE262123:SRE262160 SHI262123:SHI262160 RXM262123:RXM262160 RNQ262123:RNQ262160 RDU262123:RDU262160 QTY262123:QTY262160 QKC262123:QKC262160 QAG262123:QAG262160 PQK262123:PQK262160 PGO262123:PGO262160 OWS262123:OWS262160 OMW262123:OMW262160 ODA262123:ODA262160 NTE262123:NTE262160 NJI262123:NJI262160 MZM262123:MZM262160 MPQ262123:MPQ262160 MFU262123:MFU262160 LVY262123:LVY262160 LMC262123:LMC262160 LCG262123:LCG262160 KSK262123:KSK262160 KIO262123:KIO262160 JYS262123:JYS262160 JOW262123:JOW262160 JFA262123:JFA262160 IVE262123:IVE262160 ILI262123:ILI262160 IBM262123:IBM262160 HRQ262123:HRQ262160 HHU262123:HHU262160 GXY262123:GXY262160 GOC262123:GOC262160 GEG262123:GEG262160 FUK262123:FUK262160 FKO262123:FKO262160 FAS262123:FAS262160 EQW262123:EQW262160 EHA262123:EHA262160 DXE262123:DXE262160 DNI262123:DNI262160 DDM262123:DDM262160 CTQ262123:CTQ262160 CJU262123:CJU262160 BZY262123:BZY262160 BQC262123:BQC262160 BGG262123:BGG262160 AWK262123:AWK262160 AMO262123:AMO262160 ACS262123:ACS262160 SW262123:SW262160 JA262123:JA262160 E262123:E262160 WVM196587:WVM196624 WLQ196587:WLQ196624 WBU196587:WBU196624 VRY196587:VRY196624 VIC196587:VIC196624 UYG196587:UYG196624 UOK196587:UOK196624 UEO196587:UEO196624 TUS196587:TUS196624 TKW196587:TKW196624 TBA196587:TBA196624 SRE196587:SRE196624 SHI196587:SHI196624 RXM196587:RXM196624 RNQ196587:RNQ196624 RDU196587:RDU196624 QTY196587:QTY196624 QKC196587:QKC196624 QAG196587:QAG196624 PQK196587:PQK196624 PGO196587:PGO196624 OWS196587:OWS196624 OMW196587:OMW196624 ODA196587:ODA196624 NTE196587:NTE196624 NJI196587:NJI196624 MZM196587:MZM196624 MPQ196587:MPQ196624 MFU196587:MFU196624 LVY196587:LVY196624 LMC196587:LMC196624 LCG196587:LCG196624 KSK196587:KSK196624 KIO196587:KIO196624 JYS196587:JYS196624 JOW196587:JOW196624 JFA196587:JFA196624 IVE196587:IVE196624 ILI196587:ILI196624 IBM196587:IBM196624 HRQ196587:HRQ196624 HHU196587:HHU196624 GXY196587:GXY196624 GOC196587:GOC196624 GEG196587:GEG196624 FUK196587:FUK196624 FKO196587:FKO196624 FAS196587:FAS196624 EQW196587:EQW196624 EHA196587:EHA196624 DXE196587:DXE196624 DNI196587:DNI196624 DDM196587:DDM196624 CTQ196587:CTQ196624 CJU196587:CJU196624 BZY196587:BZY196624 BQC196587:BQC196624 BGG196587:BGG196624 AWK196587:AWK196624 AMO196587:AMO196624 ACS196587:ACS196624 SW196587:SW196624 JA196587:JA196624 E196587:E196624 WVM131051:WVM131088 WLQ131051:WLQ131088 WBU131051:WBU131088 VRY131051:VRY131088 VIC131051:VIC131088 UYG131051:UYG131088 UOK131051:UOK131088 UEO131051:UEO131088 TUS131051:TUS131088 TKW131051:TKW131088 TBA131051:TBA131088 SRE131051:SRE131088 SHI131051:SHI131088 RXM131051:RXM131088 RNQ131051:RNQ131088 RDU131051:RDU131088 QTY131051:QTY131088 QKC131051:QKC131088 QAG131051:QAG131088 PQK131051:PQK131088 PGO131051:PGO131088 OWS131051:OWS131088 OMW131051:OMW131088 ODA131051:ODA131088 NTE131051:NTE131088 NJI131051:NJI131088 MZM131051:MZM131088 MPQ131051:MPQ131088 MFU131051:MFU131088 LVY131051:LVY131088 LMC131051:LMC131088 LCG131051:LCG131088 KSK131051:KSK131088 KIO131051:KIO131088 JYS131051:JYS131088 JOW131051:JOW131088 JFA131051:JFA131088 IVE131051:IVE131088 ILI131051:ILI131088 IBM131051:IBM131088 HRQ131051:HRQ131088 HHU131051:HHU131088 GXY131051:GXY131088 GOC131051:GOC131088 GEG131051:GEG131088 FUK131051:FUK131088 FKO131051:FKO131088 FAS131051:FAS131088 EQW131051:EQW131088 EHA131051:EHA131088 DXE131051:DXE131088 DNI131051:DNI131088 DDM131051:DDM131088 CTQ131051:CTQ131088 CJU131051:CJU131088 BZY131051:BZY131088 BQC131051:BQC131088 BGG131051:BGG131088 AWK131051:AWK131088 AMO131051:AMO131088 ACS131051:ACS131088 SW131051:SW131088 JA131051:JA131088 E131051:E131088 WVM65515:WVM65552 WLQ65515:WLQ65552 WBU65515:WBU65552 VRY65515:VRY65552 VIC65515:VIC65552 UYG65515:UYG65552 UOK65515:UOK65552 UEO65515:UEO65552 TUS65515:TUS65552 TKW65515:TKW65552 TBA65515:TBA65552 SRE65515:SRE65552 SHI65515:SHI65552 RXM65515:RXM65552 RNQ65515:RNQ65552 RDU65515:RDU65552 QTY65515:QTY65552 QKC65515:QKC65552 QAG65515:QAG65552 PQK65515:PQK65552 PGO65515:PGO65552 OWS65515:OWS65552 OMW65515:OMW65552 ODA65515:ODA65552 NTE65515:NTE65552 NJI65515:NJI65552 MZM65515:MZM65552 MPQ65515:MPQ65552 MFU65515:MFU65552 LVY65515:LVY65552 LMC65515:LMC65552 LCG65515:LCG65552 KSK65515:KSK65552 KIO65515:KIO65552 JYS65515:JYS65552 JOW65515:JOW65552 JFA65515:JFA65552 IVE65515:IVE65552 ILI65515:ILI65552 IBM65515:IBM65552 HRQ65515:HRQ65552 HHU65515:HHU65552 GXY65515:GXY65552 GOC65515:GOC65552 GEG65515:GEG65552 FUK65515:FUK65552 FKO65515:FKO65552 FAS65515:FAS65552 EQW65515:EQW65552 EHA65515:EHA65552 DXE65515:DXE65552 DNI65515:DNI65552 DDM65515:DDM65552 CTQ65515:CTQ65552 CJU65515:CJU65552 BZY65515:BZY65552 BQC65515:BQC65552 BGG65515:BGG65552 AWK65515:AWK65552 AMO65515:AMO65552 ACS65515:ACS65552 SW65515:SW65552 JA65515:JA65552">
      <formula1>"1, 2, 3"</formula1>
    </dataValidation>
    <dataValidation type="list" errorStyle="warning" allowBlank="1" showInputMessage="1" showErrorMessage="1" errorTitle="FERC ACCOUNT" error="This FERC Account is not included in the drop-down list. Is this the account you want to use?" sqref="D65514:D65552 WVL983018:WVL983056 WLP983018:WLP983056 WBT983018:WBT983056 VRX983018:VRX983056 VIB983018:VIB983056 UYF983018:UYF983056 UOJ983018:UOJ983056 UEN983018:UEN983056 TUR983018:TUR983056 TKV983018:TKV983056 TAZ983018:TAZ983056 SRD983018:SRD983056 SHH983018:SHH983056 RXL983018:RXL983056 RNP983018:RNP983056 RDT983018:RDT983056 QTX983018:QTX983056 QKB983018:QKB983056 QAF983018:QAF983056 PQJ983018:PQJ983056 PGN983018:PGN983056 OWR983018:OWR983056 OMV983018:OMV983056 OCZ983018:OCZ983056 NTD983018:NTD983056 NJH983018:NJH983056 MZL983018:MZL983056 MPP983018:MPP983056 MFT983018:MFT983056 LVX983018:LVX983056 LMB983018:LMB983056 LCF983018:LCF983056 KSJ983018:KSJ983056 KIN983018:KIN983056 JYR983018:JYR983056 JOV983018:JOV983056 JEZ983018:JEZ983056 IVD983018:IVD983056 ILH983018:ILH983056 IBL983018:IBL983056 HRP983018:HRP983056 HHT983018:HHT983056 GXX983018:GXX983056 GOB983018:GOB983056 GEF983018:GEF983056 FUJ983018:FUJ983056 FKN983018:FKN983056 FAR983018:FAR983056 EQV983018:EQV983056 EGZ983018:EGZ983056 DXD983018:DXD983056 DNH983018:DNH983056 DDL983018:DDL983056 CTP983018:CTP983056 CJT983018:CJT983056 BZX983018:BZX983056 BQB983018:BQB983056 BGF983018:BGF983056 AWJ983018:AWJ983056 AMN983018:AMN983056 ACR983018:ACR983056 SV983018:SV983056 IZ983018:IZ983056 D983018:D983056 WVL917482:WVL917520 WLP917482:WLP917520 WBT917482:WBT917520 VRX917482:VRX917520 VIB917482:VIB917520 UYF917482:UYF917520 UOJ917482:UOJ917520 UEN917482:UEN917520 TUR917482:TUR917520 TKV917482:TKV917520 TAZ917482:TAZ917520 SRD917482:SRD917520 SHH917482:SHH917520 RXL917482:RXL917520 RNP917482:RNP917520 RDT917482:RDT917520 QTX917482:QTX917520 QKB917482:QKB917520 QAF917482:QAF917520 PQJ917482:PQJ917520 PGN917482:PGN917520 OWR917482:OWR917520 OMV917482:OMV917520 OCZ917482:OCZ917520 NTD917482:NTD917520 NJH917482:NJH917520 MZL917482:MZL917520 MPP917482:MPP917520 MFT917482:MFT917520 LVX917482:LVX917520 LMB917482:LMB917520 LCF917482:LCF917520 KSJ917482:KSJ917520 KIN917482:KIN917520 JYR917482:JYR917520 JOV917482:JOV917520 JEZ917482:JEZ917520 IVD917482:IVD917520 ILH917482:ILH917520 IBL917482:IBL917520 HRP917482:HRP917520 HHT917482:HHT917520 GXX917482:GXX917520 GOB917482:GOB917520 GEF917482:GEF917520 FUJ917482:FUJ917520 FKN917482:FKN917520 FAR917482:FAR917520 EQV917482:EQV917520 EGZ917482:EGZ917520 DXD917482:DXD917520 DNH917482:DNH917520 DDL917482:DDL917520 CTP917482:CTP917520 CJT917482:CJT917520 BZX917482:BZX917520 BQB917482:BQB917520 BGF917482:BGF917520 AWJ917482:AWJ917520 AMN917482:AMN917520 ACR917482:ACR917520 SV917482:SV917520 IZ917482:IZ917520 D917482:D917520 WVL851946:WVL851984 WLP851946:WLP851984 WBT851946:WBT851984 VRX851946:VRX851984 VIB851946:VIB851984 UYF851946:UYF851984 UOJ851946:UOJ851984 UEN851946:UEN851984 TUR851946:TUR851984 TKV851946:TKV851984 TAZ851946:TAZ851984 SRD851946:SRD851984 SHH851946:SHH851984 RXL851946:RXL851984 RNP851946:RNP851984 RDT851946:RDT851984 QTX851946:QTX851984 QKB851946:QKB851984 QAF851946:QAF851984 PQJ851946:PQJ851984 PGN851946:PGN851984 OWR851946:OWR851984 OMV851946:OMV851984 OCZ851946:OCZ851984 NTD851946:NTD851984 NJH851946:NJH851984 MZL851946:MZL851984 MPP851946:MPP851984 MFT851946:MFT851984 LVX851946:LVX851984 LMB851946:LMB851984 LCF851946:LCF851984 KSJ851946:KSJ851984 KIN851946:KIN851984 JYR851946:JYR851984 JOV851946:JOV851984 JEZ851946:JEZ851984 IVD851946:IVD851984 ILH851946:ILH851984 IBL851946:IBL851984 HRP851946:HRP851984 HHT851946:HHT851984 GXX851946:GXX851984 GOB851946:GOB851984 GEF851946:GEF851984 FUJ851946:FUJ851984 FKN851946:FKN851984 FAR851946:FAR851984 EQV851946:EQV851984 EGZ851946:EGZ851984 DXD851946:DXD851984 DNH851946:DNH851984 DDL851946:DDL851984 CTP851946:CTP851984 CJT851946:CJT851984 BZX851946:BZX851984 BQB851946:BQB851984 BGF851946:BGF851984 AWJ851946:AWJ851984 AMN851946:AMN851984 ACR851946:ACR851984 SV851946:SV851984 IZ851946:IZ851984 D851946:D851984 WVL786410:WVL786448 WLP786410:WLP786448 WBT786410:WBT786448 VRX786410:VRX786448 VIB786410:VIB786448 UYF786410:UYF786448 UOJ786410:UOJ786448 UEN786410:UEN786448 TUR786410:TUR786448 TKV786410:TKV786448 TAZ786410:TAZ786448 SRD786410:SRD786448 SHH786410:SHH786448 RXL786410:RXL786448 RNP786410:RNP786448 RDT786410:RDT786448 QTX786410:QTX786448 QKB786410:QKB786448 QAF786410:QAF786448 PQJ786410:PQJ786448 PGN786410:PGN786448 OWR786410:OWR786448 OMV786410:OMV786448 OCZ786410:OCZ786448 NTD786410:NTD786448 NJH786410:NJH786448 MZL786410:MZL786448 MPP786410:MPP786448 MFT786410:MFT786448 LVX786410:LVX786448 LMB786410:LMB786448 LCF786410:LCF786448 KSJ786410:KSJ786448 KIN786410:KIN786448 JYR786410:JYR786448 JOV786410:JOV786448 JEZ786410:JEZ786448 IVD786410:IVD786448 ILH786410:ILH786448 IBL786410:IBL786448 HRP786410:HRP786448 HHT786410:HHT786448 GXX786410:GXX786448 GOB786410:GOB786448 GEF786410:GEF786448 FUJ786410:FUJ786448 FKN786410:FKN786448 FAR786410:FAR786448 EQV786410:EQV786448 EGZ786410:EGZ786448 DXD786410:DXD786448 DNH786410:DNH786448 DDL786410:DDL786448 CTP786410:CTP786448 CJT786410:CJT786448 BZX786410:BZX786448 BQB786410:BQB786448 BGF786410:BGF786448 AWJ786410:AWJ786448 AMN786410:AMN786448 ACR786410:ACR786448 SV786410:SV786448 IZ786410:IZ786448 D786410:D786448 WVL720874:WVL720912 WLP720874:WLP720912 WBT720874:WBT720912 VRX720874:VRX720912 VIB720874:VIB720912 UYF720874:UYF720912 UOJ720874:UOJ720912 UEN720874:UEN720912 TUR720874:TUR720912 TKV720874:TKV720912 TAZ720874:TAZ720912 SRD720874:SRD720912 SHH720874:SHH720912 RXL720874:RXL720912 RNP720874:RNP720912 RDT720874:RDT720912 QTX720874:QTX720912 QKB720874:QKB720912 QAF720874:QAF720912 PQJ720874:PQJ720912 PGN720874:PGN720912 OWR720874:OWR720912 OMV720874:OMV720912 OCZ720874:OCZ720912 NTD720874:NTD720912 NJH720874:NJH720912 MZL720874:MZL720912 MPP720874:MPP720912 MFT720874:MFT720912 LVX720874:LVX720912 LMB720874:LMB720912 LCF720874:LCF720912 KSJ720874:KSJ720912 KIN720874:KIN720912 JYR720874:JYR720912 JOV720874:JOV720912 JEZ720874:JEZ720912 IVD720874:IVD720912 ILH720874:ILH720912 IBL720874:IBL720912 HRP720874:HRP720912 HHT720874:HHT720912 GXX720874:GXX720912 GOB720874:GOB720912 GEF720874:GEF720912 FUJ720874:FUJ720912 FKN720874:FKN720912 FAR720874:FAR720912 EQV720874:EQV720912 EGZ720874:EGZ720912 DXD720874:DXD720912 DNH720874:DNH720912 DDL720874:DDL720912 CTP720874:CTP720912 CJT720874:CJT720912 BZX720874:BZX720912 BQB720874:BQB720912 BGF720874:BGF720912 AWJ720874:AWJ720912 AMN720874:AMN720912 ACR720874:ACR720912 SV720874:SV720912 IZ720874:IZ720912 D720874:D720912 WVL655338:WVL655376 WLP655338:WLP655376 WBT655338:WBT655376 VRX655338:VRX655376 VIB655338:VIB655376 UYF655338:UYF655376 UOJ655338:UOJ655376 UEN655338:UEN655376 TUR655338:TUR655376 TKV655338:TKV655376 TAZ655338:TAZ655376 SRD655338:SRD655376 SHH655338:SHH655376 RXL655338:RXL655376 RNP655338:RNP655376 RDT655338:RDT655376 QTX655338:QTX655376 QKB655338:QKB655376 QAF655338:QAF655376 PQJ655338:PQJ655376 PGN655338:PGN655376 OWR655338:OWR655376 OMV655338:OMV655376 OCZ655338:OCZ655376 NTD655338:NTD655376 NJH655338:NJH655376 MZL655338:MZL655376 MPP655338:MPP655376 MFT655338:MFT655376 LVX655338:LVX655376 LMB655338:LMB655376 LCF655338:LCF655376 KSJ655338:KSJ655376 KIN655338:KIN655376 JYR655338:JYR655376 JOV655338:JOV655376 JEZ655338:JEZ655376 IVD655338:IVD655376 ILH655338:ILH655376 IBL655338:IBL655376 HRP655338:HRP655376 HHT655338:HHT655376 GXX655338:GXX655376 GOB655338:GOB655376 GEF655338:GEF655376 FUJ655338:FUJ655376 FKN655338:FKN655376 FAR655338:FAR655376 EQV655338:EQV655376 EGZ655338:EGZ655376 DXD655338:DXD655376 DNH655338:DNH655376 DDL655338:DDL655376 CTP655338:CTP655376 CJT655338:CJT655376 BZX655338:BZX655376 BQB655338:BQB655376 BGF655338:BGF655376 AWJ655338:AWJ655376 AMN655338:AMN655376 ACR655338:ACR655376 SV655338:SV655376 IZ655338:IZ655376 D655338:D655376 WVL589802:WVL589840 WLP589802:WLP589840 WBT589802:WBT589840 VRX589802:VRX589840 VIB589802:VIB589840 UYF589802:UYF589840 UOJ589802:UOJ589840 UEN589802:UEN589840 TUR589802:TUR589840 TKV589802:TKV589840 TAZ589802:TAZ589840 SRD589802:SRD589840 SHH589802:SHH589840 RXL589802:RXL589840 RNP589802:RNP589840 RDT589802:RDT589840 QTX589802:QTX589840 QKB589802:QKB589840 QAF589802:QAF589840 PQJ589802:PQJ589840 PGN589802:PGN589840 OWR589802:OWR589840 OMV589802:OMV589840 OCZ589802:OCZ589840 NTD589802:NTD589840 NJH589802:NJH589840 MZL589802:MZL589840 MPP589802:MPP589840 MFT589802:MFT589840 LVX589802:LVX589840 LMB589802:LMB589840 LCF589802:LCF589840 KSJ589802:KSJ589840 KIN589802:KIN589840 JYR589802:JYR589840 JOV589802:JOV589840 JEZ589802:JEZ589840 IVD589802:IVD589840 ILH589802:ILH589840 IBL589802:IBL589840 HRP589802:HRP589840 HHT589802:HHT589840 GXX589802:GXX589840 GOB589802:GOB589840 GEF589802:GEF589840 FUJ589802:FUJ589840 FKN589802:FKN589840 FAR589802:FAR589840 EQV589802:EQV589840 EGZ589802:EGZ589840 DXD589802:DXD589840 DNH589802:DNH589840 DDL589802:DDL589840 CTP589802:CTP589840 CJT589802:CJT589840 BZX589802:BZX589840 BQB589802:BQB589840 BGF589802:BGF589840 AWJ589802:AWJ589840 AMN589802:AMN589840 ACR589802:ACR589840 SV589802:SV589840 IZ589802:IZ589840 D589802:D589840 WVL524266:WVL524304 WLP524266:WLP524304 WBT524266:WBT524304 VRX524266:VRX524304 VIB524266:VIB524304 UYF524266:UYF524304 UOJ524266:UOJ524304 UEN524266:UEN524304 TUR524266:TUR524304 TKV524266:TKV524304 TAZ524266:TAZ524304 SRD524266:SRD524304 SHH524266:SHH524304 RXL524266:RXL524304 RNP524266:RNP524304 RDT524266:RDT524304 QTX524266:QTX524304 QKB524266:QKB524304 QAF524266:QAF524304 PQJ524266:PQJ524304 PGN524266:PGN524304 OWR524266:OWR524304 OMV524266:OMV524304 OCZ524266:OCZ524304 NTD524266:NTD524304 NJH524266:NJH524304 MZL524266:MZL524304 MPP524266:MPP524304 MFT524266:MFT524304 LVX524266:LVX524304 LMB524266:LMB524304 LCF524266:LCF524304 KSJ524266:KSJ524304 KIN524266:KIN524304 JYR524266:JYR524304 JOV524266:JOV524304 JEZ524266:JEZ524304 IVD524266:IVD524304 ILH524266:ILH524304 IBL524266:IBL524304 HRP524266:HRP524304 HHT524266:HHT524304 GXX524266:GXX524304 GOB524266:GOB524304 GEF524266:GEF524304 FUJ524266:FUJ524304 FKN524266:FKN524304 FAR524266:FAR524304 EQV524266:EQV524304 EGZ524266:EGZ524304 DXD524266:DXD524304 DNH524266:DNH524304 DDL524266:DDL524304 CTP524266:CTP524304 CJT524266:CJT524304 BZX524266:BZX524304 BQB524266:BQB524304 BGF524266:BGF524304 AWJ524266:AWJ524304 AMN524266:AMN524304 ACR524266:ACR524304 SV524266:SV524304 IZ524266:IZ524304 D524266:D524304 WVL458730:WVL458768 WLP458730:WLP458768 WBT458730:WBT458768 VRX458730:VRX458768 VIB458730:VIB458768 UYF458730:UYF458768 UOJ458730:UOJ458768 UEN458730:UEN458768 TUR458730:TUR458768 TKV458730:TKV458768 TAZ458730:TAZ458768 SRD458730:SRD458768 SHH458730:SHH458768 RXL458730:RXL458768 RNP458730:RNP458768 RDT458730:RDT458768 QTX458730:QTX458768 QKB458730:QKB458768 QAF458730:QAF458768 PQJ458730:PQJ458768 PGN458730:PGN458768 OWR458730:OWR458768 OMV458730:OMV458768 OCZ458730:OCZ458768 NTD458730:NTD458768 NJH458730:NJH458768 MZL458730:MZL458768 MPP458730:MPP458768 MFT458730:MFT458768 LVX458730:LVX458768 LMB458730:LMB458768 LCF458730:LCF458768 KSJ458730:KSJ458768 KIN458730:KIN458768 JYR458730:JYR458768 JOV458730:JOV458768 JEZ458730:JEZ458768 IVD458730:IVD458768 ILH458730:ILH458768 IBL458730:IBL458768 HRP458730:HRP458768 HHT458730:HHT458768 GXX458730:GXX458768 GOB458730:GOB458768 GEF458730:GEF458768 FUJ458730:FUJ458768 FKN458730:FKN458768 FAR458730:FAR458768 EQV458730:EQV458768 EGZ458730:EGZ458768 DXD458730:DXD458768 DNH458730:DNH458768 DDL458730:DDL458768 CTP458730:CTP458768 CJT458730:CJT458768 BZX458730:BZX458768 BQB458730:BQB458768 BGF458730:BGF458768 AWJ458730:AWJ458768 AMN458730:AMN458768 ACR458730:ACR458768 SV458730:SV458768 IZ458730:IZ458768 D458730:D458768 WVL393194:WVL393232 WLP393194:WLP393232 WBT393194:WBT393232 VRX393194:VRX393232 VIB393194:VIB393232 UYF393194:UYF393232 UOJ393194:UOJ393232 UEN393194:UEN393232 TUR393194:TUR393232 TKV393194:TKV393232 TAZ393194:TAZ393232 SRD393194:SRD393232 SHH393194:SHH393232 RXL393194:RXL393232 RNP393194:RNP393232 RDT393194:RDT393232 QTX393194:QTX393232 QKB393194:QKB393232 QAF393194:QAF393232 PQJ393194:PQJ393232 PGN393194:PGN393232 OWR393194:OWR393232 OMV393194:OMV393232 OCZ393194:OCZ393232 NTD393194:NTD393232 NJH393194:NJH393232 MZL393194:MZL393232 MPP393194:MPP393232 MFT393194:MFT393232 LVX393194:LVX393232 LMB393194:LMB393232 LCF393194:LCF393232 KSJ393194:KSJ393232 KIN393194:KIN393232 JYR393194:JYR393232 JOV393194:JOV393232 JEZ393194:JEZ393232 IVD393194:IVD393232 ILH393194:ILH393232 IBL393194:IBL393232 HRP393194:HRP393232 HHT393194:HHT393232 GXX393194:GXX393232 GOB393194:GOB393232 GEF393194:GEF393232 FUJ393194:FUJ393232 FKN393194:FKN393232 FAR393194:FAR393232 EQV393194:EQV393232 EGZ393194:EGZ393232 DXD393194:DXD393232 DNH393194:DNH393232 DDL393194:DDL393232 CTP393194:CTP393232 CJT393194:CJT393232 BZX393194:BZX393232 BQB393194:BQB393232 BGF393194:BGF393232 AWJ393194:AWJ393232 AMN393194:AMN393232 ACR393194:ACR393232 SV393194:SV393232 IZ393194:IZ393232 D393194:D393232 WVL327658:WVL327696 WLP327658:WLP327696 WBT327658:WBT327696 VRX327658:VRX327696 VIB327658:VIB327696 UYF327658:UYF327696 UOJ327658:UOJ327696 UEN327658:UEN327696 TUR327658:TUR327696 TKV327658:TKV327696 TAZ327658:TAZ327696 SRD327658:SRD327696 SHH327658:SHH327696 RXL327658:RXL327696 RNP327658:RNP327696 RDT327658:RDT327696 QTX327658:QTX327696 QKB327658:QKB327696 QAF327658:QAF327696 PQJ327658:PQJ327696 PGN327658:PGN327696 OWR327658:OWR327696 OMV327658:OMV327696 OCZ327658:OCZ327696 NTD327658:NTD327696 NJH327658:NJH327696 MZL327658:MZL327696 MPP327658:MPP327696 MFT327658:MFT327696 LVX327658:LVX327696 LMB327658:LMB327696 LCF327658:LCF327696 KSJ327658:KSJ327696 KIN327658:KIN327696 JYR327658:JYR327696 JOV327658:JOV327696 JEZ327658:JEZ327696 IVD327658:IVD327696 ILH327658:ILH327696 IBL327658:IBL327696 HRP327658:HRP327696 HHT327658:HHT327696 GXX327658:GXX327696 GOB327658:GOB327696 GEF327658:GEF327696 FUJ327658:FUJ327696 FKN327658:FKN327696 FAR327658:FAR327696 EQV327658:EQV327696 EGZ327658:EGZ327696 DXD327658:DXD327696 DNH327658:DNH327696 DDL327658:DDL327696 CTP327658:CTP327696 CJT327658:CJT327696 BZX327658:BZX327696 BQB327658:BQB327696 BGF327658:BGF327696 AWJ327658:AWJ327696 AMN327658:AMN327696 ACR327658:ACR327696 SV327658:SV327696 IZ327658:IZ327696 D327658:D327696 WVL262122:WVL262160 WLP262122:WLP262160 WBT262122:WBT262160 VRX262122:VRX262160 VIB262122:VIB262160 UYF262122:UYF262160 UOJ262122:UOJ262160 UEN262122:UEN262160 TUR262122:TUR262160 TKV262122:TKV262160 TAZ262122:TAZ262160 SRD262122:SRD262160 SHH262122:SHH262160 RXL262122:RXL262160 RNP262122:RNP262160 RDT262122:RDT262160 QTX262122:QTX262160 QKB262122:QKB262160 QAF262122:QAF262160 PQJ262122:PQJ262160 PGN262122:PGN262160 OWR262122:OWR262160 OMV262122:OMV262160 OCZ262122:OCZ262160 NTD262122:NTD262160 NJH262122:NJH262160 MZL262122:MZL262160 MPP262122:MPP262160 MFT262122:MFT262160 LVX262122:LVX262160 LMB262122:LMB262160 LCF262122:LCF262160 KSJ262122:KSJ262160 KIN262122:KIN262160 JYR262122:JYR262160 JOV262122:JOV262160 JEZ262122:JEZ262160 IVD262122:IVD262160 ILH262122:ILH262160 IBL262122:IBL262160 HRP262122:HRP262160 HHT262122:HHT262160 GXX262122:GXX262160 GOB262122:GOB262160 GEF262122:GEF262160 FUJ262122:FUJ262160 FKN262122:FKN262160 FAR262122:FAR262160 EQV262122:EQV262160 EGZ262122:EGZ262160 DXD262122:DXD262160 DNH262122:DNH262160 DDL262122:DDL262160 CTP262122:CTP262160 CJT262122:CJT262160 BZX262122:BZX262160 BQB262122:BQB262160 BGF262122:BGF262160 AWJ262122:AWJ262160 AMN262122:AMN262160 ACR262122:ACR262160 SV262122:SV262160 IZ262122:IZ262160 D262122:D262160 WVL196586:WVL196624 WLP196586:WLP196624 WBT196586:WBT196624 VRX196586:VRX196624 VIB196586:VIB196624 UYF196586:UYF196624 UOJ196586:UOJ196624 UEN196586:UEN196624 TUR196586:TUR196624 TKV196586:TKV196624 TAZ196586:TAZ196624 SRD196586:SRD196624 SHH196586:SHH196624 RXL196586:RXL196624 RNP196586:RNP196624 RDT196586:RDT196624 QTX196586:QTX196624 QKB196586:QKB196624 QAF196586:QAF196624 PQJ196586:PQJ196624 PGN196586:PGN196624 OWR196586:OWR196624 OMV196586:OMV196624 OCZ196586:OCZ196624 NTD196586:NTD196624 NJH196586:NJH196624 MZL196586:MZL196624 MPP196586:MPP196624 MFT196586:MFT196624 LVX196586:LVX196624 LMB196586:LMB196624 LCF196586:LCF196624 KSJ196586:KSJ196624 KIN196586:KIN196624 JYR196586:JYR196624 JOV196586:JOV196624 JEZ196586:JEZ196624 IVD196586:IVD196624 ILH196586:ILH196624 IBL196586:IBL196624 HRP196586:HRP196624 HHT196586:HHT196624 GXX196586:GXX196624 GOB196586:GOB196624 GEF196586:GEF196624 FUJ196586:FUJ196624 FKN196586:FKN196624 FAR196586:FAR196624 EQV196586:EQV196624 EGZ196586:EGZ196624 DXD196586:DXD196624 DNH196586:DNH196624 DDL196586:DDL196624 CTP196586:CTP196624 CJT196586:CJT196624 BZX196586:BZX196624 BQB196586:BQB196624 BGF196586:BGF196624 AWJ196586:AWJ196624 AMN196586:AMN196624 ACR196586:ACR196624 SV196586:SV196624 IZ196586:IZ196624 D196586:D196624 WVL131050:WVL131088 WLP131050:WLP131088 WBT131050:WBT131088 VRX131050:VRX131088 VIB131050:VIB131088 UYF131050:UYF131088 UOJ131050:UOJ131088 UEN131050:UEN131088 TUR131050:TUR131088 TKV131050:TKV131088 TAZ131050:TAZ131088 SRD131050:SRD131088 SHH131050:SHH131088 RXL131050:RXL131088 RNP131050:RNP131088 RDT131050:RDT131088 QTX131050:QTX131088 QKB131050:QKB131088 QAF131050:QAF131088 PQJ131050:PQJ131088 PGN131050:PGN131088 OWR131050:OWR131088 OMV131050:OMV131088 OCZ131050:OCZ131088 NTD131050:NTD131088 NJH131050:NJH131088 MZL131050:MZL131088 MPP131050:MPP131088 MFT131050:MFT131088 LVX131050:LVX131088 LMB131050:LMB131088 LCF131050:LCF131088 KSJ131050:KSJ131088 KIN131050:KIN131088 JYR131050:JYR131088 JOV131050:JOV131088 JEZ131050:JEZ131088 IVD131050:IVD131088 ILH131050:ILH131088 IBL131050:IBL131088 HRP131050:HRP131088 HHT131050:HHT131088 GXX131050:GXX131088 GOB131050:GOB131088 GEF131050:GEF131088 FUJ131050:FUJ131088 FKN131050:FKN131088 FAR131050:FAR131088 EQV131050:EQV131088 EGZ131050:EGZ131088 DXD131050:DXD131088 DNH131050:DNH131088 DDL131050:DDL131088 CTP131050:CTP131088 CJT131050:CJT131088 BZX131050:BZX131088 BQB131050:BQB131088 BGF131050:BGF131088 AWJ131050:AWJ131088 AMN131050:AMN131088 ACR131050:ACR131088 SV131050:SV131088 IZ131050:IZ131088 D131050:D131088 WVL65514:WVL65552 WLP65514:WLP65552 WBT65514:WBT65552 VRX65514:VRX65552 VIB65514:VIB65552 UYF65514:UYF65552 UOJ65514:UOJ65552 UEN65514:UEN65552 TUR65514:TUR65552 TKV65514:TKV65552 TAZ65514:TAZ65552 SRD65514:SRD65552 SHH65514:SHH65552 RXL65514:RXL65552 RNP65514:RNP65552 RDT65514:RDT65552 QTX65514:QTX65552 QKB65514:QKB65552 QAF65514:QAF65552 PQJ65514:PQJ65552 PGN65514:PGN65552 OWR65514:OWR65552 OMV65514:OMV65552 OCZ65514:OCZ65552 NTD65514:NTD65552 NJH65514:NJH65552 MZL65514:MZL65552 MPP65514:MPP65552 MFT65514:MFT65552 LVX65514:LVX65552 LMB65514:LMB65552 LCF65514:LCF65552 KSJ65514:KSJ65552 KIN65514:KIN65552 JYR65514:JYR65552 JOV65514:JOV65552 JEZ65514:JEZ65552 IVD65514:IVD65552 ILH65514:ILH65552 IBL65514:IBL65552 HRP65514:HRP65552 HHT65514:HHT65552 GXX65514:GXX65552 GOB65514:GOB65552 GEF65514:GEF65552 FUJ65514:FUJ65552 FKN65514:FKN65552 FAR65514:FAR65552 EQV65514:EQV65552 EGZ65514:EGZ65552 DXD65514:DXD65552 DNH65514:DNH65552 DDL65514:DDL65552 CTP65514:CTP65552 CJT65514:CJT65552 BZX65514:BZX65552 BQB65514:BQB65552 BGF65514:BGF65552 AWJ65514:AWJ65552 AMN65514:AMN65552 ACR65514:ACR65552 SV65514:SV65552 IZ65514:IZ65552 WVL10:WVL16 WLP10:WLP16 WBT10:WBT16 VRX10:VRX16 VIB10:VIB16 UYF10:UYF16 UOJ10:UOJ16 UEN10:UEN16 TUR10:TUR16 TKV10:TKV16 TAZ10:TAZ16 SRD10:SRD16 SHH10:SHH16 RXL10:RXL16 RNP10:RNP16 RDT10:RDT16 QTX10:QTX16 QKB10:QKB16 QAF10:QAF16 PQJ10:PQJ16 PGN10:PGN16 OWR10:OWR16 OMV10:OMV16 OCZ10:OCZ16 NTD10:NTD16 NJH10:NJH16 MZL10:MZL16 MPP10:MPP16 MFT10:MFT16 LVX10:LVX16 LMB10:LMB16 LCF10:LCF16 KSJ10:KSJ16 KIN10:KIN16 JYR10:JYR16 JOV10:JOV16 JEZ10:JEZ16 IVD10:IVD16 ILH10:ILH16 IBL10:IBL16 HRP10:HRP16 HHT10:HHT16 GXX10:GXX16 GOB10:GOB16 GEF10:GEF16 FUJ10:FUJ16 FKN10:FKN16 FAR10:FAR16 EQV10:EQV16 EGZ10:EGZ16 DXD10:DXD16 DNH10:DNH16 DDL10:DDL16 CTP10:CTP16 CJT10:CJT16 BZX10:BZX16 BQB10:BQB16 BGF10:BGF16 AWJ10:AWJ16 AMN10:AMN16 ACR10:ACR16 SV10:SV16 IZ10:IZ16 D10:D16">
      <formula1>$D$30:$D$364</formula1>
    </dataValidation>
    <dataValidation type="list" errorStyle="warning" allowBlank="1" showInputMessage="1" showErrorMessage="1" errorTitle="Factor" error="This factor is not included in the drop-down list. Is this the factor you want to use?" sqref="G65514:G65552 WVO983018:WVO983056 WLS983018:WLS983056 WBW983018:WBW983056 VSA983018:VSA983056 VIE983018:VIE983056 UYI983018:UYI983056 UOM983018:UOM983056 UEQ983018:UEQ983056 TUU983018:TUU983056 TKY983018:TKY983056 TBC983018:TBC983056 SRG983018:SRG983056 SHK983018:SHK983056 RXO983018:RXO983056 RNS983018:RNS983056 RDW983018:RDW983056 QUA983018:QUA983056 QKE983018:QKE983056 QAI983018:QAI983056 PQM983018:PQM983056 PGQ983018:PGQ983056 OWU983018:OWU983056 OMY983018:OMY983056 ODC983018:ODC983056 NTG983018:NTG983056 NJK983018:NJK983056 MZO983018:MZO983056 MPS983018:MPS983056 MFW983018:MFW983056 LWA983018:LWA983056 LME983018:LME983056 LCI983018:LCI983056 KSM983018:KSM983056 KIQ983018:KIQ983056 JYU983018:JYU983056 JOY983018:JOY983056 JFC983018:JFC983056 IVG983018:IVG983056 ILK983018:ILK983056 IBO983018:IBO983056 HRS983018:HRS983056 HHW983018:HHW983056 GYA983018:GYA983056 GOE983018:GOE983056 GEI983018:GEI983056 FUM983018:FUM983056 FKQ983018:FKQ983056 FAU983018:FAU983056 EQY983018:EQY983056 EHC983018:EHC983056 DXG983018:DXG983056 DNK983018:DNK983056 DDO983018:DDO983056 CTS983018:CTS983056 CJW983018:CJW983056 CAA983018:CAA983056 BQE983018:BQE983056 BGI983018:BGI983056 AWM983018:AWM983056 AMQ983018:AMQ983056 ACU983018:ACU983056 SY983018:SY983056 JC983018:JC983056 G983018:G983056 WVO917482:WVO917520 WLS917482:WLS917520 WBW917482:WBW917520 VSA917482:VSA917520 VIE917482:VIE917520 UYI917482:UYI917520 UOM917482:UOM917520 UEQ917482:UEQ917520 TUU917482:TUU917520 TKY917482:TKY917520 TBC917482:TBC917520 SRG917482:SRG917520 SHK917482:SHK917520 RXO917482:RXO917520 RNS917482:RNS917520 RDW917482:RDW917520 QUA917482:QUA917520 QKE917482:QKE917520 QAI917482:QAI917520 PQM917482:PQM917520 PGQ917482:PGQ917520 OWU917482:OWU917520 OMY917482:OMY917520 ODC917482:ODC917520 NTG917482:NTG917520 NJK917482:NJK917520 MZO917482:MZO917520 MPS917482:MPS917520 MFW917482:MFW917520 LWA917482:LWA917520 LME917482:LME917520 LCI917482:LCI917520 KSM917482:KSM917520 KIQ917482:KIQ917520 JYU917482:JYU917520 JOY917482:JOY917520 JFC917482:JFC917520 IVG917482:IVG917520 ILK917482:ILK917520 IBO917482:IBO917520 HRS917482:HRS917520 HHW917482:HHW917520 GYA917482:GYA917520 GOE917482:GOE917520 GEI917482:GEI917520 FUM917482:FUM917520 FKQ917482:FKQ917520 FAU917482:FAU917520 EQY917482:EQY917520 EHC917482:EHC917520 DXG917482:DXG917520 DNK917482:DNK917520 DDO917482:DDO917520 CTS917482:CTS917520 CJW917482:CJW917520 CAA917482:CAA917520 BQE917482:BQE917520 BGI917482:BGI917520 AWM917482:AWM917520 AMQ917482:AMQ917520 ACU917482:ACU917520 SY917482:SY917520 JC917482:JC917520 G917482:G917520 WVO851946:WVO851984 WLS851946:WLS851984 WBW851946:WBW851984 VSA851946:VSA851984 VIE851946:VIE851984 UYI851946:UYI851984 UOM851946:UOM851984 UEQ851946:UEQ851984 TUU851946:TUU851984 TKY851946:TKY851984 TBC851946:TBC851984 SRG851946:SRG851984 SHK851946:SHK851984 RXO851946:RXO851984 RNS851946:RNS851984 RDW851946:RDW851984 QUA851946:QUA851984 QKE851946:QKE851984 QAI851946:QAI851984 PQM851946:PQM851984 PGQ851946:PGQ851984 OWU851946:OWU851984 OMY851946:OMY851984 ODC851946:ODC851984 NTG851946:NTG851984 NJK851946:NJK851984 MZO851946:MZO851984 MPS851946:MPS851984 MFW851946:MFW851984 LWA851946:LWA851984 LME851946:LME851984 LCI851946:LCI851984 KSM851946:KSM851984 KIQ851946:KIQ851984 JYU851946:JYU851984 JOY851946:JOY851984 JFC851946:JFC851984 IVG851946:IVG851984 ILK851946:ILK851984 IBO851946:IBO851984 HRS851946:HRS851984 HHW851946:HHW851984 GYA851946:GYA851984 GOE851946:GOE851984 GEI851946:GEI851984 FUM851946:FUM851984 FKQ851946:FKQ851984 FAU851946:FAU851984 EQY851946:EQY851984 EHC851946:EHC851984 DXG851946:DXG851984 DNK851946:DNK851984 DDO851946:DDO851984 CTS851946:CTS851984 CJW851946:CJW851984 CAA851946:CAA851984 BQE851946:BQE851984 BGI851946:BGI851984 AWM851946:AWM851984 AMQ851946:AMQ851984 ACU851946:ACU851984 SY851946:SY851984 JC851946:JC851984 G851946:G851984 WVO786410:WVO786448 WLS786410:WLS786448 WBW786410:WBW786448 VSA786410:VSA786448 VIE786410:VIE786448 UYI786410:UYI786448 UOM786410:UOM786448 UEQ786410:UEQ786448 TUU786410:TUU786448 TKY786410:TKY786448 TBC786410:TBC786448 SRG786410:SRG786448 SHK786410:SHK786448 RXO786410:RXO786448 RNS786410:RNS786448 RDW786410:RDW786448 QUA786410:QUA786448 QKE786410:QKE786448 QAI786410:QAI786448 PQM786410:PQM786448 PGQ786410:PGQ786448 OWU786410:OWU786448 OMY786410:OMY786448 ODC786410:ODC786448 NTG786410:NTG786448 NJK786410:NJK786448 MZO786410:MZO786448 MPS786410:MPS786448 MFW786410:MFW786448 LWA786410:LWA786448 LME786410:LME786448 LCI786410:LCI786448 KSM786410:KSM786448 KIQ786410:KIQ786448 JYU786410:JYU786448 JOY786410:JOY786448 JFC786410:JFC786448 IVG786410:IVG786448 ILK786410:ILK786448 IBO786410:IBO786448 HRS786410:HRS786448 HHW786410:HHW786448 GYA786410:GYA786448 GOE786410:GOE786448 GEI786410:GEI786448 FUM786410:FUM786448 FKQ786410:FKQ786448 FAU786410:FAU786448 EQY786410:EQY786448 EHC786410:EHC786448 DXG786410:DXG786448 DNK786410:DNK786448 DDO786410:DDO786448 CTS786410:CTS786448 CJW786410:CJW786448 CAA786410:CAA786448 BQE786410:BQE786448 BGI786410:BGI786448 AWM786410:AWM786448 AMQ786410:AMQ786448 ACU786410:ACU786448 SY786410:SY786448 JC786410:JC786448 G786410:G786448 WVO720874:WVO720912 WLS720874:WLS720912 WBW720874:WBW720912 VSA720874:VSA720912 VIE720874:VIE720912 UYI720874:UYI720912 UOM720874:UOM720912 UEQ720874:UEQ720912 TUU720874:TUU720912 TKY720874:TKY720912 TBC720874:TBC720912 SRG720874:SRG720912 SHK720874:SHK720912 RXO720874:RXO720912 RNS720874:RNS720912 RDW720874:RDW720912 QUA720874:QUA720912 QKE720874:QKE720912 QAI720874:QAI720912 PQM720874:PQM720912 PGQ720874:PGQ720912 OWU720874:OWU720912 OMY720874:OMY720912 ODC720874:ODC720912 NTG720874:NTG720912 NJK720874:NJK720912 MZO720874:MZO720912 MPS720874:MPS720912 MFW720874:MFW720912 LWA720874:LWA720912 LME720874:LME720912 LCI720874:LCI720912 KSM720874:KSM720912 KIQ720874:KIQ720912 JYU720874:JYU720912 JOY720874:JOY720912 JFC720874:JFC720912 IVG720874:IVG720912 ILK720874:ILK720912 IBO720874:IBO720912 HRS720874:HRS720912 HHW720874:HHW720912 GYA720874:GYA720912 GOE720874:GOE720912 GEI720874:GEI720912 FUM720874:FUM720912 FKQ720874:FKQ720912 FAU720874:FAU720912 EQY720874:EQY720912 EHC720874:EHC720912 DXG720874:DXG720912 DNK720874:DNK720912 DDO720874:DDO720912 CTS720874:CTS720912 CJW720874:CJW720912 CAA720874:CAA720912 BQE720874:BQE720912 BGI720874:BGI720912 AWM720874:AWM720912 AMQ720874:AMQ720912 ACU720874:ACU720912 SY720874:SY720912 JC720874:JC720912 G720874:G720912 WVO655338:WVO655376 WLS655338:WLS655376 WBW655338:WBW655376 VSA655338:VSA655376 VIE655338:VIE655376 UYI655338:UYI655376 UOM655338:UOM655376 UEQ655338:UEQ655376 TUU655338:TUU655376 TKY655338:TKY655376 TBC655338:TBC655376 SRG655338:SRG655376 SHK655338:SHK655376 RXO655338:RXO655376 RNS655338:RNS655376 RDW655338:RDW655376 QUA655338:QUA655376 QKE655338:QKE655376 QAI655338:QAI655376 PQM655338:PQM655376 PGQ655338:PGQ655376 OWU655338:OWU655376 OMY655338:OMY655376 ODC655338:ODC655376 NTG655338:NTG655376 NJK655338:NJK655376 MZO655338:MZO655376 MPS655338:MPS655376 MFW655338:MFW655376 LWA655338:LWA655376 LME655338:LME655376 LCI655338:LCI655376 KSM655338:KSM655376 KIQ655338:KIQ655376 JYU655338:JYU655376 JOY655338:JOY655376 JFC655338:JFC655376 IVG655338:IVG655376 ILK655338:ILK655376 IBO655338:IBO655376 HRS655338:HRS655376 HHW655338:HHW655376 GYA655338:GYA655376 GOE655338:GOE655376 GEI655338:GEI655376 FUM655338:FUM655376 FKQ655338:FKQ655376 FAU655338:FAU655376 EQY655338:EQY655376 EHC655338:EHC655376 DXG655338:DXG655376 DNK655338:DNK655376 DDO655338:DDO655376 CTS655338:CTS655376 CJW655338:CJW655376 CAA655338:CAA655376 BQE655338:BQE655376 BGI655338:BGI655376 AWM655338:AWM655376 AMQ655338:AMQ655376 ACU655338:ACU655376 SY655338:SY655376 JC655338:JC655376 G655338:G655376 WVO589802:WVO589840 WLS589802:WLS589840 WBW589802:WBW589840 VSA589802:VSA589840 VIE589802:VIE589840 UYI589802:UYI589840 UOM589802:UOM589840 UEQ589802:UEQ589840 TUU589802:TUU589840 TKY589802:TKY589840 TBC589802:TBC589840 SRG589802:SRG589840 SHK589802:SHK589840 RXO589802:RXO589840 RNS589802:RNS589840 RDW589802:RDW589840 QUA589802:QUA589840 QKE589802:QKE589840 QAI589802:QAI589840 PQM589802:PQM589840 PGQ589802:PGQ589840 OWU589802:OWU589840 OMY589802:OMY589840 ODC589802:ODC589840 NTG589802:NTG589840 NJK589802:NJK589840 MZO589802:MZO589840 MPS589802:MPS589840 MFW589802:MFW589840 LWA589802:LWA589840 LME589802:LME589840 LCI589802:LCI589840 KSM589802:KSM589840 KIQ589802:KIQ589840 JYU589802:JYU589840 JOY589802:JOY589840 JFC589802:JFC589840 IVG589802:IVG589840 ILK589802:ILK589840 IBO589802:IBO589840 HRS589802:HRS589840 HHW589802:HHW589840 GYA589802:GYA589840 GOE589802:GOE589840 GEI589802:GEI589840 FUM589802:FUM589840 FKQ589802:FKQ589840 FAU589802:FAU589840 EQY589802:EQY589840 EHC589802:EHC589840 DXG589802:DXG589840 DNK589802:DNK589840 DDO589802:DDO589840 CTS589802:CTS589840 CJW589802:CJW589840 CAA589802:CAA589840 BQE589802:BQE589840 BGI589802:BGI589840 AWM589802:AWM589840 AMQ589802:AMQ589840 ACU589802:ACU589840 SY589802:SY589840 JC589802:JC589840 G589802:G589840 WVO524266:WVO524304 WLS524266:WLS524304 WBW524266:WBW524304 VSA524266:VSA524304 VIE524266:VIE524304 UYI524266:UYI524304 UOM524266:UOM524304 UEQ524266:UEQ524304 TUU524266:TUU524304 TKY524266:TKY524304 TBC524266:TBC524304 SRG524266:SRG524304 SHK524266:SHK524304 RXO524266:RXO524304 RNS524266:RNS524304 RDW524266:RDW524304 QUA524266:QUA524304 QKE524266:QKE524304 QAI524266:QAI524304 PQM524266:PQM524304 PGQ524266:PGQ524304 OWU524266:OWU524304 OMY524266:OMY524304 ODC524266:ODC524304 NTG524266:NTG524304 NJK524266:NJK524304 MZO524266:MZO524304 MPS524266:MPS524304 MFW524266:MFW524304 LWA524266:LWA524304 LME524266:LME524304 LCI524266:LCI524304 KSM524266:KSM524304 KIQ524266:KIQ524304 JYU524266:JYU524304 JOY524266:JOY524304 JFC524266:JFC524304 IVG524266:IVG524304 ILK524266:ILK524304 IBO524266:IBO524304 HRS524266:HRS524304 HHW524266:HHW524304 GYA524266:GYA524304 GOE524266:GOE524304 GEI524266:GEI524304 FUM524266:FUM524304 FKQ524266:FKQ524304 FAU524266:FAU524304 EQY524266:EQY524304 EHC524266:EHC524304 DXG524266:DXG524304 DNK524266:DNK524304 DDO524266:DDO524304 CTS524266:CTS524304 CJW524266:CJW524304 CAA524266:CAA524304 BQE524266:BQE524304 BGI524266:BGI524304 AWM524266:AWM524304 AMQ524266:AMQ524304 ACU524266:ACU524304 SY524266:SY524304 JC524266:JC524304 G524266:G524304 WVO458730:WVO458768 WLS458730:WLS458768 WBW458730:WBW458768 VSA458730:VSA458768 VIE458730:VIE458768 UYI458730:UYI458768 UOM458730:UOM458768 UEQ458730:UEQ458768 TUU458730:TUU458768 TKY458730:TKY458768 TBC458730:TBC458768 SRG458730:SRG458768 SHK458730:SHK458768 RXO458730:RXO458768 RNS458730:RNS458768 RDW458730:RDW458768 QUA458730:QUA458768 QKE458730:QKE458768 QAI458730:QAI458768 PQM458730:PQM458768 PGQ458730:PGQ458768 OWU458730:OWU458768 OMY458730:OMY458768 ODC458730:ODC458768 NTG458730:NTG458768 NJK458730:NJK458768 MZO458730:MZO458768 MPS458730:MPS458768 MFW458730:MFW458768 LWA458730:LWA458768 LME458730:LME458768 LCI458730:LCI458768 KSM458730:KSM458768 KIQ458730:KIQ458768 JYU458730:JYU458768 JOY458730:JOY458768 JFC458730:JFC458768 IVG458730:IVG458768 ILK458730:ILK458768 IBO458730:IBO458768 HRS458730:HRS458768 HHW458730:HHW458768 GYA458730:GYA458768 GOE458730:GOE458768 GEI458730:GEI458768 FUM458730:FUM458768 FKQ458730:FKQ458768 FAU458730:FAU458768 EQY458730:EQY458768 EHC458730:EHC458768 DXG458730:DXG458768 DNK458730:DNK458768 DDO458730:DDO458768 CTS458730:CTS458768 CJW458730:CJW458768 CAA458730:CAA458768 BQE458730:BQE458768 BGI458730:BGI458768 AWM458730:AWM458768 AMQ458730:AMQ458768 ACU458730:ACU458768 SY458730:SY458768 JC458730:JC458768 G458730:G458768 WVO393194:WVO393232 WLS393194:WLS393232 WBW393194:WBW393232 VSA393194:VSA393232 VIE393194:VIE393232 UYI393194:UYI393232 UOM393194:UOM393232 UEQ393194:UEQ393232 TUU393194:TUU393232 TKY393194:TKY393232 TBC393194:TBC393232 SRG393194:SRG393232 SHK393194:SHK393232 RXO393194:RXO393232 RNS393194:RNS393232 RDW393194:RDW393232 QUA393194:QUA393232 QKE393194:QKE393232 QAI393194:QAI393232 PQM393194:PQM393232 PGQ393194:PGQ393232 OWU393194:OWU393232 OMY393194:OMY393232 ODC393194:ODC393232 NTG393194:NTG393232 NJK393194:NJK393232 MZO393194:MZO393232 MPS393194:MPS393232 MFW393194:MFW393232 LWA393194:LWA393232 LME393194:LME393232 LCI393194:LCI393232 KSM393194:KSM393232 KIQ393194:KIQ393232 JYU393194:JYU393232 JOY393194:JOY393232 JFC393194:JFC393232 IVG393194:IVG393232 ILK393194:ILK393232 IBO393194:IBO393232 HRS393194:HRS393232 HHW393194:HHW393232 GYA393194:GYA393232 GOE393194:GOE393232 GEI393194:GEI393232 FUM393194:FUM393232 FKQ393194:FKQ393232 FAU393194:FAU393232 EQY393194:EQY393232 EHC393194:EHC393232 DXG393194:DXG393232 DNK393194:DNK393232 DDO393194:DDO393232 CTS393194:CTS393232 CJW393194:CJW393232 CAA393194:CAA393232 BQE393194:BQE393232 BGI393194:BGI393232 AWM393194:AWM393232 AMQ393194:AMQ393232 ACU393194:ACU393232 SY393194:SY393232 JC393194:JC393232 G393194:G393232 WVO327658:WVO327696 WLS327658:WLS327696 WBW327658:WBW327696 VSA327658:VSA327696 VIE327658:VIE327696 UYI327658:UYI327696 UOM327658:UOM327696 UEQ327658:UEQ327696 TUU327658:TUU327696 TKY327658:TKY327696 TBC327658:TBC327696 SRG327658:SRG327696 SHK327658:SHK327696 RXO327658:RXO327696 RNS327658:RNS327696 RDW327658:RDW327696 QUA327658:QUA327696 QKE327658:QKE327696 QAI327658:QAI327696 PQM327658:PQM327696 PGQ327658:PGQ327696 OWU327658:OWU327696 OMY327658:OMY327696 ODC327658:ODC327696 NTG327658:NTG327696 NJK327658:NJK327696 MZO327658:MZO327696 MPS327658:MPS327696 MFW327658:MFW327696 LWA327658:LWA327696 LME327658:LME327696 LCI327658:LCI327696 KSM327658:KSM327696 KIQ327658:KIQ327696 JYU327658:JYU327696 JOY327658:JOY327696 JFC327658:JFC327696 IVG327658:IVG327696 ILK327658:ILK327696 IBO327658:IBO327696 HRS327658:HRS327696 HHW327658:HHW327696 GYA327658:GYA327696 GOE327658:GOE327696 GEI327658:GEI327696 FUM327658:FUM327696 FKQ327658:FKQ327696 FAU327658:FAU327696 EQY327658:EQY327696 EHC327658:EHC327696 DXG327658:DXG327696 DNK327658:DNK327696 DDO327658:DDO327696 CTS327658:CTS327696 CJW327658:CJW327696 CAA327658:CAA327696 BQE327658:BQE327696 BGI327658:BGI327696 AWM327658:AWM327696 AMQ327658:AMQ327696 ACU327658:ACU327696 SY327658:SY327696 JC327658:JC327696 G327658:G327696 WVO262122:WVO262160 WLS262122:WLS262160 WBW262122:WBW262160 VSA262122:VSA262160 VIE262122:VIE262160 UYI262122:UYI262160 UOM262122:UOM262160 UEQ262122:UEQ262160 TUU262122:TUU262160 TKY262122:TKY262160 TBC262122:TBC262160 SRG262122:SRG262160 SHK262122:SHK262160 RXO262122:RXO262160 RNS262122:RNS262160 RDW262122:RDW262160 QUA262122:QUA262160 QKE262122:QKE262160 QAI262122:QAI262160 PQM262122:PQM262160 PGQ262122:PGQ262160 OWU262122:OWU262160 OMY262122:OMY262160 ODC262122:ODC262160 NTG262122:NTG262160 NJK262122:NJK262160 MZO262122:MZO262160 MPS262122:MPS262160 MFW262122:MFW262160 LWA262122:LWA262160 LME262122:LME262160 LCI262122:LCI262160 KSM262122:KSM262160 KIQ262122:KIQ262160 JYU262122:JYU262160 JOY262122:JOY262160 JFC262122:JFC262160 IVG262122:IVG262160 ILK262122:ILK262160 IBO262122:IBO262160 HRS262122:HRS262160 HHW262122:HHW262160 GYA262122:GYA262160 GOE262122:GOE262160 GEI262122:GEI262160 FUM262122:FUM262160 FKQ262122:FKQ262160 FAU262122:FAU262160 EQY262122:EQY262160 EHC262122:EHC262160 DXG262122:DXG262160 DNK262122:DNK262160 DDO262122:DDO262160 CTS262122:CTS262160 CJW262122:CJW262160 CAA262122:CAA262160 BQE262122:BQE262160 BGI262122:BGI262160 AWM262122:AWM262160 AMQ262122:AMQ262160 ACU262122:ACU262160 SY262122:SY262160 JC262122:JC262160 G262122:G262160 WVO196586:WVO196624 WLS196586:WLS196624 WBW196586:WBW196624 VSA196586:VSA196624 VIE196586:VIE196624 UYI196586:UYI196624 UOM196586:UOM196624 UEQ196586:UEQ196624 TUU196586:TUU196624 TKY196586:TKY196624 TBC196586:TBC196624 SRG196586:SRG196624 SHK196586:SHK196624 RXO196586:RXO196624 RNS196586:RNS196624 RDW196586:RDW196624 QUA196586:QUA196624 QKE196586:QKE196624 QAI196586:QAI196624 PQM196586:PQM196624 PGQ196586:PGQ196624 OWU196586:OWU196624 OMY196586:OMY196624 ODC196586:ODC196624 NTG196586:NTG196624 NJK196586:NJK196624 MZO196586:MZO196624 MPS196586:MPS196624 MFW196586:MFW196624 LWA196586:LWA196624 LME196586:LME196624 LCI196586:LCI196624 KSM196586:KSM196624 KIQ196586:KIQ196624 JYU196586:JYU196624 JOY196586:JOY196624 JFC196586:JFC196624 IVG196586:IVG196624 ILK196586:ILK196624 IBO196586:IBO196624 HRS196586:HRS196624 HHW196586:HHW196624 GYA196586:GYA196624 GOE196586:GOE196624 GEI196586:GEI196624 FUM196586:FUM196624 FKQ196586:FKQ196624 FAU196586:FAU196624 EQY196586:EQY196624 EHC196586:EHC196624 DXG196586:DXG196624 DNK196586:DNK196624 DDO196586:DDO196624 CTS196586:CTS196624 CJW196586:CJW196624 CAA196586:CAA196624 BQE196586:BQE196624 BGI196586:BGI196624 AWM196586:AWM196624 AMQ196586:AMQ196624 ACU196586:ACU196624 SY196586:SY196624 JC196586:JC196624 G196586:G196624 WVO131050:WVO131088 WLS131050:WLS131088 WBW131050:WBW131088 VSA131050:VSA131088 VIE131050:VIE131088 UYI131050:UYI131088 UOM131050:UOM131088 UEQ131050:UEQ131088 TUU131050:TUU131088 TKY131050:TKY131088 TBC131050:TBC131088 SRG131050:SRG131088 SHK131050:SHK131088 RXO131050:RXO131088 RNS131050:RNS131088 RDW131050:RDW131088 QUA131050:QUA131088 QKE131050:QKE131088 QAI131050:QAI131088 PQM131050:PQM131088 PGQ131050:PGQ131088 OWU131050:OWU131088 OMY131050:OMY131088 ODC131050:ODC131088 NTG131050:NTG131088 NJK131050:NJK131088 MZO131050:MZO131088 MPS131050:MPS131088 MFW131050:MFW131088 LWA131050:LWA131088 LME131050:LME131088 LCI131050:LCI131088 KSM131050:KSM131088 KIQ131050:KIQ131088 JYU131050:JYU131088 JOY131050:JOY131088 JFC131050:JFC131088 IVG131050:IVG131088 ILK131050:ILK131088 IBO131050:IBO131088 HRS131050:HRS131088 HHW131050:HHW131088 GYA131050:GYA131088 GOE131050:GOE131088 GEI131050:GEI131088 FUM131050:FUM131088 FKQ131050:FKQ131088 FAU131050:FAU131088 EQY131050:EQY131088 EHC131050:EHC131088 DXG131050:DXG131088 DNK131050:DNK131088 DDO131050:DDO131088 CTS131050:CTS131088 CJW131050:CJW131088 CAA131050:CAA131088 BQE131050:BQE131088 BGI131050:BGI131088 AWM131050:AWM131088 AMQ131050:AMQ131088 ACU131050:ACU131088 SY131050:SY131088 JC131050:JC131088 G131050:G131088 WVO65514:WVO65552 WLS65514:WLS65552 WBW65514:WBW65552 VSA65514:VSA65552 VIE65514:VIE65552 UYI65514:UYI65552 UOM65514:UOM65552 UEQ65514:UEQ65552 TUU65514:TUU65552 TKY65514:TKY65552 TBC65514:TBC65552 SRG65514:SRG65552 SHK65514:SHK65552 RXO65514:RXO65552 RNS65514:RNS65552 RDW65514:RDW65552 QUA65514:QUA65552 QKE65514:QKE65552 QAI65514:QAI65552 PQM65514:PQM65552 PGQ65514:PGQ65552 OWU65514:OWU65552 OMY65514:OMY65552 ODC65514:ODC65552 NTG65514:NTG65552 NJK65514:NJK65552 MZO65514:MZO65552 MPS65514:MPS65552 MFW65514:MFW65552 LWA65514:LWA65552 LME65514:LME65552 LCI65514:LCI65552 KSM65514:KSM65552 KIQ65514:KIQ65552 JYU65514:JYU65552 JOY65514:JOY65552 JFC65514:JFC65552 IVG65514:IVG65552 ILK65514:ILK65552 IBO65514:IBO65552 HRS65514:HRS65552 HHW65514:HHW65552 GYA65514:GYA65552 GOE65514:GOE65552 GEI65514:GEI65552 FUM65514:FUM65552 FKQ65514:FKQ65552 FAU65514:FAU65552 EQY65514:EQY65552 EHC65514:EHC65552 DXG65514:DXG65552 DNK65514:DNK65552 DDO65514:DDO65552 CTS65514:CTS65552 CJW65514:CJW65552 CAA65514:CAA65552 BQE65514:BQE65552 BGI65514:BGI65552 AWM65514:AWM65552 AMQ65514:AMQ65552 ACU65514:ACU65552 SY65514:SY65552 JC65514:JC65552 WVO10:WVO16 WLS10:WLS16 WBW10:WBW16 VSA10:VSA16 VIE10:VIE16 UYI10:UYI16 UOM10:UOM16 UEQ10:UEQ16 TUU10:TUU16 TKY10:TKY16 TBC10:TBC16 SRG10:SRG16 SHK10:SHK16 RXO10:RXO16 RNS10:RNS16 RDW10:RDW16 QUA10:QUA16 QKE10:QKE16 QAI10:QAI16 PQM10:PQM16 PGQ10:PGQ16 OWU10:OWU16 OMY10:OMY16 ODC10:ODC16 NTG10:NTG16 NJK10:NJK16 MZO10:MZO16 MPS10:MPS16 MFW10:MFW16 LWA10:LWA16 LME10:LME16 LCI10:LCI16 KSM10:KSM16 KIQ10:KIQ16 JYU10:JYU16 JOY10:JOY16 JFC10:JFC16 IVG10:IVG16 ILK10:ILK16 IBO10:IBO16 HRS10:HRS16 HHW10:HHW16 GYA10:GYA16 GOE10:GOE16 GEI10:GEI16 FUM10:FUM16 FKQ10:FKQ16 FAU10:FAU16 EQY10:EQY16 EHC10:EHC16 DXG10:DXG16 DNK10:DNK16 DDO10:DDO16 CTS10:CTS16 CJW10:CJW16 CAA10:CAA16 BQE10:BQE16 BGI10:BGI16 AWM10:AWM16 AMQ10:AMQ16 ACU10:ACU16 SY10:SY16 JC10:JC16 G10:G16">
      <formula1>$G$30:$G$121</formula1>
    </dataValidation>
    <dataValidation type="list" allowBlank="1" showInputMessage="1" showErrorMessage="1" errorTitle="Oops!" error="You must enter a state, or, if the adjustment is system, enter all states." sqref="I65511 WVQ983015 WLU983015 WBY983015 VSC983015 VIG983015 UYK983015 UOO983015 UES983015 TUW983015 TLA983015 TBE983015 SRI983015 SHM983015 RXQ983015 RNU983015 RDY983015 QUC983015 QKG983015 QAK983015 PQO983015 PGS983015 OWW983015 ONA983015 ODE983015 NTI983015 NJM983015 MZQ983015 MPU983015 MFY983015 LWC983015 LMG983015 LCK983015 KSO983015 KIS983015 JYW983015 JPA983015 JFE983015 IVI983015 ILM983015 IBQ983015 HRU983015 HHY983015 GYC983015 GOG983015 GEK983015 FUO983015 FKS983015 FAW983015 ERA983015 EHE983015 DXI983015 DNM983015 DDQ983015 CTU983015 CJY983015 CAC983015 BQG983015 BGK983015 AWO983015 AMS983015 ACW983015 TA983015 JE983015 I983015 WVQ917479 WLU917479 WBY917479 VSC917479 VIG917479 UYK917479 UOO917479 UES917479 TUW917479 TLA917479 TBE917479 SRI917479 SHM917479 RXQ917479 RNU917479 RDY917479 QUC917479 QKG917479 QAK917479 PQO917479 PGS917479 OWW917479 ONA917479 ODE917479 NTI917479 NJM917479 MZQ917479 MPU917479 MFY917479 LWC917479 LMG917479 LCK917479 KSO917479 KIS917479 JYW917479 JPA917479 JFE917479 IVI917479 ILM917479 IBQ917479 HRU917479 HHY917479 GYC917479 GOG917479 GEK917479 FUO917479 FKS917479 FAW917479 ERA917479 EHE917479 DXI917479 DNM917479 DDQ917479 CTU917479 CJY917479 CAC917479 BQG917479 BGK917479 AWO917479 AMS917479 ACW917479 TA917479 JE917479 I917479 WVQ851943 WLU851943 WBY851943 VSC851943 VIG851943 UYK851943 UOO851943 UES851943 TUW851943 TLA851943 TBE851943 SRI851943 SHM851943 RXQ851943 RNU851943 RDY851943 QUC851943 QKG851943 QAK851943 PQO851943 PGS851943 OWW851943 ONA851943 ODE851943 NTI851943 NJM851943 MZQ851943 MPU851943 MFY851943 LWC851943 LMG851943 LCK851943 KSO851943 KIS851943 JYW851943 JPA851943 JFE851943 IVI851943 ILM851943 IBQ851943 HRU851943 HHY851943 GYC851943 GOG851943 GEK851943 FUO851943 FKS851943 FAW851943 ERA851943 EHE851943 DXI851943 DNM851943 DDQ851943 CTU851943 CJY851943 CAC851943 BQG851943 BGK851943 AWO851943 AMS851943 ACW851943 TA851943 JE851943 I851943 WVQ786407 WLU786407 WBY786407 VSC786407 VIG786407 UYK786407 UOO786407 UES786407 TUW786407 TLA786407 TBE786407 SRI786407 SHM786407 RXQ786407 RNU786407 RDY786407 QUC786407 QKG786407 QAK786407 PQO786407 PGS786407 OWW786407 ONA786407 ODE786407 NTI786407 NJM786407 MZQ786407 MPU786407 MFY786407 LWC786407 LMG786407 LCK786407 KSO786407 KIS786407 JYW786407 JPA786407 JFE786407 IVI786407 ILM786407 IBQ786407 HRU786407 HHY786407 GYC786407 GOG786407 GEK786407 FUO786407 FKS786407 FAW786407 ERA786407 EHE786407 DXI786407 DNM786407 DDQ786407 CTU786407 CJY786407 CAC786407 BQG786407 BGK786407 AWO786407 AMS786407 ACW786407 TA786407 JE786407 I786407 WVQ720871 WLU720871 WBY720871 VSC720871 VIG720871 UYK720871 UOO720871 UES720871 TUW720871 TLA720871 TBE720871 SRI720871 SHM720871 RXQ720871 RNU720871 RDY720871 QUC720871 QKG720871 QAK720871 PQO720871 PGS720871 OWW720871 ONA720871 ODE720871 NTI720871 NJM720871 MZQ720871 MPU720871 MFY720871 LWC720871 LMG720871 LCK720871 KSO720871 KIS720871 JYW720871 JPA720871 JFE720871 IVI720871 ILM720871 IBQ720871 HRU720871 HHY720871 GYC720871 GOG720871 GEK720871 FUO720871 FKS720871 FAW720871 ERA720871 EHE720871 DXI720871 DNM720871 DDQ720871 CTU720871 CJY720871 CAC720871 BQG720871 BGK720871 AWO720871 AMS720871 ACW720871 TA720871 JE720871 I720871 WVQ655335 WLU655335 WBY655335 VSC655335 VIG655335 UYK655335 UOO655335 UES655335 TUW655335 TLA655335 TBE655335 SRI655335 SHM655335 RXQ655335 RNU655335 RDY655335 QUC655335 QKG655335 QAK655335 PQO655335 PGS655335 OWW655335 ONA655335 ODE655335 NTI655335 NJM655335 MZQ655335 MPU655335 MFY655335 LWC655335 LMG655335 LCK655335 KSO655335 KIS655335 JYW655335 JPA655335 JFE655335 IVI655335 ILM655335 IBQ655335 HRU655335 HHY655335 GYC655335 GOG655335 GEK655335 FUO655335 FKS655335 FAW655335 ERA655335 EHE655335 DXI655335 DNM655335 DDQ655335 CTU655335 CJY655335 CAC655335 BQG655335 BGK655335 AWO655335 AMS655335 ACW655335 TA655335 JE655335 I655335 WVQ589799 WLU589799 WBY589799 VSC589799 VIG589799 UYK589799 UOO589799 UES589799 TUW589799 TLA589799 TBE589799 SRI589799 SHM589799 RXQ589799 RNU589799 RDY589799 QUC589799 QKG589799 QAK589799 PQO589799 PGS589799 OWW589799 ONA589799 ODE589799 NTI589799 NJM589799 MZQ589799 MPU589799 MFY589799 LWC589799 LMG589799 LCK589799 KSO589799 KIS589799 JYW589799 JPA589799 JFE589799 IVI589799 ILM589799 IBQ589799 HRU589799 HHY589799 GYC589799 GOG589799 GEK589799 FUO589799 FKS589799 FAW589799 ERA589799 EHE589799 DXI589799 DNM589799 DDQ589799 CTU589799 CJY589799 CAC589799 BQG589799 BGK589799 AWO589799 AMS589799 ACW589799 TA589799 JE589799 I589799 WVQ524263 WLU524263 WBY524263 VSC524263 VIG524263 UYK524263 UOO524263 UES524263 TUW524263 TLA524263 TBE524263 SRI524263 SHM524263 RXQ524263 RNU524263 RDY524263 QUC524263 QKG524263 QAK524263 PQO524263 PGS524263 OWW524263 ONA524263 ODE524263 NTI524263 NJM524263 MZQ524263 MPU524263 MFY524263 LWC524263 LMG524263 LCK524263 KSO524263 KIS524263 JYW524263 JPA524263 JFE524263 IVI524263 ILM524263 IBQ524263 HRU524263 HHY524263 GYC524263 GOG524263 GEK524263 FUO524263 FKS524263 FAW524263 ERA524263 EHE524263 DXI524263 DNM524263 DDQ524263 CTU524263 CJY524263 CAC524263 BQG524263 BGK524263 AWO524263 AMS524263 ACW524263 TA524263 JE524263 I524263 WVQ458727 WLU458727 WBY458727 VSC458727 VIG458727 UYK458727 UOO458727 UES458727 TUW458727 TLA458727 TBE458727 SRI458727 SHM458727 RXQ458727 RNU458727 RDY458727 QUC458727 QKG458727 QAK458727 PQO458727 PGS458727 OWW458727 ONA458727 ODE458727 NTI458727 NJM458727 MZQ458727 MPU458727 MFY458727 LWC458727 LMG458727 LCK458727 KSO458727 KIS458727 JYW458727 JPA458727 JFE458727 IVI458727 ILM458727 IBQ458727 HRU458727 HHY458727 GYC458727 GOG458727 GEK458727 FUO458727 FKS458727 FAW458727 ERA458727 EHE458727 DXI458727 DNM458727 DDQ458727 CTU458727 CJY458727 CAC458727 BQG458727 BGK458727 AWO458727 AMS458727 ACW458727 TA458727 JE458727 I458727 WVQ393191 WLU393191 WBY393191 VSC393191 VIG393191 UYK393191 UOO393191 UES393191 TUW393191 TLA393191 TBE393191 SRI393191 SHM393191 RXQ393191 RNU393191 RDY393191 QUC393191 QKG393191 QAK393191 PQO393191 PGS393191 OWW393191 ONA393191 ODE393191 NTI393191 NJM393191 MZQ393191 MPU393191 MFY393191 LWC393191 LMG393191 LCK393191 KSO393191 KIS393191 JYW393191 JPA393191 JFE393191 IVI393191 ILM393191 IBQ393191 HRU393191 HHY393191 GYC393191 GOG393191 GEK393191 FUO393191 FKS393191 FAW393191 ERA393191 EHE393191 DXI393191 DNM393191 DDQ393191 CTU393191 CJY393191 CAC393191 BQG393191 BGK393191 AWO393191 AMS393191 ACW393191 TA393191 JE393191 I393191 WVQ327655 WLU327655 WBY327655 VSC327655 VIG327655 UYK327655 UOO327655 UES327655 TUW327655 TLA327655 TBE327655 SRI327655 SHM327655 RXQ327655 RNU327655 RDY327655 QUC327655 QKG327655 QAK327655 PQO327655 PGS327655 OWW327655 ONA327655 ODE327655 NTI327655 NJM327655 MZQ327655 MPU327655 MFY327655 LWC327655 LMG327655 LCK327655 KSO327655 KIS327655 JYW327655 JPA327655 JFE327655 IVI327655 ILM327655 IBQ327655 HRU327655 HHY327655 GYC327655 GOG327655 GEK327655 FUO327655 FKS327655 FAW327655 ERA327655 EHE327655 DXI327655 DNM327655 DDQ327655 CTU327655 CJY327655 CAC327655 BQG327655 BGK327655 AWO327655 AMS327655 ACW327655 TA327655 JE327655 I327655 WVQ262119 WLU262119 WBY262119 VSC262119 VIG262119 UYK262119 UOO262119 UES262119 TUW262119 TLA262119 TBE262119 SRI262119 SHM262119 RXQ262119 RNU262119 RDY262119 QUC262119 QKG262119 QAK262119 PQO262119 PGS262119 OWW262119 ONA262119 ODE262119 NTI262119 NJM262119 MZQ262119 MPU262119 MFY262119 LWC262119 LMG262119 LCK262119 KSO262119 KIS262119 JYW262119 JPA262119 JFE262119 IVI262119 ILM262119 IBQ262119 HRU262119 HHY262119 GYC262119 GOG262119 GEK262119 FUO262119 FKS262119 FAW262119 ERA262119 EHE262119 DXI262119 DNM262119 DDQ262119 CTU262119 CJY262119 CAC262119 BQG262119 BGK262119 AWO262119 AMS262119 ACW262119 TA262119 JE262119 I262119 WVQ196583 WLU196583 WBY196583 VSC196583 VIG196583 UYK196583 UOO196583 UES196583 TUW196583 TLA196583 TBE196583 SRI196583 SHM196583 RXQ196583 RNU196583 RDY196583 QUC196583 QKG196583 QAK196583 PQO196583 PGS196583 OWW196583 ONA196583 ODE196583 NTI196583 NJM196583 MZQ196583 MPU196583 MFY196583 LWC196583 LMG196583 LCK196583 KSO196583 KIS196583 JYW196583 JPA196583 JFE196583 IVI196583 ILM196583 IBQ196583 HRU196583 HHY196583 GYC196583 GOG196583 GEK196583 FUO196583 FKS196583 FAW196583 ERA196583 EHE196583 DXI196583 DNM196583 DDQ196583 CTU196583 CJY196583 CAC196583 BQG196583 BGK196583 AWO196583 AMS196583 ACW196583 TA196583 JE196583 I196583 WVQ131047 WLU131047 WBY131047 VSC131047 VIG131047 UYK131047 UOO131047 UES131047 TUW131047 TLA131047 TBE131047 SRI131047 SHM131047 RXQ131047 RNU131047 RDY131047 QUC131047 QKG131047 QAK131047 PQO131047 PGS131047 OWW131047 ONA131047 ODE131047 NTI131047 NJM131047 MZQ131047 MPU131047 MFY131047 LWC131047 LMG131047 LCK131047 KSO131047 KIS131047 JYW131047 JPA131047 JFE131047 IVI131047 ILM131047 IBQ131047 HRU131047 HHY131047 GYC131047 GOG131047 GEK131047 FUO131047 FKS131047 FAW131047 ERA131047 EHE131047 DXI131047 DNM131047 DDQ131047 CTU131047 CJY131047 CAC131047 BQG131047 BGK131047 AWO131047 AMS131047 ACW131047 TA131047 JE131047 I131047 WVQ65511 WLU65511 WBY65511 VSC65511 VIG65511 UYK65511 UOO65511 UES65511 TUW65511 TLA65511 TBE65511 SRI65511 SHM65511 RXQ65511 RNU65511 RDY65511 QUC65511 QKG65511 QAK65511 PQO65511 PGS65511 OWW65511 ONA65511 ODE65511 NTI65511 NJM65511 MZQ65511 MPU65511 MFY65511 LWC65511 LMG65511 LCK65511 KSO65511 KIS65511 JYW65511 JPA65511 JFE65511 IVI65511 ILM65511 IBQ65511 HRU65511 HHY65511 GYC65511 GOG65511 GEK65511 FUO65511 FKS65511 FAW65511 ERA65511 EHE65511 DXI65511 DNM65511 DDQ65511 CTU65511 CJY65511 CAC65511 BQG65511 BGK65511 AWO65511 AMS65511 ACW65511 TA65511 JE65511 WVQ6 WLU6 WBY6 VSC6 VIG6 UYK6 UOO6 UES6 TUW6 TLA6 TBE6 SRI6 SHM6 RXQ6 RNU6 RDY6 QUC6 QKG6 QAK6 PQO6 PGS6 OWW6 ONA6 ODE6 NTI6 NJM6 MZQ6 MPU6 MFY6 LWC6 LMG6 LCK6 KSO6 KIS6 JYW6 JPA6 JFE6 IVI6 ILM6 IBQ6 HRU6 HHY6 GYC6 GOG6 GEK6 FUO6 FKS6 FAW6 ERA6 EHE6 DXI6 DNM6 DDQ6 CTU6 CJY6 CAC6 BQG6 BGK6 AWO6 AMS6 ACW6 TA6 JE6 I6">
      <formula1>$I$30:$I$37</formula1>
    </dataValidation>
  </dataValidations>
  <pageMargins left="0.75" right="0.75" top="1.25" bottom="1" header="0.5" footer="0.25"/>
  <pageSetup scale="82" orientation="portrait" r:id="rId1"/>
  <headerFooter scaleWithDoc="0" alignWithMargins="0">
    <oddHeader>&amp;R&amp;"Times New Roman,Regular"PacifiCorp Docket UE-100749
Exhibit No. ___ (MDF-2)
Page &amp;P of &amp;N
Revised 10/7/10</oddHeader>
  </headerFooter>
  <drawing r:id="rId2"/>
</worksheet>
</file>

<file path=xl/worksheets/sheet10.xml><?xml version="1.0" encoding="utf-8"?>
<worksheet xmlns="http://schemas.openxmlformats.org/spreadsheetml/2006/main" xmlns:r="http://schemas.openxmlformats.org/officeDocument/2006/relationships">
  <dimension ref="A1:Z110"/>
  <sheetViews>
    <sheetView zoomScale="80" zoomScaleNormal="80" zoomScaleSheetLayoutView="90" workbookViewId="0">
      <pane xSplit="9" ySplit="6" topLeftCell="J60" activePane="bottomRight" state="frozen"/>
      <selection activeCell="D29" sqref="D29"/>
      <selection pane="topRight" activeCell="D29" sqref="D29"/>
      <selection pane="bottomLeft" activeCell="D29" sqref="D29"/>
      <selection pane="bottomRight" activeCell="K79" sqref="K79"/>
    </sheetView>
  </sheetViews>
  <sheetFormatPr defaultRowHeight="15.75"/>
  <cols>
    <col min="1" max="1" width="13.28515625" style="41" hidden="1" customWidth="1"/>
    <col min="2" max="2" width="24.28515625" style="41" hidden="1" customWidth="1"/>
    <col min="3" max="3" width="13.85546875" style="41" hidden="1" customWidth="1"/>
    <col min="4" max="4" width="6" style="41" customWidth="1"/>
    <col min="5" max="5" width="16.7109375" style="41" hidden="1" customWidth="1"/>
    <col min="6" max="6" width="52.85546875" style="41" customWidth="1"/>
    <col min="7" max="8" width="21.85546875" style="41" hidden="1" customWidth="1"/>
    <col min="9" max="9" width="17.7109375" style="41" customWidth="1"/>
    <col min="10" max="10" width="15.140625" style="41" customWidth="1"/>
    <col min="11" max="11" width="14.7109375" style="41" customWidth="1"/>
    <col min="12" max="12" width="14" style="41" customWidth="1"/>
    <col min="13" max="13" width="13.5703125" style="41" customWidth="1"/>
    <col min="14" max="14" width="15.140625" style="41" customWidth="1"/>
    <col min="15" max="15" width="16.7109375" style="41" customWidth="1"/>
    <col min="16" max="16" width="13.7109375" style="41" customWidth="1"/>
    <col min="17" max="17" width="15.42578125" style="41" customWidth="1"/>
    <col min="18" max="18" width="16" style="41" customWidth="1"/>
    <col min="19" max="19" width="16.7109375" style="41" customWidth="1"/>
    <col min="20" max="20" width="15.7109375" style="41" customWidth="1"/>
    <col min="21" max="21" width="15.140625" style="41" customWidth="1"/>
    <col min="22" max="22" width="16.140625" style="41" customWidth="1"/>
    <col min="23" max="23" width="13" style="41" customWidth="1"/>
    <col min="24" max="24" width="14.5703125" style="41" customWidth="1"/>
    <col min="25" max="25" width="16" style="41" customWidth="1"/>
    <col min="26" max="26" width="21.28515625" style="41" customWidth="1"/>
    <col min="27" max="27" width="5.28515625" style="41" customWidth="1"/>
    <col min="28" max="28" width="6" style="41" customWidth="1"/>
    <col min="29" max="29" width="5.28515625" style="41" customWidth="1"/>
    <col min="30" max="30" width="6" style="41" customWidth="1"/>
    <col min="31" max="31" width="5.28515625" style="41" customWidth="1"/>
    <col min="32" max="32" width="6" style="41" customWidth="1"/>
    <col min="33" max="33" width="5.28515625" style="41" customWidth="1"/>
    <col min="34" max="34" width="6" style="41" customWidth="1"/>
    <col min="35" max="35" width="5.28515625" style="41" customWidth="1"/>
    <col min="36" max="36" width="6" style="41" customWidth="1"/>
    <col min="37" max="37" width="5.28515625" style="41" customWidth="1"/>
    <col min="38" max="38" width="6" style="41" customWidth="1"/>
    <col min="39" max="39" width="5.28515625" style="41" customWidth="1"/>
    <col min="40" max="40" width="6" style="41" customWidth="1"/>
    <col min="41" max="41" width="5.28515625" style="41" customWidth="1"/>
    <col min="42" max="42" width="6" style="41" customWidth="1"/>
    <col min="43" max="43" width="5.28515625" style="41" customWidth="1"/>
    <col min="44" max="44" width="6" style="41" customWidth="1"/>
    <col min="45" max="45" width="5.28515625" style="41" customWidth="1"/>
    <col min="46" max="46" width="6" style="41" customWidth="1"/>
    <col min="47" max="47" width="5.28515625" style="41" customWidth="1"/>
    <col min="48" max="48" width="6" style="41" customWidth="1"/>
    <col min="49" max="49" width="5.28515625" style="41" customWidth="1"/>
    <col min="50" max="50" width="6" style="41" customWidth="1"/>
    <col min="51" max="51" width="5.28515625" style="41" customWidth="1"/>
    <col min="52" max="52" width="6" style="41" customWidth="1"/>
    <col min="53" max="53" width="5.28515625" style="41" customWidth="1"/>
    <col min="54" max="54" width="6" style="41" customWidth="1"/>
    <col min="55" max="55" width="5.28515625" style="41" customWidth="1"/>
    <col min="56" max="56" width="6" style="41" customWidth="1"/>
    <col min="57" max="57" width="5.28515625" style="41" customWidth="1"/>
    <col min="58" max="58" width="8.140625" style="41" customWidth="1"/>
    <col min="59" max="59" width="6.85546875" style="41" customWidth="1"/>
    <col min="60" max="60" width="6" style="41" customWidth="1"/>
    <col min="61" max="61" width="5.28515625" style="41" customWidth="1"/>
    <col min="62" max="62" width="6" style="41" customWidth="1"/>
    <col min="63" max="63" width="5.28515625" style="41" customWidth="1"/>
    <col min="64" max="64" width="6" style="41" customWidth="1"/>
    <col min="65" max="65" width="5.28515625" style="41" customWidth="1"/>
    <col min="66" max="66" width="6" style="41" customWidth="1"/>
    <col min="67" max="67" width="5.28515625" style="41" customWidth="1"/>
    <col min="68" max="68" width="6" style="41" customWidth="1"/>
    <col min="69" max="69" width="5.28515625" style="41" customWidth="1"/>
    <col min="70" max="70" width="6" style="41" customWidth="1"/>
    <col min="71" max="71" width="5.28515625" style="41" customWidth="1"/>
    <col min="72" max="72" width="6" style="41" customWidth="1"/>
    <col min="73" max="73" width="5.28515625" style="41" customWidth="1"/>
    <col min="74" max="16384" width="9.140625" style="41"/>
  </cols>
  <sheetData>
    <row r="1" spans="1:26">
      <c r="C1" s="42"/>
      <c r="D1" s="40" t="s">
        <v>0</v>
      </c>
      <c r="F1" s="42"/>
      <c r="G1" s="42"/>
      <c r="H1" s="42"/>
      <c r="I1" s="42"/>
      <c r="J1" s="42"/>
      <c r="K1" s="42"/>
      <c r="L1" s="42"/>
      <c r="M1" s="42"/>
      <c r="N1" s="42"/>
      <c r="O1" s="42"/>
      <c r="P1" s="42"/>
      <c r="Q1" s="42"/>
      <c r="R1" s="42"/>
      <c r="S1" s="42"/>
      <c r="T1" s="42"/>
      <c r="U1" s="42"/>
      <c r="V1" s="42"/>
      <c r="W1" s="42"/>
      <c r="X1" s="42"/>
      <c r="Y1" s="44"/>
      <c r="Z1" s="219"/>
    </row>
    <row r="2" spans="1:26">
      <c r="C2" s="42"/>
      <c r="D2" s="40" t="s">
        <v>135</v>
      </c>
      <c r="F2" s="42"/>
      <c r="G2" s="42"/>
      <c r="H2" s="42"/>
      <c r="I2" s="42"/>
      <c r="J2" s="42"/>
      <c r="K2" s="42"/>
      <c r="L2" s="42"/>
      <c r="M2" s="42"/>
      <c r="N2" s="42"/>
      <c r="O2" s="42"/>
      <c r="P2" s="42"/>
      <c r="Q2" s="42"/>
      <c r="R2" s="42"/>
      <c r="S2" s="42"/>
      <c r="T2" s="42"/>
      <c r="U2" s="42"/>
      <c r="V2" s="42"/>
      <c r="W2" s="42"/>
      <c r="X2" s="42"/>
      <c r="Y2" s="44"/>
      <c r="Z2" s="219"/>
    </row>
    <row r="3" spans="1:26">
      <c r="B3" s="45"/>
      <c r="C3" s="44"/>
      <c r="D3" s="191" t="s">
        <v>136</v>
      </c>
      <c r="F3" s="42"/>
      <c r="G3" s="44"/>
      <c r="H3" s="42"/>
      <c r="I3" s="44"/>
      <c r="J3" s="44"/>
      <c r="K3" s="44"/>
      <c r="L3" s="44"/>
      <c r="M3" s="44"/>
      <c r="N3" s="44"/>
      <c r="O3" s="44"/>
      <c r="P3" s="44"/>
      <c r="Q3" s="44"/>
      <c r="R3" s="44"/>
      <c r="S3" s="44"/>
      <c r="T3" s="44"/>
      <c r="U3" s="44"/>
      <c r="V3" s="44"/>
      <c r="W3" s="44"/>
      <c r="X3" s="44"/>
      <c r="Y3" s="42"/>
      <c r="Z3" s="220"/>
    </row>
    <row r="4" spans="1:26">
      <c r="C4" s="42"/>
      <c r="D4" s="41" t="s">
        <v>137</v>
      </c>
      <c r="F4" s="42"/>
      <c r="G4" s="42"/>
      <c r="H4" s="42"/>
      <c r="I4" s="42"/>
      <c r="J4" s="42"/>
      <c r="K4" s="42"/>
      <c r="L4" s="42"/>
      <c r="M4" s="42"/>
      <c r="N4" s="42"/>
      <c r="O4" s="42"/>
      <c r="P4" s="42"/>
      <c r="Q4" s="42"/>
      <c r="R4" s="42"/>
      <c r="S4" s="42"/>
      <c r="T4" s="42"/>
      <c r="U4" s="42"/>
      <c r="V4" s="42"/>
      <c r="W4" s="42"/>
      <c r="X4" s="42"/>
      <c r="Y4" s="42"/>
      <c r="Z4" s="220"/>
    </row>
    <row r="5" spans="1:26">
      <c r="C5" s="42"/>
      <c r="D5" s="41" t="s">
        <v>569</v>
      </c>
      <c r="F5" s="42"/>
      <c r="G5" s="42"/>
      <c r="H5" s="42"/>
      <c r="I5" s="42"/>
      <c r="J5" s="42"/>
      <c r="K5" s="42"/>
      <c r="L5" s="47"/>
      <c r="M5" s="42"/>
      <c r="N5" s="42"/>
      <c r="O5" s="42"/>
      <c r="P5" s="42"/>
      <c r="Q5" s="42"/>
      <c r="R5" s="42"/>
      <c r="S5" s="42"/>
      <c r="T5" s="42"/>
      <c r="U5" s="42"/>
      <c r="V5" s="42"/>
      <c r="W5" s="42"/>
      <c r="X5" s="42"/>
      <c r="Y5" s="42"/>
      <c r="Z5" s="42"/>
    </row>
    <row r="6" spans="1:26" s="40" customFormat="1" ht="63">
      <c r="A6" s="48" t="s">
        <v>15</v>
      </c>
      <c r="B6" s="48" t="s">
        <v>16</v>
      </c>
      <c r="C6" s="48" t="s">
        <v>16</v>
      </c>
      <c r="D6" s="49" t="s">
        <v>460</v>
      </c>
      <c r="E6" s="49" t="s">
        <v>18</v>
      </c>
      <c r="F6" s="50" t="s">
        <v>19</v>
      </c>
      <c r="G6" s="48" t="s">
        <v>17</v>
      </c>
      <c r="H6" s="51" t="s">
        <v>138</v>
      </c>
      <c r="I6" s="51" t="s">
        <v>21</v>
      </c>
      <c r="J6" s="52" t="s">
        <v>555</v>
      </c>
      <c r="K6" s="52" t="s">
        <v>583</v>
      </c>
      <c r="L6" s="53" t="s">
        <v>512</v>
      </c>
      <c r="M6" s="53" t="s">
        <v>511</v>
      </c>
      <c r="N6" s="53" t="s">
        <v>556</v>
      </c>
      <c r="O6" s="53" t="s">
        <v>558</v>
      </c>
      <c r="P6" s="53" t="s">
        <v>559</v>
      </c>
      <c r="Q6" s="53" t="s">
        <v>560</v>
      </c>
      <c r="R6" s="53" t="s">
        <v>561</v>
      </c>
      <c r="S6" s="53" t="s">
        <v>563</v>
      </c>
      <c r="T6" s="53" t="s">
        <v>509</v>
      </c>
      <c r="U6" s="53" t="s">
        <v>508</v>
      </c>
      <c r="V6" s="53" t="s">
        <v>130</v>
      </c>
      <c r="W6" s="53" t="s">
        <v>506</v>
      </c>
      <c r="X6" s="53" t="s">
        <v>131</v>
      </c>
      <c r="Y6" s="138" t="s">
        <v>552</v>
      </c>
      <c r="Z6" s="138" t="s">
        <v>139</v>
      </c>
    </row>
    <row r="7" spans="1:26" s="40" customFormat="1">
      <c r="A7" s="49" t="s">
        <v>554</v>
      </c>
      <c r="B7" s="48"/>
      <c r="C7" s="48"/>
      <c r="D7" s="49"/>
      <c r="E7" s="49"/>
      <c r="F7" s="50"/>
      <c r="G7" s="48"/>
      <c r="H7" s="51"/>
      <c r="I7" s="51"/>
      <c r="J7" s="52" t="s">
        <v>141</v>
      </c>
      <c r="K7" s="52" t="s">
        <v>142</v>
      </c>
      <c r="L7" s="53" t="s">
        <v>495</v>
      </c>
      <c r="M7" s="53" t="s">
        <v>143</v>
      </c>
      <c r="N7" s="53" t="s">
        <v>144</v>
      </c>
      <c r="O7" s="53" t="s">
        <v>557</v>
      </c>
      <c r="P7" s="53" t="s">
        <v>150</v>
      </c>
      <c r="Q7" s="53" t="s">
        <v>500</v>
      </c>
      <c r="R7" s="53" t="s">
        <v>449</v>
      </c>
      <c r="S7" s="53" t="s">
        <v>562</v>
      </c>
      <c r="T7" s="53" t="s">
        <v>145</v>
      </c>
      <c r="U7" s="53" t="s">
        <v>146</v>
      </c>
      <c r="V7" s="53" t="s">
        <v>147</v>
      </c>
      <c r="W7" s="53" t="s">
        <v>148</v>
      </c>
      <c r="X7" s="53" t="s">
        <v>149</v>
      </c>
      <c r="Y7" s="138"/>
      <c r="Z7" s="138"/>
    </row>
    <row r="8" spans="1:26" s="40" customFormat="1">
      <c r="A8" s="48"/>
      <c r="B8" s="48"/>
      <c r="C8" s="48"/>
      <c r="D8" s="48" t="s">
        <v>461</v>
      </c>
      <c r="E8" s="48" t="s">
        <v>462</v>
      </c>
      <c r="F8" s="205" t="s">
        <v>463</v>
      </c>
      <c r="G8" s="48"/>
      <c r="H8" s="51" t="s">
        <v>464</v>
      </c>
      <c r="I8" s="51" t="s">
        <v>465</v>
      </c>
      <c r="J8" s="51" t="s">
        <v>466</v>
      </c>
      <c r="K8" s="51" t="s">
        <v>467</v>
      </c>
      <c r="L8" s="206" t="s">
        <v>468</v>
      </c>
      <c r="M8" s="206" t="s">
        <v>469</v>
      </c>
      <c r="N8" s="206" t="s">
        <v>470</v>
      </c>
      <c r="O8" s="206" t="s">
        <v>471</v>
      </c>
      <c r="P8" s="206" t="s">
        <v>472</v>
      </c>
      <c r="Q8" s="206" t="s">
        <v>473</v>
      </c>
      <c r="R8" s="206" t="s">
        <v>474</v>
      </c>
      <c r="S8" s="206" t="s">
        <v>475</v>
      </c>
      <c r="T8" s="206" t="s">
        <v>476</v>
      </c>
      <c r="U8" s="206" t="s">
        <v>477</v>
      </c>
      <c r="V8" s="206" t="s">
        <v>478</v>
      </c>
      <c r="W8" s="206" t="s">
        <v>479</v>
      </c>
      <c r="X8" s="206" t="s">
        <v>480</v>
      </c>
      <c r="Y8" s="207" t="s">
        <v>481</v>
      </c>
      <c r="Z8" s="207" t="s">
        <v>482</v>
      </c>
    </row>
    <row r="9" spans="1:26" hidden="1">
      <c r="A9" s="48"/>
      <c r="B9" s="48"/>
      <c r="C9" s="48"/>
      <c r="D9" s="48"/>
      <c r="E9" s="129" t="s">
        <v>450</v>
      </c>
      <c r="F9" s="50"/>
      <c r="G9" s="48"/>
      <c r="H9" s="208"/>
      <c r="I9" s="208"/>
      <c r="J9" s="209"/>
      <c r="K9" s="209"/>
      <c r="L9" s="210"/>
      <c r="M9" s="210"/>
      <c r="N9" s="210"/>
      <c r="O9" s="210"/>
      <c r="P9" s="210"/>
      <c r="Q9" s="210"/>
      <c r="R9" s="210"/>
      <c r="S9" s="210"/>
      <c r="T9" s="210"/>
      <c r="U9" s="210"/>
      <c r="V9" s="210"/>
      <c r="W9" s="210"/>
      <c r="X9" s="210"/>
      <c r="Y9" s="211"/>
      <c r="Z9" s="211"/>
    </row>
    <row r="10" spans="1:26">
      <c r="A10" s="58" t="s">
        <v>151</v>
      </c>
      <c r="B10" s="58" t="s">
        <v>152</v>
      </c>
      <c r="C10" s="58" t="s">
        <v>153</v>
      </c>
      <c r="D10" s="58">
        <f>1</f>
        <v>1</v>
      </c>
      <c r="E10" s="132" t="s">
        <v>22</v>
      </c>
      <c r="F10" s="58" t="s">
        <v>154</v>
      </c>
      <c r="G10" s="58" t="s">
        <v>30</v>
      </c>
      <c r="H10" s="214">
        <f>1000*4716.31375</f>
        <v>4716313.75</v>
      </c>
      <c r="I10" s="214">
        <f>1000*349.401958812</f>
        <v>349401.958812</v>
      </c>
      <c r="J10" s="213">
        <f>+'Rate Base Support'!J10</f>
        <v>0</v>
      </c>
      <c r="K10" s="213">
        <f>+'Rate Base Support'!K10</f>
        <v>0</v>
      </c>
      <c r="L10" s="213">
        <f>+'Rate Base Support'!L10</f>
        <v>0</v>
      </c>
      <c r="M10" s="213">
        <f>+'Rate Base Support'!M10</f>
        <v>0</v>
      </c>
      <c r="N10" s="213">
        <f>+'Rate Base Support'!N10</f>
        <v>0</v>
      </c>
      <c r="O10" s="213">
        <f>+'Rate Base Support'!O10</f>
        <v>-349401.96</v>
      </c>
      <c r="P10" s="213">
        <f>+'Rate Base Support'!P10</f>
        <v>0</v>
      </c>
      <c r="Q10" s="213">
        <f>+'Rate Base Support'!Q10</f>
        <v>0</v>
      </c>
      <c r="R10" s="213">
        <f>+'Rate Base Support'!R10</f>
        <v>0</v>
      </c>
      <c r="S10" s="213">
        <f>+'Rate Base Support'!S10</f>
        <v>0</v>
      </c>
      <c r="T10" s="213">
        <f>+'Rate Base Support'!T10</f>
        <v>0</v>
      </c>
      <c r="U10" s="213">
        <f>+'Rate Base Support'!U10</f>
        <v>0</v>
      </c>
      <c r="V10" s="213">
        <f>+'Rate Base Support'!V10</f>
        <v>0</v>
      </c>
      <c r="W10" s="213">
        <f>+'Rate Base Support'!W10</f>
        <v>0</v>
      </c>
      <c r="X10" s="213">
        <f>+'Rate Base Support'!X10</f>
        <v>0</v>
      </c>
      <c r="Y10" s="213">
        <f t="shared" ref="Y10:Y36" si="0">SUM(J10:X10)</f>
        <v>-349401.96</v>
      </c>
      <c r="Z10" s="213">
        <f>+Y10+I10</f>
        <v>-1.188000023830682E-3</v>
      </c>
    </row>
    <row r="11" spans="1:26">
      <c r="A11" s="58" t="s">
        <v>151</v>
      </c>
      <c r="B11" s="58" t="s">
        <v>152</v>
      </c>
      <c r="C11" s="58" t="s">
        <v>155</v>
      </c>
      <c r="D11" s="58">
        <f>1+D10</f>
        <v>2</v>
      </c>
      <c r="E11" s="132" t="s">
        <v>22</v>
      </c>
      <c r="F11" s="58" t="s">
        <v>156</v>
      </c>
      <c r="G11" s="58" t="s">
        <v>57</v>
      </c>
      <c r="H11" s="214">
        <f>1000*7.981083333</f>
        <v>7981.0833329999996</v>
      </c>
      <c r="I11" s="214">
        <f>1000*1.76278838</f>
        <v>1762.78838</v>
      </c>
      <c r="J11" s="213">
        <f>+'Rate Base Support'!J11</f>
        <v>0</v>
      </c>
      <c r="K11" s="213">
        <f>+'Rate Base Support'!K11</f>
        <v>0</v>
      </c>
      <c r="L11" s="213">
        <f>+'Rate Base Support'!L11</f>
        <v>0</v>
      </c>
      <c r="M11" s="213">
        <f>+'Rate Base Support'!M11</f>
        <v>0</v>
      </c>
      <c r="N11" s="213">
        <f>+'Rate Base Support'!N11</f>
        <v>0</v>
      </c>
      <c r="O11" s="213">
        <f>+'Rate Base Support'!O11</f>
        <v>0</v>
      </c>
      <c r="P11" s="213">
        <f>+'Rate Base Support'!P11</f>
        <v>0</v>
      </c>
      <c r="Q11" s="213">
        <f>+'Rate Base Support'!Q11</f>
        <v>0</v>
      </c>
      <c r="R11" s="213">
        <f>+'Rate Base Support'!R11</f>
        <v>0</v>
      </c>
      <c r="S11" s="213">
        <f>+'Rate Base Support'!S11</f>
        <v>0</v>
      </c>
      <c r="T11" s="213">
        <f>+'Rate Base Support'!T11</f>
        <v>0</v>
      </c>
      <c r="U11" s="213">
        <f>+'Rate Base Support'!U11</f>
        <v>0</v>
      </c>
      <c r="V11" s="213">
        <f>+'Rate Base Support'!V11</f>
        <v>0</v>
      </c>
      <c r="W11" s="213">
        <f>+'Rate Base Support'!W11</f>
        <v>0</v>
      </c>
      <c r="X11" s="213">
        <f>+'Rate Base Support'!X11</f>
        <v>0</v>
      </c>
      <c r="Y11" s="213">
        <f t="shared" si="0"/>
        <v>0</v>
      </c>
      <c r="Z11" s="213">
        <f t="shared" ref="Z11:Z57" si="1">+Y11+I11</f>
        <v>1762.78838</v>
      </c>
    </row>
    <row r="12" spans="1:26">
      <c r="A12" s="58" t="s">
        <v>151</v>
      </c>
      <c r="B12" s="58" t="s">
        <v>152</v>
      </c>
      <c r="C12" s="58" t="s">
        <v>157</v>
      </c>
      <c r="D12" s="58">
        <f t="shared" ref="D12:D75" si="2">1+D11</f>
        <v>3</v>
      </c>
      <c r="E12" s="132" t="s">
        <v>22</v>
      </c>
      <c r="F12" s="58" t="s">
        <v>158</v>
      </c>
      <c r="G12" s="58" t="s">
        <v>57</v>
      </c>
      <c r="H12" s="214">
        <f>1000*55.611041667</f>
        <v>55611.041667000005</v>
      </c>
      <c r="I12" s="214">
        <f>1000*12.282856096</f>
        <v>12282.856096</v>
      </c>
      <c r="J12" s="213">
        <f>+'Rate Base Support'!J12</f>
        <v>0</v>
      </c>
      <c r="K12" s="213">
        <f>+'Rate Base Support'!K12</f>
        <v>0</v>
      </c>
      <c r="L12" s="213">
        <f>+'Rate Base Support'!L12</f>
        <v>0</v>
      </c>
      <c r="M12" s="213">
        <f>+'Rate Base Support'!M12</f>
        <v>0</v>
      </c>
      <c r="N12" s="213">
        <f>+'Rate Base Support'!N12</f>
        <v>0</v>
      </c>
      <c r="O12" s="213">
        <f>+'Rate Base Support'!O12</f>
        <v>0</v>
      </c>
      <c r="P12" s="213">
        <f>+'Rate Base Support'!P12</f>
        <v>0</v>
      </c>
      <c r="Q12" s="213">
        <f>+'Rate Base Support'!Q12</f>
        <v>0</v>
      </c>
      <c r="R12" s="213">
        <f>+'Rate Base Support'!R12</f>
        <v>0</v>
      </c>
      <c r="S12" s="213">
        <f>+'Rate Base Support'!S12</f>
        <v>0</v>
      </c>
      <c r="T12" s="213">
        <f>+'Rate Base Support'!T12</f>
        <v>0</v>
      </c>
      <c r="U12" s="213">
        <f>+'Rate Base Support'!U12</f>
        <v>0</v>
      </c>
      <c r="V12" s="213">
        <f>+'Rate Base Support'!V12</f>
        <v>0</v>
      </c>
      <c r="W12" s="213">
        <f>+'Rate Base Support'!W12</f>
        <v>0</v>
      </c>
      <c r="X12" s="213">
        <f>+'Rate Base Support'!X12</f>
        <v>0</v>
      </c>
      <c r="Y12" s="213">
        <f t="shared" si="0"/>
        <v>0</v>
      </c>
      <c r="Z12" s="213">
        <f t="shared" si="1"/>
        <v>12282.856096</v>
      </c>
    </row>
    <row r="13" spans="1:26">
      <c r="A13" s="58" t="s">
        <v>151</v>
      </c>
      <c r="B13" s="58" t="s">
        <v>152</v>
      </c>
      <c r="C13" s="58" t="s">
        <v>159</v>
      </c>
      <c r="D13" s="58">
        <f t="shared" si="2"/>
        <v>4</v>
      </c>
      <c r="E13" s="132" t="s">
        <v>22</v>
      </c>
      <c r="F13" s="58" t="s">
        <v>162</v>
      </c>
      <c r="G13" s="58" t="s">
        <v>30</v>
      </c>
      <c r="H13" s="214">
        <f>1000*1.73254375</f>
        <v>1732.54375</v>
      </c>
      <c r="I13" s="214">
        <f>1000*0.128353246</f>
        <v>128.35324600000001</v>
      </c>
      <c r="J13" s="213">
        <f>+'Rate Base Support'!J13</f>
        <v>0</v>
      </c>
      <c r="K13" s="213">
        <f>+'Rate Base Support'!K13</f>
        <v>0</v>
      </c>
      <c r="L13" s="213">
        <f>+'Rate Base Support'!L13</f>
        <v>0</v>
      </c>
      <c r="M13" s="213">
        <f>+'Rate Base Support'!M13</f>
        <v>0</v>
      </c>
      <c r="N13" s="213">
        <f>+'Rate Base Support'!N13</f>
        <v>0</v>
      </c>
      <c r="O13" s="213">
        <f>+'Rate Base Support'!O13</f>
        <v>0</v>
      </c>
      <c r="P13" s="213">
        <f>+'Rate Base Support'!P13</f>
        <v>0</v>
      </c>
      <c r="Q13" s="213">
        <f>+'Rate Base Support'!Q13</f>
        <v>0</v>
      </c>
      <c r="R13" s="213">
        <f>+'Rate Base Support'!R13</f>
        <v>0</v>
      </c>
      <c r="S13" s="213">
        <f>+'Rate Base Support'!S13</f>
        <v>0</v>
      </c>
      <c r="T13" s="213">
        <f>+'Rate Base Support'!T13</f>
        <v>0</v>
      </c>
      <c r="U13" s="213">
        <f>+'Rate Base Support'!U13</f>
        <v>0</v>
      </c>
      <c r="V13" s="213">
        <f>+'Rate Base Support'!V13</f>
        <v>0</v>
      </c>
      <c r="W13" s="213">
        <f>+'Rate Base Support'!W13</f>
        <v>0</v>
      </c>
      <c r="X13" s="213">
        <f>+'Rate Base Support'!X13</f>
        <v>0</v>
      </c>
      <c r="Y13" s="213">
        <f t="shared" si="0"/>
        <v>0</v>
      </c>
      <c r="Z13" s="213">
        <f t="shared" si="1"/>
        <v>128.35324600000001</v>
      </c>
    </row>
    <row r="14" spans="1:26">
      <c r="A14" s="58" t="s">
        <v>151</v>
      </c>
      <c r="B14" s="58" t="s">
        <v>152</v>
      </c>
      <c r="C14" s="58" t="s">
        <v>161</v>
      </c>
      <c r="D14" s="58">
        <f t="shared" si="2"/>
        <v>5</v>
      </c>
      <c r="E14" s="132" t="s">
        <v>22</v>
      </c>
      <c r="F14" s="58" t="s">
        <v>164</v>
      </c>
      <c r="G14" s="58" t="s">
        <v>30</v>
      </c>
      <c r="H14" s="214">
        <f>1000*1555.628904167</f>
        <v>1555628.904167</v>
      </c>
      <c r="I14" s="214">
        <f>1000*115.246740381</f>
        <v>115246.740381</v>
      </c>
      <c r="J14" s="213">
        <f>+'Rate Base Support'!J14</f>
        <v>0</v>
      </c>
      <c r="K14" s="213">
        <f>+'Rate Base Support'!K14</f>
        <v>0</v>
      </c>
      <c r="L14" s="213">
        <f>+'Rate Base Support'!L14</f>
        <v>0</v>
      </c>
      <c r="M14" s="213">
        <f>+'Rate Base Support'!M14</f>
        <v>0</v>
      </c>
      <c r="N14" s="213">
        <f>+'Rate Base Support'!N14</f>
        <v>0</v>
      </c>
      <c r="O14" s="213">
        <f>+'Rate Base Support'!O14</f>
        <v>0</v>
      </c>
      <c r="P14" s="213">
        <f>+'Rate Base Support'!P14</f>
        <v>0</v>
      </c>
      <c r="Q14" s="213">
        <f>+'Rate Base Support'!Q14</f>
        <v>0</v>
      </c>
      <c r="R14" s="213">
        <f>+'Rate Base Support'!R14</f>
        <v>0</v>
      </c>
      <c r="S14" s="213">
        <f>+'Rate Base Support'!S14</f>
        <v>0</v>
      </c>
      <c r="T14" s="213">
        <f>+'Rate Base Support'!T14</f>
        <v>0</v>
      </c>
      <c r="U14" s="213">
        <f>+'Rate Base Support'!U14</f>
        <v>0</v>
      </c>
      <c r="V14" s="213">
        <f>+'Rate Base Support'!V14</f>
        <v>0</v>
      </c>
      <c r="W14" s="213">
        <f>+'Rate Base Support'!W14</f>
        <v>0</v>
      </c>
      <c r="X14" s="213">
        <f>+'Rate Base Support'!X14</f>
        <v>0</v>
      </c>
      <c r="Y14" s="213">
        <f t="shared" si="0"/>
        <v>0</v>
      </c>
      <c r="Z14" s="213">
        <f t="shared" si="1"/>
        <v>115246.740381</v>
      </c>
    </row>
    <row r="15" spans="1:26">
      <c r="A15" s="58" t="s">
        <v>151</v>
      </c>
      <c r="B15" s="58" t="s">
        <v>152</v>
      </c>
      <c r="C15" s="58" t="s">
        <v>163</v>
      </c>
      <c r="D15" s="58">
        <f t="shared" si="2"/>
        <v>6</v>
      </c>
      <c r="E15" s="132" t="s">
        <v>22</v>
      </c>
      <c r="F15" s="58" t="s">
        <v>166</v>
      </c>
      <c r="G15" s="58" t="s">
        <v>30</v>
      </c>
      <c r="H15" s="214">
        <f>1000*4431.598264583</f>
        <v>4431598.264583</v>
      </c>
      <c r="I15" s="214">
        <f>1000*328.309183059</f>
        <v>328309.183059</v>
      </c>
      <c r="J15" s="213">
        <f>+'Rate Base Support'!J15</f>
        <v>0</v>
      </c>
      <c r="K15" s="213">
        <f>+'Rate Base Support'!K15</f>
        <v>0</v>
      </c>
      <c r="L15" s="213">
        <f>+'Rate Base Support'!L15</f>
        <v>0</v>
      </c>
      <c r="M15" s="213">
        <f>+'Rate Base Support'!M15</f>
        <v>0</v>
      </c>
      <c r="N15" s="213">
        <f>+'Rate Base Support'!N15</f>
        <v>0</v>
      </c>
      <c r="O15" s="213">
        <f>+'Rate Base Support'!O15</f>
        <v>0</v>
      </c>
      <c r="P15" s="213">
        <f>+'Rate Base Support'!P15</f>
        <v>0</v>
      </c>
      <c r="Q15" s="213">
        <f>+'Rate Base Support'!Q15</f>
        <v>0</v>
      </c>
      <c r="R15" s="213">
        <f>+'Rate Base Support'!R15</f>
        <v>0</v>
      </c>
      <c r="S15" s="213">
        <f>+'Rate Base Support'!S15</f>
        <v>0</v>
      </c>
      <c r="T15" s="213">
        <f>+'Rate Base Support'!T15</f>
        <v>0</v>
      </c>
      <c r="U15" s="213">
        <f>+'Rate Base Support'!U15</f>
        <v>0</v>
      </c>
      <c r="V15" s="213">
        <f>+'Rate Base Support'!V15</f>
        <v>0</v>
      </c>
      <c r="W15" s="213">
        <f>+'Rate Base Support'!W15</f>
        <v>0</v>
      </c>
      <c r="X15" s="213">
        <f>+'Rate Base Support'!X15</f>
        <v>0</v>
      </c>
      <c r="Y15" s="213">
        <f t="shared" si="0"/>
        <v>0</v>
      </c>
      <c r="Z15" s="213">
        <f t="shared" si="1"/>
        <v>328309.183059</v>
      </c>
    </row>
    <row r="16" spans="1:26">
      <c r="A16" s="58" t="s">
        <v>151</v>
      </c>
      <c r="B16" s="58" t="s">
        <v>152</v>
      </c>
      <c r="C16" s="58" t="s">
        <v>165</v>
      </c>
      <c r="D16" s="58">
        <f t="shared" si="2"/>
        <v>7</v>
      </c>
      <c r="E16" s="132" t="s">
        <v>22</v>
      </c>
      <c r="F16" s="58" t="s">
        <v>168</v>
      </c>
      <c r="G16" s="58" t="s">
        <v>30</v>
      </c>
      <c r="H16" s="214">
        <f>1000*293.8414</f>
        <v>293841.40000000002</v>
      </c>
      <c r="I16" s="214">
        <f>1000*21.768857244</f>
        <v>21768.857243999999</v>
      </c>
      <c r="J16" s="213">
        <f>+'Rate Base Support'!J16</f>
        <v>0</v>
      </c>
      <c r="K16" s="213">
        <f>+'Rate Base Support'!K16</f>
        <v>0</v>
      </c>
      <c r="L16" s="213">
        <f>+'Rate Base Support'!L16</f>
        <v>0</v>
      </c>
      <c r="M16" s="213">
        <f>+'Rate Base Support'!M16</f>
        <v>0</v>
      </c>
      <c r="N16" s="213">
        <f>+'Rate Base Support'!N16</f>
        <v>0</v>
      </c>
      <c r="O16" s="213">
        <f>+'Rate Base Support'!O16</f>
        <v>0</v>
      </c>
      <c r="P16" s="213">
        <f>+'Rate Base Support'!P16</f>
        <v>0</v>
      </c>
      <c r="Q16" s="213">
        <f>+'Rate Base Support'!Q16</f>
        <v>0</v>
      </c>
      <c r="R16" s="213">
        <f>+'Rate Base Support'!R16</f>
        <v>0</v>
      </c>
      <c r="S16" s="213">
        <f>+'Rate Base Support'!S16</f>
        <v>0</v>
      </c>
      <c r="T16" s="213">
        <f>+'Rate Base Support'!T16</f>
        <v>0</v>
      </c>
      <c r="U16" s="213">
        <f>+'Rate Base Support'!U16</f>
        <v>0</v>
      </c>
      <c r="V16" s="213">
        <f>+'Rate Base Support'!V16</f>
        <v>0</v>
      </c>
      <c r="W16" s="213">
        <f>+'Rate Base Support'!W16</f>
        <v>0</v>
      </c>
      <c r="X16" s="213">
        <f>+'Rate Base Support'!X16</f>
        <v>0</v>
      </c>
      <c r="Y16" s="213">
        <f t="shared" si="0"/>
        <v>0</v>
      </c>
      <c r="Z16" s="213">
        <f t="shared" si="1"/>
        <v>21768.857243999999</v>
      </c>
    </row>
    <row r="17" spans="1:26">
      <c r="A17" s="58" t="s">
        <v>151</v>
      </c>
      <c r="B17" s="58" t="s">
        <v>152</v>
      </c>
      <c r="C17" s="58" t="s">
        <v>167</v>
      </c>
      <c r="D17" s="58">
        <f t="shared" si="2"/>
        <v>8</v>
      </c>
      <c r="E17" s="132" t="s">
        <v>22</v>
      </c>
      <c r="F17" s="58" t="s">
        <v>172</v>
      </c>
      <c r="G17" s="58" t="s">
        <v>30</v>
      </c>
      <c r="H17" s="214">
        <f>1000*-90.264458333</f>
        <v>-90264.458332999988</v>
      </c>
      <c r="I17" s="214">
        <f>1000*-6.687124781</f>
        <v>-6687.1247809999995</v>
      </c>
      <c r="J17" s="213">
        <f>+'Rate Base Support'!J17</f>
        <v>0</v>
      </c>
      <c r="K17" s="213">
        <f>+'Rate Base Support'!K17</f>
        <v>0</v>
      </c>
      <c r="L17" s="213">
        <f>+'Rate Base Support'!L17</f>
        <v>0</v>
      </c>
      <c r="M17" s="213">
        <f>+'Rate Base Support'!M17</f>
        <v>0</v>
      </c>
      <c r="N17" s="213">
        <f>+'Rate Base Support'!N17</f>
        <v>0</v>
      </c>
      <c r="O17" s="213">
        <f>+'Rate Base Support'!O17</f>
        <v>0</v>
      </c>
      <c r="P17" s="213">
        <f>+'Rate Base Support'!P17</f>
        <v>0</v>
      </c>
      <c r="Q17" s="213">
        <f>+'Rate Base Support'!Q17</f>
        <v>0</v>
      </c>
      <c r="R17" s="213">
        <f>+'Rate Base Support'!R17</f>
        <v>0</v>
      </c>
      <c r="S17" s="213">
        <f>+'Rate Base Support'!S17</f>
        <v>0</v>
      </c>
      <c r="T17" s="213">
        <f>+'Rate Base Support'!T17</f>
        <v>0</v>
      </c>
      <c r="U17" s="213">
        <f>+'Rate Base Support'!U17</f>
        <v>0</v>
      </c>
      <c r="V17" s="213">
        <f>+'Rate Base Support'!V17</f>
        <v>0</v>
      </c>
      <c r="W17" s="213">
        <f>+'Rate Base Support'!W17</f>
        <v>0</v>
      </c>
      <c r="X17" s="213">
        <f>+'Rate Base Support'!X17</f>
        <v>0</v>
      </c>
      <c r="Y17" s="213">
        <f t="shared" si="0"/>
        <v>0</v>
      </c>
      <c r="Z17" s="213">
        <f t="shared" si="1"/>
        <v>-6687.1247809999995</v>
      </c>
    </row>
    <row r="18" spans="1:26">
      <c r="A18" s="58" t="s">
        <v>151</v>
      </c>
      <c r="B18" s="58" t="s">
        <v>152</v>
      </c>
      <c r="C18" s="58" t="s">
        <v>169</v>
      </c>
      <c r="D18" s="58">
        <f t="shared" si="2"/>
        <v>9</v>
      </c>
      <c r="E18" s="132" t="s">
        <v>22</v>
      </c>
      <c r="F18" s="58" t="s">
        <v>174</v>
      </c>
      <c r="G18" s="58" t="s">
        <v>30</v>
      </c>
      <c r="H18" s="214">
        <f>1000*13913.1677</f>
        <v>13913167.699999999</v>
      </c>
      <c r="I18" s="214">
        <f>1000*1030.738900197</f>
        <v>1030738.900197</v>
      </c>
      <c r="J18" s="213">
        <f>+'Rate Base Support'!J18</f>
        <v>0</v>
      </c>
      <c r="K18" s="213">
        <f>+'Rate Base Support'!K18</f>
        <v>0</v>
      </c>
      <c r="L18" s="213">
        <f>+'Rate Base Support'!L18</f>
        <v>0</v>
      </c>
      <c r="M18" s="213">
        <f>+'Rate Base Support'!M18</f>
        <v>0</v>
      </c>
      <c r="N18" s="213">
        <f>+'Rate Base Support'!N18</f>
        <v>0</v>
      </c>
      <c r="O18" s="213">
        <f>+'Rate Base Support'!O18</f>
        <v>0</v>
      </c>
      <c r="P18" s="213">
        <f>+'Rate Base Support'!P18</f>
        <v>0</v>
      </c>
      <c r="Q18" s="213">
        <f>+'Rate Base Support'!Q18</f>
        <v>0</v>
      </c>
      <c r="R18" s="213">
        <f>+'Rate Base Support'!R18</f>
        <v>0</v>
      </c>
      <c r="S18" s="213">
        <f>+'Rate Base Support'!S18</f>
        <v>0</v>
      </c>
      <c r="T18" s="213">
        <f>+'Rate Base Support'!T18</f>
        <v>0</v>
      </c>
      <c r="U18" s="213">
        <f>+'Rate Base Support'!U18</f>
        <v>0</v>
      </c>
      <c r="V18" s="213">
        <f>+'Rate Base Support'!V18</f>
        <v>0</v>
      </c>
      <c r="W18" s="213">
        <f>+'Rate Base Support'!W18</f>
        <v>0</v>
      </c>
      <c r="X18" s="213">
        <f>+'Rate Base Support'!X18</f>
        <v>0</v>
      </c>
      <c r="Y18" s="213">
        <f t="shared" si="0"/>
        <v>0</v>
      </c>
      <c r="Z18" s="213">
        <f t="shared" si="1"/>
        <v>1030738.900197</v>
      </c>
    </row>
    <row r="19" spans="1:26">
      <c r="A19" s="58" t="s">
        <v>151</v>
      </c>
      <c r="B19" s="58" t="s">
        <v>152</v>
      </c>
      <c r="C19" s="58" t="s">
        <v>171</v>
      </c>
      <c r="D19" s="58">
        <f t="shared" si="2"/>
        <v>10</v>
      </c>
      <c r="E19" s="132" t="s">
        <v>22</v>
      </c>
      <c r="F19" s="58" t="s">
        <v>176</v>
      </c>
      <c r="G19" s="58" t="s">
        <v>26</v>
      </c>
      <c r="H19" s="214">
        <f>1000*211.798120833</f>
        <v>211798.12083300002</v>
      </c>
      <c r="I19" s="214">
        <f>1000*17.561547449</f>
        <v>17561.547448999998</v>
      </c>
      <c r="J19" s="213">
        <f>+'Rate Base Support'!J19</f>
        <v>0</v>
      </c>
      <c r="K19" s="213">
        <f>+'Rate Base Support'!K19</f>
        <v>0</v>
      </c>
      <c r="L19" s="213">
        <f>+'Rate Base Support'!L19</f>
        <v>0</v>
      </c>
      <c r="M19" s="213">
        <f>+'Rate Base Support'!M19</f>
        <v>0</v>
      </c>
      <c r="N19" s="213">
        <f>+'Rate Base Support'!N19</f>
        <v>0</v>
      </c>
      <c r="O19" s="213">
        <f>+'Rate Base Support'!O19</f>
        <v>0</v>
      </c>
      <c r="P19" s="213">
        <f>+'Rate Base Support'!P19</f>
        <v>0</v>
      </c>
      <c r="Q19" s="213">
        <f>+'Rate Base Support'!Q19</f>
        <v>0</v>
      </c>
      <c r="R19" s="213">
        <f>+'Rate Base Support'!R19</f>
        <v>0</v>
      </c>
      <c r="S19" s="213">
        <f>+'Rate Base Support'!S19</f>
        <v>0</v>
      </c>
      <c r="T19" s="213">
        <f>+'Rate Base Support'!T19</f>
        <v>0</v>
      </c>
      <c r="U19" s="213">
        <f>+'Rate Base Support'!U19</f>
        <v>0</v>
      </c>
      <c r="V19" s="213">
        <f>+'Rate Base Support'!V19</f>
        <v>0</v>
      </c>
      <c r="W19" s="213">
        <f>+'Rate Base Support'!W19</f>
        <v>0</v>
      </c>
      <c r="X19" s="213">
        <f>+'Rate Base Support'!X19</f>
        <v>0</v>
      </c>
      <c r="Y19" s="213">
        <f t="shared" si="0"/>
        <v>0</v>
      </c>
      <c r="Z19" s="213">
        <f t="shared" si="1"/>
        <v>17561.547448999998</v>
      </c>
    </row>
    <row r="20" spans="1:26">
      <c r="A20" s="58" t="s">
        <v>151</v>
      </c>
      <c r="B20" s="58" t="s">
        <v>152</v>
      </c>
      <c r="C20" s="58" t="s">
        <v>173</v>
      </c>
      <c r="D20" s="58">
        <f t="shared" si="2"/>
        <v>11</v>
      </c>
      <c r="E20" s="132" t="s">
        <v>22</v>
      </c>
      <c r="F20" s="58" t="s">
        <v>180</v>
      </c>
      <c r="G20" s="58" t="s">
        <v>56</v>
      </c>
      <c r="H20" s="214">
        <f>1000*3181.384529167</f>
        <v>3181384.5291670002</v>
      </c>
      <c r="I20" s="214">
        <f>1000*398.515309067</f>
        <v>398515.30906699999</v>
      </c>
      <c r="J20" s="213">
        <f>+'Rate Base Support'!J20</f>
        <v>0</v>
      </c>
      <c r="K20" s="213">
        <f>+'Rate Base Support'!K20</f>
        <v>0</v>
      </c>
      <c r="L20" s="213">
        <f>+'Rate Base Support'!L20</f>
        <v>0</v>
      </c>
      <c r="M20" s="213">
        <f>+'Rate Base Support'!M20</f>
        <v>0</v>
      </c>
      <c r="N20" s="213">
        <f>+'Rate Base Support'!N20</f>
        <v>0</v>
      </c>
      <c r="O20" s="213">
        <f>+'Rate Base Support'!O20</f>
        <v>0</v>
      </c>
      <c r="P20" s="213">
        <f>+'Rate Base Support'!P20</f>
        <v>0</v>
      </c>
      <c r="Q20" s="213">
        <f>+'Rate Base Support'!Q20</f>
        <v>0</v>
      </c>
      <c r="R20" s="213">
        <f>+'Rate Base Support'!R20</f>
        <v>0</v>
      </c>
      <c r="S20" s="213">
        <f>+'Rate Base Support'!S20</f>
        <v>0</v>
      </c>
      <c r="T20" s="213">
        <f>+'Rate Base Support'!T20</f>
        <v>0</v>
      </c>
      <c r="U20" s="213">
        <f>+'Rate Base Support'!U20</f>
        <v>0</v>
      </c>
      <c r="V20" s="213">
        <f>+'Rate Base Support'!V20</f>
        <v>0</v>
      </c>
      <c r="W20" s="213">
        <f>+'Rate Base Support'!W20</f>
        <v>0</v>
      </c>
      <c r="X20" s="213">
        <f>+'Rate Base Support'!X20</f>
        <v>0</v>
      </c>
      <c r="Y20" s="213">
        <f t="shared" si="0"/>
        <v>0</v>
      </c>
      <c r="Z20" s="213">
        <f t="shared" si="1"/>
        <v>398515.30906699999</v>
      </c>
    </row>
    <row r="21" spans="1:26">
      <c r="A21" s="58" t="s">
        <v>151</v>
      </c>
      <c r="B21" s="58" t="s">
        <v>152</v>
      </c>
      <c r="C21" s="58" t="s">
        <v>175</v>
      </c>
      <c r="D21" s="58">
        <f t="shared" si="2"/>
        <v>12</v>
      </c>
      <c r="E21" s="132" t="s">
        <v>22</v>
      </c>
      <c r="F21" s="58" t="s">
        <v>182</v>
      </c>
      <c r="G21" s="58" t="s">
        <v>30</v>
      </c>
      <c r="H21" s="214">
        <f>1000*3210.520077083</f>
        <v>3210520.077083</v>
      </c>
      <c r="I21" s="214">
        <f>1000*237.847196603</f>
        <v>237847.19660299999</v>
      </c>
      <c r="J21" s="213">
        <f>+'Rate Base Support'!J21</f>
        <v>0</v>
      </c>
      <c r="K21" s="213">
        <f>+'Rate Base Support'!K21</f>
        <v>0</v>
      </c>
      <c r="L21" s="213">
        <f>+'Rate Base Support'!L21</f>
        <v>0</v>
      </c>
      <c r="M21" s="213">
        <f>+'Rate Base Support'!M21</f>
        <v>0</v>
      </c>
      <c r="N21" s="213">
        <f>+'Rate Base Support'!N21</f>
        <v>0</v>
      </c>
      <c r="O21" s="213">
        <f>+'Rate Base Support'!O21</f>
        <v>0</v>
      </c>
      <c r="P21" s="213">
        <f>+'Rate Base Support'!P21</f>
        <v>0</v>
      </c>
      <c r="Q21" s="213">
        <f>+'Rate Base Support'!Q21</f>
        <v>0</v>
      </c>
      <c r="R21" s="213">
        <f>+'Rate Base Support'!R21</f>
        <v>0</v>
      </c>
      <c r="S21" s="213">
        <f>+'Rate Base Support'!S21</f>
        <v>0</v>
      </c>
      <c r="T21" s="213">
        <f>+'Rate Base Support'!T21</f>
        <v>0</v>
      </c>
      <c r="U21" s="213">
        <f>+'Rate Base Support'!U21</f>
        <v>0</v>
      </c>
      <c r="V21" s="213">
        <f>+'Rate Base Support'!V21</f>
        <v>0</v>
      </c>
      <c r="W21" s="213">
        <f>+'Rate Base Support'!W21</f>
        <v>0</v>
      </c>
      <c r="X21" s="213">
        <f>+'Rate Base Support'!X21</f>
        <v>0</v>
      </c>
      <c r="Y21" s="213">
        <f t="shared" si="0"/>
        <v>0</v>
      </c>
      <c r="Z21" s="213">
        <f t="shared" si="1"/>
        <v>237847.19660299999</v>
      </c>
    </row>
    <row r="22" spans="1:26">
      <c r="A22" s="58" t="s">
        <v>151</v>
      </c>
      <c r="B22" s="58" t="s">
        <v>152</v>
      </c>
      <c r="C22" s="58" t="s">
        <v>177</v>
      </c>
      <c r="D22" s="58">
        <f t="shared" si="2"/>
        <v>13</v>
      </c>
      <c r="E22" s="132" t="s">
        <v>22</v>
      </c>
      <c r="F22" s="58" t="s">
        <v>184</v>
      </c>
      <c r="G22" s="58" t="s">
        <v>57</v>
      </c>
      <c r="H22" s="214">
        <f>1000*1452.44391875</f>
        <v>1452443.91875</v>
      </c>
      <c r="I22" s="214">
        <f>1000*320.802472076</f>
        <v>320802.47207600001</v>
      </c>
      <c r="J22" s="213">
        <f>+'Rate Base Support'!J22</f>
        <v>0</v>
      </c>
      <c r="K22" s="213">
        <f>+'Rate Base Support'!K22</f>
        <v>0</v>
      </c>
      <c r="L22" s="213">
        <f>+'Rate Base Support'!L22</f>
        <v>0</v>
      </c>
      <c r="M22" s="213">
        <f>+'Rate Base Support'!M22</f>
        <v>0</v>
      </c>
      <c r="N22" s="213">
        <f>+'Rate Base Support'!N22</f>
        <v>0</v>
      </c>
      <c r="O22" s="213">
        <f>+'Rate Base Support'!O22</f>
        <v>0</v>
      </c>
      <c r="P22" s="213">
        <f>+'Rate Base Support'!P22</f>
        <v>0</v>
      </c>
      <c r="Q22" s="213">
        <f>+'Rate Base Support'!Q22</f>
        <v>0</v>
      </c>
      <c r="R22" s="213">
        <f>+'Rate Base Support'!R22</f>
        <v>0</v>
      </c>
      <c r="S22" s="213">
        <f>+'Rate Base Support'!S22</f>
        <v>0</v>
      </c>
      <c r="T22" s="213">
        <f>+'Rate Base Support'!T22</f>
        <v>0</v>
      </c>
      <c r="U22" s="213">
        <f>+'Rate Base Support'!U22</f>
        <v>0</v>
      </c>
      <c r="V22" s="213">
        <f>+'Rate Base Support'!V22</f>
        <v>0</v>
      </c>
      <c r="W22" s="213">
        <f>+'Rate Base Support'!W22</f>
        <v>0</v>
      </c>
      <c r="X22" s="213">
        <f>+'Rate Base Support'!X22</f>
        <v>0</v>
      </c>
      <c r="Y22" s="213">
        <f t="shared" si="0"/>
        <v>0</v>
      </c>
      <c r="Z22" s="213">
        <f t="shared" si="1"/>
        <v>320802.47207600001</v>
      </c>
    </row>
    <row r="23" spans="1:26">
      <c r="A23" s="58" t="s">
        <v>151</v>
      </c>
      <c r="B23" s="58" t="s">
        <v>152</v>
      </c>
      <c r="C23" s="58" t="s">
        <v>179</v>
      </c>
      <c r="D23" s="58">
        <f t="shared" si="2"/>
        <v>14</v>
      </c>
      <c r="E23" s="132" t="s">
        <v>22</v>
      </c>
      <c r="F23" s="58" t="s">
        <v>186</v>
      </c>
      <c r="G23" s="58" t="s">
        <v>49</v>
      </c>
      <c r="H23" s="214">
        <f>1000*703.24293612</f>
        <v>703242.93611999997</v>
      </c>
      <c r="I23" s="214">
        <f>1000*46.748143753</f>
        <v>46748.143753000004</v>
      </c>
      <c r="J23" s="213">
        <f>+'Rate Base Support'!J23</f>
        <v>0</v>
      </c>
      <c r="K23" s="213">
        <f>+'Rate Base Support'!K23</f>
        <v>0</v>
      </c>
      <c r="L23" s="213">
        <f>+'Rate Base Support'!L23</f>
        <v>0</v>
      </c>
      <c r="M23" s="213">
        <f>+'Rate Base Support'!M23</f>
        <v>0</v>
      </c>
      <c r="N23" s="213">
        <f>+'Rate Base Support'!N23</f>
        <v>0</v>
      </c>
      <c r="O23" s="213">
        <f>+'Rate Base Support'!O23</f>
        <v>0</v>
      </c>
      <c r="P23" s="213">
        <f>+'Rate Base Support'!P23</f>
        <v>0</v>
      </c>
      <c r="Q23" s="213">
        <f>+'Rate Base Support'!Q23</f>
        <v>0</v>
      </c>
      <c r="R23" s="213">
        <f>+'Rate Base Support'!R23</f>
        <v>0</v>
      </c>
      <c r="S23" s="213">
        <f>+'Rate Base Support'!S23</f>
        <v>0</v>
      </c>
      <c r="T23" s="213">
        <f>+'Rate Base Support'!T23</f>
        <v>0</v>
      </c>
      <c r="U23" s="213">
        <f>+'Rate Base Support'!U23</f>
        <v>0</v>
      </c>
      <c r="V23" s="213">
        <f>+'Rate Base Support'!V23</f>
        <v>0</v>
      </c>
      <c r="W23" s="213">
        <f>+'Rate Base Support'!W23</f>
        <v>0</v>
      </c>
      <c r="X23" s="213">
        <f>+'Rate Base Support'!X23</f>
        <v>0</v>
      </c>
      <c r="Y23" s="213">
        <f t="shared" si="0"/>
        <v>0</v>
      </c>
      <c r="Z23" s="213">
        <f t="shared" si="1"/>
        <v>46748.143753000004</v>
      </c>
    </row>
    <row r="24" spans="1:26">
      <c r="A24" s="58" t="s">
        <v>151</v>
      </c>
      <c r="B24" s="58" t="s">
        <v>152</v>
      </c>
      <c r="C24" s="58" t="s">
        <v>181</v>
      </c>
      <c r="D24" s="58">
        <f t="shared" si="2"/>
        <v>15</v>
      </c>
      <c r="E24" s="132" t="s">
        <v>22</v>
      </c>
      <c r="F24" s="58" t="s">
        <v>188</v>
      </c>
      <c r="G24" s="58" t="s">
        <v>30</v>
      </c>
      <c r="H24" s="214">
        <f>1000*7495.623477083</f>
        <v>7495623.4770829994</v>
      </c>
      <c r="I24" s="214">
        <f>1000*555.303498502</f>
        <v>555303.498502</v>
      </c>
      <c r="J24" s="213">
        <f>+'Rate Base Support'!J24</f>
        <v>0</v>
      </c>
      <c r="K24" s="213">
        <f>+'Rate Base Support'!K24</f>
        <v>0</v>
      </c>
      <c r="L24" s="213">
        <f>+'Rate Base Support'!L24</f>
        <v>0</v>
      </c>
      <c r="M24" s="213">
        <f>+'Rate Base Support'!M24</f>
        <v>0</v>
      </c>
      <c r="N24" s="213">
        <f>+'Rate Base Support'!N24</f>
        <v>0</v>
      </c>
      <c r="O24" s="213">
        <f>+'Rate Base Support'!O24</f>
        <v>0</v>
      </c>
      <c r="P24" s="213">
        <f>+'Rate Base Support'!P24</f>
        <v>0</v>
      </c>
      <c r="Q24" s="213">
        <f>+'Rate Base Support'!Q24</f>
        <v>0</v>
      </c>
      <c r="R24" s="213">
        <f>+'Rate Base Support'!R24</f>
        <v>0</v>
      </c>
      <c r="S24" s="213">
        <f>+'Rate Base Support'!S24</f>
        <v>0</v>
      </c>
      <c r="T24" s="213">
        <f>+'Rate Base Support'!T24</f>
        <v>0</v>
      </c>
      <c r="U24" s="213">
        <f>+'Rate Base Support'!U24</f>
        <v>0</v>
      </c>
      <c r="V24" s="213">
        <f>+'Rate Base Support'!V24</f>
        <v>0</v>
      </c>
      <c r="W24" s="213">
        <f>+'Rate Base Support'!W24</f>
        <v>0</v>
      </c>
      <c r="X24" s="213">
        <f>+'Rate Base Support'!X24</f>
        <v>0</v>
      </c>
      <c r="Y24" s="213">
        <f t="shared" si="0"/>
        <v>0</v>
      </c>
      <c r="Z24" s="213">
        <f t="shared" si="1"/>
        <v>555303.498502</v>
      </c>
    </row>
    <row r="25" spans="1:26">
      <c r="A25" s="58" t="s">
        <v>151</v>
      </c>
      <c r="B25" s="58" t="s">
        <v>152</v>
      </c>
      <c r="C25" s="58" t="s">
        <v>183</v>
      </c>
      <c r="D25" s="58">
        <f t="shared" si="2"/>
        <v>16</v>
      </c>
      <c r="E25" s="132" t="s">
        <v>22</v>
      </c>
      <c r="F25" s="58" t="s">
        <v>192</v>
      </c>
      <c r="G25" s="58" t="s">
        <v>70</v>
      </c>
      <c r="H25" s="214">
        <f>1000*0.02848125</f>
        <v>28.481249999999999</v>
      </c>
      <c r="I25" s="214">
        <f>1000*0.006300017</f>
        <v>6.3000169999999995</v>
      </c>
      <c r="J25" s="213">
        <f>+'Rate Base Support'!J25</f>
        <v>0</v>
      </c>
      <c r="K25" s="213">
        <f>+'Rate Base Support'!K25</f>
        <v>0</v>
      </c>
      <c r="L25" s="213">
        <f>+'Rate Base Support'!L25</f>
        <v>0</v>
      </c>
      <c r="M25" s="213">
        <f>+'Rate Base Support'!M25</f>
        <v>0</v>
      </c>
      <c r="N25" s="213">
        <f>+'Rate Base Support'!N25</f>
        <v>0</v>
      </c>
      <c r="O25" s="213">
        <f>+'Rate Base Support'!O25</f>
        <v>0</v>
      </c>
      <c r="P25" s="213">
        <f>+'Rate Base Support'!P25</f>
        <v>0</v>
      </c>
      <c r="Q25" s="213">
        <f>+'Rate Base Support'!Q25</f>
        <v>0</v>
      </c>
      <c r="R25" s="213">
        <f>+'Rate Base Support'!R25</f>
        <v>0</v>
      </c>
      <c r="S25" s="213">
        <f>+'Rate Base Support'!S25</f>
        <v>0</v>
      </c>
      <c r="T25" s="213">
        <f>+'Rate Base Support'!T25</f>
        <v>0</v>
      </c>
      <c r="U25" s="213">
        <f>+'Rate Base Support'!U25</f>
        <v>0</v>
      </c>
      <c r="V25" s="213">
        <f>+'Rate Base Support'!V25</f>
        <v>0</v>
      </c>
      <c r="W25" s="213">
        <f>+'Rate Base Support'!W25</f>
        <v>0</v>
      </c>
      <c r="X25" s="213">
        <f>+'Rate Base Support'!X25</f>
        <v>0</v>
      </c>
      <c r="Y25" s="213">
        <f t="shared" si="0"/>
        <v>0</v>
      </c>
      <c r="Z25" s="213">
        <f t="shared" si="1"/>
        <v>6.3000169999999995</v>
      </c>
    </row>
    <row r="26" spans="1:26">
      <c r="A26" s="58" t="s">
        <v>151</v>
      </c>
      <c r="B26" s="58" t="s">
        <v>152</v>
      </c>
      <c r="C26" s="58" t="s">
        <v>185</v>
      </c>
      <c r="D26" s="58">
        <f t="shared" si="2"/>
        <v>17</v>
      </c>
      <c r="E26" s="132" t="s">
        <v>22</v>
      </c>
      <c r="F26" s="58" t="s">
        <v>196</v>
      </c>
      <c r="G26" s="58" t="s">
        <v>30</v>
      </c>
      <c r="H26" s="214">
        <f>1000*1719.411539583</f>
        <v>1719411.5395829999</v>
      </c>
      <c r="I26" s="214">
        <f>1000*127.380363517</f>
        <v>127380.36351700001</v>
      </c>
      <c r="J26" s="213">
        <f>+'Rate Base Support'!J26</f>
        <v>0</v>
      </c>
      <c r="K26" s="213">
        <f>+'Rate Base Support'!K26</f>
        <v>0</v>
      </c>
      <c r="L26" s="213">
        <f>+'Rate Base Support'!L26</f>
        <v>0</v>
      </c>
      <c r="M26" s="213">
        <f>+'Rate Base Support'!M26</f>
        <v>0</v>
      </c>
      <c r="N26" s="213">
        <f>+'Rate Base Support'!N26</f>
        <v>0</v>
      </c>
      <c r="O26" s="213">
        <f>+'Rate Base Support'!O26</f>
        <v>0</v>
      </c>
      <c r="P26" s="213">
        <f>+'Rate Base Support'!P26</f>
        <v>0</v>
      </c>
      <c r="Q26" s="213">
        <f>+'Rate Base Support'!Q26</f>
        <v>0</v>
      </c>
      <c r="R26" s="213">
        <f>+'Rate Base Support'!R26</f>
        <v>0</v>
      </c>
      <c r="S26" s="213">
        <f>+'Rate Base Support'!S26</f>
        <v>0</v>
      </c>
      <c r="T26" s="213">
        <f>+'Rate Base Support'!T26</f>
        <v>0</v>
      </c>
      <c r="U26" s="213">
        <f>+'Rate Base Support'!U26</f>
        <v>0</v>
      </c>
      <c r="V26" s="213">
        <f>+'Rate Base Support'!V26</f>
        <v>0</v>
      </c>
      <c r="W26" s="213">
        <f>+'Rate Base Support'!W26</f>
        <v>0</v>
      </c>
      <c r="X26" s="213">
        <f>+'Rate Base Support'!X26</f>
        <v>0</v>
      </c>
      <c r="Y26" s="213">
        <f t="shared" si="0"/>
        <v>0</v>
      </c>
      <c r="Z26" s="213">
        <f t="shared" si="1"/>
        <v>127380.36351700001</v>
      </c>
    </row>
    <row r="27" spans="1:26">
      <c r="A27" s="58" t="s">
        <v>151</v>
      </c>
      <c r="B27" s="58" t="s">
        <v>152</v>
      </c>
      <c r="C27" s="58" t="s">
        <v>187</v>
      </c>
      <c r="D27" s="58">
        <f t="shared" si="2"/>
        <v>18</v>
      </c>
      <c r="E27" s="132" t="s">
        <v>22</v>
      </c>
      <c r="F27" s="58" t="s">
        <v>198</v>
      </c>
      <c r="G27" s="58" t="s">
        <v>67</v>
      </c>
      <c r="H27" s="214">
        <f>1000*87.42705625</f>
        <v>87427.056250000009</v>
      </c>
      <c r="I27" s="214">
        <f>1000*6.201427886</f>
        <v>6201.4278860000004</v>
      </c>
      <c r="J27" s="213">
        <f>+'Rate Base Support'!J27</f>
        <v>0</v>
      </c>
      <c r="K27" s="213">
        <f>+'Rate Base Support'!K27</f>
        <v>0</v>
      </c>
      <c r="L27" s="213">
        <f>+'Rate Base Support'!L27</f>
        <v>0</v>
      </c>
      <c r="M27" s="213">
        <f>+'Rate Base Support'!M27</f>
        <v>0</v>
      </c>
      <c r="N27" s="213">
        <f>+'Rate Base Support'!N27</f>
        <v>0</v>
      </c>
      <c r="O27" s="213">
        <f>+'Rate Base Support'!O27</f>
        <v>0</v>
      </c>
      <c r="P27" s="213">
        <f>+'Rate Base Support'!P27</f>
        <v>0</v>
      </c>
      <c r="Q27" s="213">
        <f>+'Rate Base Support'!Q27</f>
        <v>0</v>
      </c>
      <c r="R27" s="213">
        <f>+'Rate Base Support'!R27</f>
        <v>0</v>
      </c>
      <c r="S27" s="213">
        <f>+'Rate Base Support'!S27</f>
        <v>0</v>
      </c>
      <c r="T27" s="213">
        <f>+'Rate Base Support'!T27</f>
        <v>0</v>
      </c>
      <c r="U27" s="213">
        <f>+'Rate Base Support'!U27</f>
        <v>0</v>
      </c>
      <c r="V27" s="213">
        <f>+'Rate Base Support'!V27</f>
        <v>0</v>
      </c>
      <c r="W27" s="213">
        <f>+'Rate Base Support'!W27</f>
        <v>0</v>
      </c>
      <c r="X27" s="213">
        <f>+'Rate Base Support'!X27</f>
        <v>0</v>
      </c>
      <c r="Y27" s="213">
        <f t="shared" si="0"/>
        <v>0</v>
      </c>
      <c r="Z27" s="213">
        <f t="shared" si="1"/>
        <v>6201.4278860000004</v>
      </c>
    </row>
    <row r="28" spans="1:26">
      <c r="A28" s="58" t="s">
        <v>151</v>
      </c>
      <c r="B28" s="58" t="s">
        <v>152</v>
      </c>
      <c r="C28" s="58" t="s">
        <v>189</v>
      </c>
      <c r="D28" s="58">
        <f t="shared" si="2"/>
        <v>19</v>
      </c>
      <c r="E28" s="132" t="s">
        <v>22</v>
      </c>
      <c r="F28" s="58" t="s">
        <v>200</v>
      </c>
      <c r="G28" s="58" t="s">
        <v>30</v>
      </c>
      <c r="H28" s="214">
        <f>1000*-1038.7985</f>
        <v>-1038798.5000000001</v>
      </c>
      <c r="I28" s="214">
        <f>1000*-76.958033318</f>
        <v>-76958.033318000002</v>
      </c>
      <c r="J28" s="213">
        <f>+'Rate Base Support'!J28</f>
        <v>0</v>
      </c>
      <c r="K28" s="213">
        <f>+'Rate Base Support'!K28</f>
        <v>0</v>
      </c>
      <c r="L28" s="213">
        <f>+'Rate Base Support'!L28</f>
        <v>0</v>
      </c>
      <c r="M28" s="213">
        <f>+'Rate Base Support'!M28</f>
        <v>0</v>
      </c>
      <c r="N28" s="213">
        <f>+'Rate Base Support'!N28</f>
        <v>0</v>
      </c>
      <c r="O28" s="213">
        <f>+'Rate Base Support'!O28</f>
        <v>76958.03</v>
      </c>
      <c r="P28" s="213">
        <f>+'Rate Base Support'!P28</f>
        <v>0</v>
      </c>
      <c r="Q28" s="213">
        <f>+'Rate Base Support'!Q28</f>
        <v>0</v>
      </c>
      <c r="R28" s="213">
        <f>+'Rate Base Support'!R28</f>
        <v>0</v>
      </c>
      <c r="S28" s="213">
        <f>+'Rate Base Support'!S28</f>
        <v>0</v>
      </c>
      <c r="T28" s="213">
        <f>+'Rate Base Support'!T28</f>
        <v>0</v>
      </c>
      <c r="U28" s="213">
        <f>+'Rate Base Support'!U28</f>
        <v>0</v>
      </c>
      <c r="V28" s="213">
        <f>+'Rate Base Support'!V28</f>
        <v>0</v>
      </c>
      <c r="W28" s="213">
        <f>+'Rate Base Support'!W28</f>
        <v>0</v>
      </c>
      <c r="X28" s="213">
        <f>+'Rate Base Support'!X28</f>
        <v>0</v>
      </c>
      <c r="Y28" s="213">
        <f t="shared" si="0"/>
        <v>76958.03</v>
      </c>
      <c r="Z28" s="213">
        <f t="shared" si="1"/>
        <v>-3.3180000027641654E-3</v>
      </c>
    </row>
    <row r="29" spans="1:26">
      <c r="A29" s="58" t="s">
        <v>151</v>
      </c>
      <c r="B29" s="58" t="s">
        <v>152</v>
      </c>
      <c r="C29" s="58" t="s">
        <v>191</v>
      </c>
      <c r="D29" s="58">
        <f t="shared" si="2"/>
        <v>20</v>
      </c>
      <c r="E29" s="132" t="s">
        <v>22</v>
      </c>
      <c r="F29" s="58" t="s">
        <v>202</v>
      </c>
      <c r="G29" s="58" t="s">
        <v>30</v>
      </c>
      <c r="H29" s="214">
        <f>1000*3571.939402083</f>
        <v>3571939.4020830002</v>
      </c>
      <c r="I29" s="214">
        <f>1000*264.622476366</f>
        <v>264622.47636600002</v>
      </c>
      <c r="J29" s="213">
        <f>+'Rate Base Support'!J29</f>
        <v>0</v>
      </c>
      <c r="K29" s="213">
        <f>+'Rate Base Support'!K29</f>
        <v>0</v>
      </c>
      <c r="L29" s="213">
        <f>+'Rate Base Support'!L29</f>
        <v>0</v>
      </c>
      <c r="M29" s="213">
        <f>+'Rate Base Support'!M29</f>
        <v>0</v>
      </c>
      <c r="N29" s="213">
        <f>+'Rate Base Support'!N29</f>
        <v>0</v>
      </c>
      <c r="O29" s="213">
        <f>+'Rate Base Support'!O29</f>
        <v>0</v>
      </c>
      <c r="P29" s="213">
        <f>+'Rate Base Support'!P29</f>
        <v>0</v>
      </c>
      <c r="Q29" s="213">
        <f>+'Rate Base Support'!Q29</f>
        <v>0</v>
      </c>
      <c r="R29" s="213">
        <f>+'Rate Base Support'!R29</f>
        <v>0</v>
      </c>
      <c r="S29" s="213">
        <f>+'Rate Base Support'!S29</f>
        <v>0</v>
      </c>
      <c r="T29" s="213">
        <f>+'Rate Base Support'!T29</f>
        <v>0</v>
      </c>
      <c r="U29" s="213">
        <f>+'Rate Base Support'!U29</f>
        <v>0</v>
      </c>
      <c r="V29" s="213">
        <f>+'Rate Base Support'!V29</f>
        <v>0</v>
      </c>
      <c r="W29" s="213">
        <f>+'Rate Base Support'!W29</f>
        <v>0</v>
      </c>
      <c r="X29" s="213">
        <f>+'Rate Base Support'!X29</f>
        <v>0</v>
      </c>
      <c r="Y29" s="213">
        <f t="shared" si="0"/>
        <v>0</v>
      </c>
      <c r="Z29" s="213">
        <f t="shared" si="1"/>
        <v>264622.47636600002</v>
      </c>
    </row>
    <row r="30" spans="1:26">
      <c r="A30" s="58" t="s">
        <v>151</v>
      </c>
      <c r="B30" s="58" t="s">
        <v>152</v>
      </c>
      <c r="C30" s="58" t="s">
        <v>233</v>
      </c>
      <c r="D30" s="58">
        <f t="shared" si="2"/>
        <v>21</v>
      </c>
      <c r="E30" s="132" t="s">
        <v>22</v>
      </c>
      <c r="F30" s="58" t="s">
        <v>170</v>
      </c>
      <c r="G30" s="58" t="s">
        <v>30</v>
      </c>
      <c r="H30" s="214">
        <f>1000*913.088954167</f>
        <v>913088.95416700002</v>
      </c>
      <c r="I30" s="214">
        <f>1000*67.645</f>
        <v>67645</v>
      </c>
      <c r="J30" s="213">
        <f>+'Rate Base Support'!J30</f>
        <v>0</v>
      </c>
      <c r="K30" s="213">
        <f>+'Rate Base Support'!K30</f>
        <v>0</v>
      </c>
      <c r="L30" s="213">
        <f>+'Rate Base Support'!L30</f>
        <v>0</v>
      </c>
      <c r="M30" s="213">
        <f>+'Rate Base Support'!M30</f>
        <v>0</v>
      </c>
      <c r="N30" s="213">
        <f>+'Rate Base Support'!N30</f>
        <v>0</v>
      </c>
      <c r="O30" s="213">
        <f>+'Rate Base Support'!O30</f>
        <v>0</v>
      </c>
      <c r="P30" s="213">
        <f>+'Rate Base Support'!P30</f>
        <v>0</v>
      </c>
      <c r="Q30" s="213">
        <f>+'Rate Base Support'!Q30</f>
        <v>0</v>
      </c>
      <c r="R30" s="213">
        <f>+'Rate Base Support'!R30</f>
        <v>0</v>
      </c>
      <c r="S30" s="213">
        <f>+'Rate Base Support'!S30</f>
        <v>0</v>
      </c>
      <c r="T30" s="213">
        <f>+'Rate Base Support'!T30</f>
        <v>0</v>
      </c>
      <c r="U30" s="213">
        <f>+'Rate Base Support'!U30</f>
        <v>0</v>
      </c>
      <c r="V30" s="213">
        <f>+'Rate Base Support'!V30</f>
        <v>0</v>
      </c>
      <c r="W30" s="213">
        <f>+'Rate Base Support'!W30</f>
        <v>0</v>
      </c>
      <c r="X30" s="213">
        <f>+'Rate Base Support'!X30</f>
        <v>0</v>
      </c>
      <c r="Y30" s="213">
        <f t="shared" si="0"/>
        <v>0</v>
      </c>
      <c r="Z30" s="213">
        <f t="shared" si="1"/>
        <v>67645</v>
      </c>
    </row>
    <row r="31" spans="1:26">
      <c r="A31" s="58" t="s">
        <v>151</v>
      </c>
      <c r="B31" s="58" t="s">
        <v>152</v>
      </c>
      <c r="C31" s="58" t="s">
        <v>193</v>
      </c>
      <c r="D31" s="58">
        <f t="shared" si="2"/>
        <v>22</v>
      </c>
      <c r="E31" s="132" t="s">
        <v>22</v>
      </c>
      <c r="F31" s="58" t="s">
        <v>206</v>
      </c>
      <c r="G31" s="58" t="s">
        <v>30</v>
      </c>
      <c r="H31" s="214">
        <f>1000*295.6664375</f>
        <v>295666.4375</v>
      </c>
      <c r="I31" s="214">
        <f>1000*21.904062769</f>
        <v>21904.062769</v>
      </c>
      <c r="J31" s="213">
        <f>+'Rate Base Support'!J31</f>
        <v>0</v>
      </c>
      <c r="K31" s="213">
        <f>+'Rate Base Support'!K31</f>
        <v>0</v>
      </c>
      <c r="L31" s="213">
        <f>+'Rate Base Support'!L31</f>
        <v>0</v>
      </c>
      <c r="M31" s="213">
        <f>+'Rate Base Support'!M31</f>
        <v>-21904</v>
      </c>
      <c r="N31" s="213">
        <f>+'Rate Base Support'!N31</f>
        <v>0</v>
      </c>
      <c r="O31" s="213">
        <f>+'Rate Base Support'!O31</f>
        <v>0</v>
      </c>
      <c r="P31" s="213">
        <f>+'Rate Base Support'!P31</f>
        <v>0</v>
      </c>
      <c r="Q31" s="213">
        <f>+'Rate Base Support'!Q31</f>
        <v>0</v>
      </c>
      <c r="R31" s="213">
        <f>+'Rate Base Support'!R31</f>
        <v>0</v>
      </c>
      <c r="S31" s="213">
        <f>+'Rate Base Support'!S31</f>
        <v>0</v>
      </c>
      <c r="T31" s="213">
        <f>+'Rate Base Support'!T31</f>
        <v>0</v>
      </c>
      <c r="U31" s="213">
        <f>+'Rate Base Support'!U31</f>
        <v>0</v>
      </c>
      <c r="V31" s="213">
        <f>+'Rate Base Support'!V31</f>
        <v>0</v>
      </c>
      <c r="W31" s="213">
        <f>+'Rate Base Support'!W31</f>
        <v>0</v>
      </c>
      <c r="X31" s="213">
        <f>+'Rate Base Support'!X31</f>
        <v>0</v>
      </c>
      <c r="Y31" s="213">
        <f t="shared" si="0"/>
        <v>-21904</v>
      </c>
      <c r="Z31" s="213">
        <f t="shared" si="1"/>
        <v>6.2769000000116648E-2</v>
      </c>
    </row>
    <row r="32" spans="1:26">
      <c r="A32" s="58" t="s">
        <v>151</v>
      </c>
      <c r="B32" s="58" t="s">
        <v>152</v>
      </c>
      <c r="C32" s="58" t="s">
        <v>195</v>
      </c>
      <c r="D32" s="58">
        <f t="shared" si="2"/>
        <v>23</v>
      </c>
      <c r="E32" s="132" t="s">
        <v>22</v>
      </c>
      <c r="F32" s="58" t="s">
        <v>208</v>
      </c>
      <c r="G32" s="58" t="s">
        <v>42</v>
      </c>
      <c r="H32" s="214">
        <f>1000*3571.843470833</f>
        <v>3571843.4708330003</v>
      </c>
      <c r="I32" s="214">
        <f>1000*281.829736874</f>
        <v>281829.73687399999</v>
      </c>
      <c r="J32" s="213">
        <f>+'Rate Base Support'!J32</f>
        <v>0</v>
      </c>
      <c r="K32" s="213">
        <f>+'Rate Base Support'!K32</f>
        <v>0</v>
      </c>
      <c r="L32" s="213">
        <f>+'Rate Base Support'!L32</f>
        <v>0</v>
      </c>
      <c r="M32" s="213">
        <f>+'Rate Base Support'!M32</f>
        <v>0</v>
      </c>
      <c r="N32" s="213">
        <f>+'Rate Base Support'!N32</f>
        <v>0</v>
      </c>
      <c r="O32" s="213">
        <f>+'Rate Base Support'!O32</f>
        <v>0</v>
      </c>
      <c r="P32" s="213">
        <f>+'Rate Base Support'!P32</f>
        <v>0</v>
      </c>
      <c r="Q32" s="213">
        <f>+'Rate Base Support'!Q32</f>
        <v>0</v>
      </c>
      <c r="R32" s="213">
        <f>+'Rate Base Support'!R32</f>
        <v>0</v>
      </c>
      <c r="S32" s="213">
        <f>+'Rate Base Support'!S32</f>
        <v>0</v>
      </c>
      <c r="T32" s="213">
        <f>+'Rate Base Support'!T32</f>
        <v>0</v>
      </c>
      <c r="U32" s="213">
        <f>+'Rate Base Support'!U32</f>
        <v>0</v>
      </c>
      <c r="V32" s="213">
        <f>+'Rate Base Support'!V32</f>
        <v>0</v>
      </c>
      <c r="W32" s="213">
        <f>+'Rate Base Support'!W32</f>
        <v>0</v>
      </c>
      <c r="X32" s="213">
        <f>+'Rate Base Support'!X32</f>
        <v>0</v>
      </c>
      <c r="Y32" s="213">
        <f t="shared" si="0"/>
        <v>0</v>
      </c>
      <c r="Z32" s="213">
        <f t="shared" si="1"/>
        <v>281829.73687399999</v>
      </c>
    </row>
    <row r="33" spans="1:26">
      <c r="A33" s="58" t="s">
        <v>151</v>
      </c>
      <c r="B33" s="58" t="s">
        <v>152</v>
      </c>
      <c r="C33" s="58" t="s">
        <v>197</v>
      </c>
      <c r="D33" s="58">
        <f t="shared" si="2"/>
        <v>24</v>
      </c>
      <c r="E33" s="132" t="s">
        <v>22</v>
      </c>
      <c r="F33" s="58" t="s">
        <v>210</v>
      </c>
      <c r="G33" s="58" t="s">
        <v>57</v>
      </c>
      <c r="H33" s="214">
        <f>1000*716.171833333</f>
        <v>716171.83333299996</v>
      </c>
      <c r="I33" s="214">
        <f>1000*158.181456508</f>
        <v>158181.456508</v>
      </c>
      <c r="J33" s="213">
        <f>+'Rate Base Support'!J33</f>
        <v>0</v>
      </c>
      <c r="K33" s="213">
        <f>+'Rate Base Support'!K33</f>
        <v>0</v>
      </c>
      <c r="L33" s="213">
        <f>+'Rate Base Support'!L33</f>
        <v>0</v>
      </c>
      <c r="M33" s="213">
        <f>+'Rate Base Support'!M33</f>
        <v>0</v>
      </c>
      <c r="N33" s="213">
        <f>+'Rate Base Support'!N33</f>
        <v>0</v>
      </c>
      <c r="O33" s="213">
        <f>+'Rate Base Support'!O33</f>
        <v>0</v>
      </c>
      <c r="P33" s="213">
        <f>+'Rate Base Support'!P33</f>
        <v>0</v>
      </c>
      <c r="Q33" s="213">
        <f>+'Rate Base Support'!Q33</f>
        <v>0</v>
      </c>
      <c r="R33" s="213">
        <f>+'Rate Base Support'!R33</f>
        <v>0</v>
      </c>
      <c r="S33" s="213">
        <f>+'Rate Base Support'!S33</f>
        <v>0</v>
      </c>
      <c r="T33" s="213">
        <f>+'Rate Base Support'!T33</f>
        <v>0</v>
      </c>
      <c r="U33" s="213">
        <f>+'Rate Base Support'!U33</f>
        <v>0</v>
      </c>
      <c r="V33" s="213">
        <f>+'Rate Base Support'!V33</f>
        <v>0</v>
      </c>
      <c r="W33" s="213">
        <f>+'Rate Base Support'!W33</f>
        <v>0</v>
      </c>
      <c r="X33" s="213">
        <f>+'Rate Base Support'!X33</f>
        <v>0</v>
      </c>
      <c r="Y33" s="213">
        <f t="shared" si="0"/>
        <v>0</v>
      </c>
      <c r="Z33" s="213">
        <f t="shared" si="1"/>
        <v>158181.456508</v>
      </c>
    </row>
    <row r="34" spans="1:26">
      <c r="A34" s="58" t="s">
        <v>151</v>
      </c>
      <c r="B34" s="58" t="s">
        <v>152</v>
      </c>
      <c r="C34" s="58" t="s">
        <v>199</v>
      </c>
      <c r="D34" s="58">
        <f t="shared" si="2"/>
        <v>25</v>
      </c>
      <c r="E34" s="132" t="s">
        <v>22</v>
      </c>
      <c r="F34" s="58" t="s">
        <v>212</v>
      </c>
      <c r="G34" s="58" t="s">
        <v>76</v>
      </c>
      <c r="H34" s="214">
        <f>1000*262.658954167</f>
        <v>262658.95416700002</v>
      </c>
      <c r="I34" s="214">
        <f>1000*58.495592141</f>
        <v>58495.592141000001</v>
      </c>
      <c r="J34" s="213">
        <f>+'Rate Base Support'!J34</f>
        <v>0</v>
      </c>
      <c r="K34" s="213">
        <f>+'Rate Base Support'!K34</f>
        <v>0</v>
      </c>
      <c r="L34" s="213">
        <f>+'Rate Base Support'!L34</f>
        <v>0</v>
      </c>
      <c r="M34" s="213">
        <f>+'Rate Base Support'!M34</f>
        <v>0</v>
      </c>
      <c r="N34" s="213">
        <f>+'Rate Base Support'!N34</f>
        <v>0</v>
      </c>
      <c r="O34" s="213">
        <f>+'Rate Base Support'!O34</f>
        <v>0</v>
      </c>
      <c r="P34" s="213">
        <f>+'Rate Base Support'!P34</f>
        <v>0</v>
      </c>
      <c r="Q34" s="213">
        <f>+'Rate Base Support'!Q34</f>
        <v>0</v>
      </c>
      <c r="R34" s="213">
        <f>+'Rate Base Support'!R34</f>
        <v>0</v>
      </c>
      <c r="S34" s="213">
        <f>+'Rate Base Support'!S34</f>
        <v>0</v>
      </c>
      <c r="T34" s="213">
        <f>+'Rate Base Support'!T34</f>
        <v>0</v>
      </c>
      <c r="U34" s="213">
        <f>+'Rate Base Support'!U34</f>
        <v>0</v>
      </c>
      <c r="V34" s="213">
        <f>+'Rate Base Support'!V34</f>
        <v>0</v>
      </c>
      <c r="W34" s="213">
        <f>+'Rate Base Support'!W34</f>
        <v>0</v>
      </c>
      <c r="X34" s="213">
        <f>+'Rate Base Support'!X34</f>
        <v>0</v>
      </c>
      <c r="Y34" s="213">
        <f t="shared" si="0"/>
        <v>0</v>
      </c>
      <c r="Z34" s="213">
        <f t="shared" si="1"/>
        <v>58495.592141000001</v>
      </c>
    </row>
    <row r="35" spans="1:26">
      <c r="A35" s="58" t="s">
        <v>151</v>
      </c>
      <c r="B35" s="58" t="s">
        <v>152</v>
      </c>
      <c r="C35" s="58" t="s">
        <v>201</v>
      </c>
      <c r="D35" s="58">
        <f t="shared" si="2"/>
        <v>26</v>
      </c>
      <c r="E35" s="132" t="s">
        <v>22</v>
      </c>
      <c r="F35" s="58" t="s">
        <v>218</v>
      </c>
      <c r="G35" s="58" t="s">
        <v>30</v>
      </c>
      <c r="H35" s="214">
        <f>1000*1013.777</f>
        <v>1013777</v>
      </c>
      <c r="I35" s="214">
        <f>1000*75.104348094</f>
        <v>75104.348094000001</v>
      </c>
      <c r="J35" s="213">
        <f>+'Rate Base Support'!J35</f>
        <v>0</v>
      </c>
      <c r="K35" s="213">
        <f>+'Rate Base Support'!K35</f>
        <v>0</v>
      </c>
      <c r="L35" s="213">
        <f>+'Rate Base Support'!L35</f>
        <v>0</v>
      </c>
      <c r="M35" s="213">
        <f>+'Rate Base Support'!M35</f>
        <v>0</v>
      </c>
      <c r="N35" s="213">
        <f>+'Rate Base Support'!N35</f>
        <v>0</v>
      </c>
      <c r="O35" s="213">
        <f>+'Rate Base Support'!O35</f>
        <v>0</v>
      </c>
      <c r="P35" s="213">
        <f>+'Rate Base Support'!P35</f>
        <v>0</v>
      </c>
      <c r="Q35" s="213">
        <f>+'Rate Base Support'!Q35</f>
        <v>0</v>
      </c>
      <c r="R35" s="213">
        <f>+'Rate Base Support'!R35</f>
        <v>0</v>
      </c>
      <c r="S35" s="213">
        <f>+'Rate Base Support'!S35</f>
        <v>0</v>
      </c>
      <c r="T35" s="213">
        <f>+'Rate Base Support'!T35</f>
        <v>0</v>
      </c>
      <c r="U35" s="213">
        <f>+'Rate Base Support'!U35</f>
        <v>0</v>
      </c>
      <c r="V35" s="213">
        <f>+'Rate Base Support'!V35</f>
        <v>0</v>
      </c>
      <c r="W35" s="213">
        <f>+'Rate Base Support'!W35</f>
        <v>0</v>
      </c>
      <c r="X35" s="213">
        <f>+'Rate Base Support'!X35</f>
        <v>0</v>
      </c>
      <c r="Y35" s="213">
        <f t="shared" si="0"/>
        <v>0</v>
      </c>
      <c r="Z35" s="213">
        <f t="shared" si="1"/>
        <v>75104.348094000001</v>
      </c>
    </row>
    <row r="36" spans="1:26">
      <c r="A36" s="58" t="s">
        <v>151</v>
      </c>
      <c r="B36" s="58" t="s">
        <v>152</v>
      </c>
      <c r="C36" s="58" t="s">
        <v>203</v>
      </c>
      <c r="D36" s="58">
        <f t="shared" si="2"/>
        <v>27</v>
      </c>
      <c r="E36" s="132" t="s">
        <v>22</v>
      </c>
      <c r="F36" s="58" t="s">
        <v>220</v>
      </c>
      <c r="G36" s="58" t="s">
        <v>30</v>
      </c>
      <c r="H36" s="214">
        <f>1000*706.205458333</f>
        <v>706205.45833300008</v>
      </c>
      <c r="I36" s="214">
        <f>1000*52.318311195</f>
        <v>52318.311195000002</v>
      </c>
      <c r="J36" s="213">
        <f>+'Rate Base Support'!J36</f>
        <v>0</v>
      </c>
      <c r="K36" s="213">
        <f>+'Rate Base Support'!K36</f>
        <v>0</v>
      </c>
      <c r="L36" s="213">
        <f>+'Rate Base Support'!L36</f>
        <v>0</v>
      </c>
      <c r="M36" s="213">
        <f>+'Rate Base Support'!M36</f>
        <v>0</v>
      </c>
      <c r="N36" s="213">
        <f>+'Rate Base Support'!N36</f>
        <v>0</v>
      </c>
      <c r="O36" s="213">
        <f>+'Rate Base Support'!O36</f>
        <v>0</v>
      </c>
      <c r="P36" s="213">
        <f>+'Rate Base Support'!P36</f>
        <v>0</v>
      </c>
      <c r="Q36" s="213">
        <f>+'Rate Base Support'!Q36</f>
        <v>0</v>
      </c>
      <c r="R36" s="213">
        <f>+'Rate Base Support'!R36</f>
        <v>0</v>
      </c>
      <c r="S36" s="213">
        <f>+'Rate Base Support'!S36</f>
        <v>0</v>
      </c>
      <c r="T36" s="213">
        <f>+'Rate Base Support'!T36</f>
        <v>0</v>
      </c>
      <c r="U36" s="213">
        <f>+'Rate Base Support'!U36</f>
        <v>0</v>
      </c>
      <c r="V36" s="213">
        <f>+'Rate Base Support'!V36</f>
        <v>0</v>
      </c>
      <c r="W36" s="213">
        <f>+'Rate Base Support'!W36</f>
        <v>0</v>
      </c>
      <c r="X36" s="213">
        <f>+'Rate Base Support'!X36</f>
        <v>0</v>
      </c>
      <c r="Y36" s="213">
        <f t="shared" si="0"/>
        <v>0</v>
      </c>
      <c r="Z36" s="213">
        <f t="shared" si="1"/>
        <v>52318.311195000002</v>
      </c>
    </row>
    <row r="37" spans="1:26">
      <c r="A37" s="58" t="s">
        <v>151</v>
      </c>
      <c r="B37" s="58" t="s">
        <v>152</v>
      </c>
      <c r="C37" s="58" t="s">
        <v>205</v>
      </c>
      <c r="D37" s="58">
        <f t="shared" si="2"/>
        <v>28</v>
      </c>
      <c r="E37" s="132" t="s">
        <v>22</v>
      </c>
      <c r="F37" s="58" t="s">
        <v>222</v>
      </c>
      <c r="G37" s="58" t="s">
        <v>30</v>
      </c>
      <c r="H37" s="214">
        <f>1000*257.159266667</f>
        <v>257159.26666699999</v>
      </c>
      <c r="I37" s="214">
        <f>1000*19.051309192</f>
        <v>19051.309192000001</v>
      </c>
      <c r="J37" s="213">
        <f>+'Rate Base Support'!J37</f>
        <v>0</v>
      </c>
      <c r="K37" s="213">
        <f>+'Rate Base Support'!K37</f>
        <v>0</v>
      </c>
      <c r="L37" s="213">
        <f>+'Rate Base Support'!L37</f>
        <v>0</v>
      </c>
      <c r="M37" s="213">
        <f>+'Rate Base Support'!M37</f>
        <v>0</v>
      </c>
      <c r="N37" s="213">
        <f>+'Rate Base Support'!N37</f>
        <v>0</v>
      </c>
      <c r="O37" s="213">
        <f>+'Rate Base Support'!O37</f>
        <v>0</v>
      </c>
      <c r="P37" s="213">
        <f>+'Rate Base Support'!P37</f>
        <v>0</v>
      </c>
      <c r="Q37" s="213">
        <f>+'Rate Base Support'!Q37</f>
        <v>0</v>
      </c>
      <c r="R37" s="213">
        <f>+'Rate Base Support'!R37</f>
        <v>0</v>
      </c>
      <c r="S37" s="213">
        <f>+'Rate Base Support'!S37</f>
        <v>0</v>
      </c>
      <c r="T37" s="213">
        <f>+'Rate Base Support'!T37</f>
        <v>0</v>
      </c>
      <c r="U37" s="213">
        <f>+'Rate Base Support'!U37</f>
        <v>-19051</v>
      </c>
      <c r="V37" s="213">
        <f>+'Rate Base Support'!V37</f>
        <v>0</v>
      </c>
      <c r="W37" s="213">
        <f>+'Rate Base Support'!W37</f>
        <v>0</v>
      </c>
      <c r="X37" s="213">
        <f>+'Rate Base Support'!X37</f>
        <v>0</v>
      </c>
      <c r="Y37" s="213">
        <f>ROUND(SUM(J37:X37),0)</f>
        <v>-19051</v>
      </c>
      <c r="Z37" s="213">
        <f t="shared" si="1"/>
        <v>0.30919200000062119</v>
      </c>
    </row>
    <row r="38" spans="1:26">
      <c r="A38" s="58" t="s">
        <v>151</v>
      </c>
      <c r="B38" s="58" t="s">
        <v>152</v>
      </c>
      <c r="C38" s="58" t="s">
        <v>207</v>
      </c>
      <c r="D38" s="58">
        <f t="shared" si="2"/>
        <v>29</v>
      </c>
      <c r="E38" s="132" t="s">
        <v>22</v>
      </c>
      <c r="F38" s="58" t="s">
        <v>224</v>
      </c>
      <c r="G38" s="58" t="s">
        <v>36</v>
      </c>
      <c r="H38" s="214">
        <f>1000*1.66375</f>
        <v>1663.75</v>
      </c>
      <c r="I38" s="214">
        <f>1000*1.66375</f>
        <v>1663.75</v>
      </c>
      <c r="J38" s="213">
        <f>+'Rate Base Support'!J38</f>
        <v>0</v>
      </c>
      <c r="K38" s="213">
        <f>+'Rate Base Support'!K38</f>
        <v>0</v>
      </c>
      <c r="L38" s="213">
        <f>+'Rate Base Support'!L38</f>
        <v>0</v>
      </c>
      <c r="M38" s="213">
        <f>+'Rate Base Support'!M38</f>
        <v>0</v>
      </c>
      <c r="N38" s="213">
        <f>+'Rate Base Support'!N38</f>
        <v>0</v>
      </c>
      <c r="O38" s="213">
        <f>+'Rate Base Support'!O38</f>
        <v>0</v>
      </c>
      <c r="P38" s="213">
        <f>+'Rate Base Support'!P38</f>
        <v>0</v>
      </c>
      <c r="Q38" s="213">
        <f>+'Rate Base Support'!Q38</f>
        <v>0</v>
      </c>
      <c r="R38" s="213">
        <f>+'Rate Base Support'!R38</f>
        <v>0</v>
      </c>
      <c r="S38" s="213">
        <f>+'Rate Base Support'!S38</f>
        <v>0</v>
      </c>
      <c r="T38" s="213">
        <f>+'Rate Base Support'!T38</f>
        <v>0</v>
      </c>
      <c r="U38" s="213">
        <f>+'Rate Base Support'!U38</f>
        <v>0</v>
      </c>
      <c r="V38" s="213">
        <f>+'Rate Base Support'!V38</f>
        <v>0</v>
      </c>
      <c r="W38" s="213">
        <f>+'Rate Base Support'!W38</f>
        <v>0</v>
      </c>
      <c r="X38" s="213">
        <f>+'Rate Base Support'!X38</f>
        <v>0</v>
      </c>
      <c r="Y38" s="213">
        <f t="shared" ref="Y38:Y57" si="3">ROUND(SUM(J38:X38),0)</f>
        <v>0</v>
      </c>
      <c r="Z38" s="213">
        <f t="shared" si="1"/>
        <v>1663.75</v>
      </c>
    </row>
    <row r="39" spans="1:26">
      <c r="A39" s="58" t="s">
        <v>151</v>
      </c>
      <c r="B39" s="58" t="s">
        <v>152</v>
      </c>
      <c r="C39" s="58" t="s">
        <v>235</v>
      </c>
      <c r="D39" s="58">
        <f t="shared" si="2"/>
        <v>30</v>
      </c>
      <c r="E39" s="132" t="s">
        <v>22</v>
      </c>
      <c r="F39" s="58" t="s">
        <v>178</v>
      </c>
      <c r="G39" s="58" t="s">
        <v>26</v>
      </c>
      <c r="H39" s="214">
        <f>1000*1314.199325</f>
        <v>1314199.325</v>
      </c>
      <c r="I39" s="214">
        <f>1000*108.968737365</f>
        <v>108968.73736499999</v>
      </c>
      <c r="J39" s="213">
        <f>+'Rate Base Support'!J39</f>
        <v>0</v>
      </c>
      <c r="K39" s="213">
        <f>+'Rate Base Support'!K39</f>
        <v>0</v>
      </c>
      <c r="L39" s="213">
        <f>+'Rate Base Support'!L39</f>
        <v>0</v>
      </c>
      <c r="M39" s="213">
        <f>+'Rate Base Support'!M39</f>
        <v>0</v>
      </c>
      <c r="N39" s="213">
        <f>+'Rate Base Support'!N39</f>
        <v>0</v>
      </c>
      <c r="O39" s="213">
        <f>+'Rate Base Support'!O39</f>
        <v>0</v>
      </c>
      <c r="P39" s="213">
        <f>+'Rate Base Support'!P39</f>
        <v>0</v>
      </c>
      <c r="Q39" s="213">
        <f>+'Rate Base Support'!Q39</f>
        <v>0</v>
      </c>
      <c r="R39" s="213">
        <f>+'Rate Base Support'!R39</f>
        <v>0</v>
      </c>
      <c r="S39" s="213">
        <f>+'Rate Base Support'!S39</f>
        <v>0</v>
      </c>
      <c r="T39" s="213">
        <f>+'Rate Base Support'!T39</f>
        <v>0</v>
      </c>
      <c r="U39" s="213">
        <f>+'Rate Base Support'!U39</f>
        <v>0</v>
      </c>
      <c r="V39" s="213">
        <f>+'Rate Base Support'!V39</f>
        <v>0</v>
      </c>
      <c r="W39" s="213">
        <f>+'Rate Base Support'!W39</f>
        <v>0</v>
      </c>
      <c r="X39" s="213">
        <f>+'Rate Base Support'!X39</f>
        <v>0</v>
      </c>
      <c r="Y39" s="213">
        <f t="shared" si="3"/>
        <v>0</v>
      </c>
      <c r="Z39" s="213">
        <f t="shared" si="1"/>
        <v>108968.73736499999</v>
      </c>
    </row>
    <row r="40" spans="1:26">
      <c r="A40" s="58" t="s">
        <v>151</v>
      </c>
      <c r="B40" s="58" t="s">
        <v>152</v>
      </c>
      <c r="C40" s="58" t="s">
        <v>237</v>
      </c>
      <c r="D40" s="58">
        <f t="shared" si="2"/>
        <v>31</v>
      </c>
      <c r="E40" s="132" t="s">
        <v>22</v>
      </c>
      <c r="F40" s="58" t="s">
        <v>190</v>
      </c>
      <c r="G40" s="58" t="s">
        <v>30</v>
      </c>
      <c r="H40" s="214">
        <f>1000*2179.604497917</f>
        <v>2179604.4979170002</v>
      </c>
      <c r="I40" s="214">
        <f>1000*161.473159203</f>
        <v>161473.15920299999</v>
      </c>
      <c r="J40" s="213">
        <f>+'Rate Base Support'!J40</f>
        <v>0</v>
      </c>
      <c r="K40" s="213">
        <f>+'Rate Base Support'!K40</f>
        <v>0</v>
      </c>
      <c r="L40" s="213">
        <f>+'Rate Base Support'!L40</f>
        <v>0</v>
      </c>
      <c r="M40" s="213">
        <f>+'Rate Base Support'!M40</f>
        <v>0</v>
      </c>
      <c r="N40" s="213">
        <f>+'Rate Base Support'!N40</f>
        <v>0</v>
      </c>
      <c r="O40" s="213">
        <f>+'Rate Base Support'!O40</f>
        <v>0</v>
      </c>
      <c r="P40" s="213">
        <f>+'Rate Base Support'!P40</f>
        <v>0</v>
      </c>
      <c r="Q40" s="213">
        <f>+'Rate Base Support'!Q40</f>
        <v>0</v>
      </c>
      <c r="R40" s="213">
        <f>+'Rate Base Support'!R40</f>
        <v>0</v>
      </c>
      <c r="S40" s="213">
        <f>+'Rate Base Support'!S40</f>
        <v>0</v>
      </c>
      <c r="T40" s="213">
        <f>+'Rate Base Support'!T40</f>
        <v>0</v>
      </c>
      <c r="U40" s="213">
        <f>+'Rate Base Support'!U40</f>
        <v>0</v>
      </c>
      <c r="V40" s="213">
        <f>+'Rate Base Support'!V40</f>
        <v>0</v>
      </c>
      <c r="W40" s="213">
        <f>+'Rate Base Support'!W40</f>
        <v>0</v>
      </c>
      <c r="X40" s="213">
        <f>+'Rate Base Support'!X40</f>
        <v>0</v>
      </c>
      <c r="Y40" s="213">
        <f t="shared" si="3"/>
        <v>0</v>
      </c>
      <c r="Z40" s="213">
        <f t="shared" si="1"/>
        <v>161473.15920299999</v>
      </c>
    </row>
    <row r="41" spans="1:26">
      <c r="A41" s="58" t="s">
        <v>151</v>
      </c>
      <c r="B41" s="58" t="s">
        <v>152</v>
      </c>
      <c r="C41" s="58" t="s">
        <v>239</v>
      </c>
      <c r="D41" s="58">
        <f t="shared" si="2"/>
        <v>32</v>
      </c>
      <c r="E41" s="132" t="s">
        <v>22</v>
      </c>
      <c r="F41" s="58" t="s">
        <v>194</v>
      </c>
      <c r="G41" s="58" t="s">
        <v>30</v>
      </c>
      <c r="H41" s="214">
        <f>1000*389.876833333</f>
        <v>389876.83333299996</v>
      </c>
      <c r="I41" s="214">
        <f>1000*28.883517188</f>
        <v>28883.517187999998</v>
      </c>
      <c r="J41" s="213">
        <f>+'Rate Base Support'!J41</f>
        <v>0</v>
      </c>
      <c r="K41" s="213">
        <f>+'Rate Base Support'!K41</f>
        <v>0</v>
      </c>
      <c r="L41" s="213">
        <f>+'Rate Base Support'!L41</f>
        <v>0</v>
      </c>
      <c r="M41" s="213">
        <f>+'Rate Base Support'!M41</f>
        <v>0</v>
      </c>
      <c r="N41" s="213">
        <f>+'Rate Base Support'!N41</f>
        <v>0</v>
      </c>
      <c r="O41" s="213">
        <f>+'Rate Base Support'!O41</f>
        <v>0</v>
      </c>
      <c r="P41" s="213">
        <f>+'Rate Base Support'!P41</f>
        <v>0</v>
      </c>
      <c r="Q41" s="213">
        <f>+'Rate Base Support'!Q41</f>
        <v>0</v>
      </c>
      <c r="R41" s="213">
        <f>+'Rate Base Support'!R41</f>
        <v>0</v>
      </c>
      <c r="S41" s="213">
        <f>+'Rate Base Support'!S41</f>
        <v>0</v>
      </c>
      <c r="T41" s="213">
        <f>+'Rate Base Support'!T41</f>
        <v>0</v>
      </c>
      <c r="U41" s="213">
        <f>+'Rate Base Support'!U41</f>
        <v>0</v>
      </c>
      <c r="V41" s="213">
        <f>+'Rate Base Support'!V41</f>
        <v>0</v>
      </c>
      <c r="W41" s="213">
        <f>+'Rate Base Support'!W41</f>
        <v>0</v>
      </c>
      <c r="X41" s="213">
        <f>+'Rate Base Support'!X41</f>
        <v>0</v>
      </c>
      <c r="Y41" s="213">
        <f t="shared" si="3"/>
        <v>0</v>
      </c>
      <c r="Z41" s="213">
        <f t="shared" si="1"/>
        <v>28883.517187999998</v>
      </c>
    </row>
    <row r="42" spans="1:26" ht="16.5" customHeight="1">
      <c r="A42" s="58" t="s">
        <v>151</v>
      </c>
      <c r="B42" s="58" t="s">
        <v>152</v>
      </c>
      <c r="C42" s="58" t="s">
        <v>209</v>
      </c>
      <c r="D42" s="58">
        <f t="shared" si="2"/>
        <v>33</v>
      </c>
      <c r="E42" s="67" t="s">
        <v>50</v>
      </c>
      <c r="F42" s="58" t="s">
        <v>160</v>
      </c>
      <c r="G42" s="58" t="s">
        <v>32</v>
      </c>
      <c r="H42" s="214">
        <f>1000*285.464979167</f>
        <v>285464.97916700004</v>
      </c>
      <c r="I42" s="214">
        <f>1000*60.96805989</f>
        <v>60968.059889999997</v>
      </c>
      <c r="J42" s="213">
        <f>+'Rate Base Support'!J42</f>
        <v>0</v>
      </c>
      <c r="K42" s="213">
        <f>+'Rate Base Support'!K42</f>
        <v>0</v>
      </c>
      <c r="L42" s="213">
        <f>+'Rate Base Support'!L42</f>
        <v>0</v>
      </c>
      <c r="M42" s="213">
        <f>+'Rate Base Support'!M42</f>
        <v>0</v>
      </c>
      <c r="N42" s="213">
        <f>+'Rate Base Support'!N42</f>
        <v>0</v>
      </c>
      <c r="O42" s="213">
        <f>+'Rate Base Support'!O42</f>
        <v>0</v>
      </c>
      <c r="P42" s="213">
        <f>+'Rate Base Support'!P42</f>
        <v>0</v>
      </c>
      <c r="Q42" s="213">
        <f>+'Rate Base Support'!Q42</f>
        <v>0</v>
      </c>
      <c r="R42" s="213">
        <f>+'Rate Base Support'!R42</f>
        <v>0</v>
      </c>
      <c r="S42" s="213">
        <f>+'Rate Base Support'!S42</f>
        <v>0</v>
      </c>
      <c r="T42" s="213">
        <f>+'Rate Base Support'!T42</f>
        <v>0</v>
      </c>
      <c r="U42" s="213">
        <f>+'Rate Base Support'!U42</f>
        <v>0</v>
      </c>
      <c r="V42" s="213">
        <f>+'Rate Base Support'!V42</f>
        <v>0</v>
      </c>
      <c r="W42" s="213">
        <f>+'Rate Base Support'!W42</f>
        <v>0</v>
      </c>
      <c r="X42" s="213">
        <f>+'Rate Base Support'!X42</f>
        <v>0</v>
      </c>
      <c r="Y42" s="213">
        <f t="shared" si="3"/>
        <v>0</v>
      </c>
      <c r="Z42" s="213">
        <f t="shared" si="1"/>
        <v>60968.059889999997</v>
      </c>
    </row>
    <row r="43" spans="1:26" ht="16.5" customHeight="1">
      <c r="A43" s="58" t="s">
        <v>151</v>
      </c>
      <c r="B43" s="58" t="s">
        <v>152</v>
      </c>
      <c r="C43" s="58" t="s">
        <v>211</v>
      </c>
      <c r="D43" s="58">
        <f t="shared" si="2"/>
        <v>34</v>
      </c>
      <c r="E43" s="67" t="s">
        <v>50</v>
      </c>
      <c r="F43" s="58" t="s">
        <v>226</v>
      </c>
      <c r="G43" s="58" t="s">
        <v>42</v>
      </c>
      <c r="H43" s="214">
        <f>1000*2069.824797917</f>
        <v>2069824.797917</v>
      </c>
      <c r="I43" s="214">
        <f>1000*163.315717202</f>
        <v>163315.717202</v>
      </c>
      <c r="J43" s="213">
        <f>+'Rate Base Support'!J43</f>
        <v>0</v>
      </c>
      <c r="K43" s="213">
        <f>+'Rate Base Support'!K43</f>
        <v>0</v>
      </c>
      <c r="L43" s="213">
        <f>+'Rate Base Support'!L43</f>
        <v>0</v>
      </c>
      <c r="M43" s="213">
        <f>+'Rate Base Support'!M43</f>
        <v>0</v>
      </c>
      <c r="N43" s="213">
        <f>+'Rate Base Support'!N43</f>
        <v>0</v>
      </c>
      <c r="O43" s="213">
        <f>+'Rate Base Support'!O43</f>
        <v>0</v>
      </c>
      <c r="P43" s="213">
        <f>+'Rate Base Support'!P43</f>
        <v>0</v>
      </c>
      <c r="Q43" s="213">
        <f>+'Rate Base Support'!Q43</f>
        <v>0</v>
      </c>
      <c r="R43" s="213">
        <f>+'Rate Base Support'!R43</f>
        <v>0</v>
      </c>
      <c r="S43" s="213">
        <f>+'Rate Base Support'!S43</f>
        <v>0</v>
      </c>
      <c r="T43" s="213">
        <f>+'Rate Base Support'!T43</f>
        <v>0</v>
      </c>
      <c r="U43" s="213">
        <f>+'Rate Base Support'!U43</f>
        <v>0</v>
      </c>
      <c r="V43" s="213">
        <f>+'Rate Base Support'!V43</f>
        <v>0</v>
      </c>
      <c r="W43" s="213">
        <f>+'Rate Base Support'!W43</f>
        <v>0</v>
      </c>
      <c r="X43" s="213">
        <f>+'Rate Base Support'!X43</f>
        <v>0</v>
      </c>
      <c r="Y43" s="213">
        <f t="shared" si="3"/>
        <v>0</v>
      </c>
      <c r="Z43" s="213">
        <f t="shared" si="1"/>
        <v>163315.717202</v>
      </c>
    </row>
    <row r="44" spans="1:26" ht="16.5" customHeight="1">
      <c r="A44" s="58" t="s">
        <v>151</v>
      </c>
      <c r="B44" s="58" t="s">
        <v>152</v>
      </c>
      <c r="C44" s="58" t="s">
        <v>213</v>
      </c>
      <c r="D44" s="58">
        <f t="shared" si="2"/>
        <v>35</v>
      </c>
      <c r="E44" s="67" t="s">
        <v>50</v>
      </c>
      <c r="F44" s="58" t="s">
        <v>228</v>
      </c>
      <c r="G44" s="58" t="s">
        <v>32</v>
      </c>
      <c r="H44" s="214">
        <f>1000*90.373333333</f>
        <v>90373.333333000002</v>
      </c>
      <c r="I44" s="214">
        <f>1000*19.301445716</f>
        <v>19301.445715999998</v>
      </c>
      <c r="J44" s="213">
        <f>+'Rate Base Support'!J44</f>
        <v>0</v>
      </c>
      <c r="K44" s="213">
        <f>+'Rate Base Support'!K44</f>
        <v>0</v>
      </c>
      <c r="L44" s="213">
        <f>+'Rate Base Support'!L44</f>
        <v>0</v>
      </c>
      <c r="M44" s="213">
        <f>+'Rate Base Support'!M44</f>
        <v>0</v>
      </c>
      <c r="N44" s="213">
        <f>+'Rate Base Support'!N44</f>
        <v>0</v>
      </c>
      <c r="O44" s="213">
        <f>+'Rate Base Support'!O44</f>
        <v>0</v>
      </c>
      <c r="P44" s="213">
        <f>+'Rate Base Support'!P44</f>
        <v>0</v>
      </c>
      <c r="Q44" s="213">
        <f>+'Rate Base Support'!Q44</f>
        <v>0</v>
      </c>
      <c r="R44" s="213">
        <f>+'Rate Base Support'!R44</f>
        <v>0</v>
      </c>
      <c r="S44" s="213">
        <f>+'Rate Base Support'!S44</f>
        <v>0</v>
      </c>
      <c r="T44" s="213">
        <f>+'Rate Base Support'!T44</f>
        <v>0</v>
      </c>
      <c r="U44" s="213">
        <f>+'Rate Base Support'!U44</f>
        <v>0</v>
      </c>
      <c r="V44" s="213">
        <f>+'Rate Base Support'!V44</f>
        <v>0</v>
      </c>
      <c r="W44" s="213">
        <f>+'Rate Base Support'!W44</f>
        <v>0</v>
      </c>
      <c r="X44" s="213">
        <f>+'Rate Base Support'!X44</f>
        <v>0</v>
      </c>
      <c r="Y44" s="213">
        <f t="shared" si="3"/>
        <v>0</v>
      </c>
      <c r="Z44" s="213">
        <f t="shared" si="1"/>
        <v>19301.445715999998</v>
      </c>
    </row>
    <row r="45" spans="1:26">
      <c r="A45" s="58" t="s">
        <v>151</v>
      </c>
      <c r="B45" s="58" t="s">
        <v>152</v>
      </c>
      <c r="C45" s="58" t="s">
        <v>215</v>
      </c>
      <c r="D45" s="58">
        <f t="shared" si="2"/>
        <v>36</v>
      </c>
      <c r="E45" s="67" t="s">
        <v>50</v>
      </c>
      <c r="F45" s="58" t="s">
        <v>230</v>
      </c>
      <c r="G45" s="58" t="s">
        <v>32</v>
      </c>
      <c r="H45" s="214">
        <f>1000*76.37725</f>
        <v>76377.25</v>
      </c>
      <c r="I45" s="214">
        <f>1000*16.31223825</f>
        <v>16312.23825</v>
      </c>
      <c r="J45" s="213">
        <f>+'Rate Base Support'!J45</f>
        <v>0</v>
      </c>
      <c r="K45" s="213">
        <f>+'Rate Base Support'!K45</f>
        <v>0</v>
      </c>
      <c r="L45" s="213">
        <f>+'Rate Base Support'!L45</f>
        <v>0</v>
      </c>
      <c r="M45" s="213">
        <f>+'Rate Base Support'!M45</f>
        <v>0</v>
      </c>
      <c r="N45" s="213">
        <f>+'Rate Base Support'!N45</f>
        <v>0</v>
      </c>
      <c r="O45" s="213">
        <f>+'Rate Base Support'!O45</f>
        <v>0</v>
      </c>
      <c r="P45" s="213">
        <f>+'Rate Base Support'!P45</f>
        <v>0</v>
      </c>
      <c r="Q45" s="213">
        <f>+'Rate Base Support'!Q45</f>
        <v>0</v>
      </c>
      <c r="R45" s="213">
        <f>+'Rate Base Support'!R45</f>
        <v>0</v>
      </c>
      <c r="S45" s="213">
        <f>+'Rate Base Support'!S45</f>
        <v>0</v>
      </c>
      <c r="T45" s="213">
        <f>+'Rate Base Support'!T45</f>
        <v>0</v>
      </c>
      <c r="U45" s="213">
        <f>+'Rate Base Support'!U45</f>
        <v>0</v>
      </c>
      <c r="V45" s="213">
        <f>+'Rate Base Support'!V45</f>
        <v>0</v>
      </c>
      <c r="W45" s="213">
        <f>+'Rate Base Support'!W45</f>
        <v>0</v>
      </c>
      <c r="X45" s="213">
        <f>+'Rate Base Support'!X45</f>
        <v>0</v>
      </c>
      <c r="Y45" s="213">
        <f t="shared" si="3"/>
        <v>0</v>
      </c>
      <c r="Z45" s="213">
        <f t="shared" si="1"/>
        <v>16312.23825</v>
      </c>
    </row>
    <row r="46" spans="1:26">
      <c r="A46" s="58" t="s">
        <v>151</v>
      </c>
      <c r="B46" s="58" t="s">
        <v>152</v>
      </c>
      <c r="C46" s="58" t="s">
        <v>217</v>
      </c>
      <c r="D46" s="58">
        <f t="shared" si="2"/>
        <v>37</v>
      </c>
      <c r="E46" s="67" t="s">
        <v>50</v>
      </c>
      <c r="F46" s="58" t="s">
        <v>232</v>
      </c>
      <c r="G46" s="58" t="s">
        <v>42</v>
      </c>
      <c r="H46" s="214">
        <f>1000*-30.437125</f>
        <v>-30437.125</v>
      </c>
      <c r="I46" s="214">
        <f>1000*-2.401585344</f>
        <v>-2401.5853440000001</v>
      </c>
      <c r="J46" s="213">
        <f>+'Rate Base Support'!J46</f>
        <v>0</v>
      </c>
      <c r="K46" s="213">
        <f>+'Rate Base Support'!K46</f>
        <v>0</v>
      </c>
      <c r="L46" s="213">
        <f>+'Rate Base Support'!L46</f>
        <v>0</v>
      </c>
      <c r="M46" s="213">
        <f>+'Rate Base Support'!M46</f>
        <v>0</v>
      </c>
      <c r="N46" s="213">
        <f>+'Rate Base Support'!N46</f>
        <v>0</v>
      </c>
      <c r="O46" s="213">
        <f>+'Rate Base Support'!O46</f>
        <v>2394</v>
      </c>
      <c r="P46" s="213">
        <f>+'Rate Base Support'!P46</f>
        <v>0</v>
      </c>
      <c r="Q46" s="213">
        <f>+'Rate Base Support'!Q46</f>
        <v>0</v>
      </c>
      <c r="R46" s="213">
        <f>+'Rate Base Support'!R46</f>
        <v>0</v>
      </c>
      <c r="S46" s="213">
        <f>+'Rate Base Support'!S46</f>
        <v>0</v>
      </c>
      <c r="T46" s="213">
        <f>+'Rate Base Support'!T46</f>
        <v>0</v>
      </c>
      <c r="U46" s="213">
        <f>+'Rate Base Support'!U46</f>
        <v>0</v>
      </c>
      <c r="V46" s="213">
        <f>+'Rate Base Support'!V46</f>
        <v>0</v>
      </c>
      <c r="W46" s="213">
        <f>+'Rate Base Support'!W46</f>
        <v>0</v>
      </c>
      <c r="X46" s="213">
        <f>+'Rate Base Support'!X46</f>
        <v>0</v>
      </c>
      <c r="Y46" s="213">
        <f t="shared" si="3"/>
        <v>2394</v>
      </c>
      <c r="Z46" s="213">
        <f t="shared" si="1"/>
        <v>-7.5853440000000774</v>
      </c>
    </row>
    <row r="47" spans="1:26">
      <c r="A47" s="58" t="s">
        <v>151</v>
      </c>
      <c r="B47" s="58" t="s">
        <v>152</v>
      </c>
      <c r="C47" s="58" t="s">
        <v>219</v>
      </c>
      <c r="D47" s="58">
        <f t="shared" si="2"/>
        <v>38</v>
      </c>
      <c r="E47" s="67" t="s">
        <v>50</v>
      </c>
      <c r="F47" s="58" t="s">
        <v>234</v>
      </c>
      <c r="G47" s="58" t="s">
        <v>32</v>
      </c>
      <c r="H47" s="214">
        <f>1000*-59.624541667</f>
        <v>-59624.541667000005</v>
      </c>
      <c r="I47" s="214">
        <f>1000*-12.734285788</f>
        <v>-12734.285787999999</v>
      </c>
      <c r="J47" s="213">
        <f>+'Rate Base Support'!J47</f>
        <v>0</v>
      </c>
      <c r="K47" s="213">
        <f>+'Rate Base Support'!K47</f>
        <v>0</v>
      </c>
      <c r="L47" s="213">
        <f>+'Rate Base Support'!L47</f>
        <v>0</v>
      </c>
      <c r="M47" s="213">
        <f>+'Rate Base Support'!M47</f>
        <v>0</v>
      </c>
      <c r="N47" s="213">
        <f>+'Rate Base Support'!N47</f>
        <v>0</v>
      </c>
      <c r="O47" s="213">
        <f>+'Rate Base Support'!O47</f>
        <v>0</v>
      </c>
      <c r="P47" s="213">
        <f>+'Rate Base Support'!P47</f>
        <v>0</v>
      </c>
      <c r="Q47" s="213">
        <f>+'Rate Base Support'!Q47</f>
        <v>0</v>
      </c>
      <c r="R47" s="213">
        <f>+'Rate Base Support'!R47</f>
        <v>0</v>
      </c>
      <c r="S47" s="213">
        <f>+'Rate Base Support'!S47</f>
        <v>0</v>
      </c>
      <c r="T47" s="213">
        <f>+'Rate Base Support'!T47</f>
        <v>0</v>
      </c>
      <c r="U47" s="213">
        <f>+'Rate Base Support'!U47</f>
        <v>0</v>
      </c>
      <c r="V47" s="213">
        <f>+'Rate Base Support'!V47</f>
        <v>0</v>
      </c>
      <c r="W47" s="213">
        <f>+'Rate Base Support'!W47</f>
        <v>0</v>
      </c>
      <c r="X47" s="213">
        <f>+'Rate Base Support'!X47</f>
        <v>0</v>
      </c>
      <c r="Y47" s="213">
        <f t="shared" si="3"/>
        <v>0</v>
      </c>
      <c r="Z47" s="213">
        <f t="shared" si="1"/>
        <v>-12734.285787999999</v>
      </c>
    </row>
    <row r="48" spans="1:26">
      <c r="A48" s="58" t="s">
        <v>151</v>
      </c>
      <c r="B48" s="58" t="s">
        <v>152</v>
      </c>
      <c r="C48" s="58" t="s">
        <v>221</v>
      </c>
      <c r="D48" s="58">
        <f t="shared" si="2"/>
        <v>39</v>
      </c>
      <c r="E48" s="67" t="s">
        <v>50</v>
      </c>
      <c r="F48" s="58" t="s">
        <v>236</v>
      </c>
      <c r="G48" s="58" t="s">
        <v>32</v>
      </c>
      <c r="H48" s="214">
        <f>1000*8.7245</f>
        <v>8724.5</v>
      </c>
      <c r="I48" s="214">
        <f>1000*1.863331327</f>
        <v>1863.3313270000001</v>
      </c>
      <c r="J48" s="213">
        <f>+'Rate Base Support'!J48</f>
        <v>0</v>
      </c>
      <c r="K48" s="213">
        <f>+'Rate Base Support'!K48</f>
        <v>0</v>
      </c>
      <c r="L48" s="213">
        <f>+'Rate Base Support'!L48</f>
        <v>0</v>
      </c>
      <c r="M48" s="213">
        <f>+'Rate Base Support'!M48</f>
        <v>0</v>
      </c>
      <c r="N48" s="213">
        <f>+'Rate Base Support'!N48</f>
        <v>0</v>
      </c>
      <c r="O48" s="213">
        <f>+'Rate Base Support'!O48</f>
        <v>0</v>
      </c>
      <c r="P48" s="213">
        <f>+'Rate Base Support'!P48</f>
        <v>0</v>
      </c>
      <c r="Q48" s="213">
        <f>+'Rate Base Support'!Q48</f>
        <v>0</v>
      </c>
      <c r="R48" s="213">
        <f>+'Rate Base Support'!R48</f>
        <v>0</v>
      </c>
      <c r="S48" s="213">
        <f>+'Rate Base Support'!S48</f>
        <v>0</v>
      </c>
      <c r="T48" s="213">
        <f>+'Rate Base Support'!T48</f>
        <v>0</v>
      </c>
      <c r="U48" s="213">
        <f>+'Rate Base Support'!U48</f>
        <v>0</v>
      </c>
      <c r="V48" s="213">
        <f>+'Rate Base Support'!V48</f>
        <v>0</v>
      </c>
      <c r="W48" s="213">
        <f>+'Rate Base Support'!W48</f>
        <v>0</v>
      </c>
      <c r="X48" s="213">
        <f>+'Rate Base Support'!X48</f>
        <v>0</v>
      </c>
      <c r="Y48" s="213">
        <f t="shared" si="3"/>
        <v>0</v>
      </c>
      <c r="Z48" s="213">
        <f t="shared" si="1"/>
        <v>1863.3313270000001</v>
      </c>
    </row>
    <row r="49" spans="1:26">
      <c r="A49" s="58" t="s">
        <v>151</v>
      </c>
      <c r="B49" s="58" t="s">
        <v>152</v>
      </c>
      <c r="C49" s="58" t="s">
        <v>223</v>
      </c>
      <c r="D49" s="58">
        <f t="shared" si="2"/>
        <v>40</v>
      </c>
      <c r="E49" s="67" t="s">
        <v>50</v>
      </c>
      <c r="F49" s="58" t="s">
        <v>238</v>
      </c>
      <c r="G49" s="58" t="s">
        <v>32</v>
      </c>
      <c r="H49" s="214">
        <f>1000*12.645791667</f>
        <v>12645.791667</v>
      </c>
      <c r="I49" s="214">
        <f>1000*2.700819505</f>
        <v>2700.8195049999999</v>
      </c>
      <c r="J49" s="213">
        <f>+'Rate Base Support'!J49</f>
        <v>0</v>
      </c>
      <c r="K49" s="213">
        <f>+'Rate Base Support'!K49</f>
        <v>0</v>
      </c>
      <c r="L49" s="213">
        <f>+'Rate Base Support'!L49</f>
        <v>0</v>
      </c>
      <c r="M49" s="213">
        <f>+'Rate Base Support'!M49</f>
        <v>0</v>
      </c>
      <c r="N49" s="213">
        <f>+'Rate Base Support'!N49</f>
        <v>0</v>
      </c>
      <c r="O49" s="213">
        <f>+'Rate Base Support'!O49</f>
        <v>0</v>
      </c>
      <c r="P49" s="213">
        <f>+'Rate Base Support'!P49</f>
        <v>0</v>
      </c>
      <c r="Q49" s="213">
        <f>+'Rate Base Support'!Q49</f>
        <v>0</v>
      </c>
      <c r="R49" s="213">
        <f>+'Rate Base Support'!R49</f>
        <v>0</v>
      </c>
      <c r="S49" s="213">
        <f>+'Rate Base Support'!S49</f>
        <v>0</v>
      </c>
      <c r="T49" s="213">
        <f>+'Rate Base Support'!T49</f>
        <v>0</v>
      </c>
      <c r="U49" s="213">
        <f>+'Rate Base Support'!U49</f>
        <v>0</v>
      </c>
      <c r="V49" s="213">
        <f>+'Rate Base Support'!V49</f>
        <v>0</v>
      </c>
      <c r="W49" s="213">
        <f>+'Rate Base Support'!W49</f>
        <v>0</v>
      </c>
      <c r="X49" s="213">
        <f>+'Rate Base Support'!X49</f>
        <v>0</v>
      </c>
      <c r="Y49" s="213">
        <f t="shared" si="3"/>
        <v>0</v>
      </c>
      <c r="Z49" s="213">
        <f t="shared" si="1"/>
        <v>2700.8195049999999</v>
      </c>
    </row>
    <row r="50" spans="1:26">
      <c r="A50" s="58" t="s">
        <v>151</v>
      </c>
      <c r="B50" s="58" t="s">
        <v>152</v>
      </c>
      <c r="C50" s="58" t="s">
        <v>225</v>
      </c>
      <c r="D50" s="58">
        <f t="shared" si="2"/>
        <v>41</v>
      </c>
      <c r="E50" s="67" t="s">
        <v>50</v>
      </c>
      <c r="F50" s="58" t="s">
        <v>240</v>
      </c>
      <c r="G50" s="58" t="s">
        <v>32</v>
      </c>
      <c r="H50" s="214">
        <f>1000*84.4315</f>
        <v>84431.5</v>
      </c>
      <c r="I50" s="214">
        <f>1000*18.032421223</f>
        <v>18032.421223000001</v>
      </c>
      <c r="J50" s="213">
        <f>+'Rate Base Support'!J50</f>
        <v>0</v>
      </c>
      <c r="K50" s="213">
        <f>+'Rate Base Support'!K50</f>
        <v>0</v>
      </c>
      <c r="L50" s="213">
        <f>+'Rate Base Support'!L50</f>
        <v>0</v>
      </c>
      <c r="M50" s="213">
        <f>+'Rate Base Support'!M50</f>
        <v>0</v>
      </c>
      <c r="N50" s="213">
        <f>+'Rate Base Support'!N50</f>
        <v>0</v>
      </c>
      <c r="O50" s="213">
        <f>+'Rate Base Support'!O50</f>
        <v>0</v>
      </c>
      <c r="P50" s="213">
        <f>+'Rate Base Support'!P50</f>
        <v>0</v>
      </c>
      <c r="Q50" s="213">
        <f>+'Rate Base Support'!Q50</f>
        <v>0</v>
      </c>
      <c r="R50" s="213">
        <f>+'Rate Base Support'!R50</f>
        <v>0</v>
      </c>
      <c r="S50" s="213">
        <f>+'Rate Base Support'!S50</f>
        <v>0</v>
      </c>
      <c r="T50" s="213">
        <f>+'Rate Base Support'!T50</f>
        <v>0</v>
      </c>
      <c r="U50" s="213">
        <f>+'Rate Base Support'!U50</f>
        <v>0</v>
      </c>
      <c r="V50" s="213">
        <f>+'Rate Base Support'!V50</f>
        <v>0</v>
      </c>
      <c r="W50" s="213">
        <f>+'Rate Base Support'!W50</f>
        <v>0</v>
      </c>
      <c r="X50" s="213">
        <f>+'Rate Base Support'!X50</f>
        <v>0</v>
      </c>
      <c r="Y50" s="213">
        <f t="shared" si="3"/>
        <v>0</v>
      </c>
      <c r="Z50" s="213">
        <f t="shared" si="1"/>
        <v>18032.421223000001</v>
      </c>
    </row>
    <row r="51" spans="1:26">
      <c r="A51" s="58" t="s">
        <v>151</v>
      </c>
      <c r="B51" s="58" t="s">
        <v>152</v>
      </c>
      <c r="C51" s="58" t="s">
        <v>227</v>
      </c>
      <c r="D51" s="58">
        <f t="shared" si="2"/>
        <v>42</v>
      </c>
      <c r="E51" s="67" t="s">
        <v>50</v>
      </c>
      <c r="F51" s="58" t="s">
        <v>242</v>
      </c>
      <c r="G51" s="58" t="s">
        <v>32</v>
      </c>
      <c r="H51" s="214">
        <f>1000*825.139666667</f>
        <v>825139.66666700004</v>
      </c>
      <c r="I51" s="214">
        <f>1000*176.228848673</f>
        <v>176228.848673</v>
      </c>
      <c r="J51" s="213">
        <f>+'Rate Base Support'!J51</f>
        <v>0</v>
      </c>
      <c r="K51" s="213">
        <f>+'Rate Base Support'!K51</f>
        <v>0</v>
      </c>
      <c r="L51" s="213">
        <f>+'Rate Base Support'!L51</f>
        <v>0</v>
      </c>
      <c r="M51" s="213">
        <f>+'Rate Base Support'!M51</f>
        <v>0</v>
      </c>
      <c r="N51" s="213">
        <f>+'Rate Base Support'!N51</f>
        <v>0</v>
      </c>
      <c r="O51" s="213">
        <f>+'Rate Base Support'!O51</f>
        <v>0</v>
      </c>
      <c r="P51" s="213">
        <f>+'Rate Base Support'!P51</f>
        <v>0</v>
      </c>
      <c r="Q51" s="213">
        <f>+'Rate Base Support'!Q51</f>
        <v>0</v>
      </c>
      <c r="R51" s="213">
        <f>+'Rate Base Support'!R51</f>
        <v>0</v>
      </c>
      <c r="S51" s="213">
        <f>+'Rate Base Support'!S51</f>
        <v>0</v>
      </c>
      <c r="T51" s="213">
        <f>+'Rate Base Support'!T51</f>
        <v>0</v>
      </c>
      <c r="U51" s="213">
        <f>+'Rate Base Support'!U51</f>
        <v>0</v>
      </c>
      <c r="V51" s="213">
        <f>+'Rate Base Support'!V51</f>
        <v>0</v>
      </c>
      <c r="W51" s="213">
        <f>+'Rate Base Support'!W51</f>
        <v>0</v>
      </c>
      <c r="X51" s="213">
        <f>+'Rate Base Support'!X51</f>
        <v>0</v>
      </c>
      <c r="Y51" s="213">
        <f t="shared" si="3"/>
        <v>0</v>
      </c>
      <c r="Z51" s="213">
        <f t="shared" si="1"/>
        <v>176228.848673</v>
      </c>
    </row>
    <row r="52" spans="1:26">
      <c r="A52" s="58" t="s">
        <v>151</v>
      </c>
      <c r="B52" s="58" t="s">
        <v>152</v>
      </c>
      <c r="C52" s="58" t="s">
        <v>229</v>
      </c>
      <c r="D52" s="58">
        <f t="shared" si="2"/>
        <v>43</v>
      </c>
      <c r="E52" s="67" t="s">
        <v>50</v>
      </c>
      <c r="F52" s="58" t="s">
        <v>247</v>
      </c>
      <c r="G52" s="58" t="s">
        <v>32</v>
      </c>
      <c r="H52" s="214">
        <f>1000*-8.180708333</f>
        <v>-8180.7083330000005</v>
      </c>
      <c r="I52" s="214">
        <f>1000*-1.747191256</f>
        <v>-1747.1912560000001</v>
      </c>
      <c r="J52" s="213">
        <f>+'Rate Base Support'!J52</f>
        <v>0</v>
      </c>
      <c r="K52" s="213">
        <f>+'Rate Base Support'!K52</f>
        <v>0</v>
      </c>
      <c r="L52" s="213">
        <f>+'Rate Base Support'!L52</f>
        <v>0</v>
      </c>
      <c r="M52" s="213">
        <f>+'Rate Base Support'!M52</f>
        <v>0</v>
      </c>
      <c r="N52" s="213">
        <f>+'Rate Base Support'!N52</f>
        <v>0</v>
      </c>
      <c r="O52" s="213">
        <f>+'Rate Base Support'!O52</f>
        <v>0</v>
      </c>
      <c r="P52" s="213">
        <f>+'Rate Base Support'!P52</f>
        <v>0</v>
      </c>
      <c r="Q52" s="213">
        <f>+'Rate Base Support'!Q52</f>
        <v>0</v>
      </c>
      <c r="R52" s="213">
        <f>+'Rate Base Support'!R52</f>
        <v>0</v>
      </c>
      <c r="S52" s="213">
        <f>+'Rate Base Support'!S52</f>
        <v>0</v>
      </c>
      <c r="T52" s="213">
        <f>+'Rate Base Support'!T52</f>
        <v>0</v>
      </c>
      <c r="U52" s="213">
        <f>+'Rate Base Support'!U52</f>
        <v>0</v>
      </c>
      <c r="V52" s="213">
        <f>+'Rate Base Support'!V52</f>
        <v>0</v>
      </c>
      <c r="W52" s="213">
        <f>+'Rate Base Support'!W52</f>
        <v>0</v>
      </c>
      <c r="X52" s="213">
        <f>+'Rate Base Support'!X52</f>
        <v>0</v>
      </c>
      <c r="Y52" s="213">
        <f t="shared" si="3"/>
        <v>0</v>
      </c>
      <c r="Z52" s="213">
        <f t="shared" si="1"/>
        <v>-1747.1912560000001</v>
      </c>
    </row>
    <row r="53" spans="1:26">
      <c r="A53" s="58" t="s">
        <v>151</v>
      </c>
      <c r="B53" s="58" t="s">
        <v>152</v>
      </c>
      <c r="C53" s="58" t="s">
        <v>231</v>
      </c>
      <c r="D53" s="58">
        <f t="shared" si="2"/>
        <v>44</v>
      </c>
      <c r="E53" s="132" t="s">
        <v>244</v>
      </c>
      <c r="F53" s="58" t="s">
        <v>245</v>
      </c>
      <c r="G53" s="58" t="s">
        <v>32</v>
      </c>
      <c r="H53" s="214">
        <f>1000*-1135.29225</f>
        <v>-1135292.25</v>
      </c>
      <c r="I53" s="214">
        <f>1000*-242.469552983</f>
        <v>-242469.552983</v>
      </c>
      <c r="J53" s="213">
        <f>+'Rate Base Support'!J53</f>
        <v>0</v>
      </c>
      <c r="K53" s="213">
        <f>+'Rate Base Support'!K53</f>
        <v>0</v>
      </c>
      <c r="L53" s="213">
        <f>+'Rate Base Support'!L53</f>
        <v>0</v>
      </c>
      <c r="M53" s="213">
        <f>+'Rate Base Support'!M53</f>
        <v>0</v>
      </c>
      <c r="N53" s="213">
        <f>+'Rate Base Support'!N53</f>
        <v>0</v>
      </c>
      <c r="O53" s="213">
        <f>+'Rate Base Support'!O53</f>
        <v>0</v>
      </c>
      <c r="P53" s="213">
        <f>+'Rate Base Support'!P53</f>
        <v>0</v>
      </c>
      <c r="Q53" s="213">
        <f>+'Rate Base Support'!Q53</f>
        <v>0</v>
      </c>
      <c r="R53" s="213">
        <f>+'Rate Base Support'!R53</f>
        <v>0</v>
      </c>
      <c r="S53" s="213">
        <f>+'Rate Base Support'!S53</f>
        <v>0</v>
      </c>
      <c r="T53" s="213">
        <f>+'Rate Base Support'!T53</f>
        <v>0</v>
      </c>
      <c r="U53" s="213">
        <f>+'Rate Base Support'!U53</f>
        <v>0</v>
      </c>
      <c r="V53" s="213">
        <f>+'Rate Base Support'!V53</f>
        <v>0</v>
      </c>
      <c r="W53" s="213">
        <f>+'Rate Base Support'!W53</f>
        <v>0</v>
      </c>
      <c r="X53" s="213">
        <f>+'Rate Base Support'!X53</f>
        <v>0</v>
      </c>
      <c r="Y53" s="213">
        <f t="shared" si="3"/>
        <v>0</v>
      </c>
      <c r="Z53" s="213">
        <f t="shared" si="1"/>
        <v>-242469.552983</v>
      </c>
    </row>
    <row r="54" spans="1:26">
      <c r="A54" s="58" t="s">
        <v>151</v>
      </c>
      <c r="B54" s="58" t="s">
        <v>152</v>
      </c>
      <c r="C54" s="58" t="s">
        <v>241</v>
      </c>
      <c r="D54" s="58">
        <f t="shared" si="2"/>
        <v>45</v>
      </c>
      <c r="E54" s="132" t="s">
        <v>58</v>
      </c>
      <c r="F54" s="58" t="s">
        <v>204</v>
      </c>
      <c r="G54" s="58" t="s">
        <v>26</v>
      </c>
      <c r="H54" s="214">
        <f>1000*19.338322917</f>
        <v>19338.322916999998</v>
      </c>
      <c r="I54" s="214">
        <f>1000*1.603465008</f>
        <v>1603.4650079999999</v>
      </c>
      <c r="J54" s="213">
        <f>+'Rate Base Support'!J54</f>
        <v>0</v>
      </c>
      <c r="K54" s="213">
        <f>+'Rate Base Support'!K54</f>
        <v>0</v>
      </c>
      <c r="L54" s="213">
        <f>+'Rate Base Support'!L54</f>
        <v>0</v>
      </c>
      <c r="M54" s="213">
        <f>+'Rate Base Support'!M54</f>
        <v>0</v>
      </c>
      <c r="N54" s="213">
        <f>+'Rate Base Support'!N54</f>
        <v>0</v>
      </c>
      <c r="O54" s="213">
        <f>+'Rate Base Support'!O54</f>
        <v>0</v>
      </c>
      <c r="P54" s="213">
        <f>+'Rate Base Support'!P54</f>
        <v>0</v>
      </c>
      <c r="Q54" s="213">
        <f>+'Rate Base Support'!Q54</f>
        <v>0</v>
      </c>
      <c r="R54" s="213">
        <f>+'Rate Base Support'!R54</f>
        <v>0</v>
      </c>
      <c r="S54" s="213">
        <f>+'Rate Base Support'!S54</f>
        <v>0</v>
      </c>
      <c r="T54" s="213">
        <f>+'Rate Base Support'!T54</f>
        <v>0</v>
      </c>
      <c r="U54" s="213">
        <f>+'Rate Base Support'!U54</f>
        <v>0</v>
      </c>
      <c r="V54" s="213">
        <f>+'Rate Base Support'!V54</f>
        <v>0</v>
      </c>
      <c r="W54" s="213">
        <f>+'Rate Base Support'!W54</f>
        <v>0</v>
      </c>
      <c r="X54" s="213">
        <f>+'Rate Base Support'!X54</f>
        <v>0</v>
      </c>
      <c r="Y54" s="213">
        <f t="shared" si="3"/>
        <v>0</v>
      </c>
      <c r="Z54" s="213">
        <f t="shared" si="1"/>
        <v>1603.4650079999999</v>
      </c>
    </row>
    <row r="55" spans="1:26">
      <c r="A55" s="58" t="s">
        <v>151</v>
      </c>
      <c r="B55" s="58" t="s">
        <v>152</v>
      </c>
      <c r="C55" s="58" t="s">
        <v>243</v>
      </c>
      <c r="D55" s="58">
        <f t="shared" si="2"/>
        <v>46</v>
      </c>
      <c r="E55" s="132" t="s">
        <v>58</v>
      </c>
      <c r="F55" s="58" t="s">
        <v>214</v>
      </c>
      <c r="G55" s="58" t="s">
        <v>70</v>
      </c>
      <c r="H55" s="214">
        <f>1000*607.430791667</f>
        <v>607430.79166700004</v>
      </c>
      <c r="I55" s="214">
        <f>1000*134.362926361</f>
        <v>134362.92636100002</v>
      </c>
      <c r="J55" s="213">
        <f>+'Rate Base Support'!J55</f>
        <v>0</v>
      </c>
      <c r="K55" s="213">
        <f>+'Rate Base Support'!K55</f>
        <v>0</v>
      </c>
      <c r="L55" s="213">
        <f>+'Rate Base Support'!L55</f>
        <v>0</v>
      </c>
      <c r="M55" s="213">
        <f>+'Rate Base Support'!M55</f>
        <v>0</v>
      </c>
      <c r="N55" s="213">
        <f>+'Rate Base Support'!N55</f>
        <v>0</v>
      </c>
      <c r="O55" s="213">
        <f>+'Rate Base Support'!O55</f>
        <v>0</v>
      </c>
      <c r="P55" s="213">
        <f>+'Rate Base Support'!P55</f>
        <v>0</v>
      </c>
      <c r="Q55" s="213">
        <f>+'Rate Base Support'!Q55</f>
        <v>0</v>
      </c>
      <c r="R55" s="213">
        <f>+'Rate Base Support'!R55</f>
        <v>0</v>
      </c>
      <c r="S55" s="213">
        <f>+'Rate Base Support'!S55</f>
        <v>0</v>
      </c>
      <c r="T55" s="213">
        <f>+'Rate Base Support'!T55</f>
        <v>0</v>
      </c>
      <c r="U55" s="213">
        <f>+'Rate Base Support'!U55</f>
        <v>0</v>
      </c>
      <c r="V55" s="213">
        <f>+'Rate Base Support'!V55</f>
        <v>0</v>
      </c>
      <c r="W55" s="213">
        <f>+'Rate Base Support'!W55</f>
        <v>-134363</v>
      </c>
      <c r="X55" s="213">
        <f>+'Rate Base Support'!X55</f>
        <v>0</v>
      </c>
      <c r="Y55" s="213">
        <f t="shared" si="3"/>
        <v>-134363</v>
      </c>
      <c r="Z55" s="213">
        <f t="shared" si="1"/>
        <v>-7.3638999980175868E-2</v>
      </c>
    </row>
    <row r="56" spans="1:26">
      <c r="A56" s="58" t="s">
        <v>151</v>
      </c>
      <c r="B56" s="58" t="s">
        <v>152</v>
      </c>
      <c r="C56" s="58" t="s">
        <v>246</v>
      </c>
      <c r="D56" s="58">
        <f t="shared" si="2"/>
        <v>47</v>
      </c>
      <c r="E56" s="132" t="s">
        <v>58</v>
      </c>
      <c r="F56" s="58" t="s">
        <v>216</v>
      </c>
      <c r="G56" s="58" t="s">
        <v>36</v>
      </c>
      <c r="H56" s="214">
        <f>1000*43.33531875</f>
        <v>43335.318749999999</v>
      </c>
      <c r="I56" s="214">
        <f>1000*43.33531875</f>
        <v>43335.318749999999</v>
      </c>
      <c r="J56" s="213">
        <f>+'Rate Base Support'!J56</f>
        <v>0</v>
      </c>
      <c r="K56" s="213">
        <f>+'Rate Base Support'!K56</f>
        <v>0</v>
      </c>
      <c r="L56" s="213">
        <f>+'Rate Base Support'!L56</f>
        <v>0</v>
      </c>
      <c r="M56" s="213">
        <f>+'Rate Base Support'!M56</f>
        <v>0</v>
      </c>
      <c r="N56" s="213">
        <f>+'Rate Base Support'!N56</f>
        <v>0</v>
      </c>
      <c r="O56" s="213">
        <f>+'Rate Base Support'!O56</f>
        <v>0</v>
      </c>
      <c r="P56" s="213">
        <f>+'Rate Base Support'!P56</f>
        <v>0</v>
      </c>
      <c r="Q56" s="213">
        <f>+'Rate Base Support'!Q56</f>
        <v>0</v>
      </c>
      <c r="R56" s="213">
        <f>+'Rate Base Support'!R56</f>
        <v>0</v>
      </c>
      <c r="S56" s="213">
        <f>+'Rate Base Support'!S56</f>
        <v>0</v>
      </c>
      <c r="T56" s="213">
        <f>+'Rate Base Support'!T56</f>
        <v>-43335</v>
      </c>
      <c r="U56" s="213">
        <f>+'Rate Base Support'!U56</f>
        <v>0</v>
      </c>
      <c r="V56" s="213">
        <f>+'Rate Base Support'!V56</f>
        <v>0</v>
      </c>
      <c r="W56" s="213">
        <f>+'Rate Base Support'!W56</f>
        <v>0</v>
      </c>
      <c r="X56" s="213">
        <f>+'Rate Base Support'!X56</f>
        <v>0</v>
      </c>
      <c r="Y56" s="213">
        <f t="shared" si="3"/>
        <v>-43335</v>
      </c>
      <c r="Z56" s="213">
        <f t="shared" si="1"/>
        <v>0.31874999999854481</v>
      </c>
    </row>
    <row r="57" spans="1:26">
      <c r="A57" s="192" t="s">
        <v>248</v>
      </c>
      <c r="B57" s="58"/>
      <c r="C57" s="58"/>
      <c r="D57" s="58">
        <f t="shared" si="2"/>
        <v>48</v>
      </c>
      <c r="E57" s="132" t="s">
        <v>58</v>
      </c>
      <c r="F57" s="60" t="s">
        <v>585</v>
      </c>
      <c r="G57" s="58"/>
      <c r="H57" s="214"/>
      <c r="I57" s="214"/>
      <c r="J57" s="213">
        <f>+'Rate Base Support'!J57</f>
        <v>0</v>
      </c>
      <c r="K57" s="213">
        <f>+'Rate Base Support'!K57</f>
        <v>1600912</v>
      </c>
      <c r="L57" s="213">
        <f>+'Rate Base Support'!L57</f>
        <v>0</v>
      </c>
      <c r="M57" s="213">
        <f>+'Rate Base Support'!M57</f>
        <v>0</v>
      </c>
      <c r="N57" s="213">
        <f>+'Rate Base Support'!N57</f>
        <v>0</v>
      </c>
      <c r="O57" s="213">
        <f>+'Rate Base Support'!O57</f>
        <v>0</v>
      </c>
      <c r="P57" s="213">
        <f>+'Rate Base Support'!P57</f>
        <v>0</v>
      </c>
      <c r="Q57" s="213">
        <f>+'Rate Base Support'!Q57</f>
        <v>0</v>
      </c>
      <c r="R57" s="213">
        <f>+'Rate Base Support'!R57</f>
        <v>0</v>
      </c>
      <c r="S57" s="213">
        <f>+'Rate Base Support'!S57</f>
        <v>0</v>
      </c>
      <c r="T57" s="213">
        <f>+'Rate Base Support'!T57</f>
        <v>0</v>
      </c>
      <c r="U57" s="213">
        <f>+'Rate Base Support'!U57</f>
        <v>0</v>
      </c>
      <c r="V57" s="213">
        <f>+'Rate Base Support'!V57</f>
        <v>0</v>
      </c>
      <c r="W57" s="213">
        <f>+'Rate Base Support'!W57</f>
        <v>0</v>
      </c>
      <c r="X57" s="213">
        <f>+'Rate Base Support'!X57</f>
        <v>0</v>
      </c>
      <c r="Y57" s="213">
        <f t="shared" si="3"/>
        <v>1600912</v>
      </c>
      <c r="Z57" s="213">
        <f t="shared" si="1"/>
        <v>1600912</v>
      </c>
    </row>
    <row r="58" spans="1:26" ht="20.25" customHeight="1">
      <c r="A58" s="63" t="s">
        <v>250</v>
      </c>
      <c r="B58" s="58"/>
      <c r="C58" s="63"/>
      <c r="D58" s="58">
        <f t="shared" si="2"/>
        <v>49</v>
      </c>
      <c r="F58" s="202" t="s">
        <v>548</v>
      </c>
      <c r="G58" s="63"/>
      <c r="H58" s="215"/>
      <c r="I58" s="215">
        <f t="shared" ref="I58:Z58" si="4">SUM(I10:I57)</f>
        <v>5165174.1716149999</v>
      </c>
      <c r="J58" s="215">
        <f t="shared" si="4"/>
        <v>0</v>
      </c>
      <c r="K58" s="215">
        <f t="shared" si="4"/>
        <v>1600912</v>
      </c>
      <c r="L58" s="215">
        <f t="shared" si="4"/>
        <v>0</v>
      </c>
      <c r="M58" s="215">
        <f t="shared" si="4"/>
        <v>-21904</v>
      </c>
      <c r="N58" s="215">
        <f t="shared" si="4"/>
        <v>0</v>
      </c>
      <c r="O58" s="215">
        <f t="shared" si="4"/>
        <v>-270049.93000000005</v>
      </c>
      <c r="P58" s="215">
        <f t="shared" si="4"/>
        <v>0</v>
      </c>
      <c r="Q58" s="215">
        <f t="shared" si="4"/>
        <v>0</v>
      </c>
      <c r="R58" s="215">
        <f t="shared" si="4"/>
        <v>0</v>
      </c>
      <c r="S58" s="215">
        <f t="shared" si="4"/>
        <v>0</v>
      </c>
      <c r="T58" s="215">
        <f t="shared" si="4"/>
        <v>-43335</v>
      </c>
      <c r="U58" s="215">
        <f t="shared" si="4"/>
        <v>-19051</v>
      </c>
      <c r="V58" s="215">
        <f t="shared" si="4"/>
        <v>0</v>
      </c>
      <c r="W58" s="215">
        <f t="shared" si="4"/>
        <v>-134363</v>
      </c>
      <c r="X58" s="215">
        <f t="shared" si="4"/>
        <v>0</v>
      </c>
      <c r="Y58" s="215">
        <f t="shared" si="4"/>
        <v>1112209.0699999998</v>
      </c>
      <c r="Z58" s="215">
        <f t="shared" si="4"/>
        <v>6277383.2416150011</v>
      </c>
    </row>
    <row r="59" spans="1:26">
      <c r="A59" s="58" t="s">
        <v>251</v>
      </c>
      <c r="B59" s="58" t="s">
        <v>252</v>
      </c>
      <c r="C59" s="58" t="s">
        <v>253</v>
      </c>
      <c r="D59" s="58">
        <f t="shared" si="2"/>
        <v>50</v>
      </c>
      <c r="E59" s="132" t="s">
        <v>22</v>
      </c>
      <c r="F59" s="58" t="s">
        <v>254</v>
      </c>
      <c r="G59" s="58" t="s">
        <v>30</v>
      </c>
      <c r="H59" s="214">
        <f>1000*-5528.011358333</f>
        <v>-5528011.358333</v>
      </c>
      <c r="I59" s="214">
        <f>1000*-409.535518483</f>
        <v>-409535.51848299999</v>
      </c>
      <c r="J59" s="213">
        <f>+'Rate Base Support'!J59</f>
        <v>0</v>
      </c>
      <c r="K59" s="213">
        <f>+'Rate Base Support'!K59</f>
        <v>0</v>
      </c>
      <c r="L59" s="213">
        <f>+'Rate Base Support'!L59</f>
        <v>0</v>
      </c>
      <c r="M59" s="213">
        <f>+'Rate Base Support'!M59</f>
        <v>0</v>
      </c>
      <c r="N59" s="213">
        <f>+'Rate Base Support'!N59</f>
        <v>0</v>
      </c>
      <c r="O59" s="213">
        <f>+'Rate Base Support'!O59</f>
        <v>0</v>
      </c>
      <c r="P59" s="213">
        <f>+'Rate Base Support'!P59</f>
        <v>0</v>
      </c>
      <c r="Q59" s="213">
        <f>+'Rate Base Support'!Q59</f>
        <v>0</v>
      </c>
      <c r="R59" s="213">
        <f>+'Rate Base Support'!R59</f>
        <v>0</v>
      </c>
      <c r="S59" s="213">
        <f>+'Rate Base Support'!S59</f>
        <v>0</v>
      </c>
      <c r="T59" s="213">
        <f>+'Rate Base Support'!T59</f>
        <v>0</v>
      </c>
      <c r="U59" s="213">
        <f>+'Rate Base Support'!U59</f>
        <v>0</v>
      </c>
      <c r="V59" s="213">
        <f>+'Rate Base Support'!V59</f>
        <v>0</v>
      </c>
      <c r="W59" s="213">
        <f>+'Rate Base Support'!W59</f>
        <v>0</v>
      </c>
      <c r="X59" s="213">
        <f>+'Rate Base Support'!X59</f>
        <v>0</v>
      </c>
      <c r="Y59" s="213">
        <f t="shared" ref="Y59:Y60" si="5">SUM(J59:X59)</f>
        <v>0</v>
      </c>
      <c r="Z59" s="213">
        <f t="shared" ref="Z59:Z60" si="6">+Y59+I59</f>
        <v>-409535.51848299999</v>
      </c>
    </row>
    <row r="60" spans="1:26">
      <c r="A60" s="58">
        <v>282</v>
      </c>
      <c r="B60" s="58"/>
      <c r="C60" s="58"/>
      <c r="D60" s="58">
        <f t="shared" si="2"/>
        <v>51</v>
      </c>
      <c r="E60" s="132" t="s">
        <v>244</v>
      </c>
      <c r="F60" s="60" t="s">
        <v>132</v>
      </c>
      <c r="G60" s="58"/>
      <c r="H60" s="214"/>
      <c r="I60" s="214"/>
      <c r="J60" s="213">
        <f>+'Rate Base Support'!J60</f>
        <v>0</v>
      </c>
      <c r="K60" s="213">
        <f>+'Rate Base Support'!K60</f>
        <v>0</v>
      </c>
      <c r="L60" s="213">
        <f>+'Rate Base Support'!L60</f>
        <v>0</v>
      </c>
      <c r="M60" s="213">
        <f>+'Rate Base Support'!M60</f>
        <v>0</v>
      </c>
      <c r="N60" s="213">
        <f>+'Rate Base Support'!N60</f>
        <v>0</v>
      </c>
      <c r="O60" s="213">
        <f>+'Rate Base Support'!O60</f>
        <v>0</v>
      </c>
      <c r="P60" s="213">
        <f>+'Rate Base Support'!P60</f>
        <v>-510417</v>
      </c>
      <c r="Q60" s="213">
        <f>+'Rate Base Support'!Q60</f>
        <v>0</v>
      </c>
      <c r="R60" s="213">
        <f>+'Rate Base Support'!R60</f>
        <v>0</v>
      </c>
      <c r="S60" s="213">
        <f>+'Rate Base Support'!S60</f>
        <v>0</v>
      </c>
      <c r="T60" s="213">
        <f>+'Rate Base Support'!T60</f>
        <v>0</v>
      </c>
      <c r="U60" s="213">
        <f>+'Rate Base Support'!U60</f>
        <v>0</v>
      </c>
      <c r="V60" s="213">
        <f>+'Rate Base Support'!V60</f>
        <v>0</v>
      </c>
      <c r="W60" s="213">
        <f>+'Rate Base Support'!W60</f>
        <v>0</v>
      </c>
      <c r="X60" s="213">
        <f>+'Rate Base Support'!X60</f>
        <v>0</v>
      </c>
      <c r="Y60" s="213">
        <f t="shared" si="5"/>
        <v>-510417</v>
      </c>
      <c r="Z60" s="213">
        <f t="shared" si="6"/>
        <v>-510417</v>
      </c>
    </row>
    <row r="61" spans="1:26" ht="21.75" customHeight="1">
      <c r="A61" s="63" t="s">
        <v>255</v>
      </c>
      <c r="B61" s="58"/>
      <c r="C61" s="63"/>
      <c r="D61" s="58">
        <f t="shared" si="2"/>
        <v>52</v>
      </c>
      <c r="F61" s="202" t="s">
        <v>533</v>
      </c>
      <c r="G61" s="63"/>
      <c r="H61" s="215">
        <f>+H59</f>
        <v>-5528011.358333</v>
      </c>
      <c r="I61" s="215">
        <f>+I59+I60</f>
        <v>-409535.51848299999</v>
      </c>
      <c r="J61" s="215">
        <f t="shared" ref="J61:Z61" si="7">+J59+J60</f>
        <v>0</v>
      </c>
      <c r="K61" s="215">
        <f t="shared" si="7"/>
        <v>0</v>
      </c>
      <c r="L61" s="215">
        <f t="shared" si="7"/>
        <v>0</v>
      </c>
      <c r="M61" s="215">
        <f t="shared" si="7"/>
        <v>0</v>
      </c>
      <c r="N61" s="215">
        <f t="shared" si="7"/>
        <v>0</v>
      </c>
      <c r="O61" s="215">
        <f t="shared" si="7"/>
        <v>0</v>
      </c>
      <c r="P61" s="215">
        <f t="shared" si="7"/>
        <v>-510417</v>
      </c>
      <c r="Q61" s="215">
        <f t="shared" si="7"/>
        <v>0</v>
      </c>
      <c r="R61" s="215">
        <f t="shared" si="7"/>
        <v>0</v>
      </c>
      <c r="S61" s="215">
        <f t="shared" si="7"/>
        <v>0</v>
      </c>
      <c r="T61" s="215">
        <f t="shared" si="7"/>
        <v>0</v>
      </c>
      <c r="U61" s="215">
        <f t="shared" si="7"/>
        <v>0</v>
      </c>
      <c r="V61" s="215">
        <f t="shared" si="7"/>
        <v>0</v>
      </c>
      <c r="W61" s="215">
        <f t="shared" si="7"/>
        <v>0</v>
      </c>
      <c r="X61" s="215">
        <f t="shared" si="7"/>
        <v>0</v>
      </c>
      <c r="Y61" s="215">
        <f t="shared" si="7"/>
        <v>-510417</v>
      </c>
      <c r="Z61" s="215">
        <f t="shared" si="7"/>
        <v>-919952.51848299999</v>
      </c>
    </row>
    <row r="62" spans="1:26">
      <c r="A62" s="58" t="s">
        <v>256</v>
      </c>
      <c r="B62" s="58" t="s">
        <v>257</v>
      </c>
      <c r="C62" s="58" t="s">
        <v>258</v>
      </c>
      <c r="D62" s="58">
        <f t="shared" si="2"/>
        <v>53</v>
      </c>
      <c r="E62" s="132" t="s">
        <v>244</v>
      </c>
      <c r="F62" s="58" t="s">
        <v>259</v>
      </c>
      <c r="G62" s="58" t="s">
        <v>26</v>
      </c>
      <c r="H62" s="214">
        <f>1000*-4059.471379167</f>
        <v>-4059471.3791670003</v>
      </c>
      <c r="I62" s="214">
        <f>1000*-336.596939399</f>
        <v>-336596.93939900002</v>
      </c>
      <c r="J62" s="213">
        <f>+'Rate Base Support'!J62</f>
        <v>0</v>
      </c>
      <c r="K62" s="213">
        <f>+'Rate Base Support'!K62</f>
        <v>0</v>
      </c>
      <c r="L62" s="213">
        <f>+'Rate Base Support'!L62</f>
        <v>0</v>
      </c>
      <c r="M62" s="213">
        <f>+'Rate Base Support'!M62</f>
        <v>0</v>
      </c>
      <c r="N62" s="213">
        <f>+'Rate Base Support'!N62</f>
        <v>0</v>
      </c>
      <c r="O62" s="213">
        <f>+'Rate Base Support'!O62</f>
        <v>0</v>
      </c>
      <c r="P62" s="213">
        <f>+'Rate Base Support'!P62</f>
        <v>0</v>
      </c>
      <c r="Q62" s="213">
        <f>+'Rate Base Support'!Q62</f>
        <v>0</v>
      </c>
      <c r="R62" s="213">
        <f>+'Rate Base Support'!R62</f>
        <v>0</v>
      </c>
      <c r="S62" s="213">
        <f>+'Rate Base Support'!S62</f>
        <v>0</v>
      </c>
      <c r="T62" s="213">
        <f>+'Rate Base Support'!T62</f>
        <v>0</v>
      </c>
      <c r="U62" s="213">
        <f>+'Rate Base Support'!U62</f>
        <v>0</v>
      </c>
      <c r="V62" s="213">
        <f>+'Rate Base Support'!V62</f>
        <v>0</v>
      </c>
      <c r="W62" s="213">
        <f>+'Rate Base Support'!W62</f>
        <v>0</v>
      </c>
      <c r="X62" s="213">
        <f>+'Rate Base Support'!X62</f>
        <v>0</v>
      </c>
      <c r="Y62" s="213">
        <f t="shared" ref="Y62:Y67" si="8">ROUND(SUM(J62:X62),0)</f>
        <v>0</v>
      </c>
      <c r="Z62" s="213">
        <f t="shared" ref="Z62:Z67" si="9">+Y62+I62</f>
        <v>-336596.93939900002</v>
      </c>
    </row>
    <row r="63" spans="1:26">
      <c r="A63" s="58" t="s">
        <v>256</v>
      </c>
      <c r="B63" s="58" t="s">
        <v>257</v>
      </c>
      <c r="C63" s="58" t="s">
        <v>260</v>
      </c>
      <c r="D63" s="58">
        <f t="shared" si="2"/>
        <v>54</v>
      </c>
      <c r="E63" s="132" t="s">
        <v>244</v>
      </c>
      <c r="F63" s="58" t="s">
        <v>261</v>
      </c>
      <c r="G63" s="58" t="s">
        <v>262</v>
      </c>
      <c r="H63" s="214">
        <v>-1845519.3454916601</v>
      </c>
      <c r="I63" s="214">
        <f>1000*-127926.774312483</f>
        <v>-127926774.312483</v>
      </c>
      <c r="J63" s="213">
        <f>+'Rate Base Support'!J63</f>
        <v>0</v>
      </c>
      <c r="K63" s="213">
        <f>+'Rate Base Support'!K63</f>
        <v>0</v>
      </c>
      <c r="L63" s="213">
        <f>+'Rate Base Support'!L63</f>
        <v>0</v>
      </c>
      <c r="M63" s="213">
        <f>+'Rate Base Support'!M63</f>
        <v>0</v>
      </c>
      <c r="N63" s="213">
        <f>+'Rate Base Support'!N63</f>
        <v>1572142</v>
      </c>
      <c r="O63" s="213">
        <f>+'Rate Base Support'!O63</f>
        <v>0</v>
      </c>
      <c r="P63" s="213">
        <f>+'Rate Base Support'!P63</f>
        <v>0</v>
      </c>
      <c r="Q63" s="213">
        <f>+'Rate Base Support'!Q63</f>
        <v>0</v>
      </c>
      <c r="R63" s="213">
        <f>+'Rate Base Support'!R63</f>
        <v>0</v>
      </c>
      <c r="S63" s="213">
        <f>+'Rate Base Support'!S63</f>
        <v>0</v>
      </c>
      <c r="T63" s="213">
        <f>+'Rate Base Support'!T63</f>
        <v>0</v>
      </c>
      <c r="U63" s="213">
        <f>+'Rate Base Support'!U63</f>
        <v>0</v>
      </c>
      <c r="V63" s="213">
        <f>+'Rate Base Support'!V63</f>
        <v>0</v>
      </c>
      <c r="W63" s="213">
        <f>+'Rate Base Support'!W63</f>
        <v>0</v>
      </c>
      <c r="X63" s="213">
        <f>+'Rate Base Support'!X63</f>
        <v>0</v>
      </c>
      <c r="Y63" s="213">
        <f t="shared" si="8"/>
        <v>1572142</v>
      </c>
      <c r="Z63" s="213">
        <f t="shared" si="9"/>
        <v>-126354632.312483</v>
      </c>
    </row>
    <row r="64" spans="1:26">
      <c r="A64" s="58" t="s">
        <v>256</v>
      </c>
      <c r="B64" s="58" t="s">
        <v>257</v>
      </c>
      <c r="C64" s="58" t="s">
        <v>263</v>
      </c>
      <c r="D64" s="58">
        <f t="shared" si="2"/>
        <v>55</v>
      </c>
      <c r="E64" s="193" t="s">
        <v>22</v>
      </c>
      <c r="F64" s="58" t="s">
        <v>264</v>
      </c>
      <c r="G64" s="58" t="s">
        <v>30</v>
      </c>
      <c r="H64" s="214">
        <f>1000*792.756458333</f>
        <v>792756.45833299996</v>
      </c>
      <c r="I64" s="214">
        <f>1000*58.730329254</f>
        <v>58730.329253999997</v>
      </c>
      <c r="J64" s="213">
        <f>+'Rate Base Support'!J64</f>
        <v>0</v>
      </c>
      <c r="K64" s="213">
        <f>+'Rate Base Support'!K64</f>
        <v>0</v>
      </c>
      <c r="L64" s="213">
        <f>+'Rate Base Support'!L64</f>
        <v>0</v>
      </c>
      <c r="M64" s="213">
        <f>+'Rate Base Support'!M64</f>
        <v>0</v>
      </c>
      <c r="N64" s="213">
        <f>+'Rate Base Support'!N64</f>
        <v>0</v>
      </c>
      <c r="O64" s="213">
        <f>+'Rate Base Support'!O64</f>
        <v>0</v>
      </c>
      <c r="P64" s="213">
        <f>+'Rate Base Support'!P64</f>
        <v>0</v>
      </c>
      <c r="Q64" s="213">
        <f>+'Rate Base Support'!Q64</f>
        <v>0</v>
      </c>
      <c r="R64" s="213">
        <f>+'Rate Base Support'!R64</f>
        <v>0</v>
      </c>
      <c r="S64" s="213">
        <f>+'Rate Base Support'!S64</f>
        <v>0</v>
      </c>
      <c r="T64" s="213">
        <f>+'Rate Base Support'!T64</f>
        <v>0</v>
      </c>
      <c r="U64" s="213">
        <f>+'Rate Base Support'!U64</f>
        <v>0</v>
      </c>
      <c r="V64" s="213">
        <f>+'Rate Base Support'!V64</f>
        <v>0</v>
      </c>
      <c r="W64" s="213">
        <f>+'Rate Base Support'!W64</f>
        <v>0</v>
      </c>
      <c r="X64" s="213">
        <f>+'Rate Base Support'!X64</f>
        <v>0</v>
      </c>
      <c r="Y64" s="213">
        <f t="shared" si="8"/>
        <v>0</v>
      </c>
      <c r="Z64" s="213">
        <f t="shared" si="9"/>
        <v>58730.329253999997</v>
      </c>
    </row>
    <row r="65" spans="1:26">
      <c r="A65" s="58" t="s">
        <v>256</v>
      </c>
      <c r="B65" s="58" t="s">
        <v>257</v>
      </c>
      <c r="C65" s="58" t="s">
        <v>265</v>
      </c>
      <c r="D65" s="58">
        <f t="shared" si="2"/>
        <v>56</v>
      </c>
      <c r="E65" s="193" t="s">
        <v>22</v>
      </c>
      <c r="F65" s="58" t="s">
        <v>266</v>
      </c>
      <c r="G65" s="58" t="s">
        <v>30</v>
      </c>
      <c r="H65" s="214">
        <f>1000*-5861.603322917</f>
        <v>-5861603.3229169995</v>
      </c>
      <c r="I65" s="214">
        <f>1000*-434.249244509</f>
        <v>-434249.24450899998</v>
      </c>
      <c r="J65" s="213">
        <f>+'Rate Base Support'!J65</f>
        <v>0</v>
      </c>
      <c r="K65" s="213">
        <f>+'Rate Base Support'!K65</f>
        <v>0</v>
      </c>
      <c r="L65" s="213">
        <f>+'Rate Base Support'!L65</f>
        <v>0</v>
      </c>
      <c r="M65" s="213">
        <f>+'Rate Base Support'!M65</f>
        <v>0</v>
      </c>
      <c r="N65" s="213">
        <f>+'Rate Base Support'!N65</f>
        <v>0</v>
      </c>
      <c r="O65" s="213">
        <f>+'Rate Base Support'!O65</f>
        <v>0</v>
      </c>
      <c r="P65" s="213">
        <f>+'Rate Base Support'!P65</f>
        <v>0</v>
      </c>
      <c r="Q65" s="213">
        <f>+'Rate Base Support'!Q65</f>
        <v>0</v>
      </c>
      <c r="R65" s="213">
        <f>+'Rate Base Support'!R65</f>
        <v>0</v>
      </c>
      <c r="S65" s="213">
        <f>+'Rate Base Support'!S65</f>
        <v>0</v>
      </c>
      <c r="T65" s="213">
        <f>+'Rate Base Support'!T65</f>
        <v>0</v>
      </c>
      <c r="U65" s="213">
        <f>+'Rate Base Support'!U65</f>
        <v>0</v>
      </c>
      <c r="V65" s="213">
        <f>+'Rate Base Support'!V65</f>
        <v>0</v>
      </c>
      <c r="W65" s="213">
        <f>+'Rate Base Support'!W65</f>
        <v>0</v>
      </c>
      <c r="X65" s="213">
        <f>+'Rate Base Support'!X65</f>
        <v>0</v>
      </c>
      <c r="Y65" s="213">
        <f t="shared" si="8"/>
        <v>0</v>
      </c>
      <c r="Z65" s="213">
        <f t="shared" si="9"/>
        <v>-434249.24450899998</v>
      </c>
    </row>
    <row r="66" spans="1:26">
      <c r="A66" s="58" t="s">
        <v>256</v>
      </c>
      <c r="B66" s="58" t="s">
        <v>257</v>
      </c>
      <c r="C66" s="58" t="s">
        <v>267</v>
      </c>
      <c r="D66" s="58">
        <f t="shared" si="2"/>
        <v>57</v>
      </c>
      <c r="E66" s="193" t="s">
        <v>22</v>
      </c>
      <c r="F66" s="58" t="s">
        <v>268</v>
      </c>
      <c r="G66" s="58" t="s">
        <v>30</v>
      </c>
      <c r="H66" s="214">
        <f>1000*219.393220833</f>
        <v>219393.220833</v>
      </c>
      <c r="I66" s="214">
        <f>1000*16.253460896</f>
        <v>16253.460896000001</v>
      </c>
      <c r="J66" s="213">
        <f>+'Rate Base Support'!J66</f>
        <v>0</v>
      </c>
      <c r="K66" s="213">
        <f>+'Rate Base Support'!K66</f>
        <v>0</v>
      </c>
      <c r="L66" s="213">
        <f>+'Rate Base Support'!L66</f>
        <v>0</v>
      </c>
      <c r="M66" s="213">
        <f>+'Rate Base Support'!M66</f>
        <v>0</v>
      </c>
      <c r="N66" s="213">
        <f>+'Rate Base Support'!N66</f>
        <v>0</v>
      </c>
      <c r="O66" s="213">
        <f>+'Rate Base Support'!O66</f>
        <v>0</v>
      </c>
      <c r="P66" s="213">
        <f>+'Rate Base Support'!P66</f>
        <v>0</v>
      </c>
      <c r="Q66" s="213">
        <f>+'Rate Base Support'!Q66</f>
        <v>0</v>
      </c>
      <c r="R66" s="213">
        <f>+'Rate Base Support'!R66</f>
        <v>0</v>
      </c>
      <c r="S66" s="213">
        <f>+'Rate Base Support'!S66</f>
        <v>0</v>
      </c>
      <c r="T66" s="213">
        <f>+'Rate Base Support'!T66</f>
        <v>0</v>
      </c>
      <c r="U66" s="213">
        <f>+'Rate Base Support'!U66</f>
        <v>0</v>
      </c>
      <c r="V66" s="213">
        <f>+'Rate Base Support'!V66</f>
        <v>0</v>
      </c>
      <c r="W66" s="213">
        <f>+'Rate Base Support'!W66</f>
        <v>0</v>
      </c>
      <c r="X66" s="213">
        <f>+'Rate Base Support'!X66</f>
        <v>0</v>
      </c>
      <c r="Y66" s="213">
        <f t="shared" si="8"/>
        <v>0</v>
      </c>
      <c r="Z66" s="213">
        <f t="shared" si="9"/>
        <v>16253.460896000001</v>
      </c>
    </row>
    <row r="67" spans="1:26">
      <c r="A67" s="58" t="s">
        <v>256</v>
      </c>
      <c r="B67" s="58" t="s">
        <v>257</v>
      </c>
      <c r="C67" s="58" t="s">
        <v>269</v>
      </c>
      <c r="D67" s="58">
        <f t="shared" si="2"/>
        <v>58</v>
      </c>
      <c r="E67" s="193" t="s">
        <v>22</v>
      </c>
      <c r="F67" s="58" t="s">
        <v>270</v>
      </c>
      <c r="G67" s="58" t="s">
        <v>30</v>
      </c>
      <c r="H67" s="214">
        <f>1000*-41.78325</f>
        <v>-41783.25</v>
      </c>
      <c r="I67" s="214">
        <f>1000*-3.095457633</f>
        <v>-3095.457633</v>
      </c>
      <c r="J67" s="213">
        <f>+'Rate Base Support'!J67</f>
        <v>0</v>
      </c>
      <c r="K67" s="213">
        <f>+'Rate Base Support'!K67</f>
        <v>0</v>
      </c>
      <c r="L67" s="213">
        <f>+'Rate Base Support'!L67</f>
        <v>0</v>
      </c>
      <c r="M67" s="213">
        <f>+'Rate Base Support'!M67</f>
        <v>0</v>
      </c>
      <c r="N67" s="213">
        <f>+'Rate Base Support'!N67</f>
        <v>0</v>
      </c>
      <c r="O67" s="213">
        <f>+'Rate Base Support'!O67</f>
        <v>0</v>
      </c>
      <c r="P67" s="213">
        <f>+'Rate Base Support'!P67</f>
        <v>0</v>
      </c>
      <c r="Q67" s="213">
        <f>+'Rate Base Support'!Q67</f>
        <v>0</v>
      </c>
      <c r="R67" s="213">
        <f>+'Rate Base Support'!R67</f>
        <v>0</v>
      </c>
      <c r="S67" s="213">
        <f>+'Rate Base Support'!S67</f>
        <v>0</v>
      </c>
      <c r="T67" s="213">
        <f>+'Rate Base Support'!T67</f>
        <v>0</v>
      </c>
      <c r="U67" s="213">
        <f>+'Rate Base Support'!U67</f>
        <v>0</v>
      </c>
      <c r="V67" s="213">
        <f>+'Rate Base Support'!V67</f>
        <v>0</v>
      </c>
      <c r="W67" s="213">
        <f>+'Rate Base Support'!W67</f>
        <v>0</v>
      </c>
      <c r="X67" s="213">
        <f>+'Rate Base Support'!X67</f>
        <v>0</v>
      </c>
      <c r="Y67" s="213">
        <f t="shared" si="8"/>
        <v>0</v>
      </c>
      <c r="Z67" s="213">
        <f t="shared" si="9"/>
        <v>-3095.457633</v>
      </c>
    </row>
    <row r="68" spans="1:26" collapsed="1">
      <c r="A68" s="63" t="s">
        <v>271</v>
      </c>
      <c r="B68" s="58"/>
      <c r="C68" s="63"/>
      <c r="D68" s="58">
        <f t="shared" si="2"/>
        <v>59</v>
      </c>
      <c r="F68" s="202" t="s">
        <v>549</v>
      </c>
      <c r="G68" s="63"/>
      <c r="H68" s="215"/>
      <c r="I68" s="215">
        <f t="shared" ref="I68:Z68" si="10">SUM(I62:I67)</f>
        <v>-128625732.163874</v>
      </c>
      <c r="J68" s="215">
        <f t="shared" si="10"/>
        <v>0</v>
      </c>
      <c r="K68" s="215">
        <f t="shared" si="10"/>
        <v>0</v>
      </c>
      <c r="L68" s="215">
        <f t="shared" si="10"/>
        <v>0</v>
      </c>
      <c r="M68" s="215">
        <f t="shared" si="10"/>
        <v>0</v>
      </c>
      <c r="N68" s="215">
        <f t="shared" si="10"/>
        <v>1572142</v>
      </c>
      <c r="O68" s="215">
        <f t="shared" si="10"/>
        <v>0</v>
      </c>
      <c r="P68" s="215">
        <f t="shared" si="10"/>
        <v>0</v>
      </c>
      <c r="Q68" s="215">
        <f t="shared" si="10"/>
        <v>0</v>
      </c>
      <c r="R68" s="215">
        <f t="shared" si="10"/>
        <v>0</v>
      </c>
      <c r="S68" s="215">
        <f t="shared" si="10"/>
        <v>0</v>
      </c>
      <c r="T68" s="215">
        <f t="shared" si="10"/>
        <v>0</v>
      </c>
      <c r="U68" s="215">
        <f t="shared" si="10"/>
        <v>0</v>
      </c>
      <c r="V68" s="215">
        <f t="shared" si="10"/>
        <v>0</v>
      </c>
      <c r="W68" s="215">
        <f t="shared" si="10"/>
        <v>0</v>
      </c>
      <c r="X68" s="215">
        <f t="shared" si="10"/>
        <v>0</v>
      </c>
      <c r="Y68" s="215">
        <f t="shared" si="10"/>
        <v>1572142</v>
      </c>
      <c r="Z68" s="215">
        <f t="shared" si="10"/>
        <v>-127053590.163874</v>
      </c>
    </row>
    <row r="69" spans="1:26">
      <c r="A69" s="58" t="s">
        <v>272</v>
      </c>
      <c r="B69" s="58" t="s">
        <v>273</v>
      </c>
      <c r="C69" s="58" t="s">
        <v>274</v>
      </c>
      <c r="D69" s="58">
        <f t="shared" si="2"/>
        <v>60</v>
      </c>
      <c r="E69" s="193" t="s">
        <v>22</v>
      </c>
      <c r="F69" s="65" t="s">
        <v>295</v>
      </c>
      <c r="G69" s="65" t="s">
        <v>57</v>
      </c>
      <c r="H69" s="217">
        <f>1000*-1.312054167</f>
        <v>-1312.054167</v>
      </c>
      <c r="I69" s="217">
        <f>1000*-0.289794473</f>
        <v>-289.79447299999998</v>
      </c>
      <c r="J69" s="213">
        <f>+'Rate Base Support'!J69</f>
        <v>0</v>
      </c>
      <c r="K69" s="213">
        <f>+'Rate Base Support'!K69</f>
        <v>0</v>
      </c>
      <c r="L69" s="213">
        <f>+'Rate Base Support'!L69</f>
        <v>0</v>
      </c>
      <c r="M69" s="213">
        <f>+'Rate Base Support'!M69</f>
        <v>0</v>
      </c>
      <c r="N69" s="213">
        <f>+'Rate Base Support'!N69</f>
        <v>0</v>
      </c>
      <c r="O69" s="213">
        <f>+'Rate Base Support'!O69</f>
        <v>0</v>
      </c>
      <c r="P69" s="213">
        <f>+'Rate Base Support'!P69</f>
        <v>0</v>
      </c>
      <c r="Q69" s="213">
        <f>+'Rate Base Support'!Q69</f>
        <v>0</v>
      </c>
      <c r="R69" s="213">
        <f>+'Rate Base Support'!R69</f>
        <v>0</v>
      </c>
      <c r="S69" s="213">
        <f>+'Rate Base Support'!S69</f>
        <v>0</v>
      </c>
      <c r="T69" s="213">
        <f>+'Rate Base Support'!T69</f>
        <v>0</v>
      </c>
      <c r="U69" s="213">
        <f>+'Rate Base Support'!U69</f>
        <v>290</v>
      </c>
      <c r="V69" s="213">
        <f>+'Rate Base Support'!V69</f>
        <v>0</v>
      </c>
      <c r="W69" s="213">
        <f>+'Rate Base Support'!W69</f>
        <v>0</v>
      </c>
      <c r="X69" s="213">
        <f>+'Rate Base Support'!X69</f>
        <v>0</v>
      </c>
      <c r="Y69" s="213">
        <f t="shared" ref="Y69:Y103" si="11">SUM(J69:X69)</f>
        <v>290</v>
      </c>
      <c r="Z69" s="213">
        <f t="shared" ref="Z69:Z103" si="12">+Y69+I69</f>
        <v>0.20552700000001778</v>
      </c>
    </row>
    <row r="70" spans="1:26">
      <c r="A70" s="58" t="s">
        <v>272</v>
      </c>
      <c r="B70" s="58" t="s">
        <v>273</v>
      </c>
      <c r="C70" s="58" t="s">
        <v>276</v>
      </c>
      <c r="D70" s="58">
        <f t="shared" si="2"/>
        <v>61</v>
      </c>
      <c r="E70" s="193" t="s">
        <v>22</v>
      </c>
      <c r="F70" s="65" t="s">
        <v>297</v>
      </c>
      <c r="G70" s="65" t="s">
        <v>57</v>
      </c>
      <c r="H70" s="217">
        <f>1000*-471.4087625</f>
        <v>-471408.76250000001</v>
      </c>
      <c r="I70" s="217">
        <f>1000*-104.120437572</f>
        <v>-104120.437572</v>
      </c>
      <c r="J70" s="213">
        <f>+'Rate Base Support'!J70</f>
        <v>0</v>
      </c>
      <c r="K70" s="213">
        <f>+'Rate Base Support'!K70</f>
        <v>0</v>
      </c>
      <c r="L70" s="213">
        <f>+'Rate Base Support'!L70</f>
        <v>0</v>
      </c>
      <c r="M70" s="213">
        <f>+'Rate Base Support'!M70</f>
        <v>0</v>
      </c>
      <c r="N70" s="213">
        <f>+'Rate Base Support'!N70</f>
        <v>0</v>
      </c>
      <c r="O70" s="213">
        <f>+'Rate Base Support'!O70</f>
        <v>0</v>
      </c>
      <c r="P70" s="213">
        <f>+'Rate Base Support'!P70</f>
        <v>0</v>
      </c>
      <c r="Q70" s="213">
        <f>+'Rate Base Support'!Q70</f>
        <v>0</v>
      </c>
      <c r="R70" s="213">
        <f>+'Rate Base Support'!R70</f>
        <v>0</v>
      </c>
      <c r="S70" s="213">
        <f>+'Rate Base Support'!S70</f>
        <v>0</v>
      </c>
      <c r="T70" s="213">
        <f>+'Rate Base Support'!T70</f>
        <v>0</v>
      </c>
      <c r="U70" s="213">
        <f>+'Rate Base Support'!U70</f>
        <v>104120</v>
      </c>
      <c r="V70" s="213">
        <f>+'Rate Base Support'!V70</f>
        <v>0</v>
      </c>
      <c r="W70" s="213">
        <f>+'Rate Base Support'!W70</f>
        <v>0</v>
      </c>
      <c r="X70" s="213">
        <f>+'Rate Base Support'!X70</f>
        <v>0</v>
      </c>
      <c r="Y70" s="213">
        <f t="shared" si="11"/>
        <v>104120</v>
      </c>
      <c r="Z70" s="213">
        <f t="shared" si="12"/>
        <v>-0.43757199999527074</v>
      </c>
    </row>
    <row r="71" spans="1:26">
      <c r="A71" s="58" t="s">
        <v>272</v>
      </c>
      <c r="B71" s="58" t="s">
        <v>273</v>
      </c>
      <c r="C71" s="58" t="s">
        <v>278</v>
      </c>
      <c r="D71" s="58">
        <f t="shared" si="2"/>
        <v>62</v>
      </c>
      <c r="E71" s="193" t="s">
        <v>22</v>
      </c>
      <c r="F71" s="65" t="s">
        <v>299</v>
      </c>
      <c r="G71" s="65" t="s">
        <v>57</v>
      </c>
      <c r="H71" s="217">
        <f>1000*-1794.595177083</f>
        <v>-1794595.1770829998</v>
      </c>
      <c r="I71" s="217">
        <f>1000*-396.373699357</f>
        <v>-396373.699357</v>
      </c>
      <c r="J71" s="213">
        <f>+'Rate Base Support'!J71</f>
        <v>0</v>
      </c>
      <c r="K71" s="213">
        <f>+'Rate Base Support'!K71</f>
        <v>0</v>
      </c>
      <c r="L71" s="213">
        <f>+'Rate Base Support'!L71</f>
        <v>0</v>
      </c>
      <c r="M71" s="213">
        <f>+'Rate Base Support'!M71</f>
        <v>0</v>
      </c>
      <c r="N71" s="213">
        <f>+'Rate Base Support'!N71</f>
        <v>0</v>
      </c>
      <c r="O71" s="213">
        <f>+'Rate Base Support'!O71</f>
        <v>0</v>
      </c>
      <c r="P71" s="213">
        <f>+'Rate Base Support'!P71</f>
        <v>0</v>
      </c>
      <c r="Q71" s="213">
        <f>+'Rate Base Support'!Q71</f>
        <v>0</v>
      </c>
      <c r="R71" s="213">
        <f>+'Rate Base Support'!R71</f>
        <v>0</v>
      </c>
      <c r="S71" s="213">
        <f>+'Rate Base Support'!S71</f>
        <v>0</v>
      </c>
      <c r="T71" s="213">
        <f>+'Rate Base Support'!T71</f>
        <v>0</v>
      </c>
      <c r="U71" s="213">
        <f>+'Rate Base Support'!U71</f>
        <v>396374</v>
      </c>
      <c r="V71" s="213">
        <f>+'Rate Base Support'!V71</f>
        <v>0</v>
      </c>
      <c r="W71" s="213">
        <f>+'Rate Base Support'!W71</f>
        <v>0</v>
      </c>
      <c r="X71" s="213">
        <f>+'Rate Base Support'!X71</f>
        <v>0</v>
      </c>
      <c r="Y71" s="213">
        <f t="shared" si="11"/>
        <v>396374</v>
      </c>
      <c r="Z71" s="213">
        <f t="shared" si="12"/>
        <v>0.30064299999503419</v>
      </c>
    </row>
    <row r="72" spans="1:26">
      <c r="A72" s="58" t="s">
        <v>272</v>
      </c>
      <c r="B72" s="58" t="s">
        <v>273</v>
      </c>
      <c r="C72" s="58" t="s">
        <v>280</v>
      </c>
      <c r="D72" s="58">
        <f t="shared" si="2"/>
        <v>63</v>
      </c>
      <c r="E72" s="193" t="s">
        <v>22</v>
      </c>
      <c r="F72" s="65" t="s">
        <v>301</v>
      </c>
      <c r="G72" s="65" t="s">
        <v>30</v>
      </c>
      <c r="H72" s="217">
        <f>1000*-916.942625</f>
        <v>-916942.625</v>
      </c>
      <c r="I72" s="217">
        <f>1000*-67.93</f>
        <v>-67930</v>
      </c>
      <c r="J72" s="213">
        <f>+'Rate Base Support'!J72</f>
        <v>0</v>
      </c>
      <c r="K72" s="213">
        <f>+'Rate Base Support'!K72</f>
        <v>0</v>
      </c>
      <c r="L72" s="213">
        <f>+'Rate Base Support'!L72</f>
        <v>0</v>
      </c>
      <c r="M72" s="213">
        <f>+'Rate Base Support'!M72</f>
        <v>0</v>
      </c>
      <c r="N72" s="213">
        <f>+'Rate Base Support'!N72</f>
        <v>0</v>
      </c>
      <c r="O72" s="213">
        <f>+'Rate Base Support'!O72</f>
        <v>0</v>
      </c>
      <c r="P72" s="213">
        <f>+'Rate Base Support'!P72</f>
        <v>0</v>
      </c>
      <c r="Q72" s="213">
        <f>+'Rate Base Support'!Q72</f>
        <v>0</v>
      </c>
      <c r="R72" s="213">
        <f>+'Rate Base Support'!R72</f>
        <v>0</v>
      </c>
      <c r="S72" s="213">
        <f>+'Rate Base Support'!S72</f>
        <v>0</v>
      </c>
      <c r="T72" s="213">
        <f>+'Rate Base Support'!T72</f>
        <v>0</v>
      </c>
      <c r="U72" s="213">
        <f>+'Rate Base Support'!U72</f>
        <v>67930</v>
      </c>
      <c r="V72" s="213">
        <f>+'Rate Base Support'!V72</f>
        <v>0</v>
      </c>
      <c r="W72" s="213">
        <f>+'Rate Base Support'!W72</f>
        <v>0</v>
      </c>
      <c r="X72" s="213">
        <f>+'Rate Base Support'!X72</f>
        <v>0</v>
      </c>
      <c r="Y72" s="213">
        <f t="shared" si="11"/>
        <v>67930</v>
      </c>
      <c r="Z72" s="213">
        <f t="shared" si="12"/>
        <v>0</v>
      </c>
    </row>
    <row r="73" spans="1:26">
      <c r="A73" s="65" t="s">
        <v>272</v>
      </c>
      <c r="B73" s="65" t="s">
        <v>273</v>
      </c>
      <c r="C73" s="65" t="s">
        <v>282</v>
      </c>
      <c r="D73" s="58">
        <f t="shared" si="2"/>
        <v>64</v>
      </c>
      <c r="E73" s="193" t="s">
        <v>22</v>
      </c>
      <c r="F73" s="65" t="s">
        <v>306</v>
      </c>
      <c r="G73" s="65" t="s">
        <v>40</v>
      </c>
      <c r="H73" s="217">
        <f>1000*-15492.972741667</f>
        <v>-15492972.741666999</v>
      </c>
      <c r="I73" s="217">
        <f>1000*-1147.776698223</f>
        <v>-1147776.6982229999</v>
      </c>
      <c r="J73" s="213">
        <f>+'Rate Base Support'!J73</f>
        <v>0</v>
      </c>
      <c r="K73" s="213">
        <f>+'Rate Base Support'!K73</f>
        <v>0</v>
      </c>
      <c r="L73" s="213">
        <f>+'Rate Base Support'!L73</f>
        <v>0</v>
      </c>
      <c r="M73" s="213">
        <f>+'Rate Base Support'!M73</f>
        <v>0</v>
      </c>
      <c r="N73" s="213">
        <f>+'Rate Base Support'!N73</f>
        <v>0</v>
      </c>
      <c r="O73" s="213">
        <f>+'Rate Base Support'!O73</f>
        <v>0</v>
      </c>
      <c r="P73" s="213">
        <f>+'Rate Base Support'!P73</f>
        <v>0</v>
      </c>
      <c r="Q73" s="213">
        <f>+'Rate Base Support'!Q73</f>
        <v>0</v>
      </c>
      <c r="R73" s="213">
        <f>+'Rate Base Support'!R73</f>
        <v>0</v>
      </c>
      <c r="S73" s="213">
        <f>+'Rate Base Support'!S73</f>
        <v>0</v>
      </c>
      <c r="T73" s="213">
        <f>+'Rate Base Support'!T73</f>
        <v>0</v>
      </c>
      <c r="U73" s="213">
        <f>+'Rate Base Support'!U73</f>
        <v>1147777</v>
      </c>
      <c r="V73" s="213">
        <f>+'Rate Base Support'!V73</f>
        <v>0</v>
      </c>
      <c r="W73" s="213">
        <f>+'Rate Base Support'!W73</f>
        <v>0</v>
      </c>
      <c r="X73" s="213">
        <f>+'Rate Base Support'!X73</f>
        <v>0</v>
      </c>
      <c r="Y73" s="213">
        <f t="shared" si="11"/>
        <v>1147777</v>
      </c>
      <c r="Z73" s="213">
        <f t="shared" si="12"/>
        <v>0.30177700007334352</v>
      </c>
    </row>
    <row r="74" spans="1:26">
      <c r="A74" s="65" t="s">
        <v>272</v>
      </c>
      <c r="B74" s="65" t="s">
        <v>273</v>
      </c>
      <c r="C74" s="65" t="s">
        <v>231</v>
      </c>
      <c r="D74" s="58">
        <f t="shared" si="2"/>
        <v>65</v>
      </c>
      <c r="E74" s="193" t="s">
        <v>22</v>
      </c>
      <c r="F74" s="58" t="s">
        <v>277</v>
      </c>
      <c r="G74" s="58" t="s">
        <v>30</v>
      </c>
      <c r="H74" s="214">
        <f>1000*-781.077833333</f>
        <v>-781077.83333299996</v>
      </c>
      <c r="I74" s="214">
        <f>1000*-57.865133538</f>
        <v>-57865.133538000002</v>
      </c>
      <c r="J74" s="213">
        <f>+'Rate Base Support'!J74</f>
        <v>0</v>
      </c>
      <c r="K74" s="213">
        <f>+'Rate Base Support'!K74</f>
        <v>0</v>
      </c>
      <c r="L74" s="213">
        <f>+'Rate Base Support'!L74</f>
        <v>0</v>
      </c>
      <c r="M74" s="213">
        <f>+'Rate Base Support'!M74</f>
        <v>0</v>
      </c>
      <c r="N74" s="213">
        <f>+'Rate Base Support'!N74</f>
        <v>0</v>
      </c>
      <c r="O74" s="213">
        <f>+'Rate Base Support'!O74</f>
        <v>0</v>
      </c>
      <c r="P74" s="213">
        <f>+'Rate Base Support'!P74</f>
        <v>0</v>
      </c>
      <c r="Q74" s="213">
        <f>+'Rate Base Support'!Q74</f>
        <v>0</v>
      </c>
      <c r="R74" s="213">
        <f>+'Rate Base Support'!R74</f>
        <v>0</v>
      </c>
      <c r="S74" s="213">
        <f>+'Rate Base Support'!S74</f>
        <v>0</v>
      </c>
      <c r="T74" s="213">
        <f>+'Rate Base Support'!T74</f>
        <v>0</v>
      </c>
      <c r="U74" s="213">
        <f>+'Rate Base Support'!U74</f>
        <v>0</v>
      </c>
      <c r="V74" s="213">
        <f>+'Rate Base Support'!V74</f>
        <v>0</v>
      </c>
      <c r="W74" s="213">
        <f>+'Rate Base Support'!W74</f>
        <v>0</v>
      </c>
      <c r="X74" s="213">
        <f>+'Rate Base Support'!X74</f>
        <v>0</v>
      </c>
      <c r="Y74" s="213">
        <f t="shared" si="11"/>
        <v>0</v>
      </c>
      <c r="Z74" s="213">
        <f t="shared" si="12"/>
        <v>-57865.133538000002</v>
      </c>
    </row>
    <row r="75" spans="1:26">
      <c r="A75" s="65" t="s">
        <v>272</v>
      </c>
      <c r="B75" s="65" t="s">
        <v>273</v>
      </c>
      <c r="C75" s="65" t="s">
        <v>233</v>
      </c>
      <c r="D75" s="58">
        <f t="shared" si="2"/>
        <v>66</v>
      </c>
      <c r="E75" s="193" t="s">
        <v>22</v>
      </c>
      <c r="F75" s="58" t="s">
        <v>279</v>
      </c>
      <c r="G75" s="58" t="s">
        <v>36</v>
      </c>
      <c r="H75" s="214">
        <f>1000*1187.206125</f>
        <v>1187206.125</v>
      </c>
      <c r="I75" s="214">
        <f>1000*1187.206125</f>
        <v>1187206.125</v>
      </c>
      <c r="J75" s="213">
        <f>+'Rate Base Support'!J75</f>
        <v>0</v>
      </c>
      <c r="K75" s="213">
        <f>+'Rate Base Support'!K75</f>
        <v>0</v>
      </c>
      <c r="L75" s="213">
        <f>+'Rate Base Support'!L75</f>
        <v>0</v>
      </c>
      <c r="M75" s="213">
        <f>+'Rate Base Support'!M75</f>
        <v>0</v>
      </c>
      <c r="N75" s="213">
        <f>+'Rate Base Support'!N75</f>
        <v>0</v>
      </c>
      <c r="O75" s="213">
        <f>+'Rate Base Support'!O75</f>
        <v>0</v>
      </c>
      <c r="P75" s="213">
        <f>+'Rate Base Support'!P75</f>
        <v>0</v>
      </c>
      <c r="Q75" s="213">
        <f>+'Rate Base Support'!Q75</f>
        <v>0</v>
      </c>
      <c r="R75" s="213">
        <f>+'Rate Base Support'!R75</f>
        <v>0</v>
      </c>
      <c r="S75" s="213">
        <f>+'Rate Base Support'!S75</f>
        <v>0</v>
      </c>
      <c r="T75" s="213">
        <f>+'Rate Base Support'!T75</f>
        <v>0</v>
      </c>
      <c r="U75" s="213">
        <f>+'Rate Base Support'!U75</f>
        <v>0</v>
      </c>
      <c r="V75" s="213">
        <f>+'Rate Base Support'!V75</f>
        <v>0</v>
      </c>
      <c r="W75" s="213">
        <f>+'Rate Base Support'!W75</f>
        <v>0</v>
      </c>
      <c r="X75" s="213">
        <f>+'Rate Base Support'!X75</f>
        <v>0</v>
      </c>
      <c r="Y75" s="213">
        <f t="shared" si="11"/>
        <v>0</v>
      </c>
      <c r="Z75" s="213">
        <f t="shared" si="12"/>
        <v>1187206.125</v>
      </c>
    </row>
    <row r="76" spans="1:26">
      <c r="A76" s="65" t="s">
        <v>272</v>
      </c>
      <c r="B76" s="65" t="s">
        <v>273</v>
      </c>
      <c r="C76" s="65" t="s">
        <v>310</v>
      </c>
      <c r="D76" s="58">
        <f t="shared" ref="D76:D109" si="13">1+D75</f>
        <v>67</v>
      </c>
      <c r="E76" s="193" t="s">
        <v>22</v>
      </c>
      <c r="F76" s="65" t="s">
        <v>303</v>
      </c>
      <c r="G76" s="65" t="s">
        <v>34</v>
      </c>
      <c r="H76" s="217">
        <f>1000*-6294.7455875</f>
        <v>-6294745.5874999994</v>
      </c>
      <c r="I76" s="217">
        <f>1000*-452.73055366</f>
        <v>-452730.55365999998</v>
      </c>
      <c r="J76" s="213">
        <f>+'Rate Base Support'!J76</f>
        <v>0</v>
      </c>
      <c r="K76" s="213">
        <f>+'Rate Base Support'!K76</f>
        <v>0</v>
      </c>
      <c r="L76" s="213">
        <f>+'Rate Base Support'!L76</f>
        <v>0</v>
      </c>
      <c r="M76" s="213">
        <f>+'Rate Base Support'!M76</f>
        <v>0</v>
      </c>
      <c r="N76" s="213">
        <f>+'Rate Base Support'!N76</f>
        <v>0</v>
      </c>
      <c r="O76" s="213">
        <f>+'Rate Base Support'!O76</f>
        <v>0</v>
      </c>
      <c r="P76" s="213">
        <f>+'Rate Base Support'!P76</f>
        <v>0</v>
      </c>
      <c r="Q76" s="213">
        <f>+'Rate Base Support'!Q76</f>
        <v>0</v>
      </c>
      <c r="R76" s="213">
        <f>+'Rate Base Support'!R76</f>
        <v>0</v>
      </c>
      <c r="S76" s="213">
        <f>+'Rate Base Support'!S76</f>
        <v>0</v>
      </c>
      <c r="T76" s="213">
        <f>+'Rate Base Support'!T76</f>
        <v>0</v>
      </c>
      <c r="U76" s="213">
        <f>+'Rate Base Support'!U76</f>
        <v>0</v>
      </c>
      <c r="V76" s="213">
        <f>+'Rate Base Support'!V76</f>
        <v>0</v>
      </c>
      <c r="W76" s="213">
        <f>+'Rate Base Support'!W76</f>
        <v>0</v>
      </c>
      <c r="X76" s="213">
        <f>+'Rate Base Support'!X76</f>
        <v>0</v>
      </c>
      <c r="Y76" s="213">
        <f t="shared" si="11"/>
        <v>0</v>
      </c>
      <c r="Z76" s="213">
        <f t="shared" si="12"/>
        <v>-452730.55365999998</v>
      </c>
    </row>
    <row r="77" spans="1:26">
      <c r="A77" s="65" t="s">
        <v>272</v>
      </c>
      <c r="B77" s="65" t="s">
        <v>273</v>
      </c>
      <c r="C77" s="65" t="s">
        <v>284</v>
      </c>
      <c r="D77" s="58">
        <f t="shared" si="13"/>
        <v>68</v>
      </c>
      <c r="E77" s="67" t="s">
        <v>50</v>
      </c>
      <c r="F77" s="65" t="s">
        <v>293</v>
      </c>
      <c r="G77" s="65" t="s">
        <v>42</v>
      </c>
      <c r="H77" s="217">
        <f>1000*-712.618610417</f>
        <v>-712618.61041700002</v>
      </c>
      <c r="I77" s="217">
        <f>1000*-56.227860237</f>
        <v>-56227.860237000001</v>
      </c>
      <c r="J77" s="213">
        <f>+'Rate Base Support'!J77</f>
        <v>0</v>
      </c>
      <c r="K77" s="213">
        <f>+'Rate Base Support'!K77</f>
        <v>0</v>
      </c>
      <c r="L77" s="213">
        <f>+'Rate Base Support'!L77</f>
        <v>0</v>
      </c>
      <c r="M77" s="213">
        <f>+'Rate Base Support'!M77</f>
        <v>0</v>
      </c>
      <c r="N77" s="213">
        <f>+'Rate Base Support'!N77</f>
        <v>0</v>
      </c>
      <c r="O77" s="213">
        <f>+'Rate Base Support'!O77</f>
        <v>0</v>
      </c>
      <c r="P77" s="213">
        <f>+'Rate Base Support'!P77</f>
        <v>0</v>
      </c>
      <c r="Q77" s="213">
        <f>+'Rate Base Support'!Q77</f>
        <v>0</v>
      </c>
      <c r="R77" s="213">
        <f>+'Rate Base Support'!R77</f>
        <v>0</v>
      </c>
      <c r="S77" s="213">
        <f>+'Rate Base Support'!S77</f>
        <v>0</v>
      </c>
      <c r="T77" s="213">
        <f>+'Rate Base Support'!T77</f>
        <v>0</v>
      </c>
      <c r="U77" s="213">
        <f>+'Rate Base Support'!U77</f>
        <v>0</v>
      </c>
      <c r="V77" s="213">
        <f>+'Rate Base Support'!V77</f>
        <v>0</v>
      </c>
      <c r="W77" s="213">
        <f>+'Rate Base Support'!W77</f>
        <v>0</v>
      </c>
      <c r="X77" s="213">
        <f>+'Rate Base Support'!X77</f>
        <v>0</v>
      </c>
      <c r="Y77" s="213">
        <f t="shared" si="11"/>
        <v>0</v>
      </c>
      <c r="Z77" s="213">
        <f t="shared" si="12"/>
        <v>-56227.860237000001</v>
      </c>
    </row>
    <row r="78" spans="1:26">
      <c r="A78" s="65" t="s">
        <v>272</v>
      </c>
      <c r="B78" s="65" t="s">
        <v>273</v>
      </c>
      <c r="C78" s="65" t="s">
        <v>286</v>
      </c>
      <c r="D78" s="58">
        <f t="shared" si="13"/>
        <v>69</v>
      </c>
      <c r="E78" s="67" t="s">
        <v>50</v>
      </c>
      <c r="F78" s="65" t="s">
        <v>304</v>
      </c>
      <c r="G78" s="65" t="s">
        <v>32</v>
      </c>
      <c r="H78" s="217">
        <f>1000*2113.05315625</f>
        <v>2113053.15625</v>
      </c>
      <c r="I78" s="217">
        <f>1000*451.29441712</f>
        <v>451294.41712</v>
      </c>
      <c r="J78" s="213">
        <f>+'Rate Base Support'!J78</f>
        <v>0</v>
      </c>
      <c r="K78" s="213">
        <f>+'Rate Base Support'!K78</f>
        <v>0</v>
      </c>
      <c r="L78" s="213">
        <f>+'Rate Base Support'!L78</f>
        <v>0</v>
      </c>
      <c r="M78" s="213">
        <f>+'Rate Base Support'!M78</f>
        <v>0</v>
      </c>
      <c r="N78" s="213">
        <f>+'Rate Base Support'!N78</f>
        <v>0</v>
      </c>
      <c r="O78" s="213">
        <f>+'Rate Base Support'!O78</f>
        <v>0</v>
      </c>
      <c r="P78" s="213">
        <f>+'Rate Base Support'!P78</f>
        <v>0</v>
      </c>
      <c r="Q78" s="213">
        <f>+'Rate Base Support'!Q78</f>
        <v>0</v>
      </c>
      <c r="R78" s="213">
        <f>+'Rate Base Support'!R78</f>
        <v>0</v>
      </c>
      <c r="S78" s="213">
        <f>+'Rate Base Support'!S78</f>
        <v>0</v>
      </c>
      <c r="T78" s="213">
        <f>+'Rate Base Support'!T78</f>
        <v>0</v>
      </c>
      <c r="U78" s="213">
        <f>+'Rate Base Support'!U78</f>
        <v>0</v>
      </c>
      <c r="V78" s="213">
        <f>+'Rate Base Support'!V78</f>
        <v>0</v>
      </c>
      <c r="W78" s="213">
        <f>+'Rate Base Support'!W78</f>
        <v>0</v>
      </c>
      <c r="X78" s="213">
        <f>+'Rate Base Support'!X78</f>
        <v>0</v>
      </c>
      <c r="Y78" s="213">
        <f t="shared" si="11"/>
        <v>0</v>
      </c>
      <c r="Z78" s="213">
        <f t="shared" si="12"/>
        <v>451294.41712</v>
      </c>
    </row>
    <row r="79" spans="1:26">
      <c r="A79" s="65" t="s">
        <v>272</v>
      </c>
      <c r="B79" s="65" t="s">
        <v>273</v>
      </c>
      <c r="C79" s="65" t="s">
        <v>288</v>
      </c>
      <c r="D79" s="58">
        <f t="shared" si="13"/>
        <v>70</v>
      </c>
      <c r="E79" s="67" t="s">
        <v>50</v>
      </c>
      <c r="F79" s="65" t="s">
        <v>230</v>
      </c>
      <c r="G79" s="65" t="s">
        <v>32</v>
      </c>
      <c r="H79" s="217">
        <f>1000*76.79513125</f>
        <v>76795.131249999991</v>
      </c>
      <c r="I79" s="217">
        <f>1000*16.401487058</f>
        <v>16401.487058000002</v>
      </c>
      <c r="J79" s="213">
        <f>+'Rate Base Support'!J79</f>
        <v>0</v>
      </c>
      <c r="K79" s="213">
        <f>+'Rate Base Support'!K79</f>
        <v>0</v>
      </c>
      <c r="L79" s="213">
        <f>+'Rate Base Support'!L79</f>
        <v>0</v>
      </c>
      <c r="M79" s="213">
        <f>+'Rate Base Support'!M79</f>
        <v>0</v>
      </c>
      <c r="N79" s="213">
        <f>+'Rate Base Support'!N79</f>
        <v>0</v>
      </c>
      <c r="O79" s="213">
        <f>+'Rate Base Support'!O79</f>
        <v>0</v>
      </c>
      <c r="P79" s="213">
        <f>+'Rate Base Support'!P79</f>
        <v>0</v>
      </c>
      <c r="Q79" s="213">
        <f>+'Rate Base Support'!Q79</f>
        <v>0</v>
      </c>
      <c r="R79" s="213">
        <f>+'Rate Base Support'!R79</f>
        <v>0</v>
      </c>
      <c r="S79" s="213">
        <f>+'Rate Base Support'!S79</f>
        <v>0</v>
      </c>
      <c r="T79" s="213">
        <f>+'Rate Base Support'!T79</f>
        <v>0</v>
      </c>
      <c r="U79" s="213">
        <f>+'Rate Base Support'!U79</f>
        <v>0</v>
      </c>
      <c r="V79" s="213">
        <f>+'Rate Base Support'!V79</f>
        <v>0</v>
      </c>
      <c r="W79" s="213">
        <f>+'Rate Base Support'!W79</f>
        <v>0</v>
      </c>
      <c r="X79" s="213">
        <f>+'Rate Base Support'!X79</f>
        <v>0</v>
      </c>
      <c r="Y79" s="213">
        <f t="shared" si="11"/>
        <v>0</v>
      </c>
      <c r="Z79" s="213">
        <f t="shared" si="12"/>
        <v>16401.487058000002</v>
      </c>
    </row>
    <row r="80" spans="1:26">
      <c r="A80" s="65" t="s">
        <v>272</v>
      </c>
      <c r="B80" s="65" t="s">
        <v>273</v>
      </c>
      <c r="C80" s="65" t="s">
        <v>290</v>
      </c>
      <c r="D80" s="58">
        <f t="shared" si="13"/>
        <v>71</v>
      </c>
      <c r="E80" s="67" t="s">
        <v>50</v>
      </c>
      <c r="F80" s="65" t="s">
        <v>307</v>
      </c>
      <c r="G80" s="65" t="s">
        <v>32</v>
      </c>
      <c r="H80" s="217">
        <f>1000*-490.373</f>
        <v>-490373</v>
      </c>
      <c r="I80" s="217">
        <f>1000*-104.731202124</f>
        <v>-104731.202124</v>
      </c>
      <c r="J80" s="213">
        <f>+'Rate Base Support'!J80</f>
        <v>0</v>
      </c>
      <c r="K80" s="213">
        <f>+'Rate Base Support'!K80</f>
        <v>0</v>
      </c>
      <c r="L80" s="213">
        <f>+'Rate Base Support'!L80</f>
        <v>0</v>
      </c>
      <c r="M80" s="213">
        <f>+'Rate Base Support'!M80</f>
        <v>0</v>
      </c>
      <c r="N80" s="213">
        <f>+'Rate Base Support'!N80</f>
        <v>0</v>
      </c>
      <c r="O80" s="213">
        <f>+'Rate Base Support'!O80</f>
        <v>-6500.5</v>
      </c>
      <c r="P80" s="213">
        <f>+'Rate Base Support'!P80</f>
        <v>0</v>
      </c>
      <c r="Q80" s="213">
        <f>+'Rate Base Support'!Q80</f>
        <v>0</v>
      </c>
      <c r="R80" s="213">
        <f>+'Rate Base Support'!R80</f>
        <v>0</v>
      </c>
      <c r="S80" s="213">
        <f>+'Rate Base Support'!S80</f>
        <v>0</v>
      </c>
      <c r="T80" s="213">
        <f>+'Rate Base Support'!T80</f>
        <v>0</v>
      </c>
      <c r="U80" s="213">
        <f>+'Rate Base Support'!U80</f>
        <v>0</v>
      </c>
      <c r="V80" s="213">
        <f>+'Rate Base Support'!V80</f>
        <v>0</v>
      </c>
      <c r="W80" s="213">
        <f>+'Rate Base Support'!W80</f>
        <v>0</v>
      </c>
      <c r="X80" s="213">
        <f>+'Rate Base Support'!X80</f>
        <v>0</v>
      </c>
      <c r="Y80" s="213">
        <f t="shared" si="11"/>
        <v>-6500.5</v>
      </c>
      <c r="Z80" s="213">
        <f t="shared" si="12"/>
        <v>-111231.702124</v>
      </c>
    </row>
    <row r="81" spans="1:26">
      <c r="A81" s="65" t="s">
        <v>272</v>
      </c>
      <c r="B81" s="65" t="s">
        <v>273</v>
      </c>
      <c r="C81" s="65" t="s">
        <v>292</v>
      </c>
      <c r="D81" s="58">
        <f t="shared" si="13"/>
        <v>72</v>
      </c>
      <c r="E81" s="67" t="s">
        <v>50</v>
      </c>
      <c r="F81" s="65" t="s">
        <v>234</v>
      </c>
      <c r="G81" s="65" t="s">
        <v>32</v>
      </c>
      <c r="H81" s="217">
        <f>1000*-14.092766667</f>
        <v>-14092.766667</v>
      </c>
      <c r="I81" s="217">
        <f>1000*-3.009856567</f>
        <v>-3009.8565669999998</v>
      </c>
      <c r="J81" s="213">
        <f>+'Rate Base Support'!J81</f>
        <v>0</v>
      </c>
      <c r="K81" s="213">
        <f>+'Rate Base Support'!K81</f>
        <v>0</v>
      </c>
      <c r="L81" s="213">
        <f>+'Rate Base Support'!L81</f>
        <v>0</v>
      </c>
      <c r="M81" s="213">
        <f>+'Rate Base Support'!M81</f>
        <v>0</v>
      </c>
      <c r="N81" s="213">
        <f>+'Rate Base Support'!N81</f>
        <v>0</v>
      </c>
      <c r="O81" s="213">
        <f>+'Rate Base Support'!O81</f>
        <v>0</v>
      </c>
      <c r="P81" s="213">
        <f>+'Rate Base Support'!P81</f>
        <v>0</v>
      </c>
      <c r="Q81" s="213">
        <f>+'Rate Base Support'!Q81</f>
        <v>0</v>
      </c>
      <c r="R81" s="213">
        <f>+'Rate Base Support'!R81</f>
        <v>0</v>
      </c>
      <c r="S81" s="213">
        <f>+'Rate Base Support'!S81</f>
        <v>0</v>
      </c>
      <c r="T81" s="213">
        <f>+'Rate Base Support'!T81</f>
        <v>0</v>
      </c>
      <c r="U81" s="213">
        <f>+'Rate Base Support'!U81</f>
        <v>0</v>
      </c>
      <c r="V81" s="213">
        <f>+'Rate Base Support'!V81</f>
        <v>0</v>
      </c>
      <c r="W81" s="213">
        <f>+'Rate Base Support'!W81</f>
        <v>0</v>
      </c>
      <c r="X81" s="213">
        <f>+'Rate Base Support'!X81</f>
        <v>0</v>
      </c>
      <c r="Y81" s="213">
        <f t="shared" si="11"/>
        <v>0</v>
      </c>
      <c r="Z81" s="213">
        <f t="shared" si="12"/>
        <v>-3009.8565669999998</v>
      </c>
    </row>
    <row r="82" spans="1:26">
      <c r="A82" s="65" t="s">
        <v>272</v>
      </c>
      <c r="B82" s="65" t="s">
        <v>273</v>
      </c>
      <c r="C82" s="65" t="s">
        <v>294</v>
      </c>
      <c r="D82" s="58">
        <f t="shared" si="13"/>
        <v>73</v>
      </c>
      <c r="E82" s="67" t="s">
        <v>50</v>
      </c>
      <c r="F82" s="65" t="s">
        <v>236</v>
      </c>
      <c r="G82" s="65" t="s">
        <v>32</v>
      </c>
      <c r="H82" s="217">
        <f>1000*200.663433333</f>
        <v>200663.43333299999</v>
      </c>
      <c r="I82" s="217">
        <f>1000*42.856606288</f>
        <v>42856.606288000003</v>
      </c>
      <c r="J82" s="213">
        <f>+'Rate Base Support'!J82</f>
        <v>0</v>
      </c>
      <c r="K82" s="213">
        <f>+'Rate Base Support'!K82</f>
        <v>0</v>
      </c>
      <c r="L82" s="213">
        <f>+'Rate Base Support'!L82</f>
        <v>0</v>
      </c>
      <c r="M82" s="213">
        <f>+'Rate Base Support'!M82</f>
        <v>0</v>
      </c>
      <c r="N82" s="213">
        <f>+'Rate Base Support'!N82</f>
        <v>0</v>
      </c>
      <c r="O82" s="213">
        <f>+'Rate Base Support'!O82</f>
        <v>0</v>
      </c>
      <c r="P82" s="213">
        <f>+'Rate Base Support'!P82</f>
        <v>0</v>
      </c>
      <c r="Q82" s="213">
        <f>+'Rate Base Support'!Q82</f>
        <v>0</v>
      </c>
      <c r="R82" s="213">
        <f>+'Rate Base Support'!R82</f>
        <v>0</v>
      </c>
      <c r="S82" s="213">
        <f>+'Rate Base Support'!S82</f>
        <v>0</v>
      </c>
      <c r="T82" s="213">
        <f>+'Rate Base Support'!T82</f>
        <v>0</v>
      </c>
      <c r="U82" s="213">
        <f>+'Rate Base Support'!U82</f>
        <v>0</v>
      </c>
      <c r="V82" s="213">
        <f>+'Rate Base Support'!V82</f>
        <v>0</v>
      </c>
      <c r="W82" s="213">
        <f>+'Rate Base Support'!W82</f>
        <v>0</v>
      </c>
      <c r="X82" s="213">
        <f>+'Rate Base Support'!X82</f>
        <v>0</v>
      </c>
      <c r="Y82" s="213">
        <f t="shared" si="11"/>
        <v>0</v>
      </c>
      <c r="Z82" s="213">
        <f t="shared" si="12"/>
        <v>42856.606288000003</v>
      </c>
    </row>
    <row r="83" spans="1:26">
      <c r="A83" s="65" t="s">
        <v>272</v>
      </c>
      <c r="B83" s="65" t="s">
        <v>273</v>
      </c>
      <c r="C83" s="65" t="s">
        <v>296</v>
      </c>
      <c r="D83" s="58">
        <f t="shared" si="13"/>
        <v>74</v>
      </c>
      <c r="E83" s="67" t="s">
        <v>50</v>
      </c>
      <c r="F83" s="65" t="s">
        <v>238</v>
      </c>
      <c r="G83" s="65" t="s">
        <v>32</v>
      </c>
      <c r="H83" s="217">
        <f>1000*271.1636375</f>
        <v>271163.63750000001</v>
      </c>
      <c r="I83" s="217">
        <f>1000*57.913657008</f>
        <v>57913.657008000002</v>
      </c>
      <c r="J83" s="213">
        <f>+'Rate Base Support'!J83</f>
        <v>0</v>
      </c>
      <c r="K83" s="213">
        <f>+'Rate Base Support'!K83</f>
        <v>0</v>
      </c>
      <c r="L83" s="213">
        <f>+'Rate Base Support'!L83</f>
        <v>0</v>
      </c>
      <c r="M83" s="213">
        <f>+'Rate Base Support'!M83</f>
        <v>0</v>
      </c>
      <c r="N83" s="213">
        <f>+'Rate Base Support'!N83</f>
        <v>0</v>
      </c>
      <c r="O83" s="213">
        <f>+'Rate Base Support'!O83</f>
        <v>0</v>
      </c>
      <c r="P83" s="213">
        <f>+'Rate Base Support'!P83</f>
        <v>0</v>
      </c>
      <c r="Q83" s="213">
        <f>+'Rate Base Support'!Q83</f>
        <v>0</v>
      </c>
      <c r="R83" s="213">
        <f>+'Rate Base Support'!R83</f>
        <v>0</v>
      </c>
      <c r="S83" s="213">
        <f>+'Rate Base Support'!S83</f>
        <v>0</v>
      </c>
      <c r="T83" s="213">
        <f>+'Rate Base Support'!T83</f>
        <v>0</v>
      </c>
      <c r="U83" s="213">
        <f>+'Rate Base Support'!U83</f>
        <v>0</v>
      </c>
      <c r="V83" s="213">
        <f>+'Rate Base Support'!V83</f>
        <v>0</v>
      </c>
      <c r="W83" s="213">
        <f>+'Rate Base Support'!W83</f>
        <v>0</v>
      </c>
      <c r="X83" s="213">
        <f>+'Rate Base Support'!X83</f>
        <v>0</v>
      </c>
      <c r="Y83" s="213">
        <f t="shared" si="11"/>
        <v>0</v>
      </c>
      <c r="Z83" s="213">
        <f t="shared" si="12"/>
        <v>57913.657008000002</v>
      </c>
    </row>
    <row r="84" spans="1:26">
      <c r="A84" s="65" t="s">
        <v>272</v>
      </c>
      <c r="B84" s="65" t="s">
        <v>273</v>
      </c>
      <c r="C84" s="65" t="s">
        <v>298</v>
      </c>
      <c r="D84" s="58">
        <f t="shared" si="13"/>
        <v>75</v>
      </c>
      <c r="E84" s="67" t="s">
        <v>50</v>
      </c>
      <c r="F84" s="65" t="s">
        <v>240</v>
      </c>
      <c r="G84" s="65" t="s">
        <v>32</v>
      </c>
      <c r="H84" s="217">
        <f>1000*1659.211170833</f>
        <v>1659211.170833</v>
      </c>
      <c r="I84" s="217">
        <f>1000*354.365310691</f>
        <v>354365.31069099996</v>
      </c>
      <c r="J84" s="213">
        <f>+'Rate Base Support'!J84</f>
        <v>0</v>
      </c>
      <c r="K84" s="213">
        <f>+'Rate Base Support'!K84</f>
        <v>0</v>
      </c>
      <c r="L84" s="213">
        <f>+'Rate Base Support'!L84</f>
        <v>0</v>
      </c>
      <c r="M84" s="213">
        <f>+'Rate Base Support'!M84</f>
        <v>0</v>
      </c>
      <c r="N84" s="213">
        <f>+'Rate Base Support'!N84</f>
        <v>0</v>
      </c>
      <c r="O84" s="213">
        <f>+'Rate Base Support'!O84</f>
        <v>0</v>
      </c>
      <c r="P84" s="213">
        <f>+'Rate Base Support'!P84</f>
        <v>0</v>
      </c>
      <c r="Q84" s="213">
        <f>+'Rate Base Support'!Q84</f>
        <v>0</v>
      </c>
      <c r="R84" s="213">
        <f>+'Rate Base Support'!R84</f>
        <v>0</v>
      </c>
      <c r="S84" s="213">
        <f>+'Rate Base Support'!S84</f>
        <v>0</v>
      </c>
      <c r="T84" s="213">
        <f>+'Rate Base Support'!T84</f>
        <v>0</v>
      </c>
      <c r="U84" s="213">
        <f>+'Rate Base Support'!U84</f>
        <v>0</v>
      </c>
      <c r="V84" s="213">
        <f>+'Rate Base Support'!V84</f>
        <v>0</v>
      </c>
      <c r="W84" s="213">
        <f>+'Rate Base Support'!W84</f>
        <v>0</v>
      </c>
      <c r="X84" s="213">
        <f>+'Rate Base Support'!X84</f>
        <v>0</v>
      </c>
      <c r="Y84" s="213">
        <f t="shared" si="11"/>
        <v>0</v>
      </c>
      <c r="Z84" s="213">
        <f t="shared" si="12"/>
        <v>354365.31069099996</v>
      </c>
    </row>
    <row r="85" spans="1:26">
      <c r="A85" s="65" t="s">
        <v>272</v>
      </c>
      <c r="B85" s="65" t="s">
        <v>273</v>
      </c>
      <c r="C85" s="65" t="s">
        <v>300</v>
      </c>
      <c r="D85" s="58">
        <f t="shared" si="13"/>
        <v>76</v>
      </c>
      <c r="E85" s="67" t="s">
        <v>50</v>
      </c>
      <c r="F85" s="65" t="s">
        <v>242</v>
      </c>
      <c r="G85" s="65" t="s">
        <v>32</v>
      </c>
      <c r="H85" s="217">
        <f>1000*19721.7000875</f>
        <v>19721700.087500002</v>
      </c>
      <c r="I85" s="217">
        <f>1000*4212.053596135</f>
        <v>4212053.5961349998</v>
      </c>
      <c r="J85" s="213">
        <f>+'Rate Base Support'!J85</f>
        <v>0</v>
      </c>
      <c r="K85" s="213">
        <f>+'Rate Base Support'!K85</f>
        <v>0</v>
      </c>
      <c r="L85" s="213">
        <f>+'Rate Base Support'!L85</f>
        <v>0</v>
      </c>
      <c r="M85" s="213">
        <f>+'Rate Base Support'!M85</f>
        <v>0</v>
      </c>
      <c r="N85" s="213">
        <f>+'Rate Base Support'!N85</f>
        <v>0</v>
      </c>
      <c r="O85" s="213">
        <f>+'Rate Base Support'!O85</f>
        <v>-4212053.5959999999</v>
      </c>
      <c r="P85" s="213">
        <f>+'Rate Base Support'!P85</f>
        <v>0</v>
      </c>
      <c r="Q85" s="213">
        <f>+'Rate Base Support'!Q85</f>
        <v>0</v>
      </c>
      <c r="R85" s="213">
        <f>+'Rate Base Support'!R85</f>
        <v>0</v>
      </c>
      <c r="S85" s="213">
        <f>+'Rate Base Support'!S85</f>
        <v>0</v>
      </c>
      <c r="T85" s="213">
        <f>+'Rate Base Support'!T85</f>
        <v>0</v>
      </c>
      <c r="U85" s="213">
        <f>+'Rate Base Support'!U85</f>
        <v>0</v>
      </c>
      <c r="V85" s="213">
        <f>+'Rate Base Support'!V85</f>
        <v>0</v>
      </c>
      <c r="W85" s="213">
        <f>+'Rate Base Support'!W85</f>
        <v>0</v>
      </c>
      <c r="X85" s="213">
        <f>+'Rate Base Support'!X85</f>
        <v>0</v>
      </c>
      <c r="Y85" s="213">
        <f t="shared" si="11"/>
        <v>-4212053.5959999999</v>
      </c>
      <c r="Z85" s="213">
        <f t="shared" si="12"/>
        <v>1.3499986380338669E-4</v>
      </c>
    </row>
    <row r="86" spans="1:26">
      <c r="A86" s="65" t="s">
        <v>272</v>
      </c>
      <c r="B86" s="65" t="s">
        <v>273</v>
      </c>
      <c r="C86" s="65" t="s">
        <v>229</v>
      </c>
      <c r="D86" s="58">
        <f t="shared" si="13"/>
        <v>77</v>
      </c>
      <c r="E86" s="67" t="s">
        <v>50</v>
      </c>
      <c r="F86" s="65" t="s">
        <v>312</v>
      </c>
      <c r="G86" s="65" t="s">
        <v>32</v>
      </c>
      <c r="H86" s="217">
        <f>1000*-140.255254167</f>
        <v>-140255.25416700001</v>
      </c>
      <c r="I86" s="217">
        <f>1000*-29.954955459</f>
        <v>-29954.955459000001</v>
      </c>
      <c r="J86" s="213">
        <f>+'Rate Base Support'!J86</f>
        <v>0</v>
      </c>
      <c r="K86" s="213">
        <f>+'Rate Base Support'!K86</f>
        <v>0</v>
      </c>
      <c r="L86" s="213">
        <f>+'Rate Base Support'!L86</f>
        <v>0</v>
      </c>
      <c r="M86" s="213">
        <f>+'Rate Base Support'!M86</f>
        <v>0</v>
      </c>
      <c r="N86" s="213">
        <f>+'Rate Base Support'!N86</f>
        <v>0</v>
      </c>
      <c r="O86" s="213">
        <f>+'Rate Base Support'!O86</f>
        <v>0</v>
      </c>
      <c r="P86" s="213">
        <f>+'Rate Base Support'!P86</f>
        <v>0</v>
      </c>
      <c r="Q86" s="213">
        <f>+'Rate Base Support'!Q86</f>
        <v>0</v>
      </c>
      <c r="R86" s="213">
        <f>+'Rate Base Support'!R86</f>
        <v>0</v>
      </c>
      <c r="S86" s="213">
        <f>+'Rate Base Support'!S86</f>
        <v>0</v>
      </c>
      <c r="T86" s="213">
        <f>+'Rate Base Support'!T86</f>
        <v>0</v>
      </c>
      <c r="U86" s="213">
        <f>+'Rate Base Support'!U86</f>
        <v>0</v>
      </c>
      <c r="V86" s="213">
        <f>+'Rate Base Support'!V86</f>
        <v>0</v>
      </c>
      <c r="W86" s="213">
        <f>+'Rate Base Support'!W86</f>
        <v>0</v>
      </c>
      <c r="X86" s="213">
        <f>+'Rate Base Support'!X86</f>
        <v>0</v>
      </c>
      <c r="Y86" s="213">
        <f t="shared" si="11"/>
        <v>0</v>
      </c>
      <c r="Z86" s="213">
        <f t="shared" si="12"/>
        <v>-29954.955459000001</v>
      </c>
    </row>
    <row r="87" spans="1:26">
      <c r="A87" s="65" t="s">
        <v>272</v>
      </c>
      <c r="B87" s="65" t="s">
        <v>273</v>
      </c>
      <c r="C87" s="65" t="s">
        <v>302</v>
      </c>
      <c r="D87" s="58">
        <f t="shared" si="13"/>
        <v>78</v>
      </c>
      <c r="E87" s="67" t="s">
        <v>50</v>
      </c>
      <c r="F87" s="65" t="s">
        <v>322</v>
      </c>
      <c r="G87" s="65" t="s">
        <v>42</v>
      </c>
      <c r="H87" s="217">
        <f>1000*-2069.824797917</f>
        <v>-2069824.797917</v>
      </c>
      <c r="I87" s="217">
        <f>1000*-163.315717202</f>
        <v>-163315.717202</v>
      </c>
      <c r="J87" s="213">
        <f>+'Rate Base Support'!J87</f>
        <v>0</v>
      </c>
      <c r="K87" s="213">
        <f>+'Rate Base Support'!K87</f>
        <v>0</v>
      </c>
      <c r="L87" s="213">
        <f>+'Rate Base Support'!L87</f>
        <v>0</v>
      </c>
      <c r="M87" s="213">
        <f>+'Rate Base Support'!M87</f>
        <v>0</v>
      </c>
      <c r="N87" s="213">
        <f>+'Rate Base Support'!N87</f>
        <v>0</v>
      </c>
      <c r="O87" s="213">
        <f>+'Rate Base Support'!O87</f>
        <v>0</v>
      </c>
      <c r="P87" s="213">
        <f>+'Rate Base Support'!P87</f>
        <v>0</v>
      </c>
      <c r="Q87" s="213">
        <f>+'Rate Base Support'!Q87</f>
        <v>0</v>
      </c>
      <c r="R87" s="213">
        <f>+'Rate Base Support'!R87</f>
        <v>0</v>
      </c>
      <c r="S87" s="213">
        <f>+'Rate Base Support'!S87</f>
        <v>0</v>
      </c>
      <c r="T87" s="213">
        <f>+'Rate Base Support'!T87</f>
        <v>0</v>
      </c>
      <c r="U87" s="213">
        <f>+'Rate Base Support'!U87</f>
        <v>0</v>
      </c>
      <c r="V87" s="213">
        <f>+'Rate Base Support'!V87</f>
        <v>0</v>
      </c>
      <c r="W87" s="213">
        <f>+'Rate Base Support'!W87</f>
        <v>0</v>
      </c>
      <c r="X87" s="213">
        <f>+'Rate Base Support'!X87</f>
        <v>0</v>
      </c>
      <c r="Y87" s="213">
        <f t="shared" si="11"/>
        <v>0</v>
      </c>
      <c r="Z87" s="213">
        <f t="shared" si="12"/>
        <v>-163315.717202</v>
      </c>
    </row>
    <row r="88" spans="1:26">
      <c r="A88" s="65" t="s">
        <v>272</v>
      </c>
      <c r="B88" s="65" t="s">
        <v>273</v>
      </c>
      <c r="C88" s="65" t="s">
        <v>227</v>
      </c>
      <c r="D88" s="58">
        <f t="shared" si="13"/>
        <v>79</v>
      </c>
      <c r="E88" s="67" t="s">
        <v>244</v>
      </c>
      <c r="F88" s="65" t="s">
        <v>245</v>
      </c>
      <c r="G88" s="65" t="s">
        <v>32</v>
      </c>
      <c r="H88" s="217">
        <f>1000*-21712.481389583</f>
        <v>-21712481.389583003</v>
      </c>
      <c r="I88" s="217">
        <f>1000*-4637.233854701</f>
        <v>-4637233.8547010003</v>
      </c>
      <c r="J88" s="213">
        <f>+'Rate Base Support'!J88</f>
        <v>0</v>
      </c>
      <c r="K88" s="213">
        <f>+'Rate Base Support'!K88</f>
        <v>0</v>
      </c>
      <c r="L88" s="213">
        <f>+'Rate Base Support'!L88</f>
        <v>0</v>
      </c>
      <c r="M88" s="213">
        <f>+'Rate Base Support'!M88</f>
        <v>0</v>
      </c>
      <c r="N88" s="213">
        <f>+'Rate Base Support'!N88</f>
        <v>0</v>
      </c>
      <c r="O88" s="213">
        <f>+'Rate Base Support'!O88</f>
        <v>0</v>
      </c>
      <c r="P88" s="213">
        <f>+'Rate Base Support'!P88</f>
        <v>0</v>
      </c>
      <c r="Q88" s="213">
        <f>+'Rate Base Support'!Q88</f>
        <v>0</v>
      </c>
      <c r="R88" s="213">
        <f>+'Rate Base Support'!R88</f>
        <v>0</v>
      </c>
      <c r="S88" s="213">
        <f>+'Rate Base Support'!S88</f>
        <v>0</v>
      </c>
      <c r="T88" s="213">
        <f>+'Rate Base Support'!T88</f>
        <v>0</v>
      </c>
      <c r="U88" s="213">
        <f>+'Rate Base Support'!U88</f>
        <v>0</v>
      </c>
      <c r="V88" s="213">
        <f>+'Rate Base Support'!V88</f>
        <v>0</v>
      </c>
      <c r="W88" s="213">
        <f>+'Rate Base Support'!W88</f>
        <v>0</v>
      </c>
      <c r="X88" s="213">
        <f>+'Rate Base Support'!X88</f>
        <v>0</v>
      </c>
      <c r="Y88" s="213">
        <f t="shared" si="11"/>
        <v>0</v>
      </c>
      <c r="Z88" s="213">
        <f t="shared" si="12"/>
        <v>-4637233.8547010003</v>
      </c>
    </row>
    <row r="89" spans="1:26">
      <c r="A89" s="65" t="s">
        <v>272</v>
      </c>
      <c r="B89" s="65" t="s">
        <v>273</v>
      </c>
      <c r="C89" s="65" t="s">
        <v>305</v>
      </c>
      <c r="D89" s="58">
        <f t="shared" si="13"/>
        <v>80</v>
      </c>
      <c r="E89" s="132" t="s">
        <v>58</v>
      </c>
      <c r="F89" s="58" t="s">
        <v>275</v>
      </c>
      <c r="G89" s="58" t="s">
        <v>36</v>
      </c>
      <c r="H89" s="214">
        <f>1000*-2257.540625</f>
        <v>-2257540.625</v>
      </c>
      <c r="I89" s="214">
        <f>1000*-2257.540625</f>
        <v>-2257540.625</v>
      </c>
      <c r="J89" s="213">
        <f>+'Rate Base Support'!J89</f>
        <v>2257540.625</v>
      </c>
      <c r="K89" s="213">
        <f>+'Rate Base Support'!K89</f>
        <v>0</v>
      </c>
      <c r="L89" s="213">
        <f>+'Rate Base Support'!L89</f>
        <v>0</v>
      </c>
      <c r="M89" s="213">
        <f>+'Rate Base Support'!M89</f>
        <v>0</v>
      </c>
      <c r="N89" s="213">
        <f>+'Rate Base Support'!N89</f>
        <v>0</v>
      </c>
      <c r="O89" s="213">
        <f>+'Rate Base Support'!O89</f>
        <v>0</v>
      </c>
      <c r="P89" s="213">
        <f>+'Rate Base Support'!P89</f>
        <v>0</v>
      </c>
      <c r="Q89" s="213">
        <f>+'Rate Base Support'!Q89</f>
        <v>0</v>
      </c>
      <c r="R89" s="213">
        <f>+'Rate Base Support'!R89</f>
        <v>0</v>
      </c>
      <c r="S89" s="213">
        <f>+'Rate Base Support'!S89</f>
        <v>0</v>
      </c>
      <c r="T89" s="213">
        <f>+'Rate Base Support'!T89</f>
        <v>0</v>
      </c>
      <c r="U89" s="213">
        <f>+'Rate Base Support'!U89</f>
        <v>0</v>
      </c>
      <c r="V89" s="213">
        <f>+'Rate Base Support'!V89</f>
        <v>0</v>
      </c>
      <c r="W89" s="213">
        <f>+'Rate Base Support'!W89</f>
        <v>0</v>
      </c>
      <c r="X89" s="213">
        <f>+'Rate Base Support'!X89</f>
        <v>0</v>
      </c>
      <c r="Y89" s="213">
        <f t="shared" si="11"/>
        <v>2257540.625</v>
      </c>
      <c r="Z89" s="213">
        <f t="shared" si="12"/>
        <v>0</v>
      </c>
    </row>
    <row r="90" spans="1:26">
      <c r="A90" s="65" t="s">
        <v>272</v>
      </c>
      <c r="B90" s="65" t="s">
        <v>273</v>
      </c>
      <c r="C90" s="65" t="s">
        <v>235</v>
      </c>
      <c r="D90" s="58">
        <f t="shared" si="13"/>
        <v>81</v>
      </c>
      <c r="E90" s="132" t="s">
        <v>58</v>
      </c>
      <c r="F90" s="58" t="s">
        <v>281</v>
      </c>
      <c r="G90" s="58" t="s">
        <v>36</v>
      </c>
      <c r="H90" s="214">
        <f>1000*165.366291667</f>
        <v>165366.29166700001</v>
      </c>
      <c r="I90" s="214">
        <f>1000*165.366291667</f>
        <v>165366.29166700001</v>
      </c>
      <c r="J90" s="213">
        <f>+'Rate Base Support'!J90</f>
        <v>0</v>
      </c>
      <c r="K90" s="213">
        <f>+'Rate Base Support'!K90</f>
        <v>0</v>
      </c>
      <c r="L90" s="213">
        <f>+'Rate Base Support'!L90</f>
        <v>0</v>
      </c>
      <c r="M90" s="213">
        <f>+'Rate Base Support'!M90</f>
        <v>0</v>
      </c>
      <c r="N90" s="213">
        <f>+'Rate Base Support'!N90</f>
        <v>0</v>
      </c>
      <c r="O90" s="213">
        <f>+'Rate Base Support'!O90</f>
        <v>0</v>
      </c>
      <c r="P90" s="213">
        <f>+'Rate Base Support'!P90</f>
        <v>0</v>
      </c>
      <c r="Q90" s="213">
        <f>+'Rate Base Support'!Q90</f>
        <v>0</v>
      </c>
      <c r="R90" s="213">
        <f>+'Rate Base Support'!R90</f>
        <v>0</v>
      </c>
      <c r="S90" s="213">
        <f>+'Rate Base Support'!S90</f>
        <v>0</v>
      </c>
      <c r="T90" s="213">
        <f>+'Rate Base Support'!T90</f>
        <v>-165366</v>
      </c>
      <c r="U90" s="213">
        <f>+'Rate Base Support'!U90</f>
        <v>0</v>
      </c>
      <c r="V90" s="213">
        <f>+'Rate Base Support'!V90</f>
        <v>0</v>
      </c>
      <c r="W90" s="213">
        <f>+'Rate Base Support'!W90</f>
        <v>0</v>
      </c>
      <c r="X90" s="213">
        <f>+'Rate Base Support'!X90</f>
        <v>0</v>
      </c>
      <c r="Y90" s="213">
        <f t="shared" si="11"/>
        <v>-165366</v>
      </c>
      <c r="Z90" s="213">
        <f>ROUND(+Y90+I90,0)</f>
        <v>0</v>
      </c>
    </row>
    <row r="91" spans="1:26">
      <c r="A91" s="65" t="s">
        <v>272</v>
      </c>
      <c r="B91" s="65" t="s">
        <v>273</v>
      </c>
      <c r="C91" s="65" t="s">
        <v>237</v>
      </c>
      <c r="D91" s="58">
        <f t="shared" si="13"/>
        <v>82</v>
      </c>
      <c r="E91" s="132" t="s">
        <v>58</v>
      </c>
      <c r="F91" s="65" t="s">
        <v>283</v>
      </c>
      <c r="G91" s="65" t="s">
        <v>70</v>
      </c>
      <c r="H91" s="217">
        <f>1000*153.30836875</f>
        <v>153308.36874999999</v>
      </c>
      <c r="I91" s="217">
        <f>1000*33.911618152</f>
        <v>33911.618152000003</v>
      </c>
      <c r="J91" s="213">
        <f>+'Rate Base Support'!J91</f>
        <v>0</v>
      </c>
      <c r="K91" s="213">
        <f>+'Rate Base Support'!K91</f>
        <v>0</v>
      </c>
      <c r="L91" s="213">
        <f>+'Rate Base Support'!L91</f>
        <v>0</v>
      </c>
      <c r="M91" s="213">
        <f>+'Rate Base Support'!M91</f>
        <v>0</v>
      </c>
      <c r="N91" s="213">
        <f>+'Rate Base Support'!N91</f>
        <v>0</v>
      </c>
      <c r="O91" s="213">
        <f>+'Rate Base Support'!O91</f>
        <v>0</v>
      </c>
      <c r="P91" s="213">
        <f>+'Rate Base Support'!P91</f>
        <v>0</v>
      </c>
      <c r="Q91" s="213">
        <f>+'Rate Base Support'!Q91</f>
        <v>0</v>
      </c>
      <c r="R91" s="213">
        <f>+'Rate Base Support'!R91</f>
        <v>0</v>
      </c>
      <c r="S91" s="213">
        <f>+'Rate Base Support'!S91</f>
        <v>0</v>
      </c>
      <c r="T91" s="213">
        <f>+'Rate Base Support'!T91</f>
        <v>0</v>
      </c>
      <c r="U91" s="213">
        <f>+'Rate Base Support'!U91</f>
        <v>0</v>
      </c>
      <c r="V91" s="213">
        <f>+'Rate Base Support'!V91</f>
        <v>0</v>
      </c>
      <c r="W91" s="213">
        <f>+'Rate Base Support'!W91</f>
        <v>-33912</v>
      </c>
      <c r="X91" s="213">
        <f>+'Rate Base Support'!X91</f>
        <v>0</v>
      </c>
      <c r="Y91" s="213">
        <f t="shared" si="11"/>
        <v>-33912</v>
      </c>
      <c r="Z91" s="213">
        <f t="shared" ref="Z91:Z93" si="14">ROUND(+Y91+I91,0)</f>
        <v>0</v>
      </c>
    </row>
    <row r="92" spans="1:26">
      <c r="A92" s="65" t="s">
        <v>272</v>
      </c>
      <c r="B92" s="65" t="s">
        <v>273</v>
      </c>
      <c r="C92" s="65" t="s">
        <v>239</v>
      </c>
      <c r="D92" s="58">
        <f t="shared" si="13"/>
        <v>83</v>
      </c>
      <c r="E92" s="132" t="s">
        <v>58</v>
      </c>
      <c r="F92" s="65" t="s">
        <v>285</v>
      </c>
      <c r="G92" s="65" t="s">
        <v>30</v>
      </c>
      <c r="H92" s="217">
        <f>1000*-6376.651402083</f>
        <v>-6376651.4020830002</v>
      </c>
      <c r="I92" s="217">
        <f>1000*-472.405910347</f>
        <v>-472405.910347</v>
      </c>
      <c r="J92" s="213">
        <f>+'Rate Base Support'!J92</f>
        <v>0</v>
      </c>
      <c r="K92" s="213">
        <f>+'Rate Base Support'!K92</f>
        <v>0</v>
      </c>
      <c r="L92" s="213">
        <f>+'Rate Base Support'!L92</f>
        <v>472406</v>
      </c>
      <c r="M92" s="213">
        <f>+'Rate Base Support'!M92</f>
        <v>0</v>
      </c>
      <c r="N92" s="213">
        <f>+'Rate Base Support'!N92</f>
        <v>0</v>
      </c>
      <c r="O92" s="213">
        <f>+'Rate Base Support'!O92</f>
        <v>0</v>
      </c>
      <c r="P92" s="213">
        <f>+'Rate Base Support'!P92</f>
        <v>0</v>
      </c>
      <c r="Q92" s="213">
        <f>+'Rate Base Support'!Q92</f>
        <v>0</v>
      </c>
      <c r="R92" s="213">
        <f>+'Rate Base Support'!R92</f>
        <v>0</v>
      </c>
      <c r="S92" s="213">
        <f>+'Rate Base Support'!S92</f>
        <v>0</v>
      </c>
      <c r="T92" s="213">
        <f>+'Rate Base Support'!T92</f>
        <v>0</v>
      </c>
      <c r="U92" s="213">
        <f>+'Rate Base Support'!U92</f>
        <v>0</v>
      </c>
      <c r="V92" s="213">
        <f>+'Rate Base Support'!V92</f>
        <v>0</v>
      </c>
      <c r="W92" s="213">
        <f>+'Rate Base Support'!W92</f>
        <v>0</v>
      </c>
      <c r="X92" s="213">
        <f>+'Rate Base Support'!X92</f>
        <v>0</v>
      </c>
      <c r="Y92" s="213">
        <f t="shared" si="11"/>
        <v>472406</v>
      </c>
      <c r="Z92" s="213">
        <f t="shared" si="14"/>
        <v>0</v>
      </c>
    </row>
    <row r="93" spans="1:26">
      <c r="A93" s="65" t="s">
        <v>272</v>
      </c>
      <c r="B93" s="65" t="s">
        <v>273</v>
      </c>
      <c r="C93" s="65" t="s">
        <v>241</v>
      </c>
      <c r="D93" s="58">
        <f t="shared" si="13"/>
        <v>84</v>
      </c>
      <c r="E93" s="132" t="s">
        <v>58</v>
      </c>
      <c r="F93" s="65" t="s">
        <v>287</v>
      </c>
      <c r="G93" s="65" t="s">
        <v>30</v>
      </c>
      <c r="H93" s="217">
        <f>1000*9589.576208333</f>
        <v>9589576.2083329987</v>
      </c>
      <c r="I93" s="217">
        <f>1000*710.431258177</f>
        <v>710431.25817699998</v>
      </c>
      <c r="J93" s="213">
        <f>+'Rate Base Support'!J93</f>
        <v>0</v>
      </c>
      <c r="K93" s="213">
        <f>+'Rate Base Support'!K93</f>
        <v>0</v>
      </c>
      <c r="L93" s="213">
        <f>+'Rate Base Support'!L93</f>
        <v>0</v>
      </c>
      <c r="M93" s="213">
        <f>+'Rate Base Support'!M93</f>
        <v>0</v>
      </c>
      <c r="N93" s="213">
        <f>+'Rate Base Support'!N93</f>
        <v>0</v>
      </c>
      <c r="O93" s="213">
        <f>+'Rate Base Support'!O93</f>
        <v>-710431</v>
      </c>
      <c r="P93" s="213">
        <f>+'Rate Base Support'!P93</f>
        <v>0</v>
      </c>
      <c r="Q93" s="213">
        <f>+'Rate Base Support'!Q93</f>
        <v>0</v>
      </c>
      <c r="R93" s="213">
        <f>+'Rate Base Support'!R93</f>
        <v>0</v>
      </c>
      <c r="S93" s="213">
        <f>+'Rate Base Support'!S93</f>
        <v>0</v>
      </c>
      <c r="T93" s="213">
        <f>+'Rate Base Support'!T93</f>
        <v>0</v>
      </c>
      <c r="U93" s="213">
        <f>+'Rate Base Support'!U93</f>
        <v>0</v>
      </c>
      <c r="V93" s="213">
        <f>+'Rate Base Support'!V93</f>
        <v>0</v>
      </c>
      <c r="W93" s="213">
        <f>+'Rate Base Support'!W93</f>
        <v>0</v>
      </c>
      <c r="X93" s="213">
        <f>+'Rate Base Support'!X93</f>
        <v>0</v>
      </c>
      <c r="Y93" s="213">
        <f t="shared" si="11"/>
        <v>-710431</v>
      </c>
      <c r="Z93" s="213">
        <f t="shared" si="14"/>
        <v>0</v>
      </c>
    </row>
    <row r="94" spans="1:26">
      <c r="A94" s="65" t="s">
        <v>272</v>
      </c>
      <c r="B94" s="65" t="s">
        <v>273</v>
      </c>
      <c r="C94" s="65" t="s">
        <v>243</v>
      </c>
      <c r="D94" s="58">
        <f t="shared" si="13"/>
        <v>85</v>
      </c>
      <c r="E94" s="132" t="s">
        <v>58</v>
      </c>
      <c r="F94" s="65" t="s">
        <v>289</v>
      </c>
      <c r="G94" s="65" t="s">
        <v>26</v>
      </c>
      <c r="H94" s="217">
        <f>1000*-4360.220072917</f>
        <v>-4360220.0729169995</v>
      </c>
      <c r="I94" s="217">
        <f>1000*-361.533952224</f>
        <v>-361533.95222400001</v>
      </c>
      <c r="J94" s="213">
        <f>+'Rate Base Support'!J94</f>
        <v>0</v>
      </c>
      <c r="K94" s="213">
        <f>+'Rate Base Support'!K94</f>
        <v>0</v>
      </c>
      <c r="L94" s="213">
        <f>+'Rate Base Support'!L94</f>
        <v>0</v>
      </c>
      <c r="M94" s="213">
        <f>+'Rate Base Support'!M94</f>
        <v>0</v>
      </c>
      <c r="N94" s="213">
        <f>+'Rate Base Support'!N94</f>
        <v>0</v>
      </c>
      <c r="O94" s="213">
        <f>+'Rate Base Support'!O94</f>
        <v>0</v>
      </c>
      <c r="P94" s="213">
        <f>+'Rate Base Support'!P94</f>
        <v>0</v>
      </c>
      <c r="Q94" s="213">
        <f>+'Rate Base Support'!Q94</f>
        <v>0</v>
      </c>
      <c r="R94" s="213">
        <f>+'Rate Base Support'!R94</f>
        <v>0</v>
      </c>
      <c r="S94" s="213">
        <f>+'Rate Base Support'!S94</f>
        <v>0</v>
      </c>
      <c r="T94" s="213">
        <f>+'Rate Base Support'!T94</f>
        <v>314644</v>
      </c>
      <c r="U94" s="213">
        <f>+'Rate Base Support'!U94</f>
        <v>0</v>
      </c>
      <c r="V94" s="213">
        <f>+'Rate Base Support'!V94</f>
        <v>0</v>
      </c>
      <c r="W94" s="213">
        <f>+'Rate Base Support'!W94</f>
        <v>0</v>
      </c>
      <c r="X94" s="213">
        <f>+'Rate Base Support'!X94</f>
        <v>0</v>
      </c>
      <c r="Y94" s="213">
        <f t="shared" si="11"/>
        <v>314644</v>
      </c>
      <c r="Z94" s="213">
        <f t="shared" si="12"/>
        <v>-46889.952224000008</v>
      </c>
    </row>
    <row r="95" spans="1:26">
      <c r="A95" s="65" t="s">
        <v>272</v>
      </c>
      <c r="B95" s="65" t="s">
        <v>273</v>
      </c>
      <c r="C95" s="65" t="s">
        <v>308</v>
      </c>
      <c r="D95" s="58">
        <f t="shared" si="13"/>
        <v>86</v>
      </c>
      <c r="E95" s="132" t="s">
        <v>58</v>
      </c>
      <c r="F95" s="65" t="s">
        <v>291</v>
      </c>
      <c r="G95" s="65" t="s">
        <v>36</v>
      </c>
      <c r="H95" s="217">
        <f>1000*-238.5067625</f>
        <v>-238506.76250000001</v>
      </c>
      <c r="I95" s="217">
        <f>1000*-238.5067625</f>
        <v>-238506.76250000001</v>
      </c>
      <c r="J95" s="213">
        <f>+'Rate Base Support'!J95</f>
        <v>0</v>
      </c>
      <c r="K95" s="213">
        <f>+'Rate Base Support'!K95</f>
        <v>0</v>
      </c>
      <c r="L95" s="213">
        <f>+'Rate Base Support'!L95</f>
        <v>0</v>
      </c>
      <c r="M95" s="213">
        <f>+'Rate Base Support'!M95</f>
        <v>0</v>
      </c>
      <c r="N95" s="213">
        <f>+'Rate Base Support'!N95</f>
        <v>238507</v>
      </c>
      <c r="O95" s="213">
        <f>+'Rate Base Support'!O95</f>
        <v>0</v>
      </c>
      <c r="P95" s="213">
        <f>+'Rate Base Support'!P95</f>
        <v>0</v>
      </c>
      <c r="Q95" s="213">
        <f>+'Rate Base Support'!Q95</f>
        <v>0</v>
      </c>
      <c r="R95" s="213">
        <f>+'Rate Base Support'!R95</f>
        <v>0</v>
      </c>
      <c r="S95" s="213">
        <f>+'Rate Base Support'!S95</f>
        <v>0</v>
      </c>
      <c r="T95" s="213">
        <f>+'Rate Base Support'!T95</f>
        <v>0</v>
      </c>
      <c r="U95" s="213">
        <f>+'Rate Base Support'!U95</f>
        <v>0</v>
      </c>
      <c r="V95" s="213">
        <f>+'Rate Base Support'!V95</f>
        <v>0</v>
      </c>
      <c r="W95" s="213">
        <f>+'Rate Base Support'!W95</f>
        <v>0</v>
      </c>
      <c r="X95" s="213">
        <f>+'Rate Base Support'!X95</f>
        <v>0</v>
      </c>
      <c r="Y95" s="213">
        <f t="shared" si="11"/>
        <v>238507</v>
      </c>
      <c r="Z95" s="213">
        <f t="shared" si="12"/>
        <v>0.23749999998835847</v>
      </c>
    </row>
    <row r="96" spans="1:26">
      <c r="A96" s="65" t="s">
        <v>272</v>
      </c>
      <c r="B96" s="65" t="s">
        <v>273</v>
      </c>
      <c r="C96" s="65" t="s">
        <v>246</v>
      </c>
      <c r="D96" s="58">
        <f t="shared" si="13"/>
        <v>87</v>
      </c>
      <c r="E96" s="132" t="s">
        <v>58</v>
      </c>
      <c r="F96" s="65" t="s">
        <v>309</v>
      </c>
      <c r="G96" s="65" t="s">
        <v>26</v>
      </c>
      <c r="H96" s="217">
        <f>1000*103.170791667</f>
        <v>103170.791667</v>
      </c>
      <c r="I96" s="217">
        <f>1000*8.554555376</f>
        <v>8554.5553760000003</v>
      </c>
      <c r="J96" s="213">
        <f>+'Rate Base Support'!J96</f>
        <v>0</v>
      </c>
      <c r="K96" s="213">
        <f>+'Rate Base Support'!K96</f>
        <v>0</v>
      </c>
      <c r="L96" s="213">
        <f>+'Rate Base Support'!L96</f>
        <v>0</v>
      </c>
      <c r="M96" s="213">
        <f>+'Rate Base Support'!M96</f>
        <v>0</v>
      </c>
      <c r="N96" s="213">
        <f>+'Rate Base Support'!N96</f>
        <v>0</v>
      </c>
      <c r="O96" s="213">
        <f>+'Rate Base Support'!O96</f>
        <v>0</v>
      </c>
      <c r="P96" s="213">
        <f>+'Rate Base Support'!P96</f>
        <v>0</v>
      </c>
      <c r="Q96" s="213">
        <f>+'Rate Base Support'!Q96</f>
        <v>0</v>
      </c>
      <c r="R96" s="213">
        <f>+'Rate Base Support'!R96</f>
        <v>0</v>
      </c>
      <c r="S96" s="213">
        <f>+'Rate Base Support'!S96</f>
        <v>0</v>
      </c>
      <c r="T96" s="213">
        <f>+'Rate Base Support'!T96</f>
        <v>0</v>
      </c>
      <c r="U96" s="213">
        <f>+'Rate Base Support'!U96</f>
        <v>0</v>
      </c>
      <c r="V96" s="213">
        <f>+'Rate Base Support'!V96</f>
        <v>0</v>
      </c>
      <c r="W96" s="213">
        <f>+'Rate Base Support'!W96</f>
        <v>0</v>
      </c>
      <c r="X96" s="213">
        <f>+'Rate Base Support'!X96</f>
        <v>0</v>
      </c>
      <c r="Y96" s="213">
        <f t="shared" si="11"/>
        <v>0</v>
      </c>
      <c r="Z96" s="213">
        <f t="shared" si="12"/>
        <v>8554.5553760000003</v>
      </c>
    </row>
    <row r="97" spans="1:26">
      <c r="A97" s="65" t="s">
        <v>272</v>
      </c>
      <c r="B97" s="65" t="s">
        <v>273</v>
      </c>
      <c r="C97" s="65" t="s">
        <v>313</v>
      </c>
      <c r="D97" s="58">
        <f t="shared" si="13"/>
        <v>88</v>
      </c>
      <c r="E97" s="132" t="s">
        <v>58</v>
      </c>
      <c r="F97" s="65" t="s">
        <v>311</v>
      </c>
      <c r="G97" s="65" t="s">
        <v>36</v>
      </c>
      <c r="H97" s="217">
        <f>1000*-14.55934375</f>
        <v>-14559.34375</v>
      </c>
      <c r="I97" s="217">
        <f>1000*-14.55934375</f>
        <v>-14559.34375</v>
      </c>
      <c r="J97" s="213">
        <f>+'Rate Base Support'!J97</f>
        <v>14559.34375</v>
      </c>
      <c r="K97" s="213">
        <f>+'Rate Base Support'!K97</f>
        <v>0</v>
      </c>
      <c r="L97" s="213">
        <f>+'Rate Base Support'!L97</f>
        <v>0</v>
      </c>
      <c r="M97" s="213">
        <f>+'Rate Base Support'!M97</f>
        <v>0</v>
      </c>
      <c r="N97" s="213">
        <f>+'Rate Base Support'!N97</f>
        <v>0</v>
      </c>
      <c r="O97" s="213">
        <f>+'Rate Base Support'!O97</f>
        <v>0</v>
      </c>
      <c r="P97" s="213">
        <f>+'Rate Base Support'!P97</f>
        <v>0</v>
      </c>
      <c r="Q97" s="213">
        <f>+'Rate Base Support'!Q97</f>
        <v>0</v>
      </c>
      <c r="R97" s="213">
        <f>+'Rate Base Support'!R97</f>
        <v>0</v>
      </c>
      <c r="S97" s="213">
        <f>+'Rate Base Support'!S97</f>
        <v>0</v>
      </c>
      <c r="T97" s="213">
        <f>+'Rate Base Support'!T97</f>
        <v>0</v>
      </c>
      <c r="U97" s="213">
        <f>+'Rate Base Support'!U97</f>
        <v>0</v>
      </c>
      <c r="V97" s="213">
        <f>+'Rate Base Support'!V97</f>
        <v>0</v>
      </c>
      <c r="W97" s="213">
        <f>+'Rate Base Support'!W97</f>
        <v>0</v>
      </c>
      <c r="X97" s="213">
        <f>+'Rate Base Support'!X97</f>
        <v>0</v>
      </c>
      <c r="Y97" s="213">
        <f t="shared" si="11"/>
        <v>14559.34375</v>
      </c>
      <c r="Z97" s="213">
        <f t="shared" si="12"/>
        <v>0</v>
      </c>
    </row>
    <row r="98" spans="1:26">
      <c r="A98" s="65" t="s">
        <v>272</v>
      </c>
      <c r="B98" s="65" t="s">
        <v>273</v>
      </c>
      <c r="C98" s="65" t="s">
        <v>315</v>
      </c>
      <c r="D98" s="58">
        <f t="shared" si="13"/>
        <v>89</v>
      </c>
      <c r="E98" s="132" t="s">
        <v>58</v>
      </c>
      <c r="F98" s="65" t="s">
        <v>314</v>
      </c>
      <c r="G98" s="65" t="s">
        <v>36</v>
      </c>
      <c r="H98" s="217">
        <f>1000*-43.79368125</f>
        <v>-43793.681250000001</v>
      </c>
      <c r="I98" s="217">
        <f>1000*-43.79368125</f>
        <v>-43793.681250000001</v>
      </c>
      <c r="J98" s="213">
        <f>+'Rate Base Support'!J98</f>
        <v>0</v>
      </c>
      <c r="K98" s="213">
        <f>+'Rate Base Support'!K98</f>
        <v>0</v>
      </c>
      <c r="L98" s="213">
        <f>+'Rate Base Support'!L98</f>
        <v>0</v>
      </c>
      <c r="M98" s="213">
        <f>+'Rate Base Support'!M98</f>
        <v>0</v>
      </c>
      <c r="N98" s="213">
        <f>+'Rate Base Support'!N98</f>
        <v>0</v>
      </c>
      <c r="O98" s="213">
        <f>+'Rate Base Support'!O98</f>
        <v>0</v>
      </c>
      <c r="P98" s="213">
        <f>+'Rate Base Support'!P98</f>
        <v>0</v>
      </c>
      <c r="Q98" s="213">
        <f>+'Rate Base Support'!Q98</f>
        <v>0</v>
      </c>
      <c r="R98" s="213">
        <f>+'Rate Base Support'!R98</f>
        <v>0</v>
      </c>
      <c r="S98" s="213">
        <f>+'Rate Base Support'!S98</f>
        <v>0</v>
      </c>
      <c r="T98" s="213">
        <f>+'Rate Base Support'!T98</f>
        <v>0</v>
      </c>
      <c r="U98" s="213">
        <f>+'Rate Base Support'!U98</f>
        <v>0</v>
      </c>
      <c r="V98" s="213">
        <f>+'Rate Base Support'!V98</f>
        <v>0</v>
      </c>
      <c r="W98" s="213">
        <f>+'Rate Base Support'!W98</f>
        <v>0</v>
      </c>
      <c r="X98" s="213">
        <f>+'Rate Base Support'!X98</f>
        <v>0</v>
      </c>
      <c r="Y98" s="213">
        <f t="shared" si="11"/>
        <v>0</v>
      </c>
      <c r="Z98" s="213">
        <f t="shared" si="12"/>
        <v>-43793.681250000001</v>
      </c>
    </row>
    <row r="99" spans="1:26">
      <c r="A99" s="65" t="s">
        <v>272</v>
      </c>
      <c r="B99" s="65" t="s">
        <v>273</v>
      </c>
      <c r="C99" s="65" t="s">
        <v>317</v>
      </c>
      <c r="D99" s="58">
        <f t="shared" si="13"/>
        <v>90</v>
      </c>
      <c r="E99" s="132" t="s">
        <v>58</v>
      </c>
      <c r="F99" s="65" t="s">
        <v>316</v>
      </c>
      <c r="G99" s="65" t="s">
        <v>36</v>
      </c>
      <c r="H99" s="217">
        <f>1000*-352.5753625</f>
        <v>-352575.36249999999</v>
      </c>
      <c r="I99" s="217">
        <f>1000*-352.5753625</f>
        <v>-352575.36249999999</v>
      </c>
      <c r="J99" s="213">
        <f>+'Rate Base Support'!J99</f>
        <v>0</v>
      </c>
      <c r="K99" s="213">
        <f>+'Rate Base Support'!K99</f>
        <v>0</v>
      </c>
      <c r="L99" s="213">
        <f>+'Rate Base Support'!L99</f>
        <v>0</v>
      </c>
      <c r="M99" s="213">
        <f>+'Rate Base Support'!M99</f>
        <v>352575</v>
      </c>
      <c r="N99" s="213">
        <f>+'Rate Base Support'!N99</f>
        <v>0</v>
      </c>
      <c r="O99" s="213">
        <f>+'Rate Base Support'!O99</f>
        <v>0</v>
      </c>
      <c r="P99" s="213">
        <f>+'Rate Base Support'!P99</f>
        <v>0</v>
      </c>
      <c r="Q99" s="213">
        <f>+'Rate Base Support'!Q99</f>
        <v>0</v>
      </c>
      <c r="R99" s="213">
        <f>+'Rate Base Support'!R99</f>
        <v>0</v>
      </c>
      <c r="S99" s="213">
        <f>+'Rate Base Support'!S99</f>
        <v>0</v>
      </c>
      <c r="T99" s="213">
        <f>+'Rate Base Support'!T99</f>
        <v>0</v>
      </c>
      <c r="U99" s="213">
        <f>+'Rate Base Support'!U99</f>
        <v>0</v>
      </c>
      <c r="V99" s="213">
        <f>+'Rate Base Support'!V99</f>
        <v>0</v>
      </c>
      <c r="W99" s="213">
        <f>+'Rate Base Support'!W99</f>
        <v>0</v>
      </c>
      <c r="X99" s="213">
        <f>+'Rate Base Support'!X99</f>
        <v>0</v>
      </c>
      <c r="Y99" s="213">
        <f t="shared" si="11"/>
        <v>352575</v>
      </c>
      <c r="Z99" s="213">
        <f>ROUND(+Y99+I99,0)</f>
        <v>0</v>
      </c>
    </row>
    <row r="100" spans="1:26">
      <c r="A100" s="65" t="s">
        <v>272</v>
      </c>
      <c r="B100" s="65" t="s">
        <v>273</v>
      </c>
      <c r="C100" s="65" t="s">
        <v>319</v>
      </c>
      <c r="D100" s="58">
        <f t="shared" si="13"/>
        <v>91</v>
      </c>
      <c r="E100" s="132" t="s">
        <v>58</v>
      </c>
      <c r="F100" s="65" t="s">
        <v>318</v>
      </c>
      <c r="G100" s="65" t="s">
        <v>36</v>
      </c>
      <c r="H100" s="217">
        <f>1000*-479.2319125</f>
        <v>-479231.91250000003</v>
      </c>
      <c r="I100" s="217">
        <f>1000*-479.2319125</f>
        <v>-479231.91250000003</v>
      </c>
      <c r="J100" s="213">
        <f>+'Rate Base Support'!J100</f>
        <v>479231.91250000003</v>
      </c>
      <c r="K100" s="213">
        <f>+'Rate Base Support'!K100</f>
        <v>0</v>
      </c>
      <c r="L100" s="213">
        <f>+'Rate Base Support'!L100</f>
        <v>0</v>
      </c>
      <c r="M100" s="213">
        <f>+'Rate Base Support'!M100</f>
        <v>0</v>
      </c>
      <c r="N100" s="213">
        <f>+'Rate Base Support'!N100</f>
        <v>0</v>
      </c>
      <c r="O100" s="213">
        <f>+'Rate Base Support'!O100</f>
        <v>0</v>
      </c>
      <c r="P100" s="213">
        <f>+'Rate Base Support'!P100</f>
        <v>0</v>
      </c>
      <c r="Q100" s="213">
        <f>+'Rate Base Support'!Q100</f>
        <v>0</v>
      </c>
      <c r="R100" s="213">
        <f>+'Rate Base Support'!R100</f>
        <v>0</v>
      </c>
      <c r="S100" s="213">
        <f>+'Rate Base Support'!S100</f>
        <v>0</v>
      </c>
      <c r="T100" s="213">
        <f>+'Rate Base Support'!T100</f>
        <v>0</v>
      </c>
      <c r="U100" s="213">
        <f>+'Rate Base Support'!U100</f>
        <v>0</v>
      </c>
      <c r="V100" s="213">
        <f>+'Rate Base Support'!V100</f>
        <v>0</v>
      </c>
      <c r="W100" s="213">
        <f>+'Rate Base Support'!W100</f>
        <v>0</v>
      </c>
      <c r="X100" s="213">
        <f>+'Rate Base Support'!X100</f>
        <v>0</v>
      </c>
      <c r="Y100" s="213">
        <f t="shared" si="11"/>
        <v>479231.91250000003</v>
      </c>
      <c r="Z100" s="213">
        <f t="shared" si="12"/>
        <v>0</v>
      </c>
    </row>
    <row r="101" spans="1:26">
      <c r="A101" s="65" t="s">
        <v>272</v>
      </c>
      <c r="B101" s="65" t="s">
        <v>273</v>
      </c>
      <c r="C101" s="65" t="s">
        <v>321</v>
      </c>
      <c r="D101" s="58">
        <f t="shared" si="13"/>
        <v>92</v>
      </c>
      <c r="E101" s="132" t="s">
        <v>58</v>
      </c>
      <c r="F101" s="65" t="s">
        <v>320</v>
      </c>
      <c r="G101" s="65" t="s">
        <v>57</v>
      </c>
      <c r="H101" s="217">
        <f>1000*-2255.290945833</f>
        <v>-2255290.9458329999</v>
      </c>
      <c r="I101" s="217">
        <f>1000*-498.127949268</f>
        <v>-498127.94926800003</v>
      </c>
      <c r="J101" s="213">
        <f>+'Rate Base Support'!J101</f>
        <v>0</v>
      </c>
      <c r="K101" s="213">
        <f>+'Rate Base Support'!K101</f>
        <v>0</v>
      </c>
      <c r="L101" s="213">
        <f>+'Rate Base Support'!L101</f>
        <v>0</v>
      </c>
      <c r="M101" s="213">
        <f>+'Rate Base Support'!M101</f>
        <v>0</v>
      </c>
      <c r="N101" s="213">
        <f>+'Rate Base Support'!N101</f>
        <v>0</v>
      </c>
      <c r="O101" s="213">
        <f>+'Rate Base Support'!O101</f>
        <v>0</v>
      </c>
      <c r="P101" s="213">
        <f>+'Rate Base Support'!P101</f>
        <v>0</v>
      </c>
      <c r="Q101" s="213">
        <f>+'Rate Base Support'!Q101</f>
        <v>0</v>
      </c>
      <c r="R101" s="213">
        <f>+'Rate Base Support'!R101</f>
        <v>0</v>
      </c>
      <c r="S101" s="213">
        <f>+'Rate Base Support'!S101</f>
        <v>0</v>
      </c>
      <c r="T101" s="213">
        <f>+'Rate Base Support'!T101</f>
        <v>0</v>
      </c>
      <c r="U101" s="213">
        <f>+'Rate Base Support'!U101</f>
        <v>0</v>
      </c>
      <c r="V101" s="213">
        <f>+'Rate Base Support'!V101</f>
        <v>498128</v>
      </c>
      <c r="W101" s="213">
        <f>+'Rate Base Support'!W101</f>
        <v>0</v>
      </c>
      <c r="X101" s="213">
        <f>+'Rate Base Support'!X101</f>
        <v>0</v>
      </c>
      <c r="Y101" s="213">
        <f t="shared" si="11"/>
        <v>498128</v>
      </c>
      <c r="Z101" s="213">
        <f t="shared" si="12"/>
        <v>5.0731999974232167E-2</v>
      </c>
    </row>
    <row r="102" spans="1:26">
      <c r="A102" s="65">
        <v>283</v>
      </c>
      <c r="B102" s="65"/>
      <c r="C102" s="65"/>
      <c r="D102" s="58">
        <f t="shared" si="13"/>
        <v>93</v>
      </c>
      <c r="E102" s="132" t="s">
        <v>58</v>
      </c>
      <c r="F102" s="67" t="s">
        <v>323</v>
      </c>
      <c r="G102" s="65"/>
      <c r="H102" s="217"/>
      <c r="I102" s="217"/>
      <c r="J102" s="213">
        <f>+'Rate Base Support'!J102</f>
        <v>0</v>
      </c>
      <c r="K102" s="213">
        <f>+'Rate Base Support'!K102</f>
        <v>0</v>
      </c>
      <c r="L102" s="213">
        <f>+'Rate Base Support'!L102</f>
        <v>0</v>
      </c>
      <c r="M102" s="213">
        <f>+'Rate Base Support'!M102</f>
        <v>0</v>
      </c>
      <c r="N102" s="213">
        <f>+'Rate Base Support'!N102</f>
        <v>0</v>
      </c>
      <c r="O102" s="213">
        <f>+'Rate Base Support'!O102</f>
        <v>0</v>
      </c>
      <c r="P102" s="213">
        <f>+'Rate Base Support'!P102</f>
        <v>0</v>
      </c>
      <c r="Q102" s="213">
        <f>+'Rate Base Support'!Q102</f>
        <v>0</v>
      </c>
      <c r="R102" s="213">
        <f>+'Rate Base Support'!R102</f>
        <v>0</v>
      </c>
      <c r="S102" s="213">
        <f>+'Rate Base Support'!S102</f>
        <v>0</v>
      </c>
      <c r="T102" s="213">
        <f>+'Rate Base Support'!T102</f>
        <v>0</v>
      </c>
      <c r="U102" s="213">
        <f>+'Rate Base Support'!U102</f>
        <v>0</v>
      </c>
      <c r="V102" s="213">
        <f>+'Rate Base Support'!V102</f>
        <v>-111262</v>
      </c>
      <c r="W102" s="213">
        <f>+'Rate Base Support'!W102</f>
        <v>0</v>
      </c>
      <c r="X102" s="213">
        <f>+'Rate Base Support'!X102</f>
        <v>0</v>
      </c>
      <c r="Y102" s="213">
        <f t="shared" si="11"/>
        <v>-111262</v>
      </c>
      <c r="Z102" s="213">
        <f t="shared" si="12"/>
        <v>-111262</v>
      </c>
    </row>
    <row r="103" spans="1:26">
      <c r="A103" s="65">
        <v>283</v>
      </c>
      <c r="B103" s="65"/>
      <c r="C103" s="65"/>
      <c r="D103" s="58">
        <f t="shared" si="13"/>
        <v>94</v>
      </c>
      <c r="E103" s="132" t="s">
        <v>58</v>
      </c>
      <c r="F103" s="67" t="s">
        <v>131</v>
      </c>
      <c r="G103" s="65"/>
      <c r="H103" s="217"/>
      <c r="I103" s="217"/>
      <c r="J103" s="213">
        <f>+'Rate Base Support'!J103</f>
        <v>0</v>
      </c>
      <c r="K103" s="213">
        <f>+'Rate Base Support'!K103</f>
        <v>0</v>
      </c>
      <c r="L103" s="213">
        <f>+'Rate Base Support'!L103</f>
        <v>0</v>
      </c>
      <c r="M103" s="213">
        <f>+'Rate Base Support'!M103</f>
        <v>0</v>
      </c>
      <c r="N103" s="213">
        <f>+'Rate Base Support'!N103</f>
        <v>0</v>
      </c>
      <c r="O103" s="213">
        <f>+'Rate Base Support'!O103</f>
        <v>0</v>
      </c>
      <c r="P103" s="213">
        <f>+'Rate Base Support'!P103</f>
        <v>0</v>
      </c>
      <c r="Q103" s="213">
        <f>+'Rate Base Support'!Q103</f>
        <v>0</v>
      </c>
      <c r="R103" s="213">
        <f>+'Rate Base Support'!R103</f>
        <v>0</v>
      </c>
      <c r="S103" s="213">
        <f>+'Rate Base Support'!S103</f>
        <v>0</v>
      </c>
      <c r="T103" s="213">
        <f>+'Rate Base Support'!T103</f>
        <v>0</v>
      </c>
      <c r="U103" s="213">
        <f>+'Rate Base Support'!U103</f>
        <v>0</v>
      </c>
      <c r="V103" s="213">
        <f>+'Rate Base Support'!V103</f>
        <v>0</v>
      </c>
      <c r="W103" s="213">
        <f>+'Rate Base Support'!W103</f>
        <v>0</v>
      </c>
      <c r="X103" s="213">
        <f>+'Rate Base Support'!X103</f>
        <v>-6261915</v>
      </c>
      <c r="Y103" s="213">
        <f t="shared" si="11"/>
        <v>-6261915</v>
      </c>
      <c r="Z103" s="213">
        <f t="shared" si="12"/>
        <v>-6261915</v>
      </c>
    </row>
    <row r="104" spans="1:26">
      <c r="A104" s="194" t="s">
        <v>324</v>
      </c>
      <c r="B104" s="65"/>
      <c r="C104" s="194"/>
      <c r="D104" s="58">
        <f t="shared" si="13"/>
        <v>95</v>
      </c>
      <c r="F104" s="194" t="s">
        <v>534</v>
      </c>
      <c r="G104" s="194"/>
      <c r="H104" s="218"/>
      <c r="I104" s="218">
        <f>ROUND(SUM(I69:I103),0)</f>
        <v>-4699480</v>
      </c>
      <c r="J104" s="218">
        <f t="shared" ref="J104:Z104" si="15">ROUND(SUM(J69:J103),0)</f>
        <v>2751332</v>
      </c>
      <c r="K104" s="218">
        <f t="shared" si="15"/>
        <v>0</v>
      </c>
      <c r="L104" s="218">
        <f t="shared" si="15"/>
        <v>472406</v>
      </c>
      <c r="M104" s="218">
        <f t="shared" si="15"/>
        <v>352575</v>
      </c>
      <c r="N104" s="218">
        <f t="shared" si="15"/>
        <v>238507</v>
      </c>
      <c r="O104" s="218">
        <f t="shared" si="15"/>
        <v>-4928985</v>
      </c>
      <c r="P104" s="218">
        <f t="shared" si="15"/>
        <v>0</v>
      </c>
      <c r="Q104" s="218">
        <f t="shared" si="15"/>
        <v>0</v>
      </c>
      <c r="R104" s="218">
        <f t="shared" si="15"/>
        <v>0</v>
      </c>
      <c r="S104" s="218">
        <f t="shared" si="15"/>
        <v>0</v>
      </c>
      <c r="T104" s="218">
        <f t="shared" si="15"/>
        <v>149278</v>
      </c>
      <c r="U104" s="218">
        <f t="shared" si="15"/>
        <v>1716491</v>
      </c>
      <c r="V104" s="218">
        <f t="shared" si="15"/>
        <v>386866</v>
      </c>
      <c r="W104" s="218">
        <f t="shared" si="15"/>
        <v>-33912</v>
      </c>
      <c r="X104" s="218">
        <f t="shared" si="15"/>
        <v>-6261915</v>
      </c>
      <c r="Y104" s="218">
        <f t="shared" si="15"/>
        <v>-5157357</v>
      </c>
      <c r="Z104" s="218">
        <f t="shared" si="15"/>
        <v>-9856837</v>
      </c>
    </row>
    <row r="105" spans="1:26">
      <c r="A105" s="195"/>
      <c r="B105" s="196"/>
      <c r="C105" s="197" t="s">
        <v>325</v>
      </c>
      <c r="D105" s="58">
        <f t="shared" si="13"/>
        <v>96</v>
      </c>
      <c r="F105" s="203" t="s">
        <v>550</v>
      </c>
      <c r="G105" s="197" t="s">
        <v>325</v>
      </c>
      <c r="H105" s="218"/>
      <c r="I105" s="218"/>
      <c r="J105" s="213">
        <f>+'Rate Base Support'!J105</f>
        <v>0</v>
      </c>
      <c r="K105" s="213">
        <f>+'Rate Base Support'!K105</f>
        <v>0</v>
      </c>
      <c r="L105" s="213">
        <f>+'Rate Base Support'!L105</f>
        <v>0</v>
      </c>
      <c r="M105" s="213">
        <f>+'Rate Base Support'!M105</f>
        <v>0</v>
      </c>
      <c r="N105" s="213">
        <f>+'Rate Base Support'!N105</f>
        <v>0</v>
      </c>
      <c r="O105" s="213">
        <f>+'Rate Base Support'!O105</f>
        <v>0</v>
      </c>
      <c r="P105" s="213">
        <f>+'Rate Base Support'!P105</f>
        <v>0</v>
      </c>
      <c r="Q105" s="213">
        <f>+'Rate Base Support'!Q105</f>
        <v>1099614</v>
      </c>
      <c r="R105" s="213">
        <f>+'Rate Base Support'!R105</f>
        <v>0</v>
      </c>
      <c r="S105" s="213">
        <f>+'Rate Base Support'!S105</f>
        <v>0</v>
      </c>
      <c r="T105" s="213">
        <f>+'Rate Base Support'!T105</f>
        <v>0</v>
      </c>
      <c r="U105" s="213">
        <f>+'Rate Base Support'!U105</f>
        <v>0</v>
      </c>
      <c r="V105" s="213">
        <f>+'Rate Base Support'!V105</f>
        <v>0</v>
      </c>
      <c r="W105" s="213">
        <f>+'Rate Base Support'!W105</f>
        <v>0</v>
      </c>
      <c r="X105" s="213">
        <f>+'Rate Base Support'!X105</f>
        <v>0</v>
      </c>
      <c r="Y105" s="213">
        <f t="shared" ref="Y105:Y107" si="16">SUM(J105:X105)</f>
        <v>1099614</v>
      </c>
      <c r="Z105" s="213">
        <f t="shared" ref="Z105:Z107" si="17">+Y105+I105</f>
        <v>1099614</v>
      </c>
    </row>
    <row r="106" spans="1:26">
      <c r="A106" s="195"/>
      <c r="B106" s="196"/>
      <c r="C106" s="197" t="s">
        <v>326</v>
      </c>
      <c r="D106" s="58">
        <f t="shared" si="13"/>
        <v>97</v>
      </c>
      <c r="F106" s="203" t="s">
        <v>326</v>
      </c>
      <c r="G106" s="197" t="s">
        <v>326</v>
      </c>
      <c r="H106" s="218"/>
      <c r="I106" s="218"/>
      <c r="J106" s="213">
        <f>+'Rate Base Support'!J106</f>
        <v>0</v>
      </c>
      <c r="K106" s="213">
        <f>+'Rate Base Support'!K106</f>
        <v>0</v>
      </c>
      <c r="L106" s="213">
        <f>+'Rate Base Support'!L106</f>
        <v>0</v>
      </c>
      <c r="M106" s="213">
        <f>+'Rate Base Support'!M106</f>
        <v>0</v>
      </c>
      <c r="N106" s="213">
        <f>+'Rate Base Support'!N106</f>
        <v>0</v>
      </c>
      <c r="O106" s="213">
        <f>+'Rate Base Support'!O106</f>
        <v>0</v>
      </c>
      <c r="P106" s="213">
        <f>+'Rate Base Support'!P106</f>
        <v>0</v>
      </c>
      <c r="Q106" s="213">
        <f>+'Rate Base Support'!Q106</f>
        <v>0</v>
      </c>
      <c r="R106" s="213">
        <f>+'Rate Base Support'!R106</f>
        <v>-262781</v>
      </c>
      <c r="S106" s="213">
        <f>+'Rate Base Support'!S106</f>
        <v>0</v>
      </c>
      <c r="T106" s="213">
        <f>+'Rate Base Support'!T106</f>
        <v>0</v>
      </c>
      <c r="U106" s="213">
        <f>+'Rate Base Support'!U106</f>
        <v>0</v>
      </c>
      <c r="V106" s="213">
        <f>+'Rate Base Support'!V106</f>
        <v>0</v>
      </c>
      <c r="W106" s="213">
        <f>+'Rate Base Support'!W106</f>
        <v>0</v>
      </c>
      <c r="X106" s="213">
        <f>+'Rate Base Support'!X106</f>
        <v>0</v>
      </c>
      <c r="Y106" s="213">
        <f t="shared" si="16"/>
        <v>-262781</v>
      </c>
      <c r="Z106" s="213">
        <f t="shared" si="17"/>
        <v>-262781</v>
      </c>
    </row>
    <row r="107" spans="1:26">
      <c r="A107" s="195"/>
      <c r="B107" s="196"/>
      <c r="C107" s="197" t="s">
        <v>327</v>
      </c>
      <c r="D107" s="58">
        <f t="shared" si="13"/>
        <v>98</v>
      </c>
      <c r="F107" s="203" t="s">
        <v>551</v>
      </c>
      <c r="G107" s="197" t="s">
        <v>327</v>
      </c>
      <c r="H107" s="218"/>
      <c r="I107" s="218"/>
      <c r="J107" s="213">
        <f>+'Rate Base Support'!J107</f>
        <v>0</v>
      </c>
      <c r="K107" s="213">
        <f>+'Rate Base Support'!K107</f>
        <v>0</v>
      </c>
      <c r="L107" s="213">
        <f>+'Rate Base Support'!L107</f>
        <v>0</v>
      </c>
      <c r="M107" s="213">
        <f>+'Rate Base Support'!M107</f>
        <v>0</v>
      </c>
      <c r="N107" s="213">
        <f>+'Rate Base Support'!N107</f>
        <v>0</v>
      </c>
      <c r="O107" s="213">
        <f>+'Rate Base Support'!O107</f>
        <v>0</v>
      </c>
      <c r="P107" s="213">
        <f>+'Rate Base Support'!P107</f>
        <v>0</v>
      </c>
      <c r="Q107" s="213">
        <f>+'Rate Base Support'!Q107</f>
        <v>0</v>
      </c>
      <c r="R107" s="213">
        <f>+'Rate Base Support'!R107</f>
        <v>0</v>
      </c>
      <c r="S107" s="213">
        <f>+'Rate Base Support'!S107</f>
        <v>-9873198.5</v>
      </c>
      <c r="T107" s="213">
        <f>+'Rate Base Support'!T107</f>
        <v>0</v>
      </c>
      <c r="U107" s="213">
        <f>+'Rate Base Support'!U107</f>
        <v>0</v>
      </c>
      <c r="V107" s="213">
        <f>+'Rate Base Support'!V107</f>
        <v>0</v>
      </c>
      <c r="W107" s="213">
        <f>+'Rate Base Support'!W107</f>
        <v>0</v>
      </c>
      <c r="X107" s="213">
        <f>+'Rate Base Support'!X107</f>
        <v>0</v>
      </c>
      <c r="Y107" s="213">
        <f t="shared" si="16"/>
        <v>-9873198.5</v>
      </c>
      <c r="Z107" s="213">
        <f t="shared" si="17"/>
        <v>-9873198.5</v>
      </c>
    </row>
    <row r="108" spans="1:26">
      <c r="A108" s="195"/>
      <c r="B108" s="196"/>
      <c r="C108" s="197" t="s">
        <v>329</v>
      </c>
      <c r="D108" s="58">
        <f t="shared" si="13"/>
        <v>99</v>
      </c>
      <c r="F108" s="204" t="s">
        <v>329</v>
      </c>
      <c r="G108" s="199" t="s">
        <v>328</v>
      </c>
      <c r="H108" s="218"/>
      <c r="I108" s="218"/>
      <c r="J108" s="213">
        <f>+'Rate Base Support'!J108</f>
        <v>0</v>
      </c>
      <c r="K108" s="213">
        <f>+'Rate Base Support'!K108</f>
        <v>0</v>
      </c>
      <c r="L108" s="213">
        <f>+'Rate Base Support'!L108</f>
        <v>0</v>
      </c>
      <c r="M108" s="213">
        <f>+'Rate Base Support'!M108</f>
        <v>0</v>
      </c>
      <c r="N108" s="213">
        <f>+'Rate Base Support'!N108</f>
        <v>0</v>
      </c>
      <c r="O108" s="213">
        <f>+'Rate Base Support'!O108</f>
        <v>0</v>
      </c>
      <c r="P108" s="213">
        <f>+'Rate Base Support'!P108</f>
        <v>0</v>
      </c>
      <c r="Q108" s="213">
        <f>+'Rate Base Support'!Q108</f>
        <v>0</v>
      </c>
      <c r="R108" s="213">
        <f>+'Rate Base Support'!R108</f>
        <v>0</v>
      </c>
      <c r="S108" s="213">
        <f>+'Rate Base Support'!S108</f>
        <v>0</v>
      </c>
      <c r="T108" s="213">
        <f>+'Rate Base Support'!T108</f>
        <v>0</v>
      </c>
      <c r="U108" s="213">
        <f>+'Rate Base Support'!U108</f>
        <v>0</v>
      </c>
      <c r="V108" s="213">
        <f>+'Rate Base Support'!V108</f>
        <v>0</v>
      </c>
      <c r="W108" s="213">
        <f>+'Rate Base Support'!W108</f>
        <v>0</v>
      </c>
      <c r="X108" s="213">
        <f>+'Rate Base Support'!X108</f>
        <v>0</v>
      </c>
      <c r="Y108" s="213"/>
      <c r="Z108" s="213"/>
    </row>
    <row r="109" spans="1:26">
      <c r="A109" s="200"/>
      <c r="B109" s="198"/>
      <c r="C109" s="199" t="s">
        <v>328</v>
      </c>
      <c r="D109" s="58">
        <f t="shared" si="13"/>
        <v>100</v>
      </c>
      <c r="F109" s="199" t="s">
        <v>328</v>
      </c>
      <c r="H109" s="213"/>
      <c r="I109" s="216">
        <f>ROUND(+I104+I68+I61+I58+I105+I107+I106,0)</f>
        <v>-128569574</v>
      </c>
      <c r="J109" s="216">
        <f t="shared" ref="J109:Z109" si="18">ROUND(+J104+J68+J61+J58+J105+J107+J106,0)</f>
        <v>2751332</v>
      </c>
      <c r="K109" s="216">
        <f t="shared" si="18"/>
        <v>1600912</v>
      </c>
      <c r="L109" s="216">
        <f t="shared" si="18"/>
        <v>472406</v>
      </c>
      <c r="M109" s="216">
        <f t="shared" si="18"/>
        <v>330671</v>
      </c>
      <c r="N109" s="216">
        <f t="shared" si="18"/>
        <v>1810649</v>
      </c>
      <c r="O109" s="216">
        <f t="shared" si="18"/>
        <v>-5199035</v>
      </c>
      <c r="P109" s="216">
        <f t="shared" si="18"/>
        <v>-510417</v>
      </c>
      <c r="Q109" s="216">
        <f t="shared" si="18"/>
        <v>1099614</v>
      </c>
      <c r="R109" s="216">
        <f t="shared" si="18"/>
        <v>-262781</v>
      </c>
      <c r="S109" s="216">
        <f t="shared" si="18"/>
        <v>-9873199</v>
      </c>
      <c r="T109" s="216">
        <f t="shared" si="18"/>
        <v>105943</v>
      </c>
      <c r="U109" s="216">
        <f t="shared" si="18"/>
        <v>1697440</v>
      </c>
      <c r="V109" s="216">
        <f t="shared" si="18"/>
        <v>386866</v>
      </c>
      <c r="W109" s="216">
        <f t="shared" si="18"/>
        <v>-168275</v>
      </c>
      <c r="X109" s="216">
        <f t="shared" si="18"/>
        <v>-6261915</v>
      </c>
      <c r="Y109" s="216">
        <f t="shared" si="18"/>
        <v>-12019788</v>
      </c>
      <c r="Z109" s="216">
        <f t="shared" si="18"/>
        <v>-140589362</v>
      </c>
    </row>
    <row r="110" spans="1:26">
      <c r="Y110" s="201"/>
    </row>
  </sheetData>
  <printOptions horizontalCentered="1"/>
  <pageMargins left="0.25" right="0.25" top="0.55000000000000004" bottom="0.3" header="0.55000000000000004" footer="0.15"/>
  <pageSetup scale="53" fitToWidth="2" fitToHeight="4" pageOrder="overThenDown" orientation="landscape" r:id="rId1"/>
  <headerFooter alignWithMargins="0">
    <oddHeader>&amp;RRevised 1-13-2011
PacifiCorp Docket UE-100749
Exhibit No.___(KHB-6)
Page &amp;P of &amp;N</oddHeader>
  </headerFooter>
  <rowBreaks count="1" manualBreakCount="1">
    <brk id="61" min="7" max="37" man="1"/>
  </rowBreaks>
  <legacyDrawing r:id="rId2"/>
</worksheet>
</file>

<file path=xl/worksheets/sheet11.xml><?xml version="1.0" encoding="utf-8"?>
<worksheet xmlns="http://schemas.openxmlformats.org/spreadsheetml/2006/main" xmlns:r="http://schemas.openxmlformats.org/officeDocument/2006/relationships">
  <dimension ref="A1:V110"/>
  <sheetViews>
    <sheetView zoomScale="80" zoomScaleNormal="80" zoomScaleSheetLayoutView="90" workbookViewId="0">
      <pane xSplit="9" ySplit="6" topLeftCell="J67" activePane="bottomRight" state="frozen"/>
      <selection activeCell="D29" sqref="D29"/>
      <selection pane="topRight" activeCell="D29" sqref="D29"/>
      <selection pane="bottomLeft" activeCell="D29" sqref="D29"/>
      <selection pane="bottomRight" activeCell="K79" sqref="K79"/>
    </sheetView>
  </sheetViews>
  <sheetFormatPr defaultRowHeight="15.75"/>
  <cols>
    <col min="1" max="1" width="13.28515625" style="41" hidden="1" customWidth="1"/>
    <col min="2" max="2" width="24.28515625" style="41" hidden="1" customWidth="1"/>
    <col min="3" max="3" width="13.85546875" style="41" hidden="1" customWidth="1"/>
    <col min="4" max="4" width="6" style="41" customWidth="1"/>
    <col min="5" max="5" width="16.7109375" style="41" hidden="1" customWidth="1"/>
    <col min="6" max="6" width="51" style="41" customWidth="1"/>
    <col min="7" max="8" width="21.85546875" style="41" hidden="1" customWidth="1"/>
    <col min="9" max="9" width="21.85546875" style="41" customWidth="1"/>
    <col min="10" max="10" width="16" style="41" customWidth="1"/>
    <col min="11" max="11" width="21.28515625" style="41" customWidth="1"/>
    <col min="12" max="13" width="16.85546875" style="41" customWidth="1"/>
    <col min="14" max="14" width="16.42578125" style="41" customWidth="1"/>
    <col min="15" max="16" width="19.42578125" style="41" customWidth="1"/>
    <col min="17" max="17" width="20.140625" style="41" customWidth="1"/>
    <col min="18" max="18" width="24.28515625" style="41" customWidth="1"/>
    <col min="19" max="19" width="20.28515625" style="41" customWidth="1"/>
    <col min="20" max="20" width="21.28515625" style="41" customWidth="1"/>
    <col min="21" max="21" width="20.5703125" style="41" customWidth="1"/>
    <col min="22" max="22" width="5.28515625" style="41" customWidth="1"/>
    <col min="23" max="23" width="6" style="41" customWidth="1"/>
    <col min="24" max="24" width="5.28515625" style="41" customWidth="1"/>
    <col min="25" max="25" width="6" style="41" customWidth="1"/>
    <col min="26" max="26" width="5.28515625" style="41" customWidth="1"/>
    <col min="27" max="27" width="6" style="41" customWidth="1"/>
    <col min="28" max="28" width="5.28515625" style="41" customWidth="1"/>
    <col min="29" max="29" width="6" style="41" customWidth="1"/>
    <col min="30" max="30" width="5.28515625" style="41" customWidth="1"/>
    <col min="31" max="31" width="6" style="41" customWidth="1"/>
    <col min="32" max="32" width="5.28515625" style="41" customWidth="1"/>
    <col min="33" max="33" width="6" style="41" customWidth="1"/>
    <col min="34" max="34" width="5.28515625" style="41" customWidth="1"/>
    <col min="35" max="35" width="6" style="41" customWidth="1"/>
    <col min="36" max="36" width="5.28515625" style="41" customWidth="1"/>
    <col min="37" max="37" width="6" style="41" customWidth="1"/>
    <col min="38" max="38" width="5.28515625" style="41" customWidth="1"/>
    <col min="39" max="39" width="6" style="41" customWidth="1"/>
    <col min="40" max="40" width="5.28515625" style="41" customWidth="1"/>
    <col min="41" max="41" width="6" style="41" customWidth="1"/>
    <col min="42" max="42" width="5.28515625" style="41" customWidth="1"/>
    <col min="43" max="43" width="6" style="41" customWidth="1"/>
    <col min="44" max="44" width="5.28515625" style="41" customWidth="1"/>
    <col min="45" max="45" width="6" style="41" customWidth="1"/>
    <col min="46" max="46" width="5.28515625" style="41" customWidth="1"/>
    <col min="47" max="47" width="6" style="41" customWidth="1"/>
    <col min="48" max="48" width="5.28515625" style="41" customWidth="1"/>
    <col min="49" max="49" width="6" style="41" customWidth="1"/>
    <col min="50" max="50" width="5.28515625" style="41" customWidth="1"/>
    <col min="51" max="51" width="6" style="41" customWidth="1"/>
    <col min="52" max="52" width="5.28515625" style="41" customWidth="1"/>
    <col min="53" max="53" width="6" style="41" customWidth="1"/>
    <col min="54" max="54" width="5.28515625" style="41" customWidth="1"/>
    <col min="55" max="55" width="8.140625" style="41" customWidth="1"/>
    <col min="56" max="56" width="6.85546875" style="41" customWidth="1"/>
    <col min="57" max="57" width="6" style="41" customWidth="1"/>
    <col min="58" max="58" width="5.28515625" style="41" customWidth="1"/>
    <col min="59" max="59" width="6" style="41" customWidth="1"/>
    <col min="60" max="60" width="5.28515625" style="41" customWidth="1"/>
    <col min="61" max="61" width="6" style="41" customWidth="1"/>
    <col min="62" max="62" width="5.28515625" style="41" customWidth="1"/>
    <col min="63" max="63" width="6" style="41" customWidth="1"/>
    <col min="64" max="64" width="5.28515625" style="41" customWidth="1"/>
    <col min="65" max="65" width="6" style="41" customWidth="1"/>
    <col min="66" max="66" width="5.28515625" style="41" customWidth="1"/>
    <col min="67" max="67" width="6" style="41" customWidth="1"/>
    <col min="68" max="68" width="5.28515625" style="41" customWidth="1"/>
    <col min="69" max="69" width="6" style="41" customWidth="1"/>
    <col min="70" max="70" width="5.28515625" style="41" customWidth="1"/>
    <col min="71" max="16384" width="9.140625" style="41"/>
  </cols>
  <sheetData>
    <row r="1" spans="1:22">
      <c r="C1" s="42"/>
      <c r="D1" s="40" t="s">
        <v>0</v>
      </c>
      <c r="F1" s="42"/>
      <c r="G1" s="42"/>
      <c r="H1" s="42"/>
      <c r="I1" s="42"/>
      <c r="J1" s="44"/>
      <c r="K1" s="44"/>
      <c r="L1" s="44"/>
      <c r="M1" s="44"/>
      <c r="N1" s="42"/>
      <c r="O1" s="42"/>
      <c r="P1" s="42"/>
      <c r="Q1" s="42"/>
      <c r="R1" s="42"/>
    </row>
    <row r="2" spans="1:22">
      <c r="C2" s="42"/>
      <c r="D2" s="40" t="s">
        <v>135</v>
      </c>
      <c r="F2" s="42"/>
      <c r="G2" s="42"/>
      <c r="H2" s="42"/>
      <c r="I2" s="42"/>
      <c r="J2" s="44"/>
      <c r="K2" s="44"/>
      <c r="L2" s="44"/>
      <c r="M2" s="44"/>
      <c r="N2" s="42"/>
      <c r="O2" s="42"/>
      <c r="P2" s="42"/>
      <c r="Q2" s="42"/>
      <c r="R2" s="42"/>
    </row>
    <row r="3" spans="1:22">
      <c r="B3" s="45"/>
      <c r="C3" s="44"/>
      <c r="D3" s="191" t="s">
        <v>136</v>
      </c>
      <c r="F3" s="42"/>
      <c r="G3" s="44"/>
      <c r="H3" s="42"/>
      <c r="I3" s="44"/>
      <c r="J3" s="42"/>
      <c r="K3" s="42"/>
      <c r="L3" s="42"/>
      <c r="M3" s="42"/>
      <c r="N3" s="44"/>
      <c r="O3" s="44"/>
      <c r="P3" s="44"/>
      <c r="Q3" s="44"/>
      <c r="R3" s="44"/>
    </row>
    <row r="4" spans="1:22">
      <c r="C4" s="42"/>
      <c r="D4" s="41" t="s">
        <v>137</v>
      </c>
      <c r="F4" s="42"/>
      <c r="G4" s="42"/>
      <c r="H4" s="42"/>
      <c r="I4" s="42"/>
      <c r="J4" s="42"/>
      <c r="K4" s="42"/>
      <c r="L4" s="42"/>
      <c r="M4" s="42"/>
      <c r="N4" s="42"/>
      <c r="O4" s="42"/>
      <c r="P4" s="42"/>
      <c r="Q4" s="42"/>
      <c r="R4" s="42"/>
    </row>
    <row r="5" spans="1:22">
      <c r="C5" s="42"/>
      <c r="D5" s="41" t="s">
        <v>570</v>
      </c>
      <c r="F5" s="42"/>
      <c r="G5" s="42"/>
      <c r="H5" s="42"/>
      <c r="I5" s="42"/>
      <c r="J5" s="42"/>
      <c r="K5" s="42"/>
      <c r="L5" s="42"/>
      <c r="M5" s="42"/>
      <c r="N5" s="42"/>
      <c r="O5" s="42"/>
      <c r="P5" s="42"/>
      <c r="Q5" s="42"/>
      <c r="R5" s="42"/>
    </row>
    <row r="6" spans="1:22" s="40" customFormat="1" ht="63">
      <c r="A6" s="48" t="s">
        <v>15</v>
      </c>
      <c r="B6" s="48" t="s">
        <v>16</v>
      </c>
      <c r="C6" s="48" t="s">
        <v>16</v>
      </c>
      <c r="D6" s="49" t="s">
        <v>460</v>
      </c>
      <c r="E6" s="49" t="s">
        <v>18</v>
      </c>
      <c r="F6" s="50" t="s">
        <v>19</v>
      </c>
      <c r="G6" s="48" t="s">
        <v>17</v>
      </c>
      <c r="H6" s="51" t="s">
        <v>138</v>
      </c>
      <c r="I6" s="51" t="s">
        <v>21</v>
      </c>
      <c r="J6" s="138" t="s">
        <v>552</v>
      </c>
      <c r="K6" s="138" t="s">
        <v>139</v>
      </c>
      <c r="L6" s="138" t="s">
        <v>528</v>
      </c>
      <c r="M6" s="53" t="s">
        <v>546</v>
      </c>
      <c r="N6" s="53" t="s">
        <v>564</v>
      </c>
      <c r="O6" s="53" t="s">
        <v>565</v>
      </c>
      <c r="P6" s="53" t="s">
        <v>586</v>
      </c>
      <c r="Q6" s="138" t="s">
        <v>567</v>
      </c>
      <c r="R6" s="138" t="s">
        <v>454</v>
      </c>
      <c r="S6" s="53" t="s">
        <v>452</v>
      </c>
      <c r="T6" s="138" t="s">
        <v>451</v>
      </c>
      <c r="U6" s="53" t="s">
        <v>453</v>
      </c>
    </row>
    <row r="7" spans="1:22" s="40" customFormat="1">
      <c r="A7" s="49" t="s">
        <v>554</v>
      </c>
      <c r="B7" s="48"/>
      <c r="C7" s="48"/>
      <c r="D7" s="49"/>
      <c r="E7" s="49"/>
      <c r="F7" s="50"/>
      <c r="G7" s="48"/>
      <c r="H7" s="51"/>
      <c r="I7" s="51"/>
      <c r="J7" s="138"/>
      <c r="K7" s="138"/>
      <c r="L7" s="138"/>
      <c r="M7" s="138"/>
      <c r="N7" s="53" t="s">
        <v>513</v>
      </c>
      <c r="O7" s="53" t="s">
        <v>515</v>
      </c>
      <c r="P7" s="53" t="s">
        <v>449</v>
      </c>
      <c r="Q7" s="138" t="s">
        <v>566</v>
      </c>
      <c r="R7" s="138"/>
      <c r="S7" s="53"/>
      <c r="T7" s="138"/>
      <c r="U7" s="53"/>
    </row>
    <row r="8" spans="1:22" s="40" customFormat="1">
      <c r="A8" s="48"/>
      <c r="B8" s="48"/>
      <c r="C8" s="48"/>
      <c r="D8" s="48" t="s">
        <v>461</v>
      </c>
      <c r="E8" s="48" t="s">
        <v>462</v>
      </c>
      <c r="F8" s="205" t="s">
        <v>463</v>
      </c>
      <c r="G8" s="48"/>
      <c r="H8" s="51" t="s">
        <v>464</v>
      </c>
      <c r="I8" s="51" t="s">
        <v>465</v>
      </c>
      <c r="J8" s="207" t="s">
        <v>481</v>
      </c>
      <c r="K8" s="207" t="s">
        <v>482</v>
      </c>
      <c r="L8" s="207" t="s">
        <v>483</v>
      </c>
      <c r="M8" s="207"/>
      <c r="N8" s="206" t="s">
        <v>484</v>
      </c>
      <c r="O8" s="206" t="s">
        <v>485</v>
      </c>
      <c r="P8" s="206" t="s">
        <v>486</v>
      </c>
      <c r="Q8" s="138" t="s">
        <v>487</v>
      </c>
      <c r="R8" s="138" t="s">
        <v>488</v>
      </c>
      <c r="S8" s="53" t="s">
        <v>489</v>
      </c>
      <c r="T8" s="138" t="s">
        <v>490</v>
      </c>
      <c r="U8" s="53" t="s">
        <v>568</v>
      </c>
    </row>
    <row r="9" spans="1:22" hidden="1">
      <c r="A9" s="48"/>
      <c r="B9" s="48"/>
      <c r="C9" s="48"/>
      <c r="D9" s="48"/>
      <c r="E9" s="129" t="s">
        <v>450</v>
      </c>
      <c r="F9" s="50"/>
      <c r="G9" s="48"/>
      <c r="H9" s="208"/>
      <c r="I9" s="208"/>
      <c r="J9" s="211"/>
      <c r="K9" s="211"/>
      <c r="L9" s="211"/>
      <c r="M9" s="211"/>
      <c r="N9" s="212"/>
      <c r="O9" s="210"/>
      <c r="P9" s="210"/>
      <c r="Q9" s="211"/>
      <c r="R9" s="211"/>
      <c r="S9" s="210"/>
      <c r="T9" s="213"/>
      <c r="U9" s="213"/>
    </row>
    <row r="10" spans="1:22">
      <c r="A10" s="58" t="s">
        <v>151</v>
      </c>
      <c r="B10" s="58" t="s">
        <v>152</v>
      </c>
      <c r="C10" s="58" t="s">
        <v>153</v>
      </c>
      <c r="D10" s="58">
        <f>1</f>
        <v>1</v>
      </c>
      <c r="E10" s="132" t="s">
        <v>22</v>
      </c>
      <c r="F10" s="58" t="s">
        <v>154</v>
      </c>
      <c r="G10" s="58" t="s">
        <v>30</v>
      </c>
      <c r="H10" s="214">
        <f>1000*4716.31375</f>
        <v>4716313.75</v>
      </c>
      <c r="I10" s="214">
        <f>1000*349.401958812</f>
        <v>349401.958812</v>
      </c>
      <c r="J10" s="213">
        <f>+'Rate Base Support'!Y10</f>
        <v>-349401.96</v>
      </c>
      <c r="K10" s="213">
        <f t="shared" ref="K10:K57" si="0">+J10+I10</f>
        <v>-1.188000023830682E-3</v>
      </c>
      <c r="L10" s="213"/>
      <c r="M10" s="213">
        <f>+L10+K10</f>
        <v>-1.188000023830682E-3</v>
      </c>
      <c r="N10" s="213"/>
      <c r="O10" s="213">
        <f>+'Rate Base Support'!AC10</f>
        <v>1.188000023830682E-3</v>
      </c>
      <c r="P10" s="213">
        <f t="shared" ref="P10:P57" si="1">+O10+N10</f>
        <v>1.188000023830682E-3</v>
      </c>
      <c r="Q10" s="213"/>
      <c r="R10" s="213">
        <f t="shared" ref="R10:R57" si="2">ROUND(+P10+K10,0)</f>
        <v>0</v>
      </c>
      <c r="S10" s="213">
        <f>+'Rate Base Support'!AG10</f>
        <v>1.188000023830682E-3</v>
      </c>
      <c r="T10" s="213">
        <f>+'Rate Base Support'!AH10</f>
        <v>0</v>
      </c>
      <c r="U10" s="213">
        <f>+R10-T10</f>
        <v>0</v>
      </c>
      <c r="V10" s="68"/>
    </row>
    <row r="11" spans="1:22">
      <c r="A11" s="58" t="s">
        <v>151</v>
      </c>
      <c r="B11" s="58" t="s">
        <v>152</v>
      </c>
      <c r="C11" s="58" t="s">
        <v>155</v>
      </c>
      <c r="D11" s="58">
        <f>1+D10</f>
        <v>2</v>
      </c>
      <c r="E11" s="132" t="s">
        <v>22</v>
      </c>
      <c r="F11" s="58" t="s">
        <v>156</v>
      </c>
      <c r="G11" s="58" t="s">
        <v>57</v>
      </c>
      <c r="H11" s="214">
        <f>1000*7.981083333</f>
        <v>7981.0833329999996</v>
      </c>
      <c r="I11" s="214">
        <f>1000*1.76278838</f>
        <v>1762.78838</v>
      </c>
      <c r="J11" s="213">
        <f>+'Rate Base Support'!Y11</f>
        <v>0</v>
      </c>
      <c r="K11" s="213">
        <f t="shared" si="0"/>
        <v>1762.78838</v>
      </c>
      <c r="L11" s="213"/>
      <c r="M11" s="213">
        <f t="shared" ref="M11:M74" si="3">+L11+K11</f>
        <v>1762.78838</v>
      </c>
      <c r="N11" s="213"/>
      <c r="O11" s="213">
        <f>+'Rate Base Support'!AC11</f>
        <v>-1762.78838</v>
      </c>
      <c r="P11" s="213">
        <f t="shared" si="1"/>
        <v>-1762.78838</v>
      </c>
      <c r="Q11" s="213"/>
      <c r="R11" s="213">
        <f t="shared" si="2"/>
        <v>0</v>
      </c>
      <c r="S11" s="213">
        <f>+'Rate Base Support'!AG11</f>
        <v>-1762.78838</v>
      </c>
      <c r="T11" s="213">
        <f>+'Rate Base Support'!AH11</f>
        <v>0</v>
      </c>
      <c r="U11" s="213">
        <f t="shared" ref="U11:U74" si="4">+R11-T11</f>
        <v>0</v>
      </c>
      <c r="V11" s="68"/>
    </row>
    <row r="12" spans="1:22">
      <c r="A12" s="58" t="s">
        <v>151</v>
      </c>
      <c r="B12" s="58" t="s">
        <v>152</v>
      </c>
      <c r="C12" s="58" t="s">
        <v>157</v>
      </c>
      <c r="D12" s="58">
        <f t="shared" ref="D12:D75" si="5">1+D11</f>
        <v>3</v>
      </c>
      <c r="E12" s="132" t="s">
        <v>22</v>
      </c>
      <c r="F12" s="58" t="s">
        <v>158</v>
      </c>
      <c r="G12" s="58" t="s">
        <v>57</v>
      </c>
      <c r="H12" s="214">
        <f>1000*55.611041667</f>
        <v>55611.041667000005</v>
      </c>
      <c r="I12" s="214">
        <f>1000*12.282856096</f>
        <v>12282.856096</v>
      </c>
      <c r="J12" s="213">
        <f>+'Rate Base Support'!Y12</f>
        <v>0</v>
      </c>
      <c r="K12" s="213">
        <f t="shared" si="0"/>
        <v>12282.856096</v>
      </c>
      <c r="L12" s="213"/>
      <c r="M12" s="213">
        <f t="shared" si="3"/>
        <v>12282.856096</v>
      </c>
      <c r="N12" s="213"/>
      <c r="O12" s="213">
        <f>+'Rate Base Support'!AC12</f>
        <v>-12282.856096</v>
      </c>
      <c r="P12" s="213">
        <f t="shared" si="1"/>
        <v>-12282.856096</v>
      </c>
      <c r="Q12" s="213"/>
      <c r="R12" s="213">
        <f t="shared" si="2"/>
        <v>0</v>
      </c>
      <c r="S12" s="213">
        <f>+'Rate Base Support'!AG12</f>
        <v>-12282.856096</v>
      </c>
      <c r="T12" s="213">
        <f>+'Rate Base Support'!AH12</f>
        <v>0</v>
      </c>
      <c r="U12" s="213">
        <f t="shared" si="4"/>
        <v>0</v>
      </c>
      <c r="V12" s="68"/>
    </row>
    <row r="13" spans="1:22">
      <c r="A13" s="58" t="s">
        <v>151</v>
      </c>
      <c r="B13" s="58" t="s">
        <v>152</v>
      </c>
      <c r="C13" s="58" t="s">
        <v>159</v>
      </c>
      <c r="D13" s="58">
        <f t="shared" si="5"/>
        <v>4</v>
      </c>
      <c r="E13" s="132" t="s">
        <v>22</v>
      </c>
      <c r="F13" s="58" t="s">
        <v>162</v>
      </c>
      <c r="G13" s="58" t="s">
        <v>30</v>
      </c>
      <c r="H13" s="214">
        <f>1000*1.73254375</f>
        <v>1732.54375</v>
      </c>
      <c r="I13" s="214">
        <f>1000*0.128353246</f>
        <v>128.35324600000001</v>
      </c>
      <c r="J13" s="213">
        <f>+'Rate Base Support'!Y13</f>
        <v>0</v>
      </c>
      <c r="K13" s="213">
        <f t="shared" si="0"/>
        <v>128.35324600000001</v>
      </c>
      <c r="L13" s="213"/>
      <c r="M13" s="213">
        <f t="shared" si="3"/>
        <v>128.35324600000001</v>
      </c>
      <c r="N13" s="213"/>
      <c r="O13" s="213">
        <f>+'Rate Base Support'!AC13</f>
        <v>-128.35324600000001</v>
      </c>
      <c r="P13" s="213">
        <f t="shared" si="1"/>
        <v>-128.35324600000001</v>
      </c>
      <c r="Q13" s="213"/>
      <c r="R13" s="213">
        <f t="shared" si="2"/>
        <v>0</v>
      </c>
      <c r="S13" s="213">
        <f>+'Rate Base Support'!AG13</f>
        <v>-128.35324600000001</v>
      </c>
      <c r="T13" s="213">
        <f>+'Rate Base Support'!AH13</f>
        <v>0</v>
      </c>
      <c r="U13" s="213">
        <f t="shared" si="4"/>
        <v>0</v>
      </c>
      <c r="V13" s="68"/>
    </row>
    <row r="14" spans="1:22">
      <c r="A14" s="58" t="s">
        <v>151</v>
      </c>
      <c r="B14" s="58" t="s">
        <v>152</v>
      </c>
      <c r="C14" s="58" t="s">
        <v>161</v>
      </c>
      <c r="D14" s="58">
        <f t="shared" si="5"/>
        <v>5</v>
      </c>
      <c r="E14" s="132" t="s">
        <v>22</v>
      </c>
      <c r="F14" s="58" t="s">
        <v>164</v>
      </c>
      <c r="G14" s="58" t="s">
        <v>30</v>
      </c>
      <c r="H14" s="214">
        <f>1000*1555.628904167</f>
        <v>1555628.904167</v>
      </c>
      <c r="I14" s="214">
        <f>1000*115.246740381</f>
        <v>115246.740381</v>
      </c>
      <c r="J14" s="213">
        <f>+'Rate Base Support'!Y14</f>
        <v>0</v>
      </c>
      <c r="K14" s="213">
        <f t="shared" si="0"/>
        <v>115246.740381</v>
      </c>
      <c r="L14" s="213"/>
      <c r="M14" s="213">
        <f t="shared" si="3"/>
        <v>115246.740381</v>
      </c>
      <c r="N14" s="213"/>
      <c r="O14" s="213">
        <f>+'Rate Base Support'!AC14</f>
        <v>-115246.740381</v>
      </c>
      <c r="P14" s="213">
        <f t="shared" si="1"/>
        <v>-115246.740381</v>
      </c>
      <c r="Q14" s="213"/>
      <c r="R14" s="213">
        <f t="shared" si="2"/>
        <v>0</v>
      </c>
      <c r="S14" s="213">
        <f>+'Rate Base Support'!AG14</f>
        <v>-115246.740381</v>
      </c>
      <c r="T14" s="213">
        <f>+'Rate Base Support'!AH14</f>
        <v>0</v>
      </c>
      <c r="U14" s="213">
        <f t="shared" si="4"/>
        <v>0</v>
      </c>
      <c r="V14" s="68"/>
    </row>
    <row r="15" spans="1:22">
      <c r="A15" s="58" t="s">
        <v>151</v>
      </c>
      <c r="B15" s="58" t="s">
        <v>152</v>
      </c>
      <c r="C15" s="58" t="s">
        <v>163</v>
      </c>
      <c r="D15" s="58">
        <f t="shared" si="5"/>
        <v>6</v>
      </c>
      <c r="E15" s="132" t="s">
        <v>22</v>
      </c>
      <c r="F15" s="58" t="s">
        <v>166</v>
      </c>
      <c r="G15" s="58" t="s">
        <v>30</v>
      </c>
      <c r="H15" s="214">
        <f>1000*4431.598264583</f>
        <v>4431598.264583</v>
      </c>
      <c r="I15" s="214">
        <f>1000*328.309183059</f>
        <v>328309.183059</v>
      </c>
      <c r="J15" s="213">
        <f>+'Rate Base Support'!Y15</f>
        <v>0</v>
      </c>
      <c r="K15" s="213">
        <f t="shared" si="0"/>
        <v>328309.183059</v>
      </c>
      <c r="L15" s="213"/>
      <c r="M15" s="213">
        <f t="shared" si="3"/>
        <v>328309.183059</v>
      </c>
      <c r="N15" s="213"/>
      <c r="O15" s="213">
        <f>+'Rate Base Support'!AC15</f>
        <v>-328309.183059</v>
      </c>
      <c r="P15" s="213">
        <f t="shared" si="1"/>
        <v>-328309.183059</v>
      </c>
      <c r="Q15" s="213"/>
      <c r="R15" s="213">
        <f t="shared" si="2"/>
        <v>0</v>
      </c>
      <c r="S15" s="213">
        <f>+'Rate Base Support'!AG15</f>
        <v>-328309.183059</v>
      </c>
      <c r="T15" s="213">
        <f>+'Rate Base Support'!AH15</f>
        <v>0</v>
      </c>
      <c r="U15" s="213">
        <f t="shared" si="4"/>
        <v>0</v>
      </c>
      <c r="V15" s="68"/>
    </row>
    <row r="16" spans="1:22">
      <c r="A16" s="58" t="s">
        <v>151</v>
      </c>
      <c r="B16" s="58" t="s">
        <v>152</v>
      </c>
      <c r="C16" s="58" t="s">
        <v>165</v>
      </c>
      <c r="D16" s="58">
        <f t="shared" si="5"/>
        <v>7</v>
      </c>
      <c r="E16" s="132" t="s">
        <v>22</v>
      </c>
      <c r="F16" s="58" t="s">
        <v>168</v>
      </c>
      <c r="G16" s="58" t="s">
        <v>30</v>
      </c>
      <c r="H16" s="214">
        <f>1000*293.8414</f>
        <v>293841.40000000002</v>
      </c>
      <c r="I16" s="214">
        <f>1000*21.768857244</f>
        <v>21768.857243999999</v>
      </c>
      <c r="J16" s="213">
        <f>+'Rate Base Support'!Y16</f>
        <v>0</v>
      </c>
      <c r="K16" s="213">
        <f t="shared" si="0"/>
        <v>21768.857243999999</v>
      </c>
      <c r="L16" s="213"/>
      <c r="M16" s="213">
        <f t="shared" si="3"/>
        <v>21768.857243999999</v>
      </c>
      <c r="N16" s="213"/>
      <c r="O16" s="213">
        <f>+'Rate Base Support'!AC16</f>
        <v>-21768.857243999999</v>
      </c>
      <c r="P16" s="213">
        <f t="shared" si="1"/>
        <v>-21768.857243999999</v>
      </c>
      <c r="Q16" s="213"/>
      <c r="R16" s="213">
        <f t="shared" si="2"/>
        <v>0</v>
      </c>
      <c r="S16" s="213">
        <f>+'Rate Base Support'!AG16</f>
        <v>-21768.857243999999</v>
      </c>
      <c r="T16" s="213">
        <f>+'Rate Base Support'!AH16</f>
        <v>0</v>
      </c>
      <c r="U16" s="213">
        <f t="shared" si="4"/>
        <v>0</v>
      </c>
      <c r="V16" s="68"/>
    </row>
    <row r="17" spans="1:22">
      <c r="A17" s="58" t="s">
        <v>151</v>
      </c>
      <c r="B17" s="58" t="s">
        <v>152</v>
      </c>
      <c r="C17" s="58" t="s">
        <v>167</v>
      </c>
      <c r="D17" s="58">
        <f t="shared" si="5"/>
        <v>8</v>
      </c>
      <c r="E17" s="132" t="s">
        <v>22</v>
      </c>
      <c r="F17" s="58" t="s">
        <v>172</v>
      </c>
      <c r="G17" s="58" t="s">
        <v>30</v>
      </c>
      <c r="H17" s="214">
        <f>1000*-90.264458333</f>
        <v>-90264.458332999988</v>
      </c>
      <c r="I17" s="214">
        <f>1000*-6.687124781</f>
        <v>-6687.1247809999995</v>
      </c>
      <c r="J17" s="213">
        <f>+'Rate Base Support'!Y17</f>
        <v>0</v>
      </c>
      <c r="K17" s="213">
        <f t="shared" si="0"/>
        <v>-6687.1247809999995</v>
      </c>
      <c r="L17" s="213"/>
      <c r="M17" s="213">
        <f t="shared" si="3"/>
        <v>-6687.1247809999995</v>
      </c>
      <c r="N17" s="213"/>
      <c r="O17" s="213">
        <f>+'Rate Base Support'!AC17</f>
        <v>6687.1247809999995</v>
      </c>
      <c r="P17" s="213">
        <f t="shared" si="1"/>
        <v>6687.1247809999995</v>
      </c>
      <c r="Q17" s="213"/>
      <c r="R17" s="213">
        <f t="shared" si="2"/>
        <v>0</v>
      </c>
      <c r="S17" s="213">
        <f>+'Rate Base Support'!AG17</f>
        <v>6687.1247809999995</v>
      </c>
      <c r="T17" s="213">
        <f>+'Rate Base Support'!AH17</f>
        <v>0</v>
      </c>
      <c r="U17" s="213">
        <f t="shared" si="4"/>
        <v>0</v>
      </c>
      <c r="V17" s="68"/>
    </row>
    <row r="18" spans="1:22">
      <c r="A18" s="58" t="s">
        <v>151</v>
      </c>
      <c r="B18" s="58" t="s">
        <v>152</v>
      </c>
      <c r="C18" s="58" t="s">
        <v>169</v>
      </c>
      <c r="D18" s="58">
        <f t="shared" si="5"/>
        <v>9</v>
      </c>
      <c r="E18" s="132" t="s">
        <v>22</v>
      </c>
      <c r="F18" s="58" t="s">
        <v>174</v>
      </c>
      <c r="G18" s="58" t="s">
        <v>30</v>
      </c>
      <c r="H18" s="214">
        <f>1000*13913.1677</f>
        <v>13913167.699999999</v>
      </c>
      <c r="I18" s="214">
        <f>1000*1030.738900197</f>
        <v>1030738.900197</v>
      </c>
      <c r="J18" s="213">
        <f>+'Rate Base Support'!Y18</f>
        <v>0</v>
      </c>
      <c r="K18" s="213">
        <f t="shared" si="0"/>
        <v>1030738.900197</v>
      </c>
      <c r="L18" s="213"/>
      <c r="M18" s="213">
        <f t="shared" si="3"/>
        <v>1030738.900197</v>
      </c>
      <c r="N18" s="213"/>
      <c r="O18" s="213">
        <f>+'Rate Base Support'!AC18</f>
        <v>-1030738.900197</v>
      </c>
      <c r="P18" s="213">
        <f t="shared" si="1"/>
        <v>-1030738.900197</v>
      </c>
      <c r="Q18" s="213"/>
      <c r="R18" s="213">
        <f t="shared" si="2"/>
        <v>0</v>
      </c>
      <c r="S18" s="213">
        <f>+'Rate Base Support'!AG18</f>
        <v>-1030738.900197</v>
      </c>
      <c r="T18" s="213">
        <f>+'Rate Base Support'!AH18</f>
        <v>0</v>
      </c>
      <c r="U18" s="213">
        <f t="shared" si="4"/>
        <v>0</v>
      </c>
      <c r="V18" s="68"/>
    </row>
    <row r="19" spans="1:22">
      <c r="A19" s="58" t="s">
        <v>151</v>
      </c>
      <c r="B19" s="58" t="s">
        <v>152</v>
      </c>
      <c r="C19" s="58" t="s">
        <v>171</v>
      </c>
      <c r="D19" s="58">
        <f t="shared" si="5"/>
        <v>10</v>
      </c>
      <c r="E19" s="132" t="s">
        <v>22</v>
      </c>
      <c r="F19" s="58" t="s">
        <v>176</v>
      </c>
      <c r="G19" s="58" t="s">
        <v>26</v>
      </c>
      <c r="H19" s="214">
        <f>1000*211.798120833</f>
        <v>211798.12083300002</v>
      </c>
      <c r="I19" s="214">
        <f>1000*17.561547449</f>
        <v>17561.547448999998</v>
      </c>
      <c r="J19" s="213">
        <f>+'Rate Base Support'!Y19</f>
        <v>0</v>
      </c>
      <c r="K19" s="213">
        <f t="shared" si="0"/>
        <v>17561.547448999998</v>
      </c>
      <c r="L19" s="213"/>
      <c r="M19" s="213">
        <f t="shared" si="3"/>
        <v>17561.547448999998</v>
      </c>
      <c r="N19" s="213"/>
      <c r="O19" s="213">
        <f>+'Rate Base Support'!AC19</f>
        <v>-17561.547448999998</v>
      </c>
      <c r="P19" s="213">
        <f t="shared" si="1"/>
        <v>-17561.547448999998</v>
      </c>
      <c r="Q19" s="213"/>
      <c r="R19" s="213">
        <f t="shared" si="2"/>
        <v>0</v>
      </c>
      <c r="S19" s="213">
        <f>+'Rate Base Support'!AG19</f>
        <v>-17561.547448999998</v>
      </c>
      <c r="T19" s="213">
        <f>+'Rate Base Support'!AH19</f>
        <v>0</v>
      </c>
      <c r="U19" s="213">
        <f t="shared" si="4"/>
        <v>0</v>
      </c>
      <c r="V19" s="68"/>
    </row>
    <row r="20" spans="1:22">
      <c r="A20" s="58" t="s">
        <v>151</v>
      </c>
      <c r="B20" s="58" t="s">
        <v>152</v>
      </c>
      <c r="C20" s="58" t="s">
        <v>173</v>
      </c>
      <c r="D20" s="58">
        <f t="shared" si="5"/>
        <v>11</v>
      </c>
      <c r="E20" s="132" t="s">
        <v>22</v>
      </c>
      <c r="F20" s="58" t="s">
        <v>180</v>
      </c>
      <c r="G20" s="58" t="s">
        <v>56</v>
      </c>
      <c r="H20" s="214">
        <f>1000*3181.384529167</f>
        <v>3181384.5291670002</v>
      </c>
      <c r="I20" s="214">
        <f>1000*398.515309067</f>
        <v>398515.30906699999</v>
      </c>
      <c r="J20" s="213">
        <f>+'Rate Base Support'!Y20</f>
        <v>0</v>
      </c>
      <c r="K20" s="213">
        <f t="shared" si="0"/>
        <v>398515.30906699999</v>
      </c>
      <c r="L20" s="213"/>
      <c r="M20" s="213">
        <f t="shared" si="3"/>
        <v>398515.30906699999</v>
      </c>
      <c r="N20" s="213"/>
      <c r="O20" s="213">
        <f>+'Rate Base Support'!AC20</f>
        <v>-398515.30906699999</v>
      </c>
      <c r="P20" s="213">
        <f t="shared" si="1"/>
        <v>-398515.30906699999</v>
      </c>
      <c r="Q20" s="213"/>
      <c r="R20" s="213">
        <f t="shared" si="2"/>
        <v>0</v>
      </c>
      <c r="S20" s="213">
        <f>+'Rate Base Support'!AG20</f>
        <v>-398515.30906699999</v>
      </c>
      <c r="T20" s="213">
        <f>+'Rate Base Support'!AH20</f>
        <v>0</v>
      </c>
      <c r="U20" s="213">
        <f t="shared" si="4"/>
        <v>0</v>
      </c>
      <c r="V20" s="68"/>
    </row>
    <row r="21" spans="1:22">
      <c r="A21" s="58" t="s">
        <v>151</v>
      </c>
      <c r="B21" s="58" t="s">
        <v>152</v>
      </c>
      <c r="C21" s="58" t="s">
        <v>175</v>
      </c>
      <c r="D21" s="58">
        <f t="shared" si="5"/>
        <v>12</v>
      </c>
      <c r="E21" s="132" t="s">
        <v>22</v>
      </c>
      <c r="F21" s="58" t="s">
        <v>182</v>
      </c>
      <c r="G21" s="58" t="s">
        <v>30</v>
      </c>
      <c r="H21" s="214">
        <f>1000*3210.520077083</f>
        <v>3210520.077083</v>
      </c>
      <c r="I21" s="214">
        <f>1000*237.847196603</f>
        <v>237847.19660299999</v>
      </c>
      <c r="J21" s="213">
        <f>+'Rate Base Support'!Y21</f>
        <v>0</v>
      </c>
      <c r="K21" s="213">
        <f t="shared" si="0"/>
        <v>237847.19660299999</v>
      </c>
      <c r="L21" s="213"/>
      <c r="M21" s="213">
        <f t="shared" si="3"/>
        <v>237847.19660299999</v>
      </c>
      <c r="N21" s="213"/>
      <c r="O21" s="213">
        <f>+'Rate Base Support'!AC21</f>
        <v>-237847.19660299999</v>
      </c>
      <c r="P21" s="213">
        <f t="shared" si="1"/>
        <v>-237847.19660299999</v>
      </c>
      <c r="Q21" s="213"/>
      <c r="R21" s="213">
        <f t="shared" si="2"/>
        <v>0</v>
      </c>
      <c r="S21" s="213">
        <f>+'Rate Base Support'!AG21</f>
        <v>-237847.19660299999</v>
      </c>
      <c r="T21" s="213">
        <f>+'Rate Base Support'!AH21</f>
        <v>0</v>
      </c>
      <c r="U21" s="213">
        <f t="shared" si="4"/>
        <v>0</v>
      </c>
      <c r="V21" s="68"/>
    </row>
    <row r="22" spans="1:22">
      <c r="A22" s="58" t="s">
        <v>151</v>
      </c>
      <c r="B22" s="58" t="s">
        <v>152</v>
      </c>
      <c r="C22" s="58" t="s">
        <v>177</v>
      </c>
      <c r="D22" s="58">
        <f t="shared" si="5"/>
        <v>13</v>
      </c>
      <c r="E22" s="132" t="s">
        <v>22</v>
      </c>
      <c r="F22" s="58" t="s">
        <v>184</v>
      </c>
      <c r="G22" s="58" t="s">
        <v>57</v>
      </c>
      <c r="H22" s="214">
        <f>1000*1452.44391875</f>
        <v>1452443.91875</v>
      </c>
      <c r="I22" s="214">
        <f>1000*320.802472076</f>
        <v>320802.47207600001</v>
      </c>
      <c r="J22" s="213">
        <f>+'Rate Base Support'!Y22</f>
        <v>0</v>
      </c>
      <c r="K22" s="213">
        <f t="shared" si="0"/>
        <v>320802.47207600001</v>
      </c>
      <c r="L22" s="213"/>
      <c r="M22" s="213">
        <f t="shared" si="3"/>
        <v>320802.47207600001</v>
      </c>
      <c r="N22" s="213"/>
      <c r="O22" s="213">
        <f>+'Rate Base Support'!AC22</f>
        <v>-320802.47207600001</v>
      </c>
      <c r="P22" s="213">
        <f t="shared" si="1"/>
        <v>-320802.47207600001</v>
      </c>
      <c r="Q22" s="213"/>
      <c r="R22" s="213">
        <f t="shared" si="2"/>
        <v>0</v>
      </c>
      <c r="S22" s="213">
        <f>+'Rate Base Support'!AG22</f>
        <v>-320802.47207600001</v>
      </c>
      <c r="T22" s="213">
        <f>+'Rate Base Support'!AH22</f>
        <v>0</v>
      </c>
      <c r="U22" s="213">
        <f t="shared" si="4"/>
        <v>0</v>
      </c>
      <c r="V22" s="68"/>
    </row>
    <row r="23" spans="1:22">
      <c r="A23" s="58" t="s">
        <v>151</v>
      </c>
      <c r="B23" s="58" t="s">
        <v>152</v>
      </c>
      <c r="C23" s="58" t="s">
        <v>179</v>
      </c>
      <c r="D23" s="58">
        <f t="shared" si="5"/>
        <v>14</v>
      </c>
      <c r="E23" s="132" t="s">
        <v>22</v>
      </c>
      <c r="F23" s="58" t="s">
        <v>186</v>
      </c>
      <c r="G23" s="58" t="s">
        <v>49</v>
      </c>
      <c r="H23" s="214">
        <f>1000*703.24293612</f>
        <v>703242.93611999997</v>
      </c>
      <c r="I23" s="214">
        <f>1000*46.748143753</f>
        <v>46748.143753000004</v>
      </c>
      <c r="J23" s="213">
        <f>+'Rate Base Support'!Y23</f>
        <v>0</v>
      </c>
      <c r="K23" s="213">
        <f t="shared" si="0"/>
        <v>46748.143753000004</v>
      </c>
      <c r="L23" s="213"/>
      <c r="M23" s="213">
        <f t="shared" si="3"/>
        <v>46748.143753000004</v>
      </c>
      <c r="N23" s="213"/>
      <c r="O23" s="213">
        <f>+'Rate Base Support'!AC23</f>
        <v>-46748.143753000004</v>
      </c>
      <c r="P23" s="213">
        <f t="shared" si="1"/>
        <v>-46748.143753000004</v>
      </c>
      <c r="Q23" s="213"/>
      <c r="R23" s="213">
        <f t="shared" si="2"/>
        <v>0</v>
      </c>
      <c r="S23" s="213">
        <f>+'Rate Base Support'!AG23</f>
        <v>-46748.143753000004</v>
      </c>
      <c r="T23" s="213">
        <f>+'Rate Base Support'!AH23</f>
        <v>0</v>
      </c>
      <c r="U23" s="213">
        <f t="shared" si="4"/>
        <v>0</v>
      </c>
      <c r="V23" s="68"/>
    </row>
    <row r="24" spans="1:22">
      <c r="A24" s="58" t="s">
        <v>151</v>
      </c>
      <c r="B24" s="58" t="s">
        <v>152</v>
      </c>
      <c r="C24" s="58" t="s">
        <v>181</v>
      </c>
      <c r="D24" s="58">
        <f t="shared" si="5"/>
        <v>15</v>
      </c>
      <c r="E24" s="132" t="s">
        <v>22</v>
      </c>
      <c r="F24" s="58" t="s">
        <v>188</v>
      </c>
      <c r="G24" s="58" t="s">
        <v>30</v>
      </c>
      <c r="H24" s="214">
        <f>1000*7495.623477083</f>
        <v>7495623.4770829994</v>
      </c>
      <c r="I24" s="214">
        <f>1000*555.303498502</f>
        <v>555303.498502</v>
      </c>
      <c r="J24" s="213">
        <f>+'Rate Base Support'!Y24</f>
        <v>0</v>
      </c>
      <c r="K24" s="213">
        <f t="shared" si="0"/>
        <v>555303.498502</v>
      </c>
      <c r="L24" s="213"/>
      <c r="M24" s="213">
        <f t="shared" si="3"/>
        <v>555303.498502</v>
      </c>
      <c r="N24" s="213"/>
      <c r="O24" s="213">
        <f>+'Rate Base Support'!AC24</f>
        <v>-555303.498502</v>
      </c>
      <c r="P24" s="213">
        <f t="shared" si="1"/>
        <v>-555303.498502</v>
      </c>
      <c r="Q24" s="213"/>
      <c r="R24" s="213">
        <f t="shared" si="2"/>
        <v>0</v>
      </c>
      <c r="S24" s="213">
        <f>+'Rate Base Support'!AG24</f>
        <v>-555303.498502</v>
      </c>
      <c r="T24" s="213">
        <f>+'Rate Base Support'!AH24</f>
        <v>0</v>
      </c>
      <c r="U24" s="213">
        <f t="shared" si="4"/>
        <v>0</v>
      </c>
      <c r="V24" s="68"/>
    </row>
    <row r="25" spans="1:22">
      <c r="A25" s="58" t="s">
        <v>151</v>
      </c>
      <c r="B25" s="58" t="s">
        <v>152</v>
      </c>
      <c r="C25" s="58" t="s">
        <v>183</v>
      </c>
      <c r="D25" s="58">
        <f t="shared" si="5"/>
        <v>16</v>
      </c>
      <c r="E25" s="132" t="s">
        <v>22</v>
      </c>
      <c r="F25" s="58" t="s">
        <v>192</v>
      </c>
      <c r="G25" s="58" t="s">
        <v>70</v>
      </c>
      <c r="H25" s="214">
        <f>1000*0.02848125</f>
        <v>28.481249999999999</v>
      </c>
      <c r="I25" s="214">
        <f>1000*0.006300017</f>
        <v>6.3000169999999995</v>
      </c>
      <c r="J25" s="213">
        <f>+'Rate Base Support'!Y25</f>
        <v>0</v>
      </c>
      <c r="K25" s="213">
        <f t="shared" si="0"/>
        <v>6.3000169999999995</v>
      </c>
      <c r="L25" s="213"/>
      <c r="M25" s="213">
        <f t="shared" si="3"/>
        <v>6.3000169999999995</v>
      </c>
      <c r="N25" s="213"/>
      <c r="O25" s="213">
        <f>+'Rate Base Support'!AC25</f>
        <v>-6.3000169999999995</v>
      </c>
      <c r="P25" s="213">
        <f t="shared" si="1"/>
        <v>-6.3000169999999995</v>
      </c>
      <c r="Q25" s="213"/>
      <c r="R25" s="213">
        <f t="shared" si="2"/>
        <v>0</v>
      </c>
      <c r="S25" s="213">
        <f>+'Rate Base Support'!AG25</f>
        <v>-6.3000169999999995</v>
      </c>
      <c r="T25" s="213">
        <f>+'Rate Base Support'!AH25</f>
        <v>0</v>
      </c>
      <c r="U25" s="213">
        <f t="shared" si="4"/>
        <v>0</v>
      </c>
      <c r="V25" s="68"/>
    </row>
    <row r="26" spans="1:22">
      <c r="A26" s="58" t="s">
        <v>151</v>
      </c>
      <c r="B26" s="58" t="s">
        <v>152</v>
      </c>
      <c r="C26" s="58" t="s">
        <v>185</v>
      </c>
      <c r="D26" s="58">
        <f t="shared" si="5"/>
        <v>17</v>
      </c>
      <c r="E26" s="132" t="s">
        <v>22</v>
      </c>
      <c r="F26" s="58" t="s">
        <v>196</v>
      </c>
      <c r="G26" s="58" t="s">
        <v>30</v>
      </c>
      <c r="H26" s="214">
        <f>1000*1719.411539583</f>
        <v>1719411.5395829999</v>
      </c>
      <c r="I26" s="214">
        <f>1000*127.380363517</f>
        <v>127380.36351700001</v>
      </c>
      <c r="J26" s="213">
        <f>+'Rate Base Support'!Y26</f>
        <v>0</v>
      </c>
      <c r="K26" s="213">
        <f t="shared" si="0"/>
        <v>127380.36351700001</v>
      </c>
      <c r="L26" s="213"/>
      <c r="M26" s="213">
        <f t="shared" si="3"/>
        <v>127380.36351700001</v>
      </c>
      <c r="N26" s="213"/>
      <c r="O26" s="213">
        <f>+'Rate Base Support'!AC26</f>
        <v>-127380.36351700001</v>
      </c>
      <c r="P26" s="213">
        <f t="shared" si="1"/>
        <v>-127380.36351700001</v>
      </c>
      <c r="Q26" s="213"/>
      <c r="R26" s="213">
        <f t="shared" si="2"/>
        <v>0</v>
      </c>
      <c r="S26" s="213">
        <f>+'Rate Base Support'!AG26</f>
        <v>-127380.36351700001</v>
      </c>
      <c r="T26" s="213">
        <f>+'Rate Base Support'!AH26</f>
        <v>0</v>
      </c>
      <c r="U26" s="213">
        <f t="shared" si="4"/>
        <v>0</v>
      </c>
      <c r="V26" s="68"/>
    </row>
    <row r="27" spans="1:22">
      <c r="A27" s="58" t="s">
        <v>151</v>
      </c>
      <c r="B27" s="58" t="s">
        <v>152</v>
      </c>
      <c r="C27" s="58" t="s">
        <v>187</v>
      </c>
      <c r="D27" s="58">
        <f t="shared" si="5"/>
        <v>18</v>
      </c>
      <c r="E27" s="132" t="s">
        <v>22</v>
      </c>
      <c r="F27" s="58" t="s">
        <v>198</v>
      </c>
      <c r="G27" s="58" t="s">
        <v>67</v>
      </c>
      <c r="H27" s="214">
        <f>1000*87.42705625</f>
        <v>87427.056250000009</v>
      </c>
      <c r="I27" s="214">
        <f>1000*6.201427886</f>
        <v>6201.4278860000004</v>
      </c>
      <c r="J27" s="213">
        <f>+'Rate Base Support'!Y27</f>
        <v>0</v>
      </c>
      <c r="K27" s="213">
        <f t="shared" si="0"/>
        <v>6201.4278860000004</v>
      </c>
      <c r="L27" s="213"/>
      <c r="M27" s="213">
        <f t="shared" si="3"/>
        <v>6201.4278860000004</v>
      </c>
      <c r="N27" s="213"/>
      <c r="O27" s="213">
        <f>+'Rate Base Support'!AC27</f>
        <v>-6201.4278860000004</v>
      </c>
      <c r="P27" s="213">
        <f t="shared" si="1"/>
        <v>-6201.4278860000004</v>
      </c>
      <c r="Q27" s="213"/>
      <c r="R27" s="213">
        <f t="shared" si="2"/>
        <v>0</v>
      </c>
      <c r="S27" s="213">
        <f>+'Rate Base Support'!AG27</f>
        <v>-6201.4278860000004</v>
      </c>
      <c r="T27" s="213">
        <f>+'Rate Base Support'!AH27</f>
        <v>0</v>
      </c>
      <c r="U27" s="213">
        <f t="shared" si="4"/>
        <v>0</v>
      </c>
      <c r="V27" s="68"/>
    </row>
    <row r="28" spans="1:22">
      <c r="A28" s="58" t="s">
        <v>151</v>
      </c>
      <c r="B28" s="58" t="s">
        <v>152</v>
      </c>
      <c r="C28" s="58" t="s">
        <v>189</v>
      </c>
      <c r="D28" s="58">
        <f t="shared" si="5"/>
        <v>19</v>
      </c>
      <c r="E28" s="132" t="s">
        <v>22</v>
      </c>
      <c r="F28" s="58" t="s">
        <v>200</v>
      </c>
      <c r="G28" s="58" t="s">
        <v>30</v>
      </c>
      <c r="H28" s="214">
        <f>1000*-1038.7985</f>
        <v>-1038798.5000000001</v>
      </c>
      <c r="I28" s="214">
        <f>1000*-76.958033318</f>
        <v>-76958.033318000002</v>
      </c>
      <c r="J28" s="213">
        <f>+'Rate Base Support'!Y28</f>
        <v>76958.03</v>
      </c>
      <c r="K28" s="213">
        <f t="shared" si="0"/>
        <v>-3.3180000027641654E-3</v>
      </c>
      <c r="L28" s="213"/>
      <c r="M28" s="213">
        <f t="shared" si="3"/>
        <v>-3.3180000027641654E-3</v>
      </c>
      <c r="N28" s="213"/>
      <c r="O28" s="213">
        <f>+'Rate Base Support'!AC28</f>
        <v>3.3180000027641654E-3</v>
      </c>
      <c r="P28" s="213">
        <f t="shared" si="1"/>
        <v>3.3180000027641654E-3</v>
      </c>
      <c r="Q28" s="213"/>
      <c r="R28" s="213">
        <f t="shared" si="2"/>
        <v>0</v>
      </c>
      <c r="S28" s="213">
        <f>+'Rate Base Support'!AG28</f>
        <v>3.3180000027641654E-3</v>
      </c>
      <c r="T28" s="213">
        <f>+'Rate Base Support'!AH28</f>
        <v>0</v>
      </c>
      <c r="U28" s="213">
        <f t="shared" si="4"/>
        <v>0</v>
      </c>
      <c r="V28" s="68"/>
    </row>
    <row r="29" spans="1:22">
      <c r="A29" s="58" t="s">
        <v>151</v>
      </c>
      <c r="B29" s="58" t="s">
        <v>152</v>
      </c>
      <c r="C29" s="58" t="s">
        <v>191</v>
      </c>
      <c r="D29" s="58">
        <f t="shared" si="5"/>
        <v>20</v>
      </c>
      <c r="E29" s="132" t="s">
        <v>22</v>
      </c>
      <c r="F29" s="58" t="s">
        <v>202</v>
      </c>
      <c r="G29" s="58" t="s">
        <v>30</v>
      </c>
      <c r="H29" s="214">
        <f>1000*3571.939402083</f>
        <v>3571939.4020830002</v>
      </c>
      <c r="I29" s="214">
        <f>1000*264.622476366</f>
        <v>264622.47636600002</v>
      </c>
      <c r="J29" s="213">
        <f>+'Rate Base Support'!Y29</f>
        <v>0</v>
      </c>
      <c r="K29" s="213">
        <f t="shared" si="0"/>
        <v>264622.47636600002</v>
      </c>
      <c r="L29" s="213"/>
      <c r="M29" s="213">
        <f t="shared" si="3"/>
        <v>264622.47636600002</v>
      </c>
      <c r="N29" s="213"/>
      <c r="O29" s="213">
        <f>+'Rate Base Support'!AC29</f>
        <v>-264622.47636600002</v>
      </c>
      <c r="P29" s="213">
        <f t="shared" si="1"/>
        <v>-264622.47636600002</v>
      </c>
      <c r="Q29" s="213"/>
      <c r="R29" s="213">
        <f t="shared" si="2"/>
        <v>0</v>
      </c>
      <c r="S29" s="213">
        <f>+'Rate Base Support'!AG29</f>
        <v>-264622.47636600002</v>
      </c>
      <c r="T29" s="213">
        <f>+'Rate Base Support'!AH29</f>
        <v>0</v>
      </c>
      <c r="U29" s="213">
        <f t="shared" si="4"/>
        <v>0</v>
      </c>
      <c r="V29" s="68"/>
    </row>
    <row r="30" spans="1:22">
      <c r="A30" s="58" t="s">
        <v>151</v>
      </c>
      <c r="B30" s="58" t="s">
        <v>152</v>
      </c>
      <c r="C30" s="58" t="s">
        <v>233</v>
      </c>
      <c r="D30" s="58">
        <f t="shared" si="5"/>
        <v>21</v>
      </c>
      <c r="E30" s="132" t="s">
        <v>22</v>
      </c>
      <c r="F30" s="58" t="s">
        <v>170</v>
      </c>
      <c r="G30" s="58" t="s">
        <v>30</v>
      </c>
      <c r="H30" s="214">
        <f>1000*913.088954167</f>
        <v>913088.95416700002</v>
      </c>
      <c r="I30" s="214">
        <f>1000*67.645</f>
        <v>67645</v>
      </c>
      <c r="J30" s="213">
        <f>+'Rate Base Support'!Y30</f>
        <v>0</v>
      </c>
      <c r="K30" s="213">
        <f t="shared" si="0"/>
        <v>67645</v>
      </c>
      <c r="L30" s="213"/>
      <c r="M30" s="213">
        <f t="shared" si="3"/>
        <v>67645</v>
      </c>
      <c r="N30" s="213"/>
      <c r="O30" s="213">
        <f>+'Rate Base Support'!AC30</f>
        <v>-67645</v>
      </c>
      <c r="P30" s="213">
        <f t="shared" si="1"/>
        <v>-67645</v>
      </c>
      <c r="Q30" s="213"/>
      <c r="R30" s="213">
        <f t="shared" si="2"/>
        <v>0</v>
      </c>
      <c r="S30" s="213">
        <f>+'Rate Base Support'!AG30</f>
        <v>-67645</v>
      </c>
      <c r="T30" s="213">
        <f>+'Rate Base Support'!AH30</f>
        <v>0</v>
      </c>
      <c r="U30" s="213">
        <f t="shared" si="4"/>
        <v>0</v>
      </c>
      <c r="V30" s="68"/>
    </row>
    <row r="31" spans="1:22">
      <c r="A31" s="58" t="s">
        <v>151</v>
      </c>
      <c r="B31" s="58" t="s">
        <v>152</v>
      </c>
      <c r="C31" s="58" t="s">
        <v>193</v>
      </c>
      <c r="D31" s="58">
        <f t="shared" si="5"/>
        <v>22</v>
      </c>
      <c r="E31" s="132" t="s">
        <v>22</v>
      </c>
      <c r="F31" s="58" t="s">
        <v>206</v>
      </c>
      <c r="G31" s="58" t="s">
        <v>30</v>
      </c>
      <c r="H31" s="214">
        <f>1000*295.6664375</f>
        <v>295666.4375</v>
      </c>
      <c r="I31" s="214">
        <f>1000*21.904062769</f>
        <v>21904.062769</v>
      </c>
      <c r="J31" s="213">
        <f>+'Rate Base Support'!Y31</f>
        <v>-21904</v>
      </c>
      <c r="K31" s="213">
        <f t="shared" si="0"/>
        <v>6.2769000000116648E-2</v>
      </c>
      <c r="L31" s="213"/>
      <c r="M31" s="213">
        <f t="shared" si="3"/>
        <v>6.2769000000116648E-2</v>
      </c>
      <c r="N31" s="213"/>
      <c r="O31" s="213">
        <f>+'Rate Base Support'!AC31</f>
        <v>-6.2769000000116648E-2</v>
      </c>
      <c r="P31" s="213">
        <f t="shared" si="1"/>
        <v>-6.2769000000116648E-2</v>
      </c>
      <c r="Q31" s="213"/>
      <c r="R31" s="213">
        <f t="shared" si="2"/>
        <v>0</v>
      </c>
      <c r="S31" s="213">
        <f>+'Rate Base Support'!AG31</f>
        <v>-6.2769000000116648E-2</v>
      </c>
      <c r="T31" s="213">
        <f>+'Rate Base Support'!AH31</f>
        <v>0</v>
      </c>
      <c r="U31" s="213">
        <f t="shared" si="4"/>
        <v>0</v>
      </c>
      <c r="V31" s="68"/>
    </row>
    <row r="32" spans="1:22">
      <c r="A32" s="58" t="s">
        <v>151</v>
      </c>
      <c r="B32" s="58" t="s">
        <v>152</v>
      </c>
      <c r="C32" s="58" t="s">
        <v>195</v>
      </c>
      <c r="D32" s="58">
        <f t="shared" si="5"/>
        <v>23</v>
      </c>
      <c r="E32" s="132" t="s">
        <v>22</v>
      </c>
      <c r="F32" s="58" t="s">
        <v>208</v>
      </c>
      <c r="G32" s="58" t="s">
        <v>42</v>
      </c>
      <c r="H32" s="214">
        <f>1000*3571.843470833</f>
        <v>3571843.4708330003</v>
      </c>
      <c r="I32" s="214">
        <f>1000*281.829736874</f>
        <v>281829.73687399999</v>
      </c>
      <c r="J32" s="213">
        <f>+'Rate Base Support'!Y32</f>
        <v>0</v>
      </c>
      <c r="K32" s="213">
        <f t="shared" si="0"/>
        <v>281829.73687399999</v>
      </c>
      <c r="L32" s="213"/>
      <c r="M32" s="213">
        <f t="shared" si="3"/>
        <v>281829.73687399999</v>
      </c>
      <c r="N32" s="213"/>
      <c r="O32" s="213">
        <f>+'Rate Base Support'!AC32</f>
        <v>-281829.73687399999</v>
      </c>
      <c r="P32" s="213">
        <f t="shared" si="1"/>
        <v>-281829.73687399999</v>
      </c>
      <c r="Q32" s="213"/>
      <c r="R32" s="213">
        <f t="shared" si="2"/>
        <v>0</v>
      </c>
      <c r="S32" s="213">
        <f>+'Rate Base Support'!AG32</f>
        <v>-281829.73687399999</v>
      </c>
      <c r="T32" s="213">
        <f>+'Rate Base Support'!AH32</f>
        <v>0</v>
      </c>
      <c r="U32" s="213">
        <f t="shared" si="4"/>
        <v>0</v>
      </c>
      <c r="V32" s="68"/>
    </row>
    <row r="33" spans="1:22">
      <c r="A33" s="58" t="s">
        <v>151</v>
      </c>
      <c r="B33" s="58" t="s">
        <v>152</v>
      </c>
      <c r="C33" s="58" t="s">
        <v>197</v>
      </c>
      <c r="D33" s="58">
        <f t="shared" si="5"/>
        <v>24</v>
      </c>
      <c r="E33" s="132" t="s">
        <v>22</v>
      </c>
      <c r="F33" s="58" t="s">
        <v>210</v>
      </c>
      <c r="G33" s="58" t="s">
        <v>57</v>
      </c>
      <c r="H33" s="214">
        <f>1000*716.171833333</f>
        <v>716171.83333299996</v>
      </c>
      <c r="I33" s="214">
        <f>1000*158.181456508</f>
        <v>158181.456508</v>
      </c>
      <c r="J33" s="213">
        <f>+'Rate Base Support'!Y33</f>
        <v>0</v>
      </c>
      <c r="K33" s="213">
        <f t="shared" si="0"/>
        <v>158181.456508</v>
      </c>
      <c r="L33" s="213"/>
      <c r="M33" s="213">
        <f t="shared" si="3"/>
        <v>158181.456508</v>
      </c>
      <c r="N33" s="213"/>
      <c r="O33" s="213">
        <f>+'Rate Base Support'!AC33</f>
        <v>-158181.456508</v>
      </c>
      <c r="P33" s="213">
        <f t="shared" si="1"/>
        <v>-158181.456508</v>
      </c>
      <c r="Q33" s="213"/>
      <c r="R33" s="213">
        <f t="shared" si="2"/>
        <v>0</v>
      </c>
      <c r="S33" s="213">
        <f>+'Rate Base Support'!AG33</f>
        <v>-158181.456508</v>
      </c>
      <c r="T33" s="213">
        <f>+'Rate Base Support'!AH33</f>
        <v>0</v>
      </c>
      <c r="U33" s="213">
        <f t="shared" si="4"/>
        <v>0</v>
      </c>
      <c r="V33" s="68"/>
    </row>
    <row r="34" spans="1:22">
      <c r="A34" s="58" t="s">
        <v>151</v>
      </c>
      <c r="B34" s="58" t="s">
        <v>152</v>
      </c>
      <c r="C34" s="58" t="s">
        <v>199</v>
      </c>
      <c r="D34" s="58">
        <f t="shared" si="5"/>
        <v>25</v>
      </c>
      <c r="E34" s="132" t="s">
        <v>22</v>
      </c>
      <c r="F34" s="58" t="s">
        <v>212</v>
      </c>
      <c r="G34" s="58" t="s">
        <v>76</v>
      </c>
      <c r="H34" s="214">
        <f>1000*262.658954167</f>
        <v>262658.95416700002</v>
      </c>
      <c r="I34" s="214">
        <f>1000*58.495592141</f>
        <v>58495.592141000001</v>
      </c>
      <c r="J34" s="213">
        <f>+'Rate Base Support'!Y34</f>
        <v>0</v>
      </c>
      <c r="K34" s="213">
        <f t="shared" si="0"/>
        <v>58495.592141000001</v>
      </c>
      <c r="L34" s="213"/>
      <c r="M34" s="213">
        <f t="shared" si="3"/>
        <v>58495.592141000001</v>
      </c>
      <c r="N34" s="213"/>
      <c r="O34" s="213">
        <f>+'Rate Base Support'!AC34</f>
        <v>-58495.592141000001</v>
      </c>
      <c r="P34" s="213">
        <f t="shared" si="1"/>
        <v>-58495.592141000001</v>
      </c>
      <c r="Q34" s="213"/>
      <c r="R34" s="213">
        <f t="shared" si="2"/>
        <v>0</v>
      </c>
      <c r="S34" s="213">
        <f>+'Rate Base Support'!AG34</f>
        <v>-58495.592141000001</v>
      </c>
      <c r="T34" s="213">
        <f>+'Rate Base Support'!AH34</f>
        <v>0</v>
      </c>
      <c r="U34" s="213">
        <f t="shared" si="4"/>
        <v>0</v>
      </c>
      <c r="V34" s="68"/>
    </row>
    <row r="35" spans="1:22">
      <c r="A35" s="58" t="s">
        <v>151</v>
      </c>
      <c r="B35" s="58" t="s">
        <v>152</v>
      </c>
      <c r="C35" s="58" t="s">
        <v>201</v>
      </c>
      <c r="D35" s="58">
        <f t="shared" si="5"/>
        <v>26</v>
      </c>
      <c r="E35" s="132" t="s">
        <v>22</v>
      </c>
      <c r="F35" s="58" t="s">
        <v>218</v>
      </c>
      <c r="G35" s="58" t="s">
        <v>30</v>
      </c>
      <c r="H35" s="214">
        <f>1000*1013.777</f>
        <v>1013777</v>
      </c>
      <c r="I35" s="214">
        <f>1000*75.104348094</f>
        <v>75104.348094000001</v>
      </c>
      <c r="J35" s="213">
        <f>+'Rate Base Support'!Y35</f>
        <v>0</v>
      </c>
      <c r="K35" s="213">
        <f t="shared" si="0"/>
        <v>75104.348094000001</v>
      </c>
      <c r="L35" s="213"/>
      <c r="M35" s="213">
        <f t="shared" si="3"/>
        <v>75104.348094000001</v>
      </c>
      <c r="N35" s="213"/>
      <c r="O35" s="213">
        <f>+'Rate Base Support'!AC35</f>
        <v>-75104.348094000001</v>
      </c>
      <c r="P35" s="213">
        <f t="shared" si="1"/>
        <v>-75104.348094000001</v>
      </c>
      <c r="Q35" s="213"/>
      <c r="R35" s="213">
        <f t="shared" si="2"/>
        <v>0</v>
      </c>
      <c r="S35" s="213">
        <f>+'Rate Base Support'!AG35</f>
        <v>-75104.348094000001</v>
      </c>
      <c r="T35" s="213">
        <f>+'Rate Base Support'!AH35</f>
        <v>0</v>
      </c>
      <c r="U35" s="213">
        <f t="shared" si="4"/>
        <v>0</v>
      </c>
      <c r="V35" s="68"/>
    </row>
    <row r="36" spans="1:22">
      <c r="A36" s="58" t="s">
        <v>151</v>
      </c>
      <c r="B36" s="58" t="s">
        <v>152</v>
      </c>
      <c r="C36" s="58" t="s">
        <v>203</v>
      </c>
      <c r="D36" s="58">
        <f t="shared" si="5"/>
        <v>27</v>
      </c>
      <c r="E36" s="132" t="s">
        <v>22</v>
      </c>
      <c r="F36" s="58" t="s">
        <v>220</v>
      </c>
      <c r="G36" s="58" t="s">
        <v>30</v>
      </c>
      <c r="H36" s="214">
        <f>1000*706.205458333</f>
        <v>706205.45833300008</v>
      </c>
      <c r="I36" s="214">
        <f>1000*52.318311195</f>
        <v>52318.311195000002</v>
      </c>
      <c r="J36" s="213">
        <f>+'Rate Base Support'!Y36</f>
        <v>0</v>
      </c>
      <c r="K36" s="213">
        <f t="shared" si="0"/>
        <v>52318.311195000002</v>
      </c>
      <c r="L36" s="213"/>
      <c r="M36" s="213">
        <f t="shared" si="3"/>
        <v>52318.311195000002</v>
      </c>
      <c r="N36" s="213"/>
      <c r="O36" s="213">
        <f>+'Rate Base Support'!AC36</f>
        <v>-52318.311195000002</v>
      </c>
      <c r="P36" s="213">
        <f t="shared" si="1"/>
        <v>-52318.311195000002</v>
      </c>
      <c r="Q36" s="213"/>
      <c r="R36" s="213">
        <f t="shared" si="2"/>
        <v>0</v>
      </c>
      <c r="S36" s="213">
        <f>+'Rate Base Support'!AG36</f>
        <v>-52318.311195000002</v>
      </c>
      <c r="T36" s="213">
        <f>+'Rate Base Support'!AH36</f>
        <v>0</v>
      </c>
      <c r="U36" s="213">
        <f t="shared" si="4"/>
        <v>0</v>
      </c>
      <c r="V36" s="68"/>
    </row>
    <row r="37" spans="1:22">
      <c r="A37" s="58" t="s">
        <v>151</v>
      </c>
      <c r="B37" s="58" t="s">
        <v>152</v>
      </c>
      <c r="C37" s="58" t="s">
        <v>205</v>
      </c>
      <c r="D37" s="58">
        <f t="shared" si="5"/>
        <v>28</v>
      </c>
      <c r="E37" s="132" t="s">
        <v>22</v>
      </c>
      <c r="F37" s="58" t="s">
        <v>222</v>
      </c>
      <c r="G37" s="58" t="s">
        <v>30</v>
      </c>
      <c r="H37" s="214">
        <f>1000*257.159266667</f>
        <v>257159.26666699999</v>
      </c>
      <c r="I37" s="214">
        <f>1000*19.051309192</f>
        <v>19051.309192000001</v>
      </c>
      <c r="J37" s="213">
        <f>+'Rate Base Support'!Y37</f>
        <v>-19051</v>
      </c>
      <c r="K37" s="213">
        <f t="shared" si="0"/>
        <v>0.30919200000062119</v>
      </c>
      <c r="L37" s="213"/>
      <c r="M37" s="213">
        <f t="shared" si="3"/>
        <v>0.30919200000062119</v>
      </c>
      <c r="N37" s="213"/>
      <c r="O37" s="213">
        <f>+'Rate Base Support'!AC37</f>
        <v>-0.30919200000062119</v>
      </c>
      <c r="P37" s="213">
        <f t="shared" si="1"/>
        <v>-0.30919200000062119</v>
      </c>
      <c r="Q37" s="213"/>
      <c r="R37" s="213">
        <f t="shared" si="2"/>
        <v>0</v>
      </c>
      <c r="S37" s="213">
        <f>+'Rate Base Support'!AG37</f>
        <v>-0.30919200000062119</v>
      </c>
      <c r="T37" s="213">
        <f>+'Rate Base Support'!AH37</f>
        <v>0</v>
      </c>
      <c r="U37" s="213">
        <f t="shared" si="4"/>
        <v>0</v>
      </c>
      <c r="V37" s="68"/>
    </row>
    <row r="38" spans="1:22">
      <c r="A38" s="58" t="s">
        <v>151</v>
      </c>
      <c r="B38" s="58" t="s">
        <v>152</v>
      </c>
      <c r="C38" s="58" t="s">
        <v>207</v>
      </c>
      <c r="D38" s="58">
        <f t="shared" si="5"/>
        <v>29</v>
      </c>
      <c r="E38" s="132" t="s">
        <v>22</v>
      </c>
      <c r="F38" s="58" t="s">
        <v>224</v>
      </c>
      <c r="G38" s="58" t="s">
        <v>36</v>
      </c>
      <c r="H38" s="214">
        <f>1000*1.66375</f>
        <v>1663.75</v>
      </c>
      <c r="I38" s="214">
        <f>1000*1.66375</f>
        <v>1663.75</v>
      </c>
      <c r="J38" s="213">
        <f>+'Rate Base Support'!Y38</f>
        <v>0</v>
      </c>
      <c r="K38" s="213">
        <f t="shared" si="0"/>
        <v>1663.75</v>
      </c>
      <c r="L38" s="213"/>
      <c r="M38" s="213">
        <f t="shared" si="3"/>
        <v>1663.75</v>
      </c>
      <c r="N38" s="213"/>
      <c r="O38" s="213">
        <f>+'Rate Base Support'!AC38</f>
        <v>-1663.75</v>
      </c>
      <c r="P38" s="213">
        <f t="shared" si="1"/>
        <v>-1663.75</v>
      </c>
      <c r="Q38" s="213"/>
      <c r="R38" s="213">
        <f t="shared" si="2"/>
        <v>0</v>
      </c>
      <c r="S38" s="213">
        <f>+'Rate Base Support'!AG38</f>
        <v>-1663.75</v>
      </c>
      <c r="T38" s="213">
        <f>+'Rate Base Support'!AH38</f>
        <v>0</v>
      </c>
      <c r="U38" s="213">
        <f t="shared" si="4"/>
        <v>0</v>
      </c>
      <c r="V38" s="68"/>
    </row>
    <row r="39" spans="1:22">
      <c r="A39" s="58" t="s">
        <v>151</v>
      </c>
      <c r="B39" s="58" t="s">
        <v>152</v>
      </c>
      <c r="C39" s="58" t="s">
        <v>235</v>
      </c>
      <c r="D39" s="58">
        <f t="shared" si="5"/>
        <v>30</v>
      </c>
      <c r="E39" s="132" t="s">
        <v>22</v>
      </c>
      <c r="F39" s="58" t="s">
        <v>178</v>
      </c>
      <c r="G39" s="58" t="s">
        <v>26</v>
      </c>
      <c r="H39" s="214">
        <f>1000*1314.199325</f>
        <v>1314199.325</v>
      </c>
      <c r="I39" s="214">
        <f>1000*108.968737365</f>
        <v>108968.73736499999</v>
      </c>
      <c r="J39" s="213">
        <f>+'Rate Base Support'!Y39</f>
        <v>0</v>
      </c>
      <c r="K39" s="213">
        <f t="shared" si="0"/>
        <v>108968.73736499999</v>
      </c>
      <c r="L39" s="213"/>
      <c r="M39" s="213">
        <f t="shared" si="3"/>
        <v>108968.73736499999</v>
      </c>
      <c r="N39" s="213"/>
      <c r="O39" s="213">
        <f>+'Rate Base Support'!AC39</f>
        <v>-108968.73736499999</v>
      </c>
      <c r="P39" s="213">
        <f t="shared" si="1"/>
        <v>-108968.73736499999</v>
      </c>
      <c r="Q39" s="213"/>
      <c r="R39" s="213">
        <f t="shared" si="2"/>
        <v>0</v>
      </c>
      <c r="S39" s="213">
        <f>+'Rate Base Support'!AG39</f>
        <v>-108968.73736499999</v>
      </c>
      <c r="T39" s="213">
        <f>+'Rate Base Support'!AH39</f>
        <v>0</v>
      </c>
      <c r="U39" s="213">
        <f t="shared" si="4"/>
        <v>0</v>
      </c>
      <c r="V39" s="68"/>
    </row>
    <row r="40" spans="1:22">
      <c r="A40" s="58" t="s">
        <v>151</v>
      </c>
      <c r="B40" s="58" t="s">
        <v>152</v>
      </c>
      <c r="C40" s="58" t="s">
        <v>237</v>
      </c>
      <c r="D40" s="58">
        <f t="shared" si="5"/>
        <v>31</v>
      </c>
      <c r="E40" s="132" t="s">
        <v>22</v>
      </c>
      <c r="F40" s="58" t="s">
        <v>190</v>
      </c>
      <c r="G40" s="58" t="s">
        <v>30</v>
      </c>
      <c r="H40" s="214">
        <f>1000*2179.604497917</f>
        <v>2179604.4979170002</v>
      </c>
      <c r="I40" s="214">
        <f>1000*161.473159203</f>
        <v>161473.15920299999</v>
      </c>
      <c r="J40" s="213">
        <f>+'Rate Base Support'!Y40</f>
        <v>0</v>
      </c>
      <c r="K40" s="213">
        <f t="shared" si="0"/>
        <v>161473.15920299999</v>
      </c>
      <c r="L40" s="213"/>
      <c r="M40" s="213">
        <f t="shared" si="3"/>
        <v>161473.15920299999</v>
      </c>
      <c r="N40" s="213"/>
      <c r="O40" s="213">
        <f>+'Rate Base Support'!AC40</f>
        <v>-161473.15920299999</v>
      </c>
      <c r="P40" s="213">
        <f t="shared" si="1"/>
        <v>-161473.15920299999</v>
      </c>
      <c r="Q40" s="213"/>
      <c r="R40" s="213">
        <f t="shared" si="2"/>
        <v>0</v>
      </c>
      <c r="S40" s="213">
        <f>+'Rate Base Support'!AG40</f>
        <v>-161473.15920299999</v>
      </c>
      <c r="T40" s="213">
        <f>+'Rate Base Support'!AH40</f>
        <v>0</v>
      </c>
      <c r="U40" s="213">
        <f t="shared" si="4"/>
        <v>0</v>
      </c>
      <c r="V40" s="68"/>
    </row>
    <row r="41" spans="1:22">
      <c r="A41" s="58" t="s">
        <v>151</v>
      </c>
      <c r="B41" s="58" t="s">
        <v>152</v>
      </c>
      <c r="C41" s="58" t="s">
        <v>239</v>
      </c>
      <c r="D41" s="58">
        <f t="shared" si="5"/>
        <v>32</v>
      </c>
      <c r="E41" s="132" t="s">
        <v>22</v>
      </c>
      <c r="F41" s="58" t="s">
        <v>194</v>
      </c>
      <c r="G41" s="58" t="s">
        <v>30</v>
      </c>
      <c r="H41" s="214">
        <f>1000*389.876833333</f>
        <v>389876.83333299996</v>
      </c>
      <c r="I41" s="214">
        <f>1000*28.883517188</f>
        <v>28883.517187999998</v>
      </c>
      <c r="J41" s="213">
        <f>+'Rate Base Support'!Y41</f>
        <v>0</v>
      </c>
      <c r="K41" s="213">
        <f t="shared" si="0"/>
        <v>28883.517187999998</v>
      </c>
      <c r="L41" s="213"/>
      <c r="M41" s="213">
        <f t="shared" si="3"/>
        <v>28883.517187999998</v>
      </c>
      <c r="N41" s="213"/>
      <c r="O41" s="213">
        <f>+'Rate Base Support'!AC41</f>
        <v>-28883.517187999998</v>
      </c>
      <c r="P41" s="213">
        <f t="shared" si="1"/>
        <v>-28883.517187999998</v>
      </c>
      <c r="Q41" s="213"/>
      <c r="R41" s="213">
        <f t="shared" si="2"/>
        <v>0</v>
      </c>
      <c r="S41" s="213">
        <f>+'Rate Base Support'!AG41</f>
        <v>-28883.517187999998</v>
      </c>
      <c r="T41" s="213">
        <f>+'Rate Base Support'!AH41</f>
        <v>0</v>
      </c>
      <c r="U41" s="213">
        <f t="shared" si="4"/>
        <v>0</v>
      </c>
      <c r="V41" s="68"/>
    </row>
    <row r="42" spans="1:22" ht="16.5" customHeight="1">
      <c r="A42" s="58" t="s">
        <v>151</v>
      </c>
      <c r="B42" s="58" t="s">
        <v>152</v>
      </c>
      <c r="C42" s="58" t="s">
        <v>209</v>
      </c>
      <c r="D42" s="58">
        <f t="shared" si="5"/>
        <v>33</v>
      </c>
      <c r="E42" s="67" t="s">
        <v>50</v>
      </c>
      <c r="F42" s="58" t="s">
        <v>160</v>
      </c>
      <c r="G42" s="58" t="s">
        <v>32</v>
      </c>
      <c r="H42" s="214">
        <f>1000*285.464979167</f>
        <v>285464.97916700004</v>
      </c>
      <c r="I42" s="214">
        <f>1000*60.96805989</f>
        <v>60968.059889999997</v>
      </c>
      <c r="J42" s="213">
        <f>+'Rate Base Support'!Y42</f>
        <v>0</v>
      </c>
      <c r="K42" s="213">
        <f t="shared" si="0"/>
        <v>60968.059889999997</v>
      </c>
      <c r="L42" s="213"/>
      <c r="M42" s="213">
        <f t="shared" si="3"/>
        <v>60968.059889999997</v>
      </c>
      <c r="N42" s="213"/>
      <c r="O42" s="213">
        <f>+'Rate Base Support'!AC42</f>
        <v>-60968.059889999997</v>
      </c>
      <c r="P42" s="213">
        <f t="shared" si="1"/>
        <v>-60968.059889999997</v>
      </c>
      <c r="Q42" s="213"/>
      <c r="R42" s="213">
        <f t="shared" si="2"/>
        <v>0</v>
      </c>
      <c r="S42" s="213">
        <f>+'Rate Base Support'!AG42</f>
        <v>-60968.059889999997</v>
      </c>
      <c r="T42" s="213">
        <f>+'Rate Base Support'!AH42</f>
        <v>0</v>
      </c>
      <c r="U42" s="213">
        <f t="shared" si="4"/>
        <v>0</v>
      </c>
      <c r="V42" s="68"/>
    </row>
    <row r="43" spans="1:22" ht="16.5" customHeight="1">
      <c r="A43" s="58" t="s">
        <v>151</v>
      </c>
      <c r="B43" s="58" t="s">
        <v>152</v>
      </c>
      <c r="C43" s="58" t="s">
        <v>211</v>
      </c>
      <c r="D43" s="58">
        <f t="shared" si="5"/>
        <v>34</v>
      </c>
      <c r="E43" s="67" t="s">
        <v>50</v>
      </c>
      <c r="F43" s="58" t="s">
        <v>226</v>
      </c>
      <c r="G43" s="58" t="s">
        <v>42</v>
      </c>
      <c r="H43" s="214">
        <f>1000*2069.824797917</f>
        <v>2069824.797917</v>
      </c>
      <c r="I43" s="214">
        <f>1000*163.315717202</f>
        <v>163315.717202</v>
      </c>
      <c r="J43" s="213">
        <f>+'Rate Base Support'!Y43</f>
        <v>0</v>
      </c>
      <c r="K43" s="213">
        <f t="shared" si="0"/>
        <v>163315.717202</v>
      </c>
      <c r="L43" s="213"/>
      <c r="M43" s="213">
        <f t="shared" si="3"/>
        <v>163315.717202</v>
      </c>
      <c r="N43" s="213"/>
      <c r="O43" s="213">
        <f>+'Rate Base Support'!AC43</f>
        <v>-163315.717202</v>
      </c>
      <c r="P43" s="213">
        <f t="shared" si="1"/>
        <v>-163315.717202</v>
      </c>
      <c r="Q43" s="213"/>
      <c r="R43" s="213">
        <f t="shared" si="2"/>
        <v>0</v>
      </c>
      <c r="S43" s="213">
        <f>+'Rate Base Support'!AG43</f>
        <v>-163315.717202</v>
      </c>
      <c r="T43" s="213">
        <f>+'Rate Base Support'!AH43</f>
        <v>0</v>
      </c>
      <c r="U43" s="213">
        <f t="shared" si="4"/>
        <v>0</v>
      </c>
      <c r="V43" s="68"/>
    </row>
    <row r="44" spans="1:22" ht="16.5" customHeight="1">
      <c r="A44" s="58" t="s">
        <v>151</v>
      </c>
      <c r="B44" s="58" t="s">
        <v>152</v>
      </c>
      <c r="C44" s="58" t="s">
        <v>213</v>
      </c>
      <c r="D44" s="58">
        <f t="shared" si="5"/>
        <v>35</v>
      </c>
      <c r="E44" s="67" t="s">
        <v>50</v>
      </c>
      <c r="F44" s="58" t="s">
        <v>228</v>
      </c>
      <c r="G44" s="58" t="s">
        <v>32</v>
      </c>
      <c r="H44" s="214">
        <f>1000*90.373333333</f>
        <v>90373.333333000002</v>
      </c>
      <c r="I44" s="214">
        <f>1000*19.301445716</f>
        <v>19301.445715999998</v>
      </c>
      <c r="J44" s="213">
        <f>+'Rate Base Support'!Y44</f>
        <v>0</v>
      </c>
      <c r="K44" s="213">
        <f t="shared" si="0"/>
        <v>19301.445715999998</v>
      </c>
      <c r="L44" s="213"/>
      <c r="M44" s="213">
        <f t="shared" si="3"/>
        <v>19301.445715999998</v>
      </c>
      <c r="N44" s="213"/>
      <c r="O44" s="213">
        <f>+'Rate Base Support'!AC44</f>
        <v>-19301.445715999998</v>
      </c>
      <c r="P44" s="213">
        <f t="shared" si="1"/>
        <v>-19301.445715999998</v>
      </c>
      <c r="Q44" s="213"/>
      <c r="R44" s="213">
        <f t="shared" si="2"/>
        <v>0</v>
      </c>
      <c r="S44" s="213">
        <f>+'Rate Base Support'!AG44</f>
        <v>-19301.445715999998</v>
      </c>
      <c r="T44" s="213">
        <f>+'Rate Base Support'!AH44</f>
        <v>0</v>
      </c>
      <c r="U44" s="213">
        <f t="shared" si="4"/>
        <v>0</v>
      </c>
      <c r="V44" s="68"/>
    </row>
    <row r="45" spans="1:22">
      <c r="A45" s="58" t="s">
        <v>151</v>
      </c>
      <c r="B45" s="58" t="s">
        <v>152</v>
      </c>
      <c r="C45" s="58" t="s">
        <v>215</v>
      </c>
      <c r="D45" s="58">
        <f t="shared" si="5"/>
        <v>36</v>
      </c>
      <c r="E45" s="67" t="s">
        <v>50</v>
      </c>
      <c r="F45" s="58" t="s">
        <v>230</v>
      </c>
      <c r="G45" s="58" t="s">
        <v>32</v>
      </c>
      <c r="H45" s="214">
        <f>1000*76.37725</f>
        <v>76377.25</v>
      </c>
      <c r="I45" s="214">
        <f>1000*16.31223825</f>
        <v>16312.23825</v>
      </c>
      <c r="J45" s="213">
        <f>+'Rate Base Support'!Y45</f>
        <v>0</v>
      </c>
      <c r="K45" s="213">
        <f t="shared" si="0"/>
        <v>16312.23825</v>
      </c>
      <c r="L45" s="213"/>
      <c r="M45" s="213">
        <f t="shared" si="3"/>
        <v>16312.23825</v>
      </c>
      <c r="N45" s="213"/>
      <c r="O45" s="213">
        <f>+'Rate Base Support'!AC45</f>
        <v>-16312.23825</v>
      </c>
      <c r="P45" s="213">
        <f t="shared" si="1"/>
        <v>-16312.23825</v>
      </c>
      <c r="Q45" s="213"/>
      <c r="R45" s="213">
        <f t="shared" si="2"/>
        <v>0</v>
      </c>
      <c r="S45" s="213">
        <f>+'Rate Base Support'!AG45</f>
        <v>-16312.23825</v>
      </c>
      <c r="T45" s="213">
        <f>+'Rate Base Support'!AH45</f>
        <v>0</v>
      </c>
      <c r="U45" s="213">
        <f t="shared" si="4"/>
        <v>0</v>
      </c>
      <c r="V45" s="68"/>
    </row>
    <row r="46" spans="1:22">
      <c r="A46" s="58" t="s">
        <v>151</v>
      </c>
      <c r="B46" s="58" t="s">
        <v>152</v>
      </c>
      <c r="C46" s="58" t="s">
        <v>217</v>
      </c>
      <c r="D46" s="58">
        <f t="shared" si="5"/>
        <v>37</v>
      </c>
      <c r="E46" s="67" t="s">
        <v>50</v>
      </c>
      <c r="F46" s="58" t="s">
        <v>232</v>
      </c>
      <c r="G46" s="58" t="s">
        <v>42</v>
      </c>
      <c r="H46" s="214">
        <f>1000*-30.437125</f>
        <v>-30437.125</v>
      </c>
      <c r="I46" s="214">
        <f>1000*-2.401585344</f>
        <v>-2401.5853440000001</v>
      </c>
      <c r="J46" s="213">
        <f>+'Rate Base Support'!Y46</f>
        <v>2394</v>
      </c>
      <c r="K46" s="213">
        <f t="shared" si="0"/>
        <v>-7.5853440000000774</v>
      </c>
      <c r="L46" s="213"/>
      <c r="M46" s="213">
        <f t="shared" si="3"/>
        <v>-7.5853440000000774</v>
      </c>
      <c r="N46" s="213"/>
      <c r="O46" s="213">
        <f>+'Rate Base Support'!AC46</f>
        <v>7.5853440000000774</v>
      </c>
      <c r="P46" s="213">
        <f t="shared" si="1"/>
        <v>7.5853440000000774</v>
      </c>
      <c r="Q46" s="213"/>
      <c r="R46" s="213">
        <f t="shared" si="2"/>
        <v>0</v>
      </c>
      <c r="S46" s="213">
        <f>+'Rate Base Support'!AG46</f>
        <v>7.5853440000000774</v>
      </c>
      <c r="T46" s="213">
        <f>+'Rate Base Support'!AH46</f>
        <v>0</v>
      </c>
      <c r="U46" s="213">
        <f t="shared" si="4"/>
        <v>0</v>
      </c>
      <c r="V46" s="68"/>
    </row>
    <row r="47" spans="1:22">
      <c r="A47" s="58" t="s">
        <v>151</v>
      </c>
      <c r="B47" s="58" t="s">
        <v>152</v>
      </c>
      <c r="C47" s="58" t="s">
        <v>219</v>
      </c>
      <c r="D47" s="58">
        <f t="shared" si="5"/>
        <v>38</v>
      </c>
      <c r="E47" s="67" t="s">
        <v>50</v>
      </c>
      <c r="F47" s="58" t="s">
        <v>234</v>
      </c>
      <c r="G47" s="58" t="s">
        <v>32</v>
      </c>
      <c r="H47" s="214">
        <f>1000*-59.624541667</f>
        <v>-59624.541667000005</v>
      </c>
      <c r="I47" s="214">
        <f>1000*-12.734285788</f>
        <v>-12734.285787999999</v>
      </c>
      <c r="J47" s="213">
        <f>+'Rate Base Support'!Y47</f>
        <v>0</v>
      </c>
      <c r="K47" s="213">
        <f t="shared" si="0"/>
        <v>-12734.285787999999</v>
      </c>
      <c r="L47" s="213"/>
      <c r="M47" s="213">
        <f t="shared" si="3"/>
        <v>-12734.285787999999</v>
      </c>
      <c r="N47" s="213"/>
      <c r="O47" s="213">
        <f>+'Rate Base Support'!AC47</f>
        <v>12734.285787999999</v>
      </c>
      <c r="P47" s="213">
        <f t="shared" si="1"/>
        <v>12734.285787999999</v>
      </c>
      <c r="Q47" s="213"/>
      <c r="R47" s="213">
        <f t="shared" si="2"/>
        <v>0</v>
      </c>
      <c r="S47" s="213">
        <f>+'Rate Base Support'!AG47</f>
        <v>12734.285787999999</v>
      </c>
      <c r="T47" s="213">
        <f>+'Rate Base Support'!AH47</f>
        <v>0</v>
      </c>
      <c r="U47" s="213">
        <f t="shared" si="4"/>
        <v>0</v>
      </c>
      <c r="V47" s="68"/>
    </row>
    <row r="48" spans="1:22">
      <c r="A48" s="58" t="s">
        <v>151</v>
      </c>
      <c r="B48" s="58" t="s">
        <v>152</v>
      </c>
      <c r="C48" s="58" t="s">
        <v>221</v>
      </c>
      <c r="D48" s="58">
        <f t="shared" si="5"/>
        <v>39</v>
      </c>
      <c r="E48" s="67" t="s">
        <v>50</v>
      </c>
      <c r="F48" s="58" t="s">
        <v>236</v>
      </c>
      <c r="G48" s="58" t="s">
        <v>32</v>
      </c>
      <c r="H48" s="214">
        <f>1000*8.7245</f>
        <v>8724.5</v>
      </c>
      <c r="I48" s="214">
        <f>1000*1.863331327</f>
        <v>1863.3313270000001</v>
      </c>
      <c r="J48" s="213">
        <f>+'Rate Base Support'!Y48</f>
        <v>0</v>
      </c>
      <c r="K48" s="213">
        <f t="shared" si="0"/>
        <v>1863.3313270000001</v>
      </c>
      <c r="L48" s="213"/>
      <c r="M48" s="213">
        <f t="shared" si="3"/>
        <v>1863.3313270000001</v>
      </c>
      <c r="N48" s="213"/>
      <c r="O48" s="213">
        <f>+'Rate Base Support'!AC48</f>
        <v>-1863.3313270000001</v>
      </c>
      <c r="P48" s="213">
        <f t="shared" si="1"/>
        <v>-1863.3313270000001</v>
      </c>
      <c r="Q48" s="213"/>
      <c r="R48" s="213">
        <f t="shared" si="2"/>
        <v>0</v>
      </c>
      <c r="S48" s="213">
        <f>+'Rate Base Support'!AG48</f>
        <v>-1863.3313270000001</v>
      </c>
      <c r="T48" s="213">
        <f>+'Rate Base Support'!AH48</f>
        <v>0</v>
      </c>
      <c r="U48" s="213">
        <f t="shared" si="4"/>
        <v>0</v>
      </c>
      <c r="V48" s="68"/>
    </row>
    <row r="49" spans="1:22">
      <c r="A49" s="58" t="s">
        <v>151</v>
      </c>
      <c r="B49" s="58" t="s">
        <v>152</v>
      </c>
      <c r="C49" s="58" t="s">
        <v>223</v>
      </c>
      <c r="D49" s="58">
        <f t="shared" si="5"/>
        <v>40</v>
      </c>
      <c r="E49" s="67" t="s">
        <v>50</v>
      </c>
      <c r="F49" s="58" t="s">
        <v>238</v>
      </c>
      <c r="G49" s="58" t="s">
        <v>32</v>
      </c>
      <c r="H49" s="214">
        <f>1000*12.645791667</f>
        <v>12645.791667</v>
      </c>
      <c r="I49" s="214">
        <f>1000*2.700819505</f>
        <v>2700.8195049999999</v>
      </c>
      <c r="J49" s="213">
        <f>+'Rate Base Support'!Y49</f>
        <v>0</v>
      </c>
      <c r="K49" s="213">
        <f t="shared" si="0"/>
        <v>2700.8195049999999</v>
      </c>
      <c r="L49" s="213"/>
      <c r="M49" s="213">
        <f t="shared" si="3"/>
        <v>2700.8195049999999</v>
      </c>
      <c r="N49" s="213"/>
      <c r="O49" s="213">
        <f>+'Rate Base Support'!AC49</f>
        <v>-2700.8195049999999</v>
      </c>
      <c r="P49" s="213">
        <f t="shared" si="1"/>
        <v>-2700.8195049999999</v>
      </c>
      <c r="Q49" s="213"/>
      <c r="R49" s="213">
        <f t="shared" si="2"/>
        <v>0</v>
      </c>
      <c r="S49" s="213">
        <f>+'Rate Base Support'!AG49</f>
        <v>-2700.8195049999999</v>
      </c>
      <c r="T49" s="213">
        <f>+'Rate Base Support'!AH49</f>
        <v>0</v>
      </c>
      <c r="U49" s="213">
        <f t="shared" si="4"/>
        <v>0</v>
      </c>
      <c r="V49" s="68"/>
    </row>
    <row r="50" spans="1:22">
      <c r="A50" s="58" t="s">
        <v>151</v>
      </c>
      <c r="B50" s="58" t="s">
        <v>152</v>
      </c>
      <c r="C50" s="58" t="s">
        <v>225</v>
      </c>
      <c r="D50" s="58">
        <f t="shared" si="5"/>
        <v>41</v>
      </c>
      <c r="E50" s="67" t="s">
        <v>50</v>
      </c>
      <c r="F50" s="58" t="s">
        <v>240</v>
      </c>
      <c r="G50" s="58" t="s">
        <v>32</v>
      </c>
      <c r="H50" s="214">
        <f>1000*84.4315</f>
        <v>84431.5</v>
      </c>
      <c r="I50" s="214">
        <f>1000*18.032421223</f>
        <v>18032.421223000001</v>
      </c>
      <c r="J50" s="213">
        <f>+'Rate Base Support'!Y50</f>
        <v>0</v>
      </c>
      <c r="K50" s="213">
        <f t="shared" si="0"/>
        <v>18032.421223000001</v>
      </c>
      <c r="L50" s="213"/>
      <c r="M50" s="213">
        <f t="shared" si="3"/>
        <v>18032.421223000001</v>
      </c>
      <c r="N50" s="213"/>
      <c r="O50" s="213">
        <f>+'Rate Base Support'!AC50</f>
        <v>-18032.421223000001</v>
      </c>
      <c r="P50" s="213">
        <f t="shared" si="1"/>
        <v>-18032.421223000001</v>
      </c>
      <c r="Q50" s="213"/>
      <c r="R50" s="213">
        <f t="shared" si="2"/>
        <v>0</v>
      </c>
      <c r="S50" s="213">
        <f>+'Rate Base Support'!AG50</f>
        <v>-18032.421223000001</v>
      </c>
      <c r="T50" s="213">
        <f>+'Rate Base Support'!AH50</f>
        <v>0</v>
      </c>
      <c r="U50" s="213">
        <f t="shared" si="4"/>
        <v>0</v>
      </c>
      <c r="V50" s="68"/>
    </row>
    <row r="51" spans="1:22">
      <c r="A51" s="58" t="s">
        <v>151</v>
      </c>
      <c r="B51" s="58" t="s">
        <v>152</v>
      </c>
      <c r="C51" s="58" t="s">
        <v>227</v>
      </c>
      <c r="D51" s="58">
        <f t="shared" si="5"/>
        <v>42</v>
      </c>
      <c r="E51" s="67" t="s">
        <v>50</v>
      </c>
      <c r="F51" s="58" t="s">
        <v>242</v>
      </c>
      <c r="G51" s="58" t="s">
        <v>32</v>
      </c>
      <c r="H51" s="214">
        <f>1000*825.139666667</f>
        <v>825139.66666700004</v>
      </c>
      <c r="I51" s="214">
        <f>1000*176.228848673</f>
        <v>176228.848673</v>
      </c>
      <c r="J51" s="213">
        <f>+'Rate Base Support'!Y51</f>
        <v>0</v>
      </c>
      <c r="K51" s="213">
        <f t="shared" si="0"/>
        <v>176228.848673</v>
      </c>
      <c r="L51" s="213"/>
      <c r="M51" s="213">
        <f t="shared" si="3"/>
        <v>176228.848673</v>
      </c>
      <c r="N51" s="213"/>
      <c r="O51" s="213">
        <f>+'Rate Base Support'!AC51</f>
        <v>-176228.848673</v>
      </c>
      <c r="P51" s="213">
        <f t="shared" si="1"/>
        <v>-176228.848673</v>
      </c>
      <c r="Q51" s="213"/>
      <c r="R51" s="213">
        <f t="shared" si="2"/>
        <v>0</v>
      </c>
      <c r="S51" s="213">
        <f>+'Rate Base Support'!AG51</f>
        <v>-176228.848673</v>
      </c>
      <c r="T51" s="213">
        <f>+'Rate Base Support'!AH51</f>
        <v>0</v>
      </c>
      <c r="U51" s="213">
        <f t="shared" si="4"/>
        <v>0</v>
      </c>
      <c r="V51" s="68"/>
    </row>
    <row r="52" spans="1:22">
      <c r="A52" s="58" t="s">
        <v>151</v>
      </c>
      <c r="B52" s="58" t="s">
        <v>152</v>
      </c>
      <c r="C52" s="58" t="s">
        <v>229</v>
      </c>
      <c r="D52" s="58">
        <f t="shared" si="5"/>
        <v>43</v>
      </c>
      <c r="E52" s="67" t="s">
        <v>50</v>
      </c>
      <c r="F52" s="58" t="s">
        <v>247</v>
      </c>
      <c r="G52" s="58" t="s">
        <v>32</v>
      </c>
      <c r="H52" s="214">
        <f>1000*-8.180708333</f>
        <v>-8180.7083330000005</v>
      </c>
      <c r="I52" s="214">
        <f>1000*-1.747191256</f>
        <v>-1747.1912560000001</v>
      </c>
      <c r="J52" s="213">
        <f>+'Rate Base Support'!Y52</f>
        <v>0</v>
      </c>
      <c r="K52" s="213">
        <f t="shared" si="0"/>
        <v>-1747.1912560000001</v>
      </c>
      <c r="L52" s="213"/>
      <c r="M52" s="213">
        <f t="shared" si="3"/>
        <v>-1747.1912560000001</v>
      </c>
      <c r="N52" s="213"/>
      <c r="O52" s="213">
        <f>+'Rate Base Support'!AC52</f>
        <v>1747.1912560000001</v>
      </c>
      <c r="P52" s="213">
        <f t="shared" si="1"/>
        <v>1747.1912560000001</v>
      </c>
      <c r="Q52" s="213"/>
      <c r="R52" s="213">
        <f t="shared" si="2"/>
        <v>0</v>
      </c>
      <c r="S52" s="213">
        <f>+'Rate Base Support'!AG52</f>
        <v>1747.1912560000001</v>
      </c>
      <c r="T52" s="213">
        <f>+'Rate Base Support'!AH52</f>
        <v>0</v>
      </c>
      <c r="U52" s="213">
        <f t="shared" si="4"/>
        <v>0</v>
      </c>
      <c r="V52" s="68"/>
    </row>
    <row r="53" spans="1:22">
      <c r="A53" s="58" t="s">
        <v>151</v>
      </c>
      <c r="B53" s="58" t="s">
        <v>152</v>
      </c>
      <c r="C53" s="58" t="s">
        <v>231</v>
      </c>
      <c r="D53" s="58">
        <f t="shared" si="5"/>
        <v>44</v>
      </c>
      <c r="E53" s="132" t="s">
        <v>244</v>
      </c>
      <c r="F53" s="58" t="s">
        <v>245</v>
      </c>
      <c r="G53" s="58" t="s">
        <v>32</v>
      </c>
      <c r="H53" s="214">
        <f>1000*-1135.29225</f>
        <v>-1135292.25</v>
      </c>
      <c r="I53" s="214">
        <f>1000*-242.469552983</f>
        <v>-242469.552983</v>
      </c>
      <c r="J53" s="213">
        <f>+'Rate Base Support'!Y53</f>
        <v>0</v>
      </c>
      <c r="K53" s="213">
        <f t="shared" si="0"/>
        <v>-242469.552983</v>
      </c>
      <c r="L53" s="213"/>
      <c r="M53" s="213">
        <f t="shared" si="3"/>
        <v>-242469.552983</v>
      </c>
      <c r="N53" s="213"/>
      <c r="O53" s="213">
        <f>+'Rate Base Support'!AC53</f>
        <v>0</v>
      </c>
      <c r="P53" s="213">
        <f t="shared" si="1"/>
        <v>0</v>
      </c>
      <c r="Q53" s="213"/>
      <c r="R53" s="213">
        <f t="shared" si="2"/>
        <v>-242470</v>
      </c>
      <c r="S53" s="213">
        <f>+'Rate Base Support'!AG53</f>
        <v>0</v>
      </c>
      <c r="T53" s="213">
        <f>+'Rate Base Support'!AH53</f>
        <v>-242470</v>
      </c>
      <c r="U53" s="213">
        <f t="shared" ref="U53" si="6">ROUND(+R53-T53,0)</f>
        <v>0</v>
      </c>
      <c r="V53" s="68"/>
    </row>
    <row r="54" spans="1:22">
      <c r="A54" s="58" t="s">
        <v>151</v>
      </c>
      <c r="B54" s="58" t="s">
        <v>152</v>
      </c>
      <c r="C54" s="58" t="s">
        <v>241</v>
      </c>
      <c r="D54" s="58">
        <f t="shared" si="5"/>
        <v>45</v>
      </c>
      <c r="E54" s="132" t="s">
        <v>58</v>
      </c>
      <c r="F54" s="58" t="s">
        <v>204</v>
      </c>
      <c r="G54" s="58" t="s">
        <v>26</v>
      </c>
      <c r="H54" s="214">
        <f>1000*19.338322917</f>
        <v>19338.322916999998</v>
      </c>
      <c r="I54" s="214">
        <f>1000*1.603465008</f>
        <v>1603.4650079999999</v>
      </c>
      <c r="J54" s="213">
        <f>+'Rate Base Support'!Y54</f>
        <v>0</v>
      </c>
      <c r="K54" s="213">
        <f t="shared" si="0"/>
        <v>1603.4650079999999</v>
      </c>
      <c r="L54" s="213"/>
      <c r="M54" s="213">
        <f t="shared" si="3"/>
        <v>1603.4650079999999</v>
      </c>
      <c r="N54" s="213"/>
      <c r="O54" s="213">
        <f>+'Rate Base Support'!AC54</f>
        <v>0</v>
      </c>
      <c r="P54" s="213">
        <f t="shared" si="1"/>
        <v>0</v>
      </c>
      <c r="Q54" s="213"/>
      <c r="R54" s="213">
        <f t="shared" si="2"/>
        <v>1603</v>
      </c>
      <c r="S54" s="213">
        <f>+'Rate Base Support'!AG54</f>
        <v>0</v>
      </c>
      <c r="T54" s="213">
        <f>+'Rate Base Support'!AH54</f>
        <v>0</v>
      </c>
      <c r="U54" s="213">
        <f t="shared" si="4"/>
        <v>1603</v>
      </c>
      <c r="V54" s="68"/>
    </row>
    <row r="55" spans="1:22">
      <c r="A55" s="58" t="s">
        <v>151</v>
      </c>
      <c r="B55" s="58" t="s">
        <v>152</v>
      </c>
      <c r="C55" s="58" t="s">
        <v>243</v>
      </c>
      <c r="D55" s="58">
        <f t="shared" si="5"/>
        <v>46</v>
      </c>
      <c r="E55" s="132" t="s">
        <v>58</v>
      </c>
      <c r="F55" s="58" t="s">
        <v>214</v>
      </c>
      <c r="G55" s="58" t="s">
        <v>70</v>
      </c>
      <c r="H55" s="214">
        <f>1000*607.430791667</f>
        <v>607430.79166700004</v>
      </c>
      <c r="I55" s="214">
        <f>1000*134.362926361</f>
        <v>134362.92636100002</v>
      </c>
      <c r="J55" s="213">
        <f>+'Rate Base Support'!Y55</f>
        <v>-134363</v>
      </c>
      <c r="K55" s="213">
        <f t="shared" si="0"/>
        <v>-7.3638999980175868E-2</v>
      </c>
      <c r="L55" s="213"/>
      <c r="M55" s="213">
        <f t="shared" si="3"/>
        <v>-7.3638999980175868E-2</v>
      </c>
      <c r="N55" s="213"/>
      <c r="O55" s="213">
        <f>+'Rate Base Support'!AC55</f>
        <v>0</v>
      </c>
      <c r="P55" s="213">
        <f t="shared" si="1"/>
        <v>0</v>
      </c>
      <c r="Q55" s="213"/>
      <c r="R55" s="213">
        <f t="shared" si="2"/>
        <v>0</v>
      </c>
      <c r="S55" s="213">
        <f>+'Rate Base Support'!AG55</f>
        <v>0</v>
      </c>
      <c r="T55" s="213">
        <f>+'Rate Base Support'!AH55</f>
        <v>0</v>
      </c>
      <c r="U55" s="213">
        <f t="shared" ref="U55" si="7">ROUND(+R55-T55,0)</f>
        <v>0</v>
      </c>
      <c r="V55" s="68"/>
    </row>
    <row r="56" spans="1:22">
      <c r="A56" s="58" t="s">
        <v>151</v>
      </c>
      <c r="B56" s="58" t="s">
        <v>152</v>
      </c>
      <c r="C56" s="58" t="s">
        <v>246</v>
      </c>
      <c r="D56" s="58">
        <f t="shared" si="5"/>
        <v>47</v>
      </c>
      <c r="E56" s="132" t="s">
        <v>58</v>
      </c>
      <c r="F56" s="58" t="s">
        <v>216</v>
      </c>
      <c r="G56" s="58" t="s">
        <v>36</v>
      </c>
      <c r="H56" s="214">
        <f>1000*43.33531875</f>
        <v>43335.318749999999</v>
      </c>
      <c r="I56" s="214">
        <f>1000*43.33531875</f>
        <v>43335.318749999999</v>
      </c>
      <c r="J56" s="213">
        <f>+'Rate Base Support'!Y56</f>
        <v>-43335</v>
      </c>
      <c r="K56" s="213">
        <f t="shared" si="0"/>
        <v>0.31874999999854481</v>
      </c>
      <c r="L56" s="213"/>
      <c r="M56" s="213">
        <f t="shared" si="3"/>
        <v>0.31874999999854481</v>
      </c>
      <c r="N56" s="213"/>
      <c r="O56" s="213">
        <f>+'Rate Base Support'!AC56</f>
        <v>0</v>
      </c>
      <c r="P56" s="213">
        <f t="shared" si="1"/>
        <v>0</v>
      </c>
      <c r="Q56" s="213"/>
      <c r="R56" s="213">
        <f t="shared" si="2"/>
        <v>0</v>
      </c>
      <c r="S56" s="213">
        <f>+'Rate Base Support'!AG56</f>
        <v>0</v>
      </c>
      <c r="T56" s="213">
        <f>+'Rate Base Support'!AH56</f>
        <v>0</v>
      </c>
      <c r="U56" s="213">
        <f t="shared" si="4"/>
        <v>0</v>
      </c>
      <c r="V56" s="68"/>
    </row>
    <row r="57" spans="1:22">
      <c r="A57" s="192" t="s">
        <v>248</v>
      </c>
      <c r="B57" s="58"/>
      <c r="C57" s="58"/>
      <c r="D57" s="58">
        <f t="shared" si="5"/>
        <v>48</v>
      </c>
      <c r="E57" s="132" t="s">
        <v>58</v>
      </c>
      <c r="F57" s="60" t="s">
        <v>585</v>
      </c>
      <c r="G57" s="58"/>
      <c r="H57" s="214"/>
      <c r="I57" s="214"/>
      <c r="J57" s="213">
        <f>+'Rate Base Support'!Y57</f>
        <v>1600912</v>
      </c>
      <c r="K57" s="213">
        <f t="shared" si="0"/>
        <v>1600912</v>
      </c>
      <c r="L57" s="213"/>
      <c r="M57" s="213">
        <f t="shared" si="3"/>
        <v>1600912</v>
      </c>
      <c r="N57" s="213"/>
      <c r="O57" s="213">
        <f>+'Rate Base Support'!AC57</f>
        <v>0</v>
      </c>
      <c r="P57" s="213">
        <f t="shared" si="1"/>
        <v>0</v>
      </c>
      <c r="Q57" s="213"/>
      <c r="R57" s="213">
        <f t="shared" si="2"/>
        <v>1600912</v>
      </c>
      <c r="S57" s="213">
        <f>+'Rate Base Support'!AG57</f>
        <v>0</v>
      </c>
      <c r="T57" s="213">
        <f>+'Rate Base Support'!AH57</f>
        <v>1600912</v>
      </c>
      <c r="U57" s="213">
        <f t="shared" si="4"/>
        <v>0</v>
      </c>
      <c r="V57" s="68"/>
    </row>
    <row r="58" spans="1:22" ht="20.25" customHeight="1">
      <c r="A58" s="63" t="s">
        <v>250</v>
      </c>
      <c r="B58" s="58"/>
      <c r="C58" s="63"/>
      <c r="D58" s="58">
        <f t="shared" si="5"/>
        <v>49</v>
      </c>
      <c r="F58" s="202" t="s">
        <v>548</v>
      </c>
      <c r="G58" s="63"/>
      <c r="H58" s="215"/>
      <c r="I58" s="215">
        <f t="shared" ref="I58:N58" si="8">SUM(I10:I57)</f>
        <v>5165174.1716149999</v>
      </c>
      <c r="J58" s="215">
        <f t="shared" si="8"/>
        <v>1112209.0699999998</v>
      </c>
      <c r="K58" s="215">
        <f t="shared" si="8"/>
        <v>6277383.2416150011</v>
      </c>
      <c r="L58" s="215">
        <f t="shared" si="8"/>
        <v>0</v>
      </c>
      <c r="M58" s="215">
        <f t="shared" si="8"/>
        <v>6277383.2416150011</v>
      </c>
      <c r="N58" s="215">
        <f t="shared" si="8"/>
        <v>0</v>
      </c>
      <c r="O58" s="215">
        <f>SUM(O10:O57)</f>
        <v>-4917337.0844790014</v>
      </c>
      <c r="P58" s="215">
        <f>SUM(P10:P57)</f>
        <v>-4917337.0844790014</v>
      </c>
      <c r="Q58" s="215"/>
      <c r="R58" s="215">
        <f>SUM(R10:R57)</f>
        <v>1360045</v>
      </c>
      <c r="S58" s="215">
        <f>SUM(S10:S57)</f>
        <v>-4917337.0844790014</v>
      </c>
      <c r="T58" s="215">
        <f>SUM(T10:T57)</f>
        <v>1358442</v>
      </c>
      <c r="U58" s="215">
        <f>SUM(U10:U57)</f>
        <v>1603</v>
      </c>
      <c r="V58" s="68"/>
    </row>
    <row r="59" spans="1:22">
      <c r="A59" s="58" t="s">
        <v>251</v>
      </c>
      <c r="B59" s="58" t="s">
        <v>252</v>
      </c>
      <c r="C59" s="58" t="s">
        <v>253</v>
      </c>
      <c r="D59" s="58">
        <f t="shared" si="5"/>
        <v>50</v>
      </c>
      <c r="E59" s="132" t="s">
        <v>22</v>
      </c>
      <c r="F59" s="58" t="s">
        <v>254</v>
      </c>
      <c r="G59" s="58" t="s">
        <v>30</v>
      </c>
      <c r="H59" s="214">
        <f>1000*-5528.011358333</f>
        <v>-5528011.358333</v>
      </c>
      <c r="I59" s="214">
        <f>1000*-409.535518483</f>
        <v>-409535.51848299999</v>
      </c>
      <c r="J59" s="213">
        <f>+'Rate Base Support'!Y59</f>
        <v>0</v>
      </c>
      <c r="K59" s="213">
        <f>+J59+I59</f>
        <v>-409535.51848299999</v>
      </c>
      <c r="L59" s="213"/>
      <c r="M59" s="213">
        <f t="shared" si="3"/>
        <v>-409535.51848299999</v>
      </c>
      <c r="N59" s="213"/>
      <c r="O59" s="213">
        <f>+'Rate Base Support'!AC59</f>
        <v>409536</v>
      </c>
      <c r="P59" s="213">
        <f>+O59+N59</f>
        <v>409536</v>
      </c>
      <c r="Q59" s="213"/>
      <c r="R59" s="213">
        <f t="shared" ref="R59:R60" si="9">ROUND(+P59+K59,0)</f>
        <v>0</v>
      </c>
      <c r="S59" s="213">
        <f>+'Rate Base Support'!AG59</f>
        <v>409536</v>
      </c>
      <c r="T59" s="213">
        <f>+'Rate Base Support'!AH59</f>
        <v>0</v>
      </c>
      <c r="U59" s="213">
        <f t="shared" ref="U59:U62" si="10">ROUND(+R59-T59,0)</f>
        <v>0</v>
      </c>
      <c r="V59" s="68"/>
    </row>
    <row r="60" spans="1:22">
      <c r="A60" s="58">
        <v>282</v>
      </c>
      <c r="B60" s="58"/>
      <c r="C60" s="58"/>
      <c r="D60" s="58">
        <f t="shared" si="5"/>
        <v>51</v>
      </c>
      <c r="E60" s="132" t="s">
        <v>244</v>
      </c>
      <c r="F60" s="60" t="s">
        <v>132</v>
      </c>
      <c r="G60" s="58"/>
      <c r="H60" s="214"/>
      <c r="I60" s="214"/>
      <c r="J60" s="213">
        <f>+'Rate Base Support'!Y60</f>
        <v>-510417</v>
      </c>
      <c r="K60" s="213">
        <f>+J60+I60</f>
        <v>-510417</v>
      </c>
      <c r="L60" s="213"/>
      <c r="M60" s="213">
        <f t="shared" si="3"/>
        <v>-510417</v>
      </c>
      <c r="N60" s="213"/>
      <c r="O60" s="213">
        <f>+'Rate Base Support'!AC60</f>
        <v>0</v>
      </c>
      <c r="P60" s="213">
        <f>+O60+N60</f>
        <v>0</v>
      </c>
      <c r="Q60" s="213"/>
      <c r="R60" s="213">
        <f t="shared" si="9"/>
        <v>-510417</v>
      </c>
      <c r="S60" s="213">
        <f>+'Rate Base Support'!AG60</f>
        <v>0</v>
      </c>
      <c r="T60" s="213">
        <f>+'Rate Base Support'!AH60</f>
        <v>-510417</v>
      </c>
      <c r="U60" s="213">
        <f t="shared" si="10"/>
        <v>0</v>
      </c>
      <c r="V60" s="68"/>
    </row>
    <row r="61" spans="1:22" ht="21.75" customHeight="1">
      <c r="A61" s="63" t="s">
        <v>255</v>
      </c>
      <c r="B61" s="58"/>
      <c r="C61" s="63"/>
      <c r="D61" s="58">
        <f t="shared" si="5"/>
        <v>52</v>
      </c>
      <c r="F61" s="202" t="s">
        <v>533</v>
      </c>
      <c r="G61" s="63"/>
      <c r="H61" s="215">
        <f>+H59</f>
        <v>-5528011.358333</v>
      </c>
      <c r="I61" s="215">
        <f>+I59+I60</f>
        <v>-409535.51848299999</v>
      </c>
      <c r="J61" s="215">
        <f t="shared" ref="J61:T61" si="11">+J59+J60</f>
        <v>-510417</v>
      </c>
      <c r="K61" s="215">
        <f t="shared" si="11"/>
        <v>-919952.51848299999</v>
      </c>
      <c r="L61" s="215">
        <f t="shared" si="11"/>
        <v>0</v>
      </c>
      <c r="M61" s="215">
        <f t="shared" si="11"/>
        <v>-919952.51848299999</v>
      </c>
      <c r="N61" s="215">
        <f t="shared" si="11"/>
        <v>0</v>
      </c>
      <c r="O61" s="215">
        <f t="shared" si="11"/>
        <v>409536</v>
      </c>
      <c r="P61" s="215">
        <f t="shared" si="11"/>
        <v>409536</v>
      </c>
      <c r="Q61" s="215"/>
      <c r="R61" s="215">
        <f t="shared" si="11"/>
        <v>-510417</v>
      </c>
      <c r="S61" s="215">
        <f t="shared" si="11"/>
        <v>409536</v>
      </c>
      <c r="T61" s="215">
        <f t="shared" si="11"/>
        <v>-510417</v>
      </c>
      <c r="U61" s="213">
        <f t="shared" si="10"/>
        <v>0</v>
      </c>
      <c r="V61" s="68"/>
    </row>
    <row r="62" spans="1:22">
      <c r="A62" s="58" t="s">
        <v>256</v>
      </c>
      <c r="B62" s="58" t="s">
        <v>257</v>
      </c>
      <c r="C62" s="58" t="s">
        <v>258</v>
      </c>
      <c r="D62" s="58">
        <f t="shared" si="5"/>
        <v>53</v>
      </c>
      <c r="E62" s="132" t="s">
        <v>244</v>
      </c>
      <c r="F62" s="58" t="s">
        <v>259</v>
      </c>
      <c r="G62" s="58" t="s">
        <v>26</v>
      </c>
      <c r="H62" s="214">
        <f>1000*-4059.471379167</f>
        <v>-4059471.3791670003</v>
      </c>
      <c r="I62" s="214">
        <f>1000*-336.596939399</f>
        <v>-336596.93939900002</v>
      </c>
      <c r="J62" s="213">
        <f>+'Rate Base Support'!Y62</f>
        <v>0</v>
      </c>
      <c r="K62" s="213">
        <f t="shared" ref="K62:K67" si="12">+J62+I62</f>
        <v>-336596.93939900002</v>
      </c>
      <c r="L62" s="213"/>
      <c r="M62" s="213">
        <f t="shared" si="3"/>
        <v>-336596.93939900002</v>
      </c>
      <c r="N62" s="213"/>
      <c r="O62" s="213">
        <f>+'Rate Base Support'!AC62</f>
        <v>0</v>
      </c>
      <c r="P62" s="213">
        <f t="shared" ref="P62:P67" si="13">+O62+N62</f>
        <v>0</v>
      </c>
      <c r="Q62" s="213"/>
      <c r="R62" s="213">
        <f t="shared" ref="R62:R67" si="14">ROUND(+P62+K62,0)</f>
        <v>-336597</v>
      </c>
      <c r="S62" s="213">
        <f>+'Rate Base Support'!AG62</f>
        <v>0</v>
      </c>
      <c r="T62" s="213">
        <f>+'Rate Base Support'!AH62</f>
        <v>-336597</v>
      </c>
      <c r="U62" s="213">
        <f t="shared" si="10"/>
        <v>0</v>
      </c>
      <c r="V62" s="68"/>
    </row>
    <row r="63" spans="1:22">
      <c r="A63" s="58" t="s">
        <v>256</v>
      </c>
      <c r="B63" s="58" t="s">
        <v>257</v>
      </c>
      <c r="C63" s="58" t="s">
        <v>260</v>
      </c>
      <c r="D63" s="58">
        <f t="shared" si="5"/>
        <v>54</v>
      </c>
      <c r="E63" s="132" t="s">
        <v>244</v>
      </c>
      <c r="F63" s="58" t="s">
        <v>261</v>
      </c>
      <c r="G63" s="58" t="s">
        <v>262</v>
      </c>
      <c r="H63" s="214">
        <v>-1845519.3454916601</v>
      </c>
      <c r="I63" s="214">
        <f>1000*-127926.774312483</f>
        <v>-127926774.312483</v>
      </c>
      <c r="J63" s="213">
        <f>+'Rate Base Support'!Y63</f>
        <v>1572142</v>
      </c>
      <c r="K63" s="213">
        <f t="shared" si="12"/>
        <v>-126354632.312483</v>
      </c>
      <c r="L63" s="213"/>
      <c r="M63" s="213">
        <f t="shared" si="3"/>
        <v>-126354632.312483</v>
      </c>
      <c r="N63" s="213"/>
      <c r="O63" s="213">
        <f>+'Rate Base Support'!AC63</f>
        <v>0</v>
      </c>
      <c r="P63" s="213">
        <f t="shared" si="13"/>
        <v>0</v>
      </c>
      <c r="Q63" s="213"/>
      <c r="R63" s="213">
        <f t="shared" si="14"/>
        <v>-126354632</v>
      </c>
      <c r="S63" s="213">
        <f>+'Rate Base Support'!AG63</f>
        <v>0</v>
      </c>
      <c r="T63" s="213">
        <f>+'Rate Base Support'!AH63</f>
        <v>-126354632</v>
      </c>
      <c r="U63" s="213">
        <f>ROUND(+R63-T63,0)</f>
        <v>0</v>
      </c>
      <c r="V63" s="68"/>
    </row>
    <row r="64" spans="1:22">
      <c r="A64" s="58" t="s">
        <v>256</v>
      </c>
      <c r="B64" s="58" t="s">
        <v>257</v>
      </c>
      <c r="C64" s="58" t="s">
        <v>263</v>
      </c>
      <c r="D64" s="58">
        <f t="shared" si="5"/>
        <v>55</v>
      </c>
      <c r="E64" s="193" t="s">
        <v>22</v>
      </c>
      <c r="F64" s="58" t="s">
        <v>264</v>
      </c>
      <c r="G64" s="58" t="s">
        <v>30</v>
      </c>
      <c r="H64" s="214">
        <f>1000*792.756458333</f>
        <v>792756.45833299996</v>
      </c>
      <c r="I64" s="214">
        <f>1000*58.730329254</f>
        <v>58730.329253999997</v>
      </c>
      <c r="J64" s="213">
        <f>+'Rate Base Support'!Y64</f>
        <v>0</v>
      </c>
      <c r="K64" s="213">
        <f t="shared" si="12"/>
        <v>58730.329253999997</v>
      </c>
      <c r="L64" s="213"/>
      <c r="M64" s="213">
        <f t="shared" si="3"/>
        <v>58730.329253999997</v>
      </c>
      <c r="N64" s="213"/>
      <c r="O64" s="213">
        <f>+'Rate Base Support'!AC64</f>
        <v>-58730.329253999997</v>
      </c>
      <c r="P64" s="213">
        <f t="shared" si="13"/>
        <v>-58730.329253999997</v>
      </c>
      <c r="Q64" s="213"/>
      <c r="R64" s="213">
        <f t="shared" si="14"/>
        <v>0</v>
      </c>
      <c r="S64" s="213">
        <f>+'Rate Base Support'!AG64</f>
        <v>-58730.329253999997</v>
      </c>
      <c r="T64" s="213">
        <f>+'Rate Base Support'!AH64</f>
        <v>0</v>
      </c>
      <c r="U64" s="213">
        <f t="shared" si="4"/>
        <v>0</v>
      </c>
      <c r="V64" s="68"/>
    </row>
    <row r="65" spans="1:22">
      <c r="A65" s="58" t="s">
        <v>256</v>
      </c>
      <c r="B65" s="58" t="s">
        <v>257</v>
      </c>
      <c r="C65" s="58" t="s">
        <v>265</v>
      </c>
      <c r="D65" s="58">
        <f t="shared" si="5"/>
        <v>56</v>
      </c>
      <c r="E65" s="193" t="s">
        <v>22</v>
      </c>
      <c r="F65" s="58" t="s">
        <v>266</v>
      </c>
      <c r="G65" s="58" t="s">
        <v>30</v>
      </c>
      <c r="H65" s="214">
        <f>1000*-5861.603322917</f>
        <v>-5861603.3229169995</v>
      </c>
      <c r="I65" s="214">
        <f>1000*-434.249244509</f>
        <v>-434249.24450899998</v>
      </c>
      <c r="J65" s="213">
        <f>+'Rate Base Support'!Y65</f>
        <v>0</v>
      </c>
      <c r="K65" s="213">
        <f t="shared" si="12"/>
        <v>-434249.24450899998</v>
      </c>
      <c r="L65" s="213"/>
      <c r="M65" s="213">
        <f t="shared" si="3"/>
        <v>-434249.24450899998</v>
      </c>
      <c r="N65" s="213"/>
      <c r="O65" s="213">
        <f>+'Rate Base Support'!AC65</f>
        <v>434249.24450899998</v>
      </c>
      <c r="P65" s="213">
        <f t="shared" si="13"/>
        <v>434249.24450899998</v>
      </c>
      <c r="Q65" s="213"/>
      <c r="R65" s="213">
        <f t="shared" si="14"/>
        <v>0</v>
      </c>
      <c r="S65" s="213">
        <f>+'Rate Base Support'!AG65</f>
        <v>434249.24450899998</v>
      </c>
      <c r="T65" s="213">
        <f>+'Rate Base Support'!AH65</f>
        <v>0</v>
      </c>
      <c r="U65" s="213">
        <f t="shared" si="4"/>
        <v>0</v>
      </c>
      <c r="V65" s="68"/>
    </row>
    <row r="66" spans="1:22">
      <c r="A66" s="58" t="s">
        <v>256</v>
      </c>
      <c r="B66" s="58" t="s">
        <v>257</v>
      </c>
      <c r="C66" s="58" t="s">
        <v>267</v>
      </c>
      <c r="D66" s="58">
        <f t="shared" si="5"/>
        <v>57</v>
      </c>
      <c r="E66" s="193" t="s">
        <v>22</v>
      </c>
      <c r="F66" s="58" t="s">
        <v>268</v>
      </c>
      <c r="G66" s="58" t="s">
        <v>30</v>
      </c>
      <c r="H66" s="214">
        <f>1000*219.393220833</f>
        <v>219393.220833</v>
      </c>
      <c r="I66" s="214">
        <f>1000*16.253460896</f>
        <v>16253.460896000001</v>
      </c>
      <c r="J66" s="213">
        <f>+'Rate Base Support'!Y66</f>
        <v>0</v>
      </c>
      <c r="K66" s="213">
        <f t="shared" si="12"/>
        <v>16253.460896000001</v>
      </c>
      <c r="L66" s="213"/>
      <c r="M66" s="213">
        <f t="shared" si="3"/>
        <v>16253.460896000001</v>
      </c>
      <c r="N66" s="213"/>
      <c r="O66" s="213">
        <f>+'Rate Base Support'!AC66</f>
        <v>-16253.460896000001</v>
      </c>
      <c r="P66" s="213">
        <f t="shared" si="13"/>
        <v>-16253.460896000001</v>
      </c>
      <c r="Q66" s="213"/>
      <c r="R66" s="213">
        <f t="shared" si="14"/>
        <v>0</v>
      </c>
      <c r="S66" s="213">
        <f>+'Rate Base Support'!AG66</f>
        <v>-16253.460896000001</v>
      </c>
      <c r="T66" s="213">
        <f>+'Rate Base Support'!AH66</f>
        <v>0</v>
      </c>
      <c r="U66" s="213">
        <f t="shared" si="4"/>
        <v>0</v>
      </c>
      <c r="V66" s="68"/>
    </row>
    <row r="67" spans="1:22">
      <c r="A67" s="58" t="s">
        <v>256</v>
      </c>
      <c r="B67" s="58" t="s">
        <v>257</v>
      </c>
      <c r="C67" s="58" t="s">
        <v>269</v>
      </c>
      <c r="D67" s="58">
        <f t="shared" si="5"/>
        <v>58</v>
      </c>
      <c r="E67" s="193" t="s">
        <v>22</v>
      </c>
      <c r="F67" s="58" t="s">
        <v>270</v>
      </c>
      <c r="G67" s="58" t="s">
        <v>30</v>
      </c>
      <c r="H67" s="214">
        <f>1000*-41.78325</f>
        <v>-41783.25</v>
      </c>
      <c r="I67" s="214">
        <f>1000*-3.095457633</f>
        <v>-3095.457633</v>
      </c>
      <c r="J67" s="213">
        <f>+'Rate Base Support'!Y67</f>
        <v>0</v>
      </c>
      <c r="K67" s="213">
        <f t="shared" si="12"/>
        <v>-3095.457633</v>
      </c>
      <c r="L67" s="213"/>
      <c r="M67" s="213">
        <f t="shared" si="3"/>
        <v>-3095.457633</v>
      </c>
      <c r="N67" s="213"/>
      <c r="O67" s="213">
        <f>+'Rate Base Support'!AC67</f>
        <v>3095.457633</v>
      </c>
      <c r="P67" s="213">
        <f t="shared" si="13"/>
        <v>3095.457633</v>
      </c>
      <c r="Q67" s="213"/>
      <c r="R67" s="213">
        <f t="shared" si="14"/>
        <v>0</v>
      </c>
      <c r="S67" s="213">
        <f>+'Rate Base Support'!AG67</f>
        <v>3095.457633</v>
      </c>
      <c r="T67" s="213">
        <f>+'Rate Base Support'!AH67</f>
        <v>0</v>
      </c>
      <c r="U67" s="213">
        <f t="shared" si="4"/>
        <v>0</v>
      </c>
      <c r="V67" s="68"/>
    </row>
    <row r="68" spans="1:22" collapsed="1">
      <c r="A68" s="63" t="s">
        <v>271</v>
      </c>
      <c r="B68" s="58"/>
      <c r="C68" s="63"/>
      <c r="D68" s="58">
        <f t="shared" si="5"/>
        <v>59</v>
      </c>
      <c r="F68" s="202" t="s">
        <v>549</v>
      </c>
      <c r="G68" s="63"/>
      <c r="H68" s="215"/>
      <c r="I68" s="215">
        <f t="shared" ref="I68:N68" si="15">SUM(I62:I67)</f>
        <v>-128625732.163874</v>
      </c>
      <c r="J68" s="215">
        <f t="shared" si="15"/>
        <v>1572142</v>
      </c>
      <c r="K68" s="215">
        <f t="shared" si="15"/>
        <v>-127053590.163874</v>
      </c>
      <c r="L68" s="215">
        <f t="shared" si="15"/>
        <v>0</v>
      </c>
      <c r="M68" s="215">
        <f t="shared" si="15"/>
        <v>-127053590.163874</v>
      </c>
      <c r="N68" s="215">
        <f t="shared" si="15"/>
        <v>0</v>
      </c>
      <c r="O68" s="215">
        <f>SUM(O62:O67)</f>
        <v>362360.91199200001</v>
      </c>
      <c r="P68" s="215">
        <f>SUM(P62:P67)</f>
        <v>362360.91199200001</v>
      </c>
      <c r="Q68" s="216"/>
      <c r="R68" s="216">
        <f t="shared" ref="R68:R103" si="16">+P68+K68</f>
        <v>-126691229.251882</v>
      </c>
      <c r="S68" s="216">
        <f t="shared" ref="S68" si="17">+R68-K68</f>
        <v>362360.91199199855</v>
      </c>
      <c r="T68" s="216">
        <f>SUM(T62:T67)</f>
        <v>-126691229</v>
      </c>
      <c r="U68" s="216">
        <f>ROUND(SUM(U62:U67),0)</f>
        <v>0</v>
      </c>
      <c r="V68" s="68"/>
    </row>
    <row r="69" spans="1:22">
      <c r="A69" s="58" t="s">
        <v>272</v>
      </c>
      <c r="B69" s="58" t="s">
        <v>273</v>
      </c>
      <c r="C69" s="58" t="s">
        <v>274</v>
      </c>
      <c r="D69" s="58">
        <f t="shared" si="5"/>
        <v>60</v>
      </c>
      <c r="E69" s="193" t="s">
        <v>22</v>
      </c>
      <c r="F69" s="65" t="s">
        <v>295</v>
      </c>
      <c r="G69" s="65" t="s">
        <v>57</v>
      </c>
      <c r="H69" s="217">
        <f>1000*-1.312054167</f>
        <v>-1312.054167</v>
      </c>
      <c r="I69" s="217">
        <f>1000*-0.289794473</f>
        <v>-289.79447299999998</v>
      </c>
      <c r="J69" s="213">
        <f>+'Rate Base Support'!Y69</f>
        <v>290</v>
      </c>
      <c r="K69" s="213">
        <f t="shared" ref="K69:K89" si="18">+J69+I69</f>
        <v>0.20552700000001778</v>
      </c>
      <c r="L69" s="213"/>
      <c r="M69" s="213">
        <f t="shared" si="3"/>
        <v>0.20552700000001778</v>
      </c>
      <c r="N69" s="213"/>
      <c r="O69" s="213">
        <f>+'Rate Base Support'!AC69</f>
        <v>-0.20552700000001778</v>
      </c>
      <c r="P69" s="213">
        <f>ROUND(+O69+N69,0)</f>
        <v>0</v>
      </c>
      <c r="Q69" s="213"/>
      <c r="R69" s="213">
        <f>ROUND(+P69+K69,0)</f>
        <v>0</v>
      </c>
      <c r="S69" s="213">
        <f>+'Rate Base Support'!AG69</f>
        <v>-0.20552700000001778</v>
      </c>
      <c r="T69" s="213">
        <f>+'Rate Base Support'!AH69</f>
        <v>0</v>
      </c>
      <c r="U69" s="213">
        <f t="shared" si="4"/>
        <v>0</v>
      </c>
      <c r="V69" s="68"/>
    </row>
    <row r="70" spans="1:22">
      <c r="A70" s="58" t="s">
        <v>272</v>
      </c>
      <c r="B70" s="58" t="s">
        <v>273</v>
      </c>
      <c r="C70" s="58" t="s">
        <v>276</v>
      </c>
      <c r="D70" s="58">
        <f t="shared" si="5"/>
        <v>61</v>
      </c>
      <c r="E70" s="193" t="s">
        <v>22</v>
      </c>
      <c r="F70" s="65" t="s">
        <v>297</v>
      </c>
      <c r="G70" s="65" t="s">
        <v>57</v>
      </c>
      <c r="H70" s="217">
        <f>1000*-471.4087625</f>
        <v>-471408.76250000001</v>
      </c>
      <c r="I70" s="217">
        <f>1000*-104.120437572</f>
        <v>-104120.437572</v>
      </c>
      <c r="J70" s="213">
        <f>+'Rate Base Support'!Y70</f>
        <v>104120</v>
      </c>
      <c r="K70" s="213">
        <f t="shared" si="18"/>
        <v>-0.43757199999527074</v>
      </c>
      <c r="L70" s="213"/>
      <c r="M70" s="213">
        <f t="shared" si="3"/>
        <v>-0.43757199999527074</v>
      </c>
      <c r="N70" s="213"/>
      <c r="O70" s="213">
        <f>+'Rate Base Support'!AC70</f>
        <v>0.43757199999527074</v>
      </c>
      <c r="P70" s="213">
        <f t="shared" ref="P70:P103" si="19">+O70+N70</f>
        <v>0.43757199999527074</v>
      </c>
      <c r="Q70" s="213"/>
      <c r="R70" s="213">
        <f t="shared" si="16"/>
        <v>0</v>
      </c>
      <c r="S70" s="213">
        <f>+'Rate Base Support'!AG70</f>
        <v>0.43757199999527074</v>
      </c>
      <c r="T70" s="213">
        <f>+'Rate Base Support'!AH70</f>
        <v>0</v>
      </c>
      <c r="U70" s="213">
        <f t="shared" si="4"/>
        <v>0</v>
      </c>
      <c r="V70" s="68"/>
    </row>
    <row r="71" spans="1:22">
      <c r="A71" s="58" t="s">
        <v>272</v>
      </c>
      <c r="B71" s="58" t="s">
        <v>273</v>
      </c>
      <c r="C71" s="58" t="s">
        <v>278</v>
      </c>
      <c r="D71" s="58">
        <f t="shared" si="5"/>
        <v>62</v>
      </c>
      <c r="E71" s="193" t="s">
        <v>22</v>
      </c>
      <c r="F71" s="65" t="s">
        <v>299</v>
      </c>
      <c r="G71" s="65" t="s">
        <v>57</v>
      </c>
      <c r="H71" s="217">
        <f>1000*-1794.595177083</f>
        <v>-1794595.1770829998</v>
      </c>
      <c r="I71" s="217">
        <f>1000*-396.373699357</f>
        <v>-396373.699357</v>
      </c>
      <c r="J71" s="213">
        <f>+'Rate Base Support'!Y71</f>
        <v>396374</v>
      </c>
      <c r="K71" s="213">
        <f t="shared" si="18"/>
        <v>0.30064299999503419</v>
      </c>
      <c r="L71" s="213"/>
      <c r="M71" s="213">
        <f t="shared" si="3"/>
        <v>0.30064299999503419</v>
      </c>
      <c r="N71" s="213"/>
      <c r="O71" s="213">
        <f>+'Rate Base Support'!AC71</f>
        <v>-0.30064299999503419</v>
      </c>
      <c r="P71" s="213">
        <f t="shared" si="19"/>
        <v>-0.30064299999503419</v>
      </c>
      <c r="Q71" s="213"/>
      <c r="R71" s="213">
        <f t="shared" si="16"/>
        <v>0</v>
      </c>
      <c r="S71" s="213">
        <f>+'Rate Base Support'!AG71</f>
        <v>-0.30064299999503419</v>
      </c>
      <c r="T71" s="213">
        <f>+'Rate Base Support'!AH71</f>
        <v>0</v>
      </c>
      <c r="U71" s="213">
        <f t="shared" si="4"/>
        <v>0</v>
      </c>
      <c r="V71" s="68"/>
    </row>
    <row r="72" spans="1:22">
      <c r="A72" s="58" t="s">
        <v>272</v>
      </c>
      <c r="B72" s="58" t="s">
        <v>273</v>
      </c>
      <c r="C72" s="58" t="s">
        <v>280</v>
      </c>
      <c r="D72" s="58">
        <f t="shared" si="5"/>
        <v>63</v>
      </c>
      <c r="E72" s="193" t="s">
        <v>22</v>
      </c>
      <c r="F72" s="65" t="s">
        <v>301</v>
      </c>
      <c r="G72" s="65" t="s">
        <v>30</v>
      </c>
      <c r="H72" s="217">
        <f>1000*-916.942625</f>
        <v>-916942.625</v>
      </c>
      <c r="I72" s="217">
        <f>1000*-67.93</f>
        <v>-67930</v>
      </c>
      <c r="J72" s="213">
        <f>+'Rate Base Support'!Y72</f>
        <v>67930</v>
      </c>
      <c r="K72" s="213">
        <f t="shared" si="18"/>
        <v>0</v>
      </c>
      <c r="L72" s="213"/>
      <c r="M72" s="213">
        <f t="shared" si="3"/>
        <v>0</v>
      </c>
      <c r="N72" s="213"/>
      <c r="O72" s="213">
        <f>+'Rate Base Support'!AC72</f>
        <v>0</v>
      </c>
      <c r="P72" s="213">
        <f t="shared" si="19"/>
        <v>0</v>
      </c>
      <c r="Q72" s="213"/>
      <c r="R72" s="213">
        <f t="shared" si="16"/>
        <v>0</v>
      </c>
      <c r="S72" s="213">
        <f>+'Rate Base Support'!AG72</f>
        <v>0</v>
      </c>
      <c r="T72" s="213">
        <f>+'Rate Base Support'!AH72</f>
        <v>0</v>
      </c>
      <c r="U72" s="213">
        <f t="shared" si="4"/>
        <v>0</v>
      </c>
      <c r="V72" s="68"/>
    </row>
    <row r="73" spans="1:22">
      <c r="A73" s="65" t="s">
        <v>272</v>
      </c>
      <c r="B73" s="65" t="s">
        <v>273</v>
      </c>
      <c r="C73" s="65" t="s">
        <v>282</v>
      </c>
      <c r="D73" s="58">
        <f t="shared" si="5"/>
        <v>64</v>
      </c>
      <c r="E73" s="193" t="s">
        <v>22</v>
      </c>
      <c r="F73" s="65" t="s">
        <v>306</v>
      </c>
      <c r="G73" s="65" t="s">
        <v>40</v>
      </c>
      <c r="H73" s="217">
        <f>1000*-15492.972741667</f>
        <v>-15492972.741666999</v>
      </c>
      <c r="I73" s="217">
        <f>1000*-1147.776698223</f>
        <v>-1147776.6982229999</v>
      </c>
      <c r="J73" s="213">
        <f>+'Rate Base Support'!Y73</f>
        <v>1147777</v>
      </c>
      <c r="K73" s="213">
        <f t="shared" si="18"/>
        <v>0.30177700007334352</v>
      </c>
      <c r="L73" s="213"/>
      <c r="M73" s="213">
        <f t="shared" si="3"/>
        <v>0.30177700007334352</v>
      </c>
      <c r="N73" s="213"/>
      <c r="O73" s="213">
        <f>+'Rate Base Support'!AC73</f>
        <v>-0.30177700007334352</v>
      </c>
      <c r="P73" s="213">
        <f t="shared" si="19"/>
        <v>-0.30177700007334352</v>
      </c>
      <c r="Q73" s="213"/>
      <c r="R73" s="213">
        <f t="shared" si="16"/>
        <v>0</v>
      </c>
      <c r="S73" s="213">
        <f>+'Rate Base Support'!AG73</f>
        <v>-0.30177700007334352</v>
      </c>
      <c r="T73" s="213">
        <f>+'Rate Base Support'!AH73</f>
        <v>0</v>
      </c>
      <c r="U73" s="213">
        <f t="shared" si="4"/>
        <v>0</v>
      </c>
      <c r="V73" s="68"/>
    </row>
    <row r="74" spans="1:22">
      <c r="A74" s="65" t="s">
        <v>272</v>
      </c>
      <c r="B74" s="65" t="s">
        <v>273</v>
      </c>
      <c r="C74" s="65" t="s">
        <v>231</v>
      </c>
      <c r="D74" s="58">
        <f t="shared" si="5"/>
        <v>65</v>
      </c>
      <c r="E74" s="193" t="s">
        <v>22</v>
      </c>
      <c r="F74" s="58" t="s">
        <v>277</v>
      </c>
      <c r="G74" s="58" t="s">
        <v>30</v>
      </c>
      <c r="H74" s="214">
        <f>1000*-781.077833333</f>
        <v>-781077.83333299996</v>
      </c>
      <c r="I74" s="214">
        <f>1000*-57.865133538</f>
        <v>-57865.133538000002</v>
      </c>
      <c r="J74" s="213">
        <f>+'Rate Base Support'!Y74</f>
        <v>0</v>
      </c>
      <c r="K74" s="213">
        <f t="shared" si="18"/>
        <v>-57865.133538000002</v>
      </c>
      <c r="L74" s="213"/>
      <c r="M74" s="213">
        <f t="shared" si="3"/>
        <v>-57865.133538000002</v>
      </c>
      <c r="N74" s="213"/>
      <c r="O74" s="213">
        <f>+'Rate Base Support'!AC74</f>
        <v>57865.133538000002</v>
      </c>
      <c r="P74" s="213">
        <f t="shared" si="19"/>
        <v>57865.133538000002</v>
      </c>
      <c r="Q74" s="213"/>
      <c r="R74" s="213">
        <f t="shared" si="16"/>
        <v>0</v>
      </c>
      <c r="S74" s="213">
        <f>+'Rate Base Support'!AG74</f>
        <v>57865.133538000002</v>
      </c>
      <c r="T74" s="213">
        <f>+'Rate Base Support'!AH74</f>
        <v>0</v>
      </c>
      <c r="U74" s="213">
        <f t="shared" si="4"/>
        <v>0</v>
      </c>
      <c r="V74" s="68"/>
    </row>
    <row r="75" spans="1:22">
      <c r="A75" s="65" t="s">
        <v>272</v>
      </c>
      <c r="B75" s="65" t="s">
        <v>273</v>
      </c>
      <c r="C75" s="65" t="s">
        <v>233</v>
      </c>
      <c r="D75" s="58">
        <f t="shared" si="5"/>
        <v>66</v>
      </c>
      <c r="E75" s="193" t="s">
        <v>22</v>
      </c>
      <c r="F75" s="58" t="s">
        <v>279</v>
      </c>
      <c r="G75" s="58" t="s">
        <v>36</v>
      </c>
      <c r="H75" s="214">
        <f>1000*1187.206125</f>
        <v>1187206.125</v>
      </c>
      <c r="I75" s="214">
        <f>1000*1187.206125</f>
        <v>1187206.125</v>
      </c>
      <c r="J75" s="213">
        <f>+'Rate Base Support'!Y75</f>
        <v>0</v>
      </c>
      <c r="K75" s="213">
        <f t="shared" si="18"/>
        <v>1187206.125</v>
      </c>
      <c r="L75" s="213"/>
      <c r="M75" s="213">
        <f t="shared" ref="M75:M103" si="20">+L75+K75</f>
        <v>1187206.125</v>
      </c>
      <c r="N75" s="213"/>
      <c r="O75" s="213">
        <f>+'Rate Base Support'!AC75</f>
        <v>-1187206.125</v>
      </c>
      <c r="P75" s="213">
        <f t="shared" si="19"/>
        <v>-1187206.125</v>
      </c>
      <c r="Q75" s="213"/>
      <c r="R75" s="213">
        <f t="shared" si="16"/>
        <v>0</v>
      </c>
      <c r="S75" s="213">
        <f>+'Rate Base Support'!AG75</f>
        <v>-1187206.125</v>
      </c>
      <c r="T75" s="213">
        <f>+'Rate Base Support'!AH75</f>
        <v>0</v>
      </c>
      <c r="U75" s="213">
        <f t="shared" ref="U75:U108" si="21">+R75-T75</f>
        <v>0</v>
      </c>
      <c r="V75" s="68"/>
    </row>
    <row r="76" spans="1:22">
      <c r="A76" s="65" t="s">
        <v>272</v>
      </c>
      <c r="B76" s="65" t="s">
        <v>273</v>
      </c>
      <c r="C76" s="65" t="s">
        <v>310</v>
      </c>
      <c r="D76" s="58">
        <f t="shared" ref="D76:D109" si="22">1+D75</f>
        <v>67</v>
      </c>
      <c r="E76" s="193" t="s">
        <v>22</v>
      </c>
      <c r="F76" s="65" t="s">
        <v>303</v>
      </c>
      <c r="G76" s="65" t="s">
        <v>34</v>
      </c>
      <c r="H76" s="217">
        <f>1000*-6294.7455875</f>
        <v>-6294745.5874999994</v>
      </c>
      <c r="I76" s="217">
        <f>1000*-452.73055366</f>
        <v>-452730.55365999998</v>
      </c>
      <c r="J76" s="213">
        <f>+'Rate Base Support'!Y76</f>
        <v>0</v>
      </c>
      <c r="K76" s="213">
        <f t="shared" si="18"/>
        <v>-452730.55365999998</v>
      </c>
      <c r="L76" s="213"/>
      <c r="M76" s="213">
        <f t="shared" si="20"/>
        <v>-452730.55365999998</v>
      </c>
      <c r="N76" s="213"/>
      <c r="O76" s="213">
        <f>+'Rate Base Support'!AC76</f>
        <v>452730.55365999998</v>
      </c>
      <c r="P76" s="213">
        <f t="shared" si="19"/>
        <v>452730.55365999998</v>
      </c>
      <c r="Q76" s="213"/>
      <c r="R76" s="213">
        <f t="shared" si="16"/>
        <v>0</v>
      </c>
      <c r="S76" s="213">
        <f>+'Rate Base Support'!AG76</f>
        <v>452730.55365999998</v>
      </c>
      <c r="T76" s="213">
        <f>+'Rate Base Support'!AH76</f>
        <v>0</v>
      </c>
      <c r="U76" s="213">
        <f t="shared" si="21"/>
        <v>0</v>
      </c>
      <c r="V76" s="68"/>
    </row>
    <row r="77" spans="1:22">
      <c r="A77" s="65" t="s">
        <v>272</v>
      </c>
      <c r="B77" s="65" t="s">
        <v>273</v>
      </c>
      <c r="C77" s="65" t="s">
        <v>284</v>
      </c>
      <c r="D77" s="58">
        <f t="shared" si="22"/>
        <v>68</v>
      </c>
      <c r="E77" s="67" t="s">
        <v>50</v>
      </c>
      <c r="F77" s="65" t="s">
        <v>293</v>
      </c>
      <c r="G77" s="65" t="s">
        <v>42</v>
      </c>
      <c r="H77" s="217">
        <f>1000*-712.618610417</f>
        <v>-712618.61041700002</v>
      </c>
      <c r="I77" s="217">
        <f>1000*-56.227860237</f>
        <v>-56227.860237000001</v>
      </c>
      <c r="J77" s="213">
        <f>+'Rate Base Support'!Y77</f>
        <v>0</v>
      </c>
      <c r="K77" s="213">
        <f t="shared" si="18"/>
        <v>-56227.860237000001</v>
      </c>
      <c r="L77" s="213"/>
      <c r="M77" s="213">
        <f t="shared" si="20"/>
        <v>-56227.860237000001</v>
      </c>
      <c r="N77" s="213"/>
      <c r="O77" s="213">
        <f>+'Rate Base Support'!AC77</f>
        <v>56227.860237000001</v>
      </c>
      <c r="P77" s="213">
        <f t="shared" si="19"/>
        <v>56227.860237000001</v>
      </c>
      <c r="Q77" s="213"/>
      <c r="R77" s="213">
        <f t="shared" si="16"/>
        <v>0</v>
      </c>
      <c r="S77" s="213">
        <f>+'Rate Base Support'!AG77</f>
        <v>56227.860237000001</v>
      </c>
      <c r="T77" s="213">
        <f>+'Rate Base Support'!AH77</f>
        <v>0</v>
      </c>
      <c r="U77" s="213">
        <f t="shared" si="21"/>
        <v>0</v>
      </c>
      <c r="V77" s="68"/>
    </row>
    <row r="78" spans="1:22">
      <c r="A78" s="65" t="s">
        <v>272</v>
      </c>
      <c r="B78" s="65" t="s">
        <v>273</v>
      </c>
      <c r="C78" s="65" t="s">
        <v>286</v>
      </c>
      <c r="D78" s="58">
        <f t="shared" si="22"/>
        <v>69</v>
      </c>
      <c r="E78" s="67" t="s">
        <v>50</v>
      </c>
      <c r="F78" s="65" t="s">
        <v>304</v>
      </c>
      <c r="G78" s="65" t="s">
        <v>32</v>
      </c>
      <c r="H78" s="217">
        <f>1000*2113.05315625</f>
        <v>2113053.15625</v>
      </c>
      <c r="I78" s="217">
        <f>1000*451.29441712</f>
        <v>451294.41712</v>
      </c>
      <c r="J78" s="213">
        <f>+'Rate Base Support'!Y78</f>
        <v>0</v>
      </c>
      <c r="K78" s="213">
        <f t="shared" si="18"/>
        <v>451294.41712</v>
      </c>
      <c r="L78" s="213"/>
      <c r="M78" s="213">
        <f t="shared" si="20"/>
        <v>451294.41712</v>
      </c>
      <c r="N78" s="213"/>
      <c r="O78" s="213">
        <f>+'Rate Base Support'!AC78</f>
        <v>-451294.41712</v>
      </c>
      <c r="P78" s="213">
        <f t="shared" si="19"/>
        <v>-451294.41712</v>
      </c>
      <c r="Q78" s="213"/>
      <c r="R78" s="213">
        <f t="shared" si="16"/>
        <v>0</v>
      </c>
      <c r="S78" s="213">
        <f>+'Rate Base Support'!AG78</f>
        <v>-451294.41712</v>
      </c>
      <c r="T78" s="213">
        <f>+'Rate Base Support'!AH78</f>
        <v>0</v>
      </c>
      <c r="U78" s="213">
        <f t="shared" si="21"/>
        <v>0</v>
      </c>
      <c r="V78" s="68"/>
    </row>
    <row r="79" spans="1:22">
      <c r="A79" s="65" t="s">
        <v>272</v>
      </c>
      <c r="B79" s="65" t="s">
        <v>273</v>
      </c>
      <c r="C79" s="65" t="s">
        <v>288</v>
      </c>
      <c r="D79" s="58">
        <f t="shared" si="22"/>
        <v>70</v>
      </c>
      <c r="E79" s="67" t="s">
        <v>50</v>
      </c>
      <c r="F79" s="65" t="s">
        <v>230</v>
      </c>
      <c r="G79" s="65" t="s">
        <v>32</v>
      </c>
      <c r="H79" s="217">
        <f>1000*76.79513125</f>
        <v>76795.131249999991</v>
      </c>
      <c r="I79" s="217">
        <f>1000*16.401487058</f>
        <v>16401.487058000002</v>
      </c>
      <c r="J79" s="213">
        <f>+'Rate Base Support'!Y79</f>
        <v>0</v>
      </c>
      <c r="K79" s="213">
        <f t="shared" si="18"/>
        <v>16401.487058000002</v>
      </c>
      <c r="L79" s="213"/>
      <c r="M79" s="213">
        <f t="shared" si="20"/>
        <v>16401.487058000002</v>
      </c>
      <c r="N79" s="213"/>
      <c r="O79" s="213">
        <f>+'Rate Base Support'!AC79</f>
        <v>-16401.487058000002</v>
      </c>
      <c r="P79" s="213">
        <f t="shared" si="19"/>
        <v>-16401.487058000002</v>
      </c>
      <c r="Q79" s="213"/>
      <c r="R79" s="213">
        <f t="shared" si="16"/>
        <v>0</v>
      </c>
      <c r="S79" s="213">
        <f>+'Rate Base Support'!AG79</f>
        <v>-16401.487058000002</v>
      </c>
      <c r="T79" s="213">
        <f>+'Rate Base Support'!AH79</f>
        <v>0</v>
      </c>
      <c r="U79" s="213">
        <f t="shared" si="21"/>
        <v>0</v>
      </c>
      <c r="V79" s="68"/>
    </row>
    <row r="80" spans="1:22">
      <c r="A80" s="65" t="s">
        <v>272</v>
      </c>
      <c r="B80" s="65" t="s">
        <v>273</v>
      </c>
      <c r="C80" s="65" t="s">
        <v>290</v>
      </c>
      <c r="D80" s="58">
        <f t="shared" si="22"/>
        <v>71</v>
      </c>
      <c r="E80" s="67" t="s">
        <v>50</v>
      </c>
      <c r="F80" s="65" t="s">
        <v>307</v>
      </c>
      <c r="G80" s="65" t="s">
        <v>32</v>
      </c>
      <c r="H80" s="217">
        <f>1000*-490.373</f>
        <v>-490373</v>
      </c>
      <c r="I80" s="217">
        <f>1000*-104.731202124</f>
        <v>-104731.202124</v>
      </c>
      <c r="J80" s="213">
        <f>+'Rate Base Support'!Y80</f>
        <v>-6500.5</v>
      </c>
      <c r="K80" s="213">
        <f t="shared" si="18"/>
        <v>-111231.702124</v>
      </c>
      <c r="L80" s="213"/>
      <c r="M80" s="213">
        <f t="shared" si="20"/>
        <v>-111231.702124</v>
      </c>
      <c r="N80" s="213"/>
      <c r="O80" s="213">
        <f>+'Rate Base Support'!AC80</f>
        <v>111231.702124</v>
      </c>
      <c r="P80" s="213">
        <f t="shared" si="19"/>
        <v>111231.702124</v>
      </c>
      <c r="Q80" s="213"/>
      <c r="R80" s="213">
        <f t="shared" si="16"/>
        <v>0</v>
      </c>
      <c r="S80" s="213">
        <f>+'Rate Base Support'!AG80</f>
        <v>111231.702124</v>
      </c>
      <c r="T80" s="213">
        <f>+'Rate Base Support'!AH80</f>
        <v>0</v>
      </c>
      <c r="U80" s="213">
        <f t="shared" si="21"/>
        <v>0</v>
      </c>
      <c r="V80" s="68"/>
    </row>
    <row r="81" spans="1:22">
      <c r="A81" s="65" t="s">
        <v>272</v>
      </c>
      <c r="B81" s="65" t="s">
        <v>273</v>
      </c>
      <c r="C81" s="65" t="s">
        <v>292</v>
      </c>
      <c r="D81" s="58">
        <f t="shared" si="22"/>
        <v>72</v>
      </c>
      <c r="E81" s="67" t="s">
        <v>50</v>
      </c>
      <c r="F81" s="65" t="s">
        <v>234</v>
      </c>
      <c r="G81" s="65" t="s">
        <v>32</v>
      </c>
      <c r="H81" s="217">
        <f>1000*-14.092766667</f>
        <v>-14092.766667</v>
      </c>
      <c r="I81" s="217">
        <f>1000*-3.009856567</f>
        <v>-3009.8565669999998</v>
      </c>
      <c r="J81" s="213">
        <f>+'Rate Base Support'!Y81</f>
        <v>0</v>
      </c>
      <c r="K81" s="213">
        <f t="shared" si="18"/>
        <v>-3009.8565669999998</v>
      </c>
      <c r="L81" s="213"/>
      <c r="M81" s="213">
        <f t="shared" si="20"/>
        <v>-3009.8565669999998</v>
      </c>
      <c r="N81" s="213"/>
      <c r="O81" s="213">
        <f>+'Rate Base Support'!AC81</f>
        <v>3009.8565669999998</v>
      </c>
      <c r="P81" s="213">
        <f t="shared" si="19"/>
        <v>3009.8565669999998</v>
      </c>
      <c r="Q81" s="213"/>
      <c r="R81" s="213">
        <f t="shared" si="16"/>
        <v>0</v>
      </c>
      <c r="S81" s="213">
        <f>+'Rate Base Support'!AG81</f>
        <v>3009.8565669999998</v>
      </c>
      <c r="T81" s="213">
        <f>+'Rate Base Support'!AH81</f>
        <v>0</v>
      </c>
      <c r="U81" s="213">
        <f t="shared" si="21"/>
        <v>0</v>
      </c>
      <c r="V81" s="68"/>
    </row>
    <row r="82" spans="1:22">
      <c r="A82" s="65" t="s">
        <v>272</v>
      </c>
      <c r="B82" s="65" t="s">
        <v>273</v>
      </c>
      <c r="C82" s="65" t="s">
        <v>294</v>
      </c>
      <c r="D82" s="58">
        <f t="shared" si="22"/>
        <v>73</v>
      </c>
      <c r="E82" s="67" t="s">
        <v>50</v>
      </c>
      <c r="F82" s="65" t="s">
        <v>236</v>
      </c>
      <c r="G82" s="65" t="s">
        <v>32</v>
      </c>
      <c r="H82" s="217">
        <f>1000*200.663433333</f>
        <v>200663.43333299999</v>
      </c>
      <c r="I82" s="217">
        <f>1000*42.856606288</f>
        <v>42856.606288000003</v>
      </c>
      <c r="J82" s="213">
        <f>+'Rate Base Support'!Y82</f>
        <v>0</v>
      </c>
      <c r="K82" s="213">
        <f t="shared" si="18"/>
        <v>42856.606288000003</v>
      </c>
      <c r="L82" s="213"/>
      <c r="M82" s="213">
        <f t="shared" si="20"/>
        <v>42856.606288000003</v>
      </c>
      <c r="N82" s="213"/>
      <c r="O82" s="213">
        <f>+'Rate Base Support'!AC82</f>
        <v>-42856.606288000003</v>
      </c>
      <c r="P82" s="213">
        <f t="shared" si="19"/>
        <v>-42856.606288000003</v>
      </c>
      <c r="Q82" s="213"/>
      <c r="R82" s="213">
        <f t="shared" si="16"/>
        <v>0</v>
      </c>
      <c r="S82" s="213">
        <f>+'Rate Base Support'!AG82</f>
        <v>-42856.606288000003</v>
      </c>
      <c r="T82" s="213">
        <f>+'Rate Base Support'!AH82</f>
        <v>0</v>
      </c>
      <c r="U82" s="213">
        <f t="shared" si="21"/>
        <v>0</v>
      </c>
      <c r="V82" s="68"/>
    </row>
    <row r="83" spans="1:22">
      <c r="A83" s="65" t="s">
        <v>272</v>
      </c>
      <c r="B83" s="65" t="s">
        <v>273</v>
      </c>
      <c r="C83" s="65" t="s">
        <v>296</v>
      </c>
      <c r="D83" s="58">
        <f t="shared" si="22"/>
        <v>74</v>
      </c>
      <c r="E83" s="67" t="s">
        <v>50</v>
      </c>
      <c r="F83" s="65" t="s">
        <v>238</v>
      </c>
      <c r="G83" s="65" t="s">
        <v>32</v>
      </c>
      <c r="H83" s="217">
        <f>1000*271.1636375</f>
        <v>271163.63750000001</v>
      </c>
      <c r="I83" s="217">
        <f>1000*57.913657008</f>
        <v>57913.657008000002</v>
      </c>
      <c r="J83" s="213">
        <f>+'Rate Base Support'!Y83</f>
        <v>0</v>
      </c>
      <c r="K83" s="213">
        <f t="shared" si="18"/>
        <v>57913.657008000002</v>
      </c>
      <c r="L83" s="213"/>
      <c r="M83" s="213">
        <f t="shared" si="20"/>
        <v>57913.657008000002</v>
      </c>
      <c r="N83" s="213"/>
      <c r="O83" s="213">
        <f>+'Rate Base Support'!AC83</f>
        <v>-57913.657008000002</v>
      </c>
      <c r="P83" s="213">
        <f t="shared" si="19"/>
        <v>-57913.657008000002</v>
      </c>
      <c r="Q83" s="213"/>
      <c r="R83" s="213">
        <f t="shared" si="16"/>
        <v>0</v>
      </c>
      <c r="S83" s="213">
        <f>+'Rate Base Support'!AG83</f>
        <v>-57913.657008000002</v>
      </c>
      <c r="T83" s="213">
        <f>+'Rate Base Support'!AH83</f>
        <v>0</v>
      </c>
      <c r="U83" s="213">
        <f t="shared" si="21"/>
        <v>0</v>
      </c>
      <c r="V83" s="68"/>
    </row>
    <row r="84" spans="1:22">
      <c r="A84" s="65" t="s">
        <v>272</v>
      </c>
      <c r="B84" s="65" t="s">
        <v>273</v>
      </c>
      <c r="C84" s="65" t="s">
        <v>298</v>
      </c>
      <c r="D84" s="58">
        <f t="shared" si="22"/>
        <v>75</v>
      </c>
      <c r="E84" s="67" t="s">
        <v>50</v>
      </c>
      <c r="F84" s="65" t="s">
        <v>240</v>
      </c>
      <c r="G84" s="65" t="s">
        <v>32</v>
      </c>
      <c r="H84" s="217">
        <f>1000*1659.211170833</f>
        <v>1659211.170833</v>
      </c>
      <c r="I84" s="217">
        <f>1000*354.365310691</f>
        <v>354365.31069099996</v>
      </c>
      <c r="J84" s="213">
        <f>+'Rate Base Support'!Y84</f>
        <v>0</v>
      </c>
      <c r="K84" s="213">
        <f t="shared" si="18"/>
        <v>354365.31069099996</v>
      </c>
      <c r="L84" s="213"/>
      <c r="M84" s="213">
        <f t="shared" si="20"/>
        <v>354365.31069099996</v>
      </c>
      <c r="N84" s="213"/>
      <c r="O84" s="213">
        <f>+'Rate Base Support'!AC84</f>
        <v>-354365.31069099996</v>
      </c>
      <c r="P84" s="213">
        <f t="shared" si="19"/>
        <v>-354365.31069099996</v>
      </c>
      <c r="Q84" s="213"/>
      <c r="R84" s="213">
        <f t="shared" si="16"/>
        <v>0</v>
      </c>
      <c r="S84" s="213">
        <f>+'Rate Base Support'!AG84</f>
        <v>-354365.31069099996</v>
      </c>
      <c r="T84" s="213">
        <f>+'Rate Base Support'!AH84</f>
        <v>0</v>
      </c>
      <c r="U84" s="213">
        <f t="shared" si="21"/>
        <v>0</v>
      </c>
      <c r="V84" s="68"/>
    </row>
    <row r="85" spans="1:22">
      <c r="A85" s="65" t="s">
        <v>272</v>
      </c>
      <c r="B85" s="65" t="s">
        <v>273</v>
      </c>
      <c r="C85" s="65" t="s">
        <v>300</v>
      </c>
      <c r="D85" s="58">
        <f t="shared" si="22"/>
        <v>76</v>
      </c>
      <c r="E85" s="67" t="s">
        <v>50</v>
      </c>
      <c r="F85" s="65" t="s">
        <v>242</v>
      </c>
      <c r="G85" s="65" t="s">
        <v>32</v>
      </c>
      <c r="H85" s="217">
        <f>1000*19721.7000875</f>
        <v>19721700.087500002</v>
      </c>
      <c r="I85" s="217">
        <f>1000*4212.053596135</f>
        <v>4212053.5961349998</v>
      </c>
      <c r="J85" s="213">
        <f>+'Rate Base Support'!Y85</f>
        <v>-4212053.5959999999</v>
      </c>
      <c r="K85" s="213">
        <f t="shared" si="18"/>
        <v>1.3499986380338669E-4</v>
      </c>
      <c r="L85" s="213"/>
      <c r="M85" s="213">
        <f t="shared" si="20"/>
        <v>1.3499986380338669E-4</v>
      </c>
      <c r="N85" s="213"/>
      <c r="O85" s="213">
        <f>+'Rate Base Support'!AC85</f>
        <v>-1.3499986380338669E-4</v>
      </c>
      <c r="P85" s="213">
        <f t="shared" si="19"/>
        <v>-1.3499986380338669E-4</v>
      </c>
      <c r="Q85" s="213"/>
      <c r="R85" s="213">
        <f t="shared" si="16"/>
        <v>0</v>
      </c>
      <c r="S85" s="213">
        <f>+'Rate Base Support'!AG85</f>
        <v>-1.3499986380338669E-4</v>
      </c>
      <c r="T85" s="213">
        <f>+'Rate Base Support'!AH85</f>
        <v>0</v>
      </c>
      <c r="U85" s="213">
        <f t="shared" si="21"/>
        <v>0</v>
      </c>
      <c r="V85" s="68"/>
    </row>
    <row r="86" spans="1:22">
      <c r="A86" s="65" t="s">
        <v>272</v>
      </c>
      <c r="B86" s="65" t="s">
        <v>273</v>
      </c>
      <c r="C86" s="65" t="s">
        <v>229</v>
      </c>
      <c r="D86" s="58">
        <f t="shared" si="22"/>
        <v>77</v>
      </c>
      <c r="E86" s="67" t="s">
        <v>50</v>
      </c>
      <c r="F86" s="65" t="s">
        <v>312</v>
      </c>
      <c r="G86" s="65" t="s">
        <v>32</v>
      </c>
      <c r="H86" s="217">
        <f>1000*-140.255254167</f>
        <v>-140255.25416700001</v>
      </c>
      <c r="I86" s="217">
        <f>1000*-29.954955459</f>
        <v>-29954.955459000001</v>
      </c>
      <c r="J86" s="213">
        <f>+'Rate Base Support'!Y86</f>
        <v>0</v>
      </c>
      <c r="K86" s="213">
        <f t="shared" si="18"/>
        <v>-29954.955459000001</v>
      </c>
      <c r="L86" s="213"/>
      <c r="M86" s="213">
        <f t="shared" si="20"/>
        <v>-29954.955459000001</v>
      </c>
      <c r="N86" s="213"/>
      <c r="O86" s="213">
        <f>+'Rate Base Support'!AC86</f>
        <v>29954.955459000001</v>
      </c>
      <c r="P86" s="213">
        <f t="shared" si="19"/>
        <v>29954.955459000001</v>
      </c>
      <c r="Q86" s="213"/>
      <c r="R86" s="213">
        <f t="shared" si="16"/>
        <v>0</v>
      </c>
      <c r="S86" s="213">
        <f>+'Rate Base Support'!AG86</f>
        <v>29954.955459000001</v>
      </c>
      <c r="T86" s="213">
        <f>+'Rate Base Support'!AH86</f>
        <v>0</v>
      </c>
      <c r="U86" s="213">
        <f t="shared" si="21"/>
        <v>0</v>
      </c>
      <c r="V86" s="68"/>
    </row>
    <row r="87" spans="1:22">
      <c r="A87" s="65" t="s">
        <v>272</v>
      </c>
      <c r="B87" s="65" t="s">
        <v>273</v>
      </c>
      <c r="C87" s="65" t="s">
        <v>302</v>
      </c>
      <c r="D87" s="58">
        <f t="shared" si="22"/>
        <v>78</v>
      </c>
      <c r="E87" s="67" t="s">
        <v>50</v>
      </c>
      <c r="F87" s="65" t="s">
        <v>322</v>
      </c>
      <c r="G87" s="65" t="s">
        <v>42</v>
      </c>
      <c r="H87" s="217">
        <f>1000*-2069.824797917</f>
        <v>-2069824.797917</v>
      </c>
      <c r="I87" s="217">
        <f>1000*-163.315717202</f>
        <v>-163315.717202</v>
      </c>
      <c r="J87" s="213">
        <f>+'Rate Base Support'!Y87</f>
        <v>0</v>
      </c>
      <c r="K87" s="213">
        <f t="shared" si="18"/>
        <v>-163315.717202</v>
      </c>
      <c r="L87" s="213"/>
      <c r="M87" s="213">
        <f t="shared" si="20"/>
        <v>-163315.717202</v>
      </c>
      <c r="N87" s="213"/>
      <c r="O87" s="213">
        <f>+'Rate Base Support'!AC87</f>
        <v>163315.717202</v>
      </c>
      <c r="P87" s="213">
        <f t="shared" si="19"/>
        <v>163315.717202</v>
      </c>
      <c r="Q87" s="213"/>
      <c r="R87" s="213">
        <f t="shared" si="16"/>
        <v>0</v>
      </c>
      <c r="S87" s="213">
        <f>+'Rate Base Support'!AG87</f>
        <v>163315.717202</v>
      </c>
      <c r="T87" s="213">
        <f>+'Rate Base Support'!AH87</f>
        <v>0</v>
      </c>
      <c r="U87" s="213">
        <f t="shared" si="21"/>
        <v>0</v>
      </c>
      <c r="V87" s="68"/>
    </row>
    <row r="88" spans="1:22">
      <c r="A88" s="65" t="s">
        <v>272</v>
      </c>
      <c r="B88" s="65" t="s">
        <v>273</v>
      </c>
      <c r="C88" s="65" t="s">
        <v>227</v>
      </c>
      <c r="D88" s="58">
        <f t="shared" si="22"/>
        <v>79</v>
      </c>
      <c r="E88" s="67" t="s">
        <v>244</v>
      </c>
      <c r="F88" s="65" t="s">
        <v>245</v>
      </c>
      <c r="G88" s="65" t="s">
        <v>32</v>
      </c>
      <c r="H88" s="217">
        <f>1000*-21712.481389583</f>
        <v>-21712481.389583003</v>
      </c>
      <c r="I88" s="217">
        <f>1000*-4637.233854701</f>
        <v>-4637233.8547010003</v>
      </c>
      <c r="J88" s="213">
        <f>+'Rate Base Support'!Y88</f>
        <v>0</v>
      </c>
      <c r="K88" s="213">
        <f t="shared" si="18"/>
        <v>-4637233.8547010003</v>
      </c>
      <c r="L88" s="213"/>
      <c r="M88" s="213">
        <f t="shared" si="20"/>
        <v>-4637233.8547010003</v>
      </c>
      <c r="N88" s="213"/>
      <c r="O88" s="213">
        <f>+'Rate Base Support'!AC88</f>
        <v>0</v>
      </c>
      <c r="P88" s="213">
        <f t="shared" si="19"/>
        <v>0</v>
      </c>
      <c r="Q88" s="213"/>
      <c r="R88" s="213">
        <f t="shared" si="16"/>
        <v>-4637233.8547010003</v>
      </c>
      <c r="S88" s="213">
        <f>+'Rate Base Support'!AG88</f>
        <v>0</v>
      </c>
      <c r="T88" s="213">
        <f>+'Rate Base Support'!AH88</f>
        <v>-4637234</v>
      </c>
      <c r="U88" s="213">
        <f>ROUND(+R88-T88,0)</f>
        <v>0</v>
      </c>
      <c r="V88" s="68"/>
    </row>
    <row r="89" spans="1:22">
      <c r="A89" s="65" t="s">
        <v>272</v>
      </c>
      <c r="B89" s="65" t="s">
        <v>273</v>
      </c>
      <c r="C89" s="65" t="s">
        <v>305</v>
      </c>
      <c r="D89" s="58">
        <f t="shared" si="22"/>
        <v>80</v>
      </c>
      <c r="E89" s="132" t="s">
        <v>58</v>
      </c>
      <c r="F89" s="58" t="s">
        <v>275</v>
      </c>
      <c r="G89" s="58" t="s">
        <v>36</v>
      </c>
      <c r="H89" s="214">
        <f>1000*-2257.540625</f>
        <v>-2257540.625</v>
      </c>
      <c r="I89" s="214">
        <f>1000*-2257.540625</f>
        <v>-2257540.625</v>
      </c>
      <c r="J89" s="213">
        <f>+'Rate Base Support'!Y89</f>
        <v>2257540.625</v>
      </c>
      <c r="K89" s="213">
        <f t="shared" si="18"/>
        <v>0</v>
      </c>
      <c r="L89" s="213"/>
      <c r="M89" s="213">
        <f t="shared" si="20"/>
        <v>0</v>
      </c>
      <c r="N89" s="213"/>
      <c r="O89" s="213">
        <f>+'Rate Base Support'!AC89</f>
        <v>0</v>
      </c>
      <c r="P89" s="213">
        <f t="shared" si="19"/>
        <v>0</v>
      </c>
      <c r="Q89" s="213"/>
      <c r="R89" s="213">
        <f t="shared" si="16"/>
        <v>0</v>
      </c>
      <c r="S89" s="213">
        <f>+'Rate Base Support'!AG89</f>
        <v>0</v>
      </c>
      <c r="T89" s="213">
        <f>+'Rate Base Support'!AH89</f>
        <v>0</v>
      </c>
      <c r="U89" s="213">
        <f t="shared" si="21"/>
        <v>0</v>
      </c>
      <c r="V89" s="68"/>
    </row>
    <row r="90" spans="1:22">
      <c r="A90" s="65" t="s">
        <v>272</v>
      </c>
      <c r="B90" s="65" t="s">
        <v>273</v>
      </c>
      <c r="C90" s="65" t="s">
        <v>235</v>
      </c>
      <c r="D90" s="58">
        <f t="shared" si="22"/>
        <v>81</v>
      </c>
      <c r="E90" s="132" t="s">
        <v>58</v>
      </c>
      <c r="F90" s="58" t="s">
        <v>281</v>
      </c>
      <c r="G90" s="58" t="s">
        <v>36</v>
      </c>
      <c r="H90" s="214">
        <f>1000*165.366291667</f>
        <v>165366.29166700001</v>
      </c>
      <c r="I90" s="214">
        <f>1000*165.366291667</f>
        <v>165366.29166700001</v>
      </c>
      <c r="J90" s="213">
        <f>+'Rate Base Support'!Y90</f>
        <v>-165366</v>
      </c>
      <c r="K90" s="213">
        <f>ROUND(+J90+I90,0)</f>
        <v>0</v>
      </c>
      <c r="L90" s="213"/>
      <c r="M90" s="213">
        <f t="shared" si="20"/>
        <v>0</v>
      </c>
      <c r="N90" s="213"/>
      <c r="O90" s="213">
        <f>+'Rate Base Support'!AC90</f>
        <v>0</v>
      </c>
      <c r="P90" s="213">
        <f t="shared" si="19"/>
        <v>0</v>
      </c>
      <c r="Q90" s="213"/>
      <c r="R90" s="213">
        <f t="shared" si="16"/>
        <v>0</v>
      </c>
      <c r="S90" s="213">
        <f>+'Rate Base Support'!AG90</f>
        <v>0</v>
      </c>
      <c r="T90" s="213">
        <f>+'Rate Base Support'!AH90</f>
        <v>0</v>
      </c>
      <c r="U90" s="213">
        <f t="shared" si="21"/>
        <v>0</v>
      </c>
      <c r="V90" s="68"/>
    </row>
    <row r="91" spans="1:22">
      <c r="A91" s="65" t="s">
        <v>272</v>
      </c>
      <c r="B91" s="65" t="s">
        <v>273</v>
      </c>
      <c r="C91" s="65" t="s">
        <v>237</v>
      </c>
      <c r="D91" s="58">
        <f t="shared" si="22"/>
        <v>82</v>
      </c>
      <c r="E91" s="132" t="s">
        <v>58</v>
      </c>
      <c r="F91" s="65" t="s">
        <v>283</v>
      </c>
      <c r="G91" s="65" t="s">
        <v>70</v>
      </c>
      <c r="H91" s="217">
        <f>1000*153.30836875</f>
        <v>153308.36874999999</v>
      </c>
      <c r="I91" s="217">
        <f>1000*33.911618152</f>
        <v>33911.618152000003</v>
      </c>
      <c r="J91" s="213">
        <f>+'Rate Base Support'!Y91</f>
        <v>-33912</v>
      </c>
      <c r="K91" s="213">
        <f>ROUND(+J91+I91,0)</f>
        <v>0</v>
      </c>
      <c r="L91" s="213"/>
      <c r="M91" s="213">
        <f t="shared" si="20"/>
        <v>0</v>
      </c>
      <c r="N91" s="213"/>
      <c r="O91" s="213">
        <f>+'Rate Base Support'!AC91</f>
        <v>0</v>
      </c>
      <c r="P91" s="213">
        <f t="shared" si="19"/>
        <v>0</v>
      </c>
      <c r="Q91" s="213"/>
      <c r="R91" s="213">
        <f t="shared" si="16"/>
        <v>0</v>
      </c>
      <c r="S91" s="213">
        <f>+'Rate Base Support'!AG91</f>
        <v>0</v>
      </c>
      <c r="T91" s="213">
        <f>+'Rate Base Support'!AH91</f>
        <v>0</v>
      </c>
      <c r="U91" s="213">
        <f t="shared" si="21"/>
        <v>0</v>
      </c>
      <c r="V91" s="68"/>
    </row>
    <row r="92" spans="1:22">
      <c r="A92" s="65" t="s">
        <v>272</v>
      </c>
      <c r="B92" s="65" t="s">
        <v>273</v>
      </c>
      <c r="C92" s="65" t="s">
        <v>239</v>
      </c>
      <c r="D92" s="58">
        <f t="shared" si="22"/>
        <v>83</v>
      </c>
      <c r="E92" s="132" t="s">
        <v>58</v>
      </c>
      <c r="F92" s="65" t="s">
        <v>285</v>
      </c>
      <c r="G92" s="65" t="s">
        <v>30</v>
      </c>
      <c r="H92" s="217">
        <f>1000*-6376.651402083</f>
        <v>-6376651.4020830002</v>
      </c>
      <c r="I92" s="217">
        <f>1000*-472.405910347</f>
        <v>-472405.910347</v>
      </c>
      <c r="J92" s="213">
        <f>+'Rate Base Support'!Y92</f>
        <v>472406</v>
      </c>
      <c r="K92" s="213">
        <f>ROUND(+J92+I92,0)</f>
        <v>0</v>
      </c>
      <c r="L92" s="213"/>
      <c r="M92" s="213">
        <f t="shared" si="20"/>
        <v>0</v>
      </c>
      <c r="N92" s="213"/>
      <c r="O92" s="213">
        <f>+'Rate Base Support'!AC92</f>
        <v>0</v>
      </c>
      <c r="P92" s="213">
        <f t="shared" si="19"/>
        <v>0</v>
      </c>
      <c r="Q92" s="213"/>
      <c r="R92" s="213">
        <f t="shared" si="16"/>
        <v>0</v>
      </c>
      <c r="S92" s="213">
        <f>+'Rate Base Support'!AG92</f>
        <v>0</v>
      </c>
      <c r="T92" s="213">
        <f>+'Rate Base Support'!AH92</f>
        <v>0</v>
      </c>
      <c r="U92" s="213">
        <f t="shared" si="21"/>
        <v>0</v>
      </c>
      <c r="V92" s="68"/>
    </row>
    <row r="93" spans="1:22">
      <c r="A93" s="65" t="s">
        <v>272</v>
      </c>
      <c r="B93" s="65" t="s">
        <v>273</v>
      </c>
      <c r="C93" s="65" t="s">
        <v>241</v>
      </c>
      <c r="D93" s="58">
        <f t="shared" si="22"/>
        <v>84</v>
      </c>
      <c r="E93" s="132" t="s">
        <v>58</v>
      </c>
      <c r="F93" s="65" t="s">
        <v>287</v>
      </c>
      <c r="G93" s="65" t="s">
        <v>30</v>
      </c>
      <c r="H93" s="217">
        <f>1000*9589.576208333</f>
        <v>9589576.2083329987</v>
      </c>
      <c r="I93" s="217">
        <f>1000*710.431258177</f>
        <v>710431.25817699998</v>
      </c>
      <c r="J93" s="213">
        <f>+'Rate Base Support'!Y93</f>
        <v>-710431</v>
      </c>
      <c r="K93" s="213">
        <f>ROUND(+J93+I93,0)</f>
        <v>0</v>
      </c>
      <c r="L93" s="213"/>
      <c r="M93" s="213">
        <f t="shared" si="20"/>
        <v>0</v>
      </c>
      <c r="N93" s="213"/>
      <c r="O93" s="213">
        <f>+'Rate Base Support'!AC93</f>
        <v>0</v>
      </c>
      <c r="P93" s="213">
        <f t="shared" si="19"/>
        <v>0</v>
      </c>
      <c r="Q93" s="213"/>
      <c r="R93" s="213">
        <f t="shared" si="16"/>
        <v>0</v>
      </c>
      <c r="S93" s="213">
        <f>+'Rate Base Support'!AG93</f>
        <v>0</v>
      </c>
      <c r="T93" s="213">
        <f>+'Rate Base Support'!AH93</f>
        <v>0</v>
      </c>
      <c r="U93" s="213">
        <f t="shared" si="21"/>
        <v>0</v>
      </c>
      <c r="V93" s="68"/>
    </row>
    <row r="94" spans="1:22">
      <c r="A94" s="65" t="s">
        <v>272</v>
      </c>
      <c r="B94" s="65" t="s">
        <v>273</v>
      </c>
      <c r="C94" s="65" t="s">
        <v>243</v>
      </c>
      <c r="D94" s="58">
        <f t="shared" si="22"/>
        <v>85</v>
      </c>
      <c r="E94" s="132" t="s">
        <v>58</v>
      </c>
      <c r="F94" s="65" t="s">
        <v>289</v>
      </c>
      <c r="G94" s="65" t="s">
        <v>26</v>
      </c>
      <c r="H94" s="217">
        <f>1000*-4360.220072917</f>
        <v>-4360220.0729169995</v>
      </c>
      <c r="I94" s="217">
        <f>1000*-361.533952224</f>
        <v>-361533.95222400001</v>
      </c>
      <c r="J94" s="213">
        <f>+'Rate Base Support'!Y94</f>
        <v>314644</v>
      </c>
      <c r="K94" s="213">
        <f>+J94+I94</f>
        <v>-46889.952224000008</v>
      </c>
      <c r="L94" s="213"/>
      <c r="M94" s="213">
        <f t="shared" si="20"/>
        <v>-46889.952224000008</v>
      </c>
      <c r="N94" s="213"/>
      <c r="O94" s="213">
        <f>+'Rate Base Support'!AC94</f>
        <v>0</v>
      </c>
      <c r="P94" s="213">
        <f t="shared" si="19"/>
        <v>0</v>
      </c>
      <c r="Q94" s="213"/>
      <c r="R94" s="213">
        <f t="shared" si="16"/>
        <v>-46889.952224000008</v>
      </c>
      <c r="S94" s="213">
        <f>+'Rate Base Support'!AG94</f>
        <v>0</v>
      </c>
      <c r="T94" s="256">
        <f>+'Rate Base Support'!AH94</f>
        <v>-46890</v>
      </c>
      <c r="U94" s="256">
        <f t="shared" si="21"/>
        <v>4.7775999992154539E-2</v>
      </c>
      <c r="V94" s="68"/>
    </row>
    <row r="95" spans="1:22">
      <c r="A95" s="65" t="s">
        <v>272</v>
      </c>
      <c r="B95" s="65" t="s">
        <v>273</v>
      </c>
      <c r="C95" s="65" t="s">
        <v>308</v>
      </c>
      <c r="D95" s="58">
        <f t="shared" si="22"/>
        <v>86</v>
      </c>
      <c r="E95" s="132" t="s">
        <v>58</v>
      </c>
      <c r="F95" s="65" t="s">
        <v>291</v>
      </c>
      <c r="G95" s="65" t="s">
        <v>36</v>
      </c>
      <c r="H95" s="217">
        <f>1000*-238.5067625</f>
        <v>-238506.76250000001</v>
      </c>
      <c r="I95" s="217">
        <f>1000*-238.5067625</f>
        <v>-238506.76250000001</v>
      </c>
      <c r="J95" s="213">
        <f>+'Rate Base Support'!Y95</f>
        <v>238507</v>
      </c>
      <c r="K95" s="213">
        <f>+J95+I95</f>
        <v>0.23749999998835847</v>
      </c>
      <c r="L95" s="213"/>
      <c r="M95" s="213">
        <f t="shared" si="20"/>
        <v>0.23749999998835847</v>
      </c>
      <c r="N95" s="213"/>
      <c r="O95" s="213">
        <f>+'Rate Base Support'!AC95</f>
        <v>0</v>
      </c>
      <c r="P95" s="213">
        <f t="shared" si="19"/>
        <v>0</v>
      </c>
      <c r="Q95" s="213"/>
      <c r="R95" s="213">
        <f>ROUND(+P95+K95,0)</f>
        <v>0</v>
      </c>
      <c r="S95" s="213">
        <f>+'Rate Base Support'!AG95</f>
        <v>0</v>
      </c>
      <c r="T95" s="213">
        <f>+'Rate Base Support'!AH95</f>
        <v>0</v>
      </c>
      <c r="U95" s="213">
        <f t="shared" si="21"/>
        <v>0</v>
      </c>
      <c r="V95" s="68"/>
    </row>
    <row r="96" spans="1:22">
      <c r="A96" s="65" t="s">
        <v>272</v>
      </c>
      <c r="B96" s="65" t="s">
        <v>273</v>
      </c>
      <c r="C96" s="65" t="s">
        <v>246</v>
      </c>
      <c r="D96" s="58">
        <f t="shared" si="22"/>
        <v>87</v>
      </c>
      <c r="E96" s="132" t="s">
        <v>58</v>
      </c>
      <c r="F96" s="65" t="s">
        <v>309</v>
      </c>
      <c r="G96" s="65" t="s">
        <v>26</v>
      </c>
      <c r="H96" s="217">
        <f>1000*103.170791667</f>
        <v>103170.791667</v>
      </c>
      <c r="I96" s="217">
        <f>1000*8.554555376</f>
        <v>8554.5553760000003</v>
      </c>
      <c r="J96" s="213">
        <f>+'Rate Base Support'!Y96</f>
        <v>0</v>
      </c>
      <c r="K96" s="213">
        <f>+J96+I96</f>
        <v>8554.5553760000003</v>
      </c>
      <c r="L96" s="213"/>
      <c r="M96" s="213">
        <f t="shared" si="20"/>
        <v>8554.5553760000003</v>
      </c>
      <c r="N96" s="213"/>
      <c r="O96" s="213">
        <f>+'Rate Base Support'!AC96</f>
        <v>0</v>
      </c>
      <c r="P96" s="213">
        <f t="shared" si="19"/>
        <v>0</v>
      </c>
      <c r="Q96" s="213"/>
      <c r="R96" s="213">
        <f t="shared" si="16"/>
        <v>8554.5553760000003</v>
      </c>
      <c r="S96" s="213">
        <f>+'Rate Base Support'!AG96</f>
        <v>0</v>
      </c>
      <c r="T96" s="213">
        <f>+'Rate Base Support'!AH96</f>
        <v>0</v>
      </c>
      <c r="U96" s="213">
        <f t="shared" si="21"/>
        <v>8554.5553760000003</v>
      </c>
      <c r="V96" s="68"/>
    </row>
    <row r="97" spans="1:22">
      <c r="A97" s="65" t="s">
        <v>272</v>
      </c>
      <c r="B97" s="65" t="s">
        <v>273</v>
      </c>
      <c r="C97" s="65" t="s">
        <v>313</v>
      </c>
      <c r="D97" s="58">
        <f t="shared" si="22"/>
        <v>88</v>
      </c>
      <c r="E97" s="132" t="s">
        <v>58</v>
      </c>
      <c r="F97" s="65" t="s">
        <v>311</v>
      </c>
      <c r="G97" s="65" t="s">
        <v>36</v>
      </c>
      <c r="H97" s="217">
        <f>1000*-14.55934375</f>
        <v>-14559.34375</v>
      </c>
      <c r="I97" s="217">
        <f>1000*-14.55934375</f>
        <v>-14559.34375</v>
      </c>
      <c r="J97" s="213">
        <f>+'Rate Base Support'!Y97</f>
        <v>14559.34375</v>
      </c>
      <c r="K97" s="213">
        <f>+J97+I97</f>
        <v>0</v>
      </c>
      <c r="L97" s="213"/>
      <c r="M97" s="213">
        <f t="shared" si="20"/>
        <v>0</v>
      </c>
      <c r="N97" s="213"/>
      <c r="O97" s="213">
        <f>+'Rate Base Support'!AC97</f>
        <v>0</v>
      </c>
      <c r="P97" s="213">
        <f t="shared" si="19"/>
        <v>0</v>
      </c>
      <c r="Q97" s="213"/>
      <c r="R97" s="213">
        <f t="shared" si="16"/>
        <v>0</v>
      </c>
      <c r="S97" s="213">
        <f>+'Rate Base Support'!AG97</f>
        <v>0</v>
      </c>
      <c r="T97" s="213">
        <f>+'Rate Base Support'!AH97</f>
        <v>0</v>
      </c>
      <c r="U97" s="213">
        <f t="shared" si="21"/>
        <v>0</v>
      </c>
      <c r="V97" s="68"/>
    </row>
    <row r="98" spans="1:22">
      <c r="A98" s="65" t="s">
        <v>272</v>
      </c>
      <c r="B98" s="65" t="s">
        <v>273</v>
      </c>
      <c r="C98" s="65" t="s">
        <v>315</v>
      </c>
      <c r="D98" s="58">
        <f t="shared" si="22"/>
        <v>89</v>
      </c>
      <c r="E98" s="132" t="s">
        <v>58</v>
      </c>
      <c r="F98" s="65" t="s">
        <v>314</v>
      </c>
      <c r="G98" s="65" t="s">
        <v>36</v>
      </c>
      <c r="H98" s="217">
        <f>1000*-43.79368125</f>
        <v>-43793.681250000001</v>
      </c>
      <c r="I98" s="217">
        <f>1000*-43.79368125</f>
        <v>-43793.681250000001</v>
      </c>
      <c r="J98" s="213">
        <f>+'Rate Base Support'!Y98</f>
        <v>0</v>
      </c>
      <c r="K98" s="213">
        <f>+J98+I98</f>
        <v>-43793.681250000001</v>
      </c>
      <c r="L98" s="213"/>
      <c r="M98" s="213">
        <f t="shared" si="20"/>
        <v>-43793.681250000001</v>
      </c>
      <c r="N98" s="213"/>
      <c r="O98" s="213">
        <f>+'Rate Base Support'!AC98</f>
        <v>0</v>
      </c>
      <c r="P98" s="213">
        <f t="shared" si="19"/>
        <v>0</v>
      </c>
      <c r="Q98" s="213"/>
      <c r="R98" s="213">
        <f t="shared" si="16"/>
        <v>-43793.681250000001</v>
      </c>
      <c r="S98" s="213">
        <f>+'Rate Base Support'!AG98</f>
        <v>0</v>
      </c>
      <c r="T98" s="213">
        <f>+'Rate Base Support'!AH98</f>
        <v>0</v>
      </c>
      <c r="U98" s="213">
        <f t="shared" si="21"/>
        <v>-43793.681250000001</v>
      </c>
      <c r="V98" s="68"/>
    </row>
    <row r="99" spans="1:22">
      <c r="A99" s="65" t="s">
        <v>272</v>
      </c>
      <c r="B99" s="65" t="s">
        <v>273</v>
      </c>
      <c r="C99" s="65" t="s">
        <v>317</v>
      </c>
      <c r="D99" s="58">
        <f t="shared" si="22"/>
        <v>90</v>
      </c>
      <c r="E99" s="132" t="s">
        <v>58</v>
      </c>
      <c r="F99" s="65" t="s">
        <v>316</v>
      </c>
      <c r="G99" s="65" t="s">
        <v>36</v>
      </c>
      <c r="H99" s="217">
        <f>1000*-352.5753625</f>
        <v>-352575.36249999999</v>
      </c>
      <c r="I99" s="217">
        <f>1000*-352.5753625</f>
        <v>-352575.36249999999</v>
      </c>
      <c r="J99" s="213">
        <f>+'Rate Base Support'!Y99</f>
        <v>352575</v>
      </c>
      <c r="K99" s="213">
        <f>ROUND(+J99+I99,0)</f>
        <v>0</v>
      </c>
      <c r="L99" s="213"/>
      <c r="M99" s="213">
        <f t="shared" si="20"/>
        <v>0</v>
      </c>
      <c r="N99" s="213"/>
      <c r="O99" s="213">
        <f>+'Rate Base Support'!AC99</f>
        <v>0</v>
      </c>
      <c r="P99" s="213">
        <f t="shared" si="19"/>
        <v>0</v>
      </c>
      <c r="Q99" s="213"/>
      <c r="R99" s="213">
        <f>ROUND(+P99+K99,0)</f>
        <v>0</v>
      </c>
      <c r="S99" s="213">
        <f>+'Rate Base Support'!AG99</f>
        <v>0</v>
      </c>
      <c r="T99" s="213">
        <f>+'Rate Base Support'!AH99</f>
        <v>0</v>
      </c>
      <c r="U99" s="213">
        <f t="shared" si="21"/>
        <v>0</v>
      </c>
      <c r="V99" s="68"/>
    </row>
    <row r="100" spans="1:22">
      <c r="A100" s="65" t="s">
        <v>272</v>
      </c>
      <c r="B100" s="65" t="s">
        <v>273</v>
      </c>
      <c r="C100" s="65" t="s">
        <v>319</v>
      </c>
      <c r="D100" s="58">
        <f t="shared" si="22"/>
        <v>91</v>
      </c>
      <c r="E100" s="132" t="s">
        <v>58</v>
      </c>
      <c r="F100" s="65" t="s">
        <v>318</v>
      </c>
      <c r="G100" s="65" t="s">
        <v>36</v>
      </c>
      <c r="H100" s="217">
        <f>1000*-479.2319125</f>
        <v>-479231.91250000003</v>
      </c>
      <c r="I100" s="217">
        <f>1000*-479.2319125</f>
        <v>-479231.91250000003</v>
      </c>
      <c r="J100" s="213">
        <f>+'Rate Base Support'!Y100</f>
        <v>479231.91250000003</v>
      </c>
      <c r="K100" s="213">
        <f>+J100+I100</f>
        <v>0</v>
      </c>
      <c r="L100" s="213"/>
      <c r="M100" s="213">
        <f t="shared" si="20"/>
        <v>0</v>
      </c>
      <c r="N100" s="213"/>
      <c r="O100" s="213">
        <f>+'Rate Base Support'!AC100</f>
        <v>0</v>
      </c>
      <c r="P100" s="213">
        <f t="shared" si="19"/>
        <v>0</v>
      </c>
      <c r="Q100" s="213"/>
      <c r="R100" s="213">
        <f t="shared" si="16"/>
        <v>0</v>
      </c>
      <c r="S100" s="213">
        <f>+'Rate Base Support'!AG100</f>
        <v>0</v>
      </c>
      <c r="T100" s="213">
        <f>+'Rate Base Support'!AH100</f>
        <v>0</v>
      </c>
      <c r="U100" s="213">
        <f t="shared" si="21"/>
        <v>0</v>
      </c>
      <c r="V100" s="68"/>
    </row>
    <row r="101" spans="1:22">
      <c r="A101" s="65" t="s">
        <v>272</v>
      </c>
      <c r="B101" s="65" t="s">
        <v>273</v>
      </c>
      <c r="C101" s="65" t="s">
        <v>321</v>
      </c>
      <c r="D101" s="58">
        <f t="shared" si="22"/>
        <v>92</v>
      </c>
      <c r="E101" s="132" t="s">
        <v>58</v>
      </c>
      <c r="F101" s="65" t="s">
        <v>320</v>
      </c>
      <c r="G101" s="65" t="s">
        <v>57</v>
      </c>
      <c r="H101" s="217">
        <f>1000*-2255.290945833</f>
        <v>-2255290.9458329999</v>
      </c>
      <c r="I101" s="217">
        <f>1000*-498.127949268</f>
        <v>-498127.94926800003</v>
      </c>
      <c r="J101" s="213">
        <f>+'Rate Base Support'!Y101</f>
        <v>498128</v>
      </c>
      <c r="K101" s="213">
        <f>+J101+I101</f>
        <v>5.0731999974232167E-2</v>
      </c>
      <c r="L101" s="213"/>
      <c r="M101" s="213">
        <f t="shared" si="20"/>
        <v>5.0731999974232167E-2</v>
      </c>
      <c r="N101" s="213"/>
      <c r="O101" s="213">
        <f>+'Rate Base Support'!AC101</f>
        <v>0</v>
      </c>
      <c r="P101" s="213">
        <f t="shared" si="19"/>
        <v>0</v>
      </c>
      <c r="Q101" s="213"/>
      <c r="R101" s="213">
        <f>ROUND(+P101+K101,0)</f>
        <v>0</v>
      </c>
      <c r="S101" s="213">
        <f>+'Rate Base Support'!AG101</f>
        <v>0</v>
      </c>
      <c r="T101" s="213">
        <f>+'Rate Base Support'!AH101</f>
        <v>0</v>
      </c>
      <c r="U101" s="213">
        <f t="shared" si="21"/>
        <v>0</v>
      </c>
      <c r="V101" s="68"/>
    </row>
    <row r="102" spans="1:22">
      <c r="A102" s="65">
        <v>283</v>
      </c>
      <c r="B102" s="65"/>
      <c r="C102" s="65"/>
      <c r="D102" s="58">
        <f t="shared" si="22"/>
        <v>93</v>
      </c>
      <c r="E102" s="132" t="s">
        <v>58</v>
      </c>
      <c r="F102" s="67" t="s">
        <v>323</v>
      </c>
      <c r="G102" s="65"/>
      <c r="H102" s="217"/>
      <c r="I102" s="217"/>
      <c r="J102" s="213">
        <f>+'Rate Base Support'!Y102</f>
        <v>-111262</v>
      </c>
      <c r="K102" s="213">
        <f>+J102+I102</f>
        <v>-111262</v>
      </c>
      <c r="L102" s="213"/>
      <c r="M102" s="213">
        <f t="shared" si="20"/>
        <v>-111262</v>
      </c>
      <c r="N102" s="213"/>
      <c r="O102" s="213">
        <f>+'Rate Base Support'!AC102</f>
        <v>0</v>
      </c>
      <c r="P102" s="213">
        <f t="shared" si="19"/>
        <v>0</v>
      </c>
      <c r="Q102" s="213"/>
      <c r="R102" s="213">
        <f t="shared" si="16"/>
        <v>-111262</v>
      </c>
      <c r="S102" s="213">
        <f>+'Rate Base Support'!AG102</f>
        <v>0</v>
      </c>
      <c r="T102" s="213">
        <f>+'Rate Base Support'!AH102</f>
        <v>0</v>
      </c>
      <c r="U102" s="213">
        <f t="shared" si="21"/>
        <v>-111262</v>
      </c>
      <c r="V102" s="68"/>
    </row>
    <row r="103" spans="1:22">
      <c r="A103" s="65">
        <v>283</v>
      </c>
      <c r="B103" s="65"/>
      <c r="C103" s="65"/>
      <c r="D103" s="58">
        <f t="shared" si="22"/>
        <v>94</v>
      </c>
      <c r="E103" s="132" t="s">
        <v>58</v>
      </c>
      <c r="F103" s="67" t="s">
        <v>131</v>
      </c>
      <c r="G103" s="65"/>
      <c r="H103" s="217"/>
      <c r="I103" s="217"/>
      <c r="J103" s="213">
        <f>+'Rate Base Support'!Y103</f>
        <v>-6261915</v>
      </c>
      <c r="K103" s="213">
        <f>+J103+I103</f>
        <v>-6261915</v>
      </c>
      <c r="L103" s="213"/>
      <c r="M103" s="213">
        <f t="shared" si="20"/>
        <v>-6261915</v>
      </c>
      <c r="N103" s="213"/>
      <c r="O103" s="213">
        <f>+'Rate Base Support'!AC103</f>
        <v>0</v>
      </c>
      <c r="P103" s="213">
        <f t="shared" si="19"/>
        <v>0</v>
      </c>
      <c r="Q103" s="213"/>
      <c r="R103" s="213">
        <f t="shared" si="16"/>
        <v>-6261915</v>
      </c>
      <c r="S103" s="213">
        <f>+'Rate Base Support'!AG103</f>
        <v>0</v>
      </c>
      <c r="T103" s="213">
        <f>+'Rate Base Support'!AH103</f>
        <v>0</v>
      </c>
      <c r="U103" s="213">
        <f t="shared" si="21"/>
        <v>-6261915</v>
      </c>
      <c r="V103" s="68"/>
    </row>
    <row r="104" spans="1:22">
      <c r="A104" s="194" t="s">
        <v>324</v>
      </c>
      <c r="B104" s="65"/>
      <c r="C104" s="194"/>
      <c r="D104" s="58">
        <f t="shared" si="22"/>
        <v>95</v>
      </c>
      <c r="F104" s="194" t="s">
        <v>534</v>
      </c>
      <c r="G104" s="194"/>
      <c r="H104" s="218"/>
      <c r="I104" s="218">
        <f>ROUND(SUM(I69:I103),0)</f>
        <v>-4699480</v>
      </c>
      <c r="J104" s="218">
        <f t="shared" ref="J104:U104" si="23">ROUND(SUM(J69:J103),0)</f>
        <v>-5157357</v>
      </c>
      <c r="K104" s="218">
        <f t="shared" si="23"/>
        <v>-9856837</v>
      </c>
      <c r="L104" s="218">
        <f t="shared" si="23"/>
        <v>0</v>
      </c>
      <c r="M104" s="218">
        <f t="shared" si="23"/>
        <v>-9856837</v>
      </c>
      <c r="N104" s="218">
        <f t="shared" si="23"/>
        <v>0</v>
      </c>
      <c r="O104" s="218">
        <f t="shared" si="23"/>
        <v>-1235702</v>
      </c>
      <c r="P104" s="218">
        <f t="shared" si="23"/>
        <v>-1235702</v>
      </c>
      <c r="Q104" s="218">
        <f t="shared" si="23"/>
        <v>0</v>
      </c>
      <c r="R104" s="218">
        <f t="shared" si="23"/>
        <v>-11092540</v>
      </c>
      <c r="S104" s="218">
        <f t="shared" si="23"/>
        <v>-1235702</v>
      </c>
      <c r="T104" s="218">
        <f t="shared" si="23"/>
        <v>-4684124</v>
      </c>
      <c r="U104" s="218">
        <f t="shared" si="23"/>
        <v>-6408416</v>
      </c>
      <c r="V104" s="68"/>
    </row>
    <row r="105" spans="1:22">
      <c r="A105" s="195"/>
      <c r="B105" s="196"/>
      <c r="C105" s="197" t="s">
        <v>325</v>
      </c>
      <c r="D105" s="58">
        <f t="shared" si="22"/>
        <v>96</v>
      </c>
      <c r="F105" s="203" t="s">
        <v>550</v>
      </c>
      <c r="G105" s="197" t="s">
        <v>325</v>
      </c>
      <c r="H105" s="218"/>
      <c r="I105" s="218"/>
      <c r="J105" s="213">
        <f>+'Rate Base Support'!Y105</f>
        <v>1099614</v>
      </c>
      <c r="K105" s="213">
        <f>+J105+I105</f>
        <v>1099614</v>
      </c>
      <c r="L105" s="213"/>
      <c r="M105" s="213">
        <f t="shared" ref="M105:M108" si="24">+L105+K105</f>
        <v>1099614</v>
      </c>
      <c r="N105" s="213"/>
      <c r="O105" s="213">
        <f>+'Rate Base Support'!AC105</f>
        <v>0</v>
      </c>
      <c r="P105" s="213">
        <f>+O105+N105</f>
        <v>0</v>
      </c>
      <c r="Q105" s="213"/>
      <c r="R105" s="213">
        <f t="shared" ref="R105:R107" si="25">+P105+M105+Q105</f>
        <v>1099614</v>
      </c>
      <c r="S105" s="213">
        <f>+'Rate Base Support'!AG105</f>
        <v>0</v>
      </c>
      <c r="T105" s="256">
        <f>+'Rate Base Support'!AH105</f>
        <v>1095830</v>
      </c>
      <c r="U105" s="256">
        <f t="shared" si="21"/>
        <v>3784</v>
      </c>
      <c r="V105" s="68"/>
    </row>
    <row r="106" spans="1:22">
      <c r="A106" s="195"/>
      <c r="B106" s="196"/>
      <c r="C106" s="197" t="s">
        <v>326</v>
      </c>
      <c r="D106" s="58">
        <f t="shared" si="22"/>
        <v>97</v>
      </c>
      <c r="F106" s="203" t="s">
        <v>326</v>
      </c>
      <c r="G106" s="197" t="s">
        <v>326</v>
      </c>
      <c r="H106" s="218"/>
      <c r="I106" s="218"/>
      <c r="J106" s="213">
        <f>+'Rate Base Support'!Y106</f>
        <v>-262781</v>
      </c>
      <c r="K106" s="213">
        <f>+J106+I106</f>
        <v>-262781</v>
      </c>
      <c r="L106" s="213">
        <v>262781</v>
      </c>
      <c r="M106" s="213">
        <f t="shared" si="24"/>
        <v>0</v>
      </c>
      <c r="N106" s="213">
        <f>+'Rate Base Support'!AB106</f>
        <v>-20433</v>
      </c>
      <c r="O106" s="213">
        <f>+'Rate Base Support'!AC106</f>
        <v>0</v>
      </c>
      <c r="P106" s="213">
        <f>+O106+N106</f>
        <v>-20433</v>
      </c>
      <c r="Q106" s="213"/>
      <c r="R106" s="213">
        <f t="shared" si="25"/>
        <v>-20433</v>
      </c>
      <c r="S106" s="213">
        <f>+'Rate Base Support'!AG106</f>
        <v>242348</v>
      </c>
      <c r="T106" s="213">
        <f>+'Rate Base Support'!AH106</f>
        <v>0</v>
      </c>
      <c r="U106" s="213">
        <f t="shared" si="21"/>
        <v>-20433</v>
      </c>
      <c r="V106" s="68"/>
    </row>
    <row r="107" spans="1:22">
      <c r="A107" s="195"/>
      <c r="B107" s="196"/>
      <c r="C107" s="197" t="s">
        <v>327</v>
      </c>
      <c r="D107" s="58">
        <f t="shared" si="22"/>
        <v>98</v>
      </c>
      <c r="F107" s="203" t="s">
        <v>551</v>
      </c>
      <c r="G107" s="197" t="s">
        <v>327</v>
      </c>
      <c r="H107" s="218"/>
      <c r="I107" s="218"/>
      <c r="J107" s="213">
        <f>+'Rate Base Support'!Y107</f>
        <v>-9873198.5</v>
      </c>
      <c r="K107" s="213">
        <f>+J107+I107</f>
        <v>-9873198.5</v>
      </c>
      <c r="L107" s="213"/>
      <c r="M107" s="213">
        <f t="shared" si="24"/>
        <v>-9873198.5</v>
      </c>
      <c r="N107" s="213"/>
      <c r="O107" s="213">
        <f>+'Rate Base Support'!AC107</f>
        <v>0</v>
      </c>
      <c r="P107" s="213">
        <f>+O107+N107</f>
        <v>0</v>
      </c>
      <c r="Q107" s="213"/>
      <c r="R107" s="213">
        <f t="shared" si="25"/>
        <v>-9873198.5</v>
      </c>
      <c r="S107" s="213">
        <f>+'Rate Base Support'!AG107</f>
        <v>0</v>
      </c>
      <c r="T107" s="213">
        <f>+'Rate Base Support'!AH107</f>
        <v>-9873199</v>
      </c>
      <c r="U107" s="213">
        <f t="shared" si="21"/>
        <v>0.5</v>
      </c>
      <c r="V107" s="68"/>
    </row>
    <row r="108" spans="1:22">
      <c r="A108" s="195"/>
      <c r="B108" s="196"/>
      <c r="C108" s="197" t="s">
        <v>329</v>
      </c>
      <c r="D108" s="58">
        <f t="shared" si="22"/>
        <v>99</v>
      </c>
      <c r="F108" s="204" t="s">
        <v>329</v>
      </c>
      <c r="G108" s="199" t="s">
        <v>328</v>
      </c>
      <c r="H108" s="218"/>
      <c r="I108" s="218"/>
      <c r="J108" s="213">
        <f>+'Rate Base Support'!Y108</f>
        <v>0</v>
      </c>
      <c r="K108" s="213"/>
      <c r="L108" s="213"/>
      <c r="M108" s="213">
        <f t="shared" si="24"/>
        <v>0</v>
      </c>
      <c r="N108" s="213"/>
      <c r="O108" s="213">
        <f>+'Rate Base Support'!AC108</f>
        <v>0</v>
      </c>
      <c r="P108" s="213"/>
      <c r="Q108" s="213">
        <f>+'Rate Base Support'!AE108</f>
        <v>-14463670</v>
      </c>
      <c r="R108" s="213">
        <f>+P108+M108+Q108</f>
        <v>-14463670</v>
      </c>
      <c r="S108" s="213">
        <f>+'Rate Base Support'!AG108</f>
        <v>-14463670</v>
      </c>
      <c r="T108" s="213">
        <f>+'Rate Base Support'!AH108</f>
        <v>0</v>
      </c>
      <c r="U108" s="213">
        <f t="shared" si="21"/>
        <v>-14463670</v>
      </c>
      <c r="V108" s="68"/>
    </row>
    <row r="109" spans="1:22">
      <c r="A109" s="200"/>
      <c r="B109" s="198"/>
      <c r="C109" s="199" t="s">
        <v>328</v>
      </c>
      <c r="D109" s="58">
        <f t="shared" si="22"/>
        <v>100</v>
      </c>
      <c r="F109" s="199" t="s">
        <v>328</v>
      </c>
      <c r="H109" s="213"/>
      <c r="I109" s="216">
        <f>ROUND(+I104+I68+I61+I58+I105+I107+I106,0)</f>
        <v>-128569574</v>
      </c>
      <c r="J109" s="216">
        <f t="shared" ref="J109:P109" si="26">ROUND(+J104+J68+J61+J58+J105+J107+J106,0)</f>
        <v>-12019788</v>
      </c>
      <c r="K109" s="216">
        <f t="shared" si="26"/>
        <v>-140589362</v>
      </c>
      <c r="L109" s="216">
        <f t="shared" si="26"/>
        <v>262781</v>
      </c>
      <c r="M109" s="216">
        <f t="shared" si="26"/>
        <v>-140326581</v>
      </c>
      <c r="N109" s="216">
        <f t="shared" si="26"/>
        <v>-20433</v>
      </c>
      <c r="O109" s="216">
        <f t="shared" si="26"/>
        <v>-5381142</v>
      </c>
      <c r="P109" s="216">
        <f t="shared" si="26"/>
        <v>-5401575</v>
      </c>
      <c r="Q109" s="216">
        <f>ROUND(+Q104+Q68+Q61+Q58+Q105+Q107+Q106+Q108,0)</f>
        <v>-14463670</v>
      </c>
      <c r="R109" s="216">
        <f>ROUND(+R104+R68+R61+R58+R105+R107+R106+R108,0)</f>
        <v>-160191829</v>
      </c>
      <c r="S109" s="216">
        <f t="shared" ref="S109:U109" si="27">ROUND(+S104+S68+S61+S58+S105+S107+S106+S108,0)</f>
        <v>-19602464</v>
      </c>
      <c r="T109" s="255">
        <f t="shared" si="27"/>
        <v>-139304697</v>
      </c>
      <c r="U109" s="255">
        <f t="shared" si="27"/>
        <v>-20887132</v>
      </c>
      <c r="V109" s="68"/>
    </row>
    <row r="110" spans="1:22">
      <c r="J110" s="201"/>
    </row>
  </sheetData>
  <printOptions horizontalCentered="1"/>
  <pageMargins left="0.25" right="0.25" top="0.55000000000000004" bottom="0.3" header="0.55000000000000004" footer="0.15"/>
  <pageSetup scale="53" fitToWidth="2" fitToHeight="4" pageOrder="overThenDown" orientation="landscape" r:id="rId1"/>
  <headerFooter alignWithMargins="0">
    <oddHeader>&amp;RRevised 1-13-2011
PacifiCorp  Docket UE-100749
Exhibit No.___(KHB-6)
Page &amp;P of &amp;N</oddHeader>
  </headerFooter>
  <rowBreaks count="1" manualBreakCount="1">
    <brk id="61" min="7" max="37" man="1"/>
  </rowBreaks>
  <legacyDrawing r:id="rId2"/>
</worksheet>
</file>

<file path=xl/worksheets/sheet12.xml><?xml version="1.0" encoding="utf-8"?>
<worksheet xmlns="http://schemas.openxmlformats.org/spreadsheetml/2006/main" xmlns:r="http://schemas.openxmlformats.org/officeDocument/2006/relationships">
  <dimension ref="A1:AG112"/>
  <sheetViews>
    <sheetView zoomScale="90" zoomScaleNormal="90" workbookViewId="0">
      <pane xSplit="4" ySplit="5" topLeftCell="I57" activePane="bottomRight" state="frozen"/>
      <selection activeCell="D29" sqref="D29"/>
      <selection pane="topRight" activeCell="D29" sqref="D29"/>
      <selection pane="bottomLeft" activeCell="D29" sqref="D29"/>
      <selection pane="bottomRight" activeCell="D29" sqref="D29"/>
    </sheetView>
  </sheetViews>
  <sheetFormatPr defaultRowHeight="15.75"/>
  <cols>
    <col min="1" max="1" width="21.5703125" style="41" customWidth="1"/>
    <col min="2" max="2" width="48.140625" style="41" customWidth="1"/>
    <col min="3" max="3" width="14.85546875" style="41" hidden="1" customWidth="1"/>
    <col min="4" max="4" width="15.5703125" style="41" customWidth="1"/>
    <col min="5" max="5" width="12.5703125" style="41" customWidth="1"/>
    <col min="6" max="6" width="11.7109375" style="41" customWidth="1"/>
    <col min="7" max="7" width="11.28515625" style="41" customWidth="1"/>
    <col min="8" max="8" width="13.140625" style="41" customWidth="1"/>
    <col min="9" max="9" width="11.42578125" style="41" customWidth="1"/>
    <col min="10" max="10" width="11.140625" style="41" bestFit="1" customWidth="1"/>
    <col min="11" max="11" width="13" style="41" customWidth="1"/>
    <col min="12" max="12" width="14.28515625" style="41" customWidth="1"/>
    <col min="13" max="14" width="11.140625" style="41" customWidth="1"/>
    <col min="15" max="15" width="14.7109375" style="41" customWidth="1"/>
    <col min="16" max="16" width="11.85546875" style="68" customWidth="1"/>
    <col min="17" max="17" width="12.42578125" style="41" customWidth="1"/>
    <col min="18" max="18" width="12.5703125" style="41" customWidth="1"/>
    <col min="19" max="19" width="10.5703125" style="41" customWidth="1"/>
    <col min="20" max="20" width="10.5703125" style="41" hidden="1" customWidth="1"/>
    <col min="21" max="21" width="13.85546875" style="41" customWidth="1"/>
    <col min="22" max="23" width="13.5703125" style="41" customWidth="1"/>
    <col min="24" max="24" width="14.85546875" style="41" customWidth="1"/>
    <col min="25" max="27" width="12.5703125" style="41" customWidth="1"/>
    <col min="28" max="29" width="13.7109375" style="41" customWidth="1"/>
    <col min="30" max="30" width="17.140625" style="41" customWidth="1"/>
    <col min="31" max="32" width="15.42578125" style="41" customWidth="1"/>
    <col min="33" max="33" width="14" style="41" customWidth="1"/>
    <col min="34" max="34" width="5.28515625" style="41" customWidth="1"/>
    <col min="35" max="35" width="6" style="41" customWidth="1"/>
    <col min="36" max="36" width="13.140625" style="41" customWidth="1"/>
    <col min="37" max="37" width="6" style="41" customWidth="1"/>
    <col min="38" max="38" width="5.28515625" style="41" customWidth="1"/>
    <col min="39" max="39" width="6" style="41" customWidth="1"/>
    <col min="40" max="40" width="5.28515625" style="41" customWidth="1"/>
    <col min="41" max="41" width="6" style="41" customWidth="1"/>
    <col min="42" max="42" width="5.28515625" style="41" customWidth="1"/>
    <col min="43" max="43" width="6" style="41" customWidth="1"/>
    <col min="44" max="44" width="5.28515625" style="41" customWidth="1"/>
    <col min="45" max="45" width="6" style="41" customWidth="1"/>
    <col min="46" max="46" width="5.28515625" style="41" customWidth="1"/>
    <col min="47" max="47" width="6" style="41" customWidth="1"/>
    <col min="48" max="48" width="5.28515625" style="41" customWidth="1"/>
    <col min="49" max="49" width="6" style="41" customWidth="1"/>
    <col min="50" max="50" width="5.28515625" style="41" customWidth="1"/>
    <col min="51" max="51" width="6" style="41" customWidth="1"/>
    <col min="52" max="52" width="5.28515625" style="41" customWidth="1"/>
    <col min="53" max="53" width="6" style="41" customWidth="1"/>
    <col min="54" max="54" width="5.28515625" style="41" customWidth="1"/>
    <col min="55" max="55" width="6" style="41" customWidth="1"/>
    <col min="56" max="56" width="5.28515625" style="41" customWidth="1"/>
    <col min="57" max="57" width="8.140625" style="41" customWidth="1"/>
    <col min="58" max="58" width="6.85546875" style="41" customWidth="1"/>
    <col min="59" max="59" width="6" style="41" customWidth="1"/>
    <col min="60" max="60" width="5.28515625" style="41" customWidth="1"/>
    <col min="61" max="61" width="6" style="41" customWidth="1"/>
    <col min="62" max="62" width="5.28515625" style="41" customWidth="1"/>
    <col min="63" max="63" width="6" style="41" customWidth="1"/>
    <col min="64" max="64" width="5.28515625" style="41" customWidth="1"/>
    <col min="65" max="65" width="6" style="41" customWidth="1"/>
    <col min="66" max="66" width="5.28515625" style="41" customWidth="1"/>
    <col min="67" max="67" width="6" style="41" customWidth="1"/>
    <col min="68" max="68" width="5.28515625" style="41" customWidth="1"/>
    <col min="69" max="69" width="6" style="41" customWidth="1"/>
    <col min="70" max="70" width="5.28515625" style="41" customWidth="1"/>
    <col min="71" max="71" width="6" style="41" customWidth="1"/>
    <col min="72" max="72" width="5.28515625" style="41" customWidth="1"/>
    <col min="73" max="16384" width="9.140625" style="41"/>
  </cols>
  <sheetData>
    <row r="1" spans="1:33">
      <c r="A1" s="40" t="s">
        <v>0</v>
      </c>
      <c r="B1" s="42"/>
      <c r="C1" s="42"/>
      <c r="D1" s="42"/>
      <c r="E1" s="42"/>
      <c r="F1" s="42"/>
      <c r="G1" s="42"/>
      <c r="H1" s="42"/>
      <c r="I1" s="42"/>
      <c r="J1" s="42"/>
      <c r="K1" s="42"/>
      <c r="L1" s="42"/>
      <c r="M1" s="42"/>
      <c r="N1" s="42"/>
      <c r="O1" s="42"/>
      <c r="P1" s="43"/>
      <c r="Q1" s="44"/>
      <c r="R1" s="44"/>
      <c r="S1" s="44"/>
      <c r="T1" s="44"/>
      <c r="U1" s="44"/>
      <c r="V1" s="44"/>
      <c r="W1" s="44"/>
      <c r="X1" s="44"/>
      <c r="Y1" s="44"/>
      <c r="Z1" s="44"/>
      <c r="AA1" s="44"/>
      <c r="AB1" s="44"/>
      <c r="AC1" s="44"/>
    </row>
    <row r="2" spans="1:33">
      <c r="A2" s="40" t="s">
        <v>12</v>
      </c>
      <c r="B2" s="42"/>
      <c r="C2" s="42"/>
      <c r="D2" s="42"/>
      <c r="E2" s="42"/>
      <c r="F2" s="42"/>
      <c r="G2" s="42"/>
      <c r="H2" s="42"/>
      <c r="I2" s="42"/>
      <c r="J2" s="42"/>
      <c r="K2" s="42"/>
      <c r="L2" s="42"/>
      <c r="M2" s="42"/>
      <c r="N2" s="42"/>
      <c r="O2" s="42"/>
      <c r="P2" s="43"/>
      <c r="Q2" s="44"/>
      <c r="R2" s="44"/>
      <c r="S2" s="44"/>
      <c r="T2" s="44"/>
      <c r="U2" s="44"/>
      <c r="V2" s="44"/>
      <c r="W2" s="44"/>
      <c r="X2" s="44"/>
      <c r="Y2" s="44"/>
      <c r="Z2" s="44"/>
      <c r="AA2" s="44"/>
      <c r="AB2" s="44"/>
      <c r="AC2" s="44"/>
    </row>
    <row r="3" spans="1:33">
      <c r="A3" s="45" t="s">
        <v>455</v>
      </c>
      <c r="B3" s="44"/>
      <c r="C3" s="44"/>
      <c r="D3" s="42"/>
      <c r="E3" s="44"/>
      <c r="F3" s="44"/>
      <c r="G3" s="44"/>
      <c r="H3" s="44"/>
      <c r="I3" s="44"/>
      <c r="J3" s="44"/>
      <c r="K3" s="44"/>
      <c r="L3" s="44"/>
      <c r="M3" s="44"/>
      <c r="N3" s="44"/>
      <c r="O3" s="44"/>
      <c r="P3" s="46"/>
      <c r="Q3" s="42"/>
      <c r="R3" s="42"/>
      <c r="S3" s="42"/>
      <c r="T3" s="42"/>
      <c r="U3" s="42"/>
      <c r="V3" s="42"/>
      <c r="W3" s="42"/>
      <c r="X3" s="42"/>
      <c r="Y3" s="42"/>
      <c r="Z3" s="42"/>
      <c r="AA3" s="42"/>
      <c r="AB3" s="42"/>
      <c r="AC3" s="42"/>
    </row>
    <row r="4" spans="1:33">
      <c r="A4" s="41" t="s">
        <v>13</v>
      </c>
      <c r="B4" s="42"/>
      <c r="C4" s="42"/>
      <c r="D4" s="42"/>
      <c r="E4" s="42"/>
      <c r="F4" s="42"/>
      <c r="G4" s="42"/>
      <c r="H4" s="42"/>
      <c r="I4" s="42"/>
      <c r="J4" s="42"/>
      <c r="K4" s="42"/>
      <c r="L4" s="42"/>
      <c r="M4" s="42"/>
      <c r="N4" s="42"/>
      <c r="O4" s="42"/>
      <c r="P4" s="43"/>
      <c r="Q4" s="42"/>
      <c r="R4" s="42"/>
      <c r="S4" s="42"/>
      <c r="T4" s="42"/>
      <c r="U4" s="42"/>
      <c r="V4" s="42"/>
      <c r="W4" s="42"/>
      <c r="X4" s="42"/>
      <c r="Y4" s="42"/>
      <c r="Z4" s="42"/>
      <c r="AA4" s="42"/>
      <c r="AB4" s="42"/>
      <c r="AC4" s="42"/>
    </row>
    <row r="5" spans="1:33" ht="114.75" customHeight="1">
      <c r="A5" s="49" t="s">
        <v>18</v>
      </c>
      <c r="B5" s="50" t="s">
        <v>19</v>
      </c>
      <c r="C5" s="51" t="s">
        <v>20</v>
      </c>
      <c r="D5" s="182" t="s">
        <v>21</v>
      </c>
      <c r="E5" s="52" t="s">
        <v>492</v>
      </c>
      <c r="F5" s="52" t="s">
        <v>493</v>
      </c>
      <c r="G5" s="53" t="s">
        <v>494</v>
      </c>
      <c r="H5" s="53" t="s">
        <v>512</v>
      </c>
      <c r="I5" s="53" t="s">
        <v>511</v>
      </c>
      <c r="J5" s="53" t="s">
        <v>510</v>
      </c>
      <c r="K5" s="53" t="s">
        <v>509</v>
      </c>
      <c r="L5" s="53" t="s">
        <v>508</v>
      </c>
      <c r="M5" s="53" t="s">
        <v>507</v>
      </c>
      <c r="N5" s="53" t="s">
        <v>506</v>
      </c>
      <c r="O5" s="53" t="s">
        <v>131</v>
      </c>
      <c r="P5" s="136" t="s">
        <v>140</v>
      </c>
      <c r="Q5" s="53" t="s">
        <v>505</v>
      </c>
      <c r="R5" s="53" t="s">
        <v>504</v>
      </c>
      <c r="S5" s="53" t="s">
        <v>503</v>
      </c>
      <c r="T5" s="137"/>
      <c r="U5" s="53" t="s">
        <v>498</v>
      </c>
      <c r="V5" s="53" t="s">
        <v>502</v>
      </c>
      <c r="W5" s="53" t="s">
        <v>501</v>
      </c>
      <c r="X5" s="53" t="s">
        <v>459</v>
      </c>
      <c r="Y5" s="53" t="s">
        <v>518</v>
      </c>
      <c r="Z5" s="53" t="s">
        <v>519</v>
      </c>
      <c r="AA5" s="53" t="s">
        <v>514</v>
      </c>
      <c r="AB5" s="53" t="s">
        <v>516</v>
      </c>
      <c r="AC5" s="53" t="s">
        <v>517</v>
      </c>
      <c r="AD5" s="53" t="s">
        <v>456</v>
      </c>
      <c r="AE5" s="53" t="s">
        <v>457</v>
      </c>
      <c r="AF5" s="138" t="s">
        <v>458</v>
      </c>
      <c r="AG5" s="53" t="s">
        <v>453</v>
      </c>
    </row>
    <row r="6" spans="1:33" ht="18" customHeight="1">
      <c r="A6" s="49"/>
      <c r="B6" s="50"/>
      <c r="C6" s="51"/>
      <c r="D6" s="182"/>
      <c r="E6" s="52" t="s">
        <v>141</v>
      </c>
      <c r="F6" s="52" t="s">
        <v>142</v>
      </c>
      <c r="G6" s="53" t="s">
        <v>491</v>
      </c>
      <c r="H6" s="53" t="s">
        <v>495</v>
      </c>
      <c r="I6" s="53" t="s">
        <v>143</v>
      </c>
      <c r="J6" s="53" t="s">
        <v>144</v>
      </c>
      <c r="K6" s="53" t="s">
        <v>145</v>
      </c>
      <c r="L6" s="53" t="s">
        <v>146</v>
      </c>
      <c r="M6" s="53" t="s">
        <v>147</v>
      </c>
      <c r="N6" s="53" t="s">
        <v>148</v>
      </c>
      <c r="O6" s="53" t="s">
        <v>149</v>
      </c>
      <c r="P6" s="136" t="s">
        <v>150</v>
      </c>
      <c r="Q6" s="53" t="s">
        <v>496</v>
      </c>
      <c r="R6" s="53" t="s">
        <v>449</v>
      </c>
      <c r="S6" s="53" t="s">
        <v>497</v>
      </c>
      <c r="T6" s="137"/>
      <c r="U6" s="53" t="s">
        <v>499</v>
      </c>
      <c r="V6" s="53" t="s">
        <v>500</v>
      </c>
      <c r="W6" s="53"/>
      <c r="X6" s="53"/>
      <c r="Y6" s="53"/>
      <c r="Z6" s="53"/>
      <c r="AA6" s="53"/>
      <c r="AB6" s="53"/>
      <c r="AC6" s="53" t="s">
        <v>449</v>
      </c>
      <c r="AD6" s="53"/>
      <c r="AE6" s="53"/>
      <c r="AF6" s="138"/>
      <c r="AG6" s="53"/>
    </row>
    <row r="7" spans="1:33" ht="20.25" customHeight="1">
      <c r="A7" s="63" t="s">
        <v>367</v>
      </c>
      <c r="B7" s="50"/>
      <c r="C7" s="51"/>
      <c r="D7" s="182"/>
      <c r="E7" s="52"/>
      <c r="F7" s="52"/>
      <c r="G7" s="53"/>
      <c r="H7" s="54"/>
      <c r="I7" s="55"/>
      <c r="J7" s="55"/>
      <c r="K7" s="55"/>
      <c r="L7" s="55"/>
      <c r="M7" s="55"/>
      <c r="N7" s="55"/>
      <c r="O7" s="55"/>
      <c r="P7" s="56"/>
      <c r="Q7" s="54"/>
      <c r="R7" s="54"/>
      <c r="S7" s="54"/>
      <c r="T7" s="47"/>
      <c r="U7" s="54"/>
      <c r="V7" s="54"/>
      <c r="W7" s="90">
        <f>+V7+U7</f>
        <v>0</v>
      </c>
      <c r="X7" s="54"/>
      <c r="Y7" s="54"/>
      <c r="Z7" s="54"/>
      <c r="AA7" s="54"/>
      <c r="AB7" s="54"/>
      <c r="AC7" s="54"/>
      <c r="AD7" s="54"/>
      <c r="AE7" s="54"/>
      <c r="AF7" s="54"/>
      <c r="AG7" s="57"/>
    </row>
    <row r="8" spans="1:33" ht="18" customHeight="1">
      <c r="A8" s="60" t="s">
        <v>22</v>
      </c>
      <c r="B8" s="58" t="s">
        <v>52</v>
      </c>
      <c r="C8" s="61">
        <f>1000*268.34</f>
        <v>268340</v>
      </c>
      <c r="D8" s="180">
        <f>1000*19.88</f>
        <v>19880</v>
      </c>
      <c r="E8" s="144"/>
      <c r="F8" s="144"/>
      <c r="G8" s="145"/>
      <c r="H8" s="145"/>
      <c r="I8" s="145"/>
      <c r="J8" s="145"/>
      <c r="K8" s="145"/>
      <c r="L8" s="145">
        <f>1000*-19.88</f>
        <v>-19880</v>
      </c>
      <c r="M8" s="145"/>
      <c r="N8" s="145"/>
      <c r="O8" s="145"/>
      <c r="P8" s="145"/>
      <c r="Q8" s="145"/>
      <c r="R8" s="145"/>
      <c r="S8" s="145"/>
      <c r="T8" s="145"/>
      <c r="U8" s="145">
        <f t="shared" ref="U8:U39" si="0">SUM(E8:S8)</f>
        <v>-19880</v>
      </c>
      <c r="V8" s="145">
        <f t="shared" ref="V8:V58" si="1">ROUND(((+U8+D8)/0.37951*0.35-(U8+D8)),0)</f>
        <v>0</v>
      </c>
      <c r="W8" s="142">
        <f t="shared" ref="W8:W58" si="2">+V8+U8</f>
        <v>-19880</v>
      </c>
      <c r="X8" s="145">
        <f>ROUND(+U8+V8+D8,0)</f>
        <v>0</v>
      </c>
      <c r="Y8" s="145"/>
      <c r="Z8" s="145"/>
      <c r="AA8" s="145">
        <f>+Z8+Y8</f>
        <v>0</v>
      </c>
      <c r="AB8" s="145"/>
      <c r="AC8" s="145">
        <f>+AB8+Y8+Z8</f>
        <v>0</v>
      </c>
      <c r="AD8" s="139">
        <f t="shared" ref="AD8:AD39" si="3">+AC8+X8</f>
        <v>0</v>
      </c>
      <c r="AE8" s="139">
        <f t="shared" ref="AE8:AE32" si="4">+AD8-X8</f>
        <v>0</v>
      </c>
      <c r="AF8" s="139"/>
      <c r="AG8" s="143">
        <f>+AD8-AF8</f>
        <v>0</v>
      </c>
    </row>
    <row r="9" spans="1:33">
      <c r="A9" s="60" t="s">
        <v>22</v>
      </c>
      <c r="B9" s="58" t="s">
        <v>53</v>
      </c>
      <c r="C9" s="61">
        <f>1000*712.702</f>
        <v>712702</v>
      </c>
      <c r="D9" s="180">
        <f>1000*52.7996</f>
        <v>52799.6</v>
      </c>
      <c r="E9" s="144"/>
      <c r="F9" s="144"/>
      <c r="G9" s="145"/>
      <c r="H9" s="145"/>
      <c r="I9" s="145"/>
      <c r="J9" s="145"/>
      <c r="K9" s="145"/>
      <c r="L9" s="145">
        <f>1000*-52.7996</f>
        <v>-52799.6</v>
      </c>
      <c r="M9" s="145"/>
      <c r="N9" s="145"/>
      <c r="O9" s="145"/>
      <c r="P9" s="145"/>
      <c r="Q9" s="145"/>
      <c r="R9" s="145"/>
      <c r="S9" s="145"/>
      <c r="T9" s="145"/>
      <c r="U9" s="145">
        <f t="shared" si="0"/>
        <v>-52799.6</v>
      </c>
      <c r="V9" s="145">
        <f t="shared" si="1"/>
        <v>0</v>
      </c>
      <c r="W9" s="142">
        <f t="shared" si="2"/>
        <v>-52799.6</v>
      </c>
      <c r="X9" s="145">
        <f t="shared" ref="X9:X10" si="5">ROUND(+U9+V9+D9,0)</f>
        <v>0</v>
      </c>
      <c r="Y9" s="145"/>
      <c r="Z9" s="145"/>
      <c r="AA9" s="145">
        <f t="shared" ref="AA9:AA58" si="6">+Z9+Y9</f>
        <v>0</v>
      </c>
      <c r="AB9" s="145"/>
      <c r="AC9" s="145">
        <f t="shared" ref="AC9:AC58" si="7">+AB9+Y9+Z9</f>
        <v>0</v>
      </c>
      <c r="AD9" s="139">
        <f t="shared" si="3"/>
        <v>0</v>
      </c>
      <c r="AE9" s="139">
        <f t="shared" si="4"/>
        <v>0</v>
      </c>
      <c r="AF9" s="139"/>
      <c r="AG9" s="143">
        <f t="shared" ref="AG9:AG58" si="8">+AD9-AF9</f>
        <v>0</v>
      </c>
    </row>
    <row r="10" spans="1:33">
      <c r="A10" s="60" t="s">
        <v>22</v>
      </c>
      <c r="B10" s="58" t="s">
        <v>54</v>
      </c>
      <c r="C10" s="61">
        <f>1000*1776.449</f>
        <v>1776449</v>
      </c>
      <c r="D10" s="180">
        <f>1000*131.6056</f>
        <v>131605.6</v>
      </c>
      <c r="E10" s="144"/>
      <c r="F10" s="144"/>
      <c r="G10" s="145"/>
      <c r="H10" s="145"/>
      <c r="I10" s="145"/>
      <c r="J10" s="145"/>
      <c r="K10" s="145"/>
      <c r="L10" s="145">
        <f>1000*-131.606</f>
        <v>-131606</v>
      </c>
      <c r="M10" s="145"/>
      <c r="N10" s="145"/>
      <c r="O10" s="145"/>
      <c r="P10" s="145"/>
      <c r="Q10" s="145"/>
      <c r="R10" s="145"/>
      <c r="S10" s="145"/>
      <c r="T10" s="145"/>
      <c r="U10" s="145">
        <f t="shared" si="0"/>
        <v>-131606</v>
      </c>
      <c r="V10" s="145">
        <f t="shared" si="1"/>
        <v>0</v>
      </c>
      <c r="W10" s="142">
        <f t="shared" si="2"/>
        <v>-131606</v>
      </c>
      <c r="X10" s="145">
        <f t="shared" si="5"/>
        <v>0</v>
      </c>
      <c r="Y10" s="145"/>
      <c r="Z10" s="145"/>
      <c r="AA10" s="145">
        <f t="shared" si="6"/>
        <v>0</v>
      </c>
      <c r="AB10" s="145"/>
      <c r="AC10" s="145">
        <f t="shared" si="7"/>
        <v>0</v>
      </c>
      <c r="AD10" s="139">
        <f t="shared" si="3"/>
        <v>0</v>
      </c>
      <c r="AE10" s="139">
        <f t="shared" si="4"/>
        <v>0</v>
      </c>
      <c r="AF10" s="139"/>
      <c r="AG10" s="143">
        <f t="shared" si="8"/>
        <v>0</v>
      </c>
    </row>
    <row r="11" spans="1:33">
      <c r="A11" s="60" t="s">
        <v>22</v>
      </c>
      <c r="B11" s="58" t="s">
        <v>55</v>
      </c>
      <c r="C11" s="61">
        <f>1000*443.332</f>
        <v>443332</v>
      </c>
      <c r="D11" s="180">
        <f>1000*55.534</f>
        <v>55534</v>
      </c>
      <c r="E11" s="144"/>
      <c r="F11" s="144"/>
      <c r="G11" s="145"/>
      <c r="H11" s="145"/>
      <c r="I11" s="145"/>
      <c r="J11" s="145"/>
      <c r="K11" s="145"/>
      <c r="L11" s="145"/>
      <c r="M11" s="145"/>
      <c r="N11" s="145"/>
      <c r="O11" s="145"/>
      <c r="P11" s="145"/>
      <c r="Q11" s="145"/>
      <c r="R11" s="145"/>
      <c r="S11" s="145"/>
      <c r="T11" s="145"/>
      <c r="U11" s="145">
        <f t="shared" si="0"/>
        <v>0</v>
      </c>
      <c r="V11" s="145">
        <f t="shared" si="1"/>
        <v>-4318</v>
      </c>
      <c r="W11" s="142">
        <f t="shared" si="2"/>
        <v>-4318</v>
      </c>
      <c r="X11" s="145">
        <f t="shared" ref="X11:X39" si="9">+U11+V11+D11</f>
        <v>51216</v>
      </c>
      <c r="Y11" s="145"/>
      <c r="Z11" s="145"/>
      <c r="AA11" s="145">
        <f t="shared" si="6"/>
        <v>0</v>
      </c>
      <c r="AB11" s="144">
        <v>-51216</v>
      </c>
      <c r="AC11" s="145">
        <f t="shared" si="7"/>
        <v>-51216</v>
      </c>
      <c r="AD11" s="139">
        <f t="shared" si="3"/>
        <v>0</v>
      </c>
      <c r="AE11" s="139">
        <f t="shared" si="4"/>
        <v>-51216</v>
      </c>
      <c r="AF11" s="139"/>
      <c r="AG11" s="143">
        <f t="shared" si="8"/>
        <v>0</v>
      </c>
    </row>
    <row r="12" spans="1:33">
      <c r="A12" s="60" t="s">
        <v>22</v>
      </c>
      <c r="B12" s="58" t="s">
        <v>66</v>
      </c>
      <c r="C12" s="61">
        <f>1000*22.893</f>
        <v>22893</v>
      </c>
      <c r="D12" s="180">
        <f>1000*1.624</f>
        <v>1624</v>
      </c>
      <c r="E12" s="144"/>
      <c r="F12" s="144"/>
      <c r="G12" s="145"/>
      <c r="H12" s="145"/>
      <c r="I12" s="145"/>
      <c r="J12" s="145"/>
      <c r="K12" s="145"/>
      <c r="L12" s="145"/>
      <c r="M12" s="145"/>
      <c r="N12" s="145"/>
      <c r="O12" s="145"/>
      <c r="P12" s="145"/>
      <c r="Q12" s="145"/>
      <c r="R12" s="145"/>
      <c r="S12" s="145"/>
      <c r="T12" s="145"/>
      <c r="U12" s="145">
        <f t="shared" si="0"/>
        <v>0</v>
      </c>
      <c r="V12" s="145">
        <f t="shared" si="1"/>
        <v>-126</v>
      </c>
      <c r="W12" s="142">
        <f t="shared" si="2"/>
        <v>-126</v>
      </c>
      <c r="X12" s="145">
        <f t="shared" si="9"/>
        <v>1498</v>
      </c>
      <c r="Y12" s="145"/>
      <c r="Z12" s="145"/>
      <c r="AA12" s="145">
        <f t="shared" si="6"/>
        <v>0</v>
      </c>
      <c r="AB12" s="145">
        <v>-1498</v>
      </c>
      <c r="AC12" s="145">
        <f t="shared" si="7"/>
        <v>-1498</v>
      </c>
      <c r="AD12" s="139">
        <f t="shared" si="3"/>
        <v>0</v>
      </c>
      <c r="AE12" s="139">
        <f t="shared" si="4"/>
        <v>-1498</v>
      </c>
      <c r="AF12" s="139"/>
      <c r="AG12" s="143">
        <f t="shared" si="8"/>
        <v>0</v>
      </c>
    </row>
    <row r="13" spans="1:33">
      <c r="A13" s="60" t="s">
        <v>22</v>
      </c>
      <c r="B13" s="58" t="s">
        <v>68</v>
      </c>
      <c r="C13" s="61">
        <f>1000*67.978000068</f>
        <v>67978.000067999994</v>
      </c>
      <c r="D13" s="180">
        <f>1000*4.519</f>
        <v>4519</v>
      </c>
      <c r="E13" s="144"/>
      <c r="F13" s="144"/>
      <c r="G13" s="145"/>
      <c r="H13" s="145"/>
      <c r="I13" s="145"/>
      <c r="J13" s="145"/>
      <c r="K13" s="145"/>
      <c r="L13" s="145"/>
      <c r="M13" s="145"/>
      <c r="N13" s="145"/>
      <c r="O13" s="145"/>
      <c r="P13" s="145"/>
      <c r="Q13" s="145"/>
      <c r="R13" s="145"/>
      <c r="S13" s="145"/>
      <c r="T13" s="145"/>
      <c r="U13" s="145">
        <f t="shared" si="0"/>
        <v>0</v>
      </c>
      <c r="V13" s="145">
        <f t="shared" si="1"/>
        <v>-351</v>
      </c>
      <c r="W13" s="142">
        <f t="shared" si="2"/>
        <v>-351</v>
      </c>
      <c r="X13" s="145">
        <f t="shared" si="9"/>
        <v>4168</v>
      </c>
      <c r="Y13" s="145"/>
      <c r="Z13" s="145"/>
      <c r="AA13" s="145">
        <f t="shared" si="6"/>
        <v>0</v>
      </c>
      <c r="AB13" s="145">
        <v>-4168</v>
      </c>
      <c r="AC13" s="145">
        <f t="shared" si="7"/>
        <v>-4168</v>
      </c>
      <c r="AD13" s="139">
        <f t="shared" si="3"/>
        <v>0</v>
      </c>
      <c r="AE13" s="139">
        <f t="shared" si="4"/>
        <v>-4168</v>
      </c>
      <c r="AF13" s="139"/>
      <c r="AG13" s="143">
        <f t="shared" si="8"/>
        <v>0</v>
      </c>
    </row>
    <row r="14" spans="1:33">
      <c r="A14" s="60" t="s">
        <v>22</v>
      </c>
      <c r="B14" s="58" t="s">
        <v>69</v>
      </c>
      <c r="C14" s="61">
        <f>1000*286.469</f>
        <v>286469</v>
      </c>
      <c r="D14" s="180">
        <f>1000*63.273</f>
        <v>63273</v>
      </c>
      <c r="E14" s="144"/>
      <c r="F14" s="144"/>
      <c r="G14" s="145"/>
      <c r="H14" s="145"/>
      <c r="I14" s="145"/>
      <c r="J14" s="145"/>
      <c r="K14" s="145"/>
      <c r="L14" s="145"/>
      <c r="M14" s="145"/>
      <c r="N14" s="145"/>
      <c r="O14" s="145"/>
      <c r="P14" s="145"/>
      <c r="Q14" s="145"/>
      <c r="R14" s="145"/>
      <c r="S14" s="145"/>
      <c r="T14" s="145"/>
      <c r="U14" s="145">
        <f t="shared" si="0"/>
        <v>0</v>
      </c>
      <c r="V14" s="145">
        <f t="shared" si="1"/>
        <v>-4920</v>
      </c>
      <c r="W14" s="142">
        <f t="shared" si="2"/>
        <v>-4920</v>
      </c>
      <c r="X14" s="145">
        <f t="shared" si="9"/>
        <v>58353</v>
      </c>
      <c r="Y14" s="145"/>
      <c r="Z14" s="145"/>
      <c r="AA14" s="145">
        <f t="shared" si="6"/>
        <v>0</v>
      </c>
      <c r="AB14" s="145">
        <v>-58353</v>
      </c>
      <c r="AC14" s="145">
        <f t="shared" si="7"/>
        <v>-58353</v>
      </c>
      <c r="AD14" s="139">
        <f t="shared" si="3"/>
        <v>0</v>
      </c>
      <c r="AE14" s="139">
        <f t="shared" si="4"/>
        <v>-58353</v>
      </c>
      <c r="AF14" s="139"/>
      <c r="AG14" s="143">
        <f t="shared" si="8"/>
        <v>0</v>
      </c>
    </row>
    <row r="15" spans="1:33">
      <c r="A15" s="60" t="s">
        <v>22</v>
      </c>
      <c r="B15" s="58" t="s">
        <v>73</v>
      </c>
      <c r="C15" s="61">
        <f>1000*316.419</f>
        <v>316419</v>
      </c>
      <c r="D15" s="180">
        <f>1000*23.445</f>
        <v>23445</v>
      </c>
      <c r="E15" s="144"/>
      <c r="F15" s="144"/>
      <c r="G15" s="145"/>
      <c r="H15" s="145"/>
      <c r="I15" s="145"/>
      <c r="J15" s="145"/>
      <c r="K15" s="145"/>
      <c r="L15" s="145"/>
      <c r="M15" s="145"/>
      <c r="N15" s="145"/>
      <c r="O15" s="145"/>
      <c r="P15" s="145"/>
      <c r="Q15" s="145"/>
      <c r="R15" s="145"/>
      <c r="S15" s="145"/>
      <c r="T15" s="145"/>
      <c r="U15" s="145">
        <f t="shared" si="0"/>
        <v>0</v>
      </c>
      <c r="V15" s="145">
        <f t="shared" si="1"/>
        <v>-1823</v>
      </c>
      <c r="W15" s="142">
        <f t="shared" si="2"/>
        <v>-1823</v>
      </c>
      <c r="X15" s="145">
        <f t="shared" si="9"/>
        <v>21622</v>
      </c>
      <c r="Y15" s="145"/>
      <c r="Z15" s="145"/>
      <c r="AA15" s="145">
        <f t="shared" si="6"/>
        <v>0</v>
      </c>
      <c r="AB15" s="144">
        <v>-21622</v>
      </c>
      <c r="AC15" s="145">
        <f t="shared" si="7"/>
        <v>-21622</v>
      </c>
      <c r="AD15" s="139">
        <f t="shared" si="3"/>
        <v>0</v>
      </c>
      <c r="AE15" s="139">
        <f t="shared" si="4"/>
        <v>-21622</v>
      </c>
      <c r="AF15" s="139"/>
      <c r="AG15" s="143">
        <f t="shared" si="8"/>
        <v>0</v>
      </c>
    </row>
    <row r="16" spans="1:33">
      <c r="A16" s="60" t="s">
        <v>22</v>
      </c>
      <c r="B16" s="58" t="s">
        <v>74</v>
      </c>
      <c r="C16" s="61">
        <f>1000*700.528</f>
        <v>700528</v>
      </c>
      <c r="D16" s="180">
        <f>1000*51.898</f>
        <v>51898</v>
      </c>
      <c r="E16" s="144"/>
      <c r="F16" s="144"/>
      <c r="G16" s="145"/>
      <c r="H16" s="145"/>
      <c r="I16" s="145"/>
      <c r="J16" s="145"/>
      <c r="K16" s="145"/>
      <c r="L16" s="145"/>
      <c r="M16" s="145"/>
      <c r="N16" s="145"/>
      <c r="O16" s="145"/>
      <c r="P16" s="145"/>
      <c r="Q16" s="145"/>
      <c r="R16" s="145"/>
      <c r="S16" s="145"/>
      <c r="T16" s="145"/>
      <c r="U16" s="145">
        <f t="shared" si="0"/>
        <v>0</v>
      </c>
      <c r="V16" s="145">
        <f t="shared" si="1"/>
        <v>-4035</v>
      </c>
      <c r="W16" s="142">
        <f t="shared" si="2"/>
        <v>-4035</v>
      </c>
      <c r="X16" s="145">
        <f t="shared" si="9"/>
        <v>47863</v>
      </c>
      <c r="Y16" s="145"/>
      <c r="Z16" s="145"/>
      <c r="AA16" s="145">
        <f t="shared" si="6"/>
        <v>0</v>
      </c>
      <c r="AB16" s="144">
        <v>-47863</v>
      </c>
      <c r="AC16" s="145">
        <f t="shared" si="7"/>
        <v>-47863</v>
      </c>
      <c r="AD16" s="139">
        <f t="shared" si="3"/>
        <v>0</v>
      </c>
      <c r="AE16" s="139">
        <f t="shared" si="4"/>
        <v>-47863</v>
      </c>
      <c r="AF16" s="139"/>
      <c r="AG16" s="143">
        <f t="shared" si="8"/>
        <v>0</v>
      </c>
    </row>
    <row r="17" spans="1:33">
      <c r="A17" s="60" t="s">
        <v>22</v>
      </c>
      <c r="B17" s="58" t="s">
        <v>77</v>
      </c>
      <c r="C17" s="61">
        <f>1000*202.086</f>
        <v>202086</v>
      </c>
      <c r="D17" s="180">
        <f>1000*14.971</f>
        <v>14971</v>
      </c>
      <c r="E17" s="144"/>
      <c r="F17" s="144"/>
      <c r="G17" s="145"/>
      <c r="H17" s="145"/>
      <c r="I17" s="145"/>
      <c r="J17" s="145"/>
      <c r="K17" s="145"/>
      <c r="L17" s="145"/>
      <c r="M17" s="145"/>
      <c r="N17" s="145"/>
      <c r="O17" s="145"/>
      <c r="P17" s="145"/>
      <c r="Q17" s="145"/>
      <c r="R17" s="145"/>
      <c r="S17" s="145"/>
      <c r="T17" s="145"/>
      <c r="U17" s="145">
        <f t="shared" si="0"/>
        <v>0</v>
      </c>
      <c r="V17" s="145">
        <f t="shared" si="1"/>
        <v>-1164</v>
      </c>
      <c r="W17" s="142">
        <f t="shared" si="2"/>
        <v>-1164</v>
      </c>
      <c r="X17" s="145">
        <f t="shared" si="9"/>
        <v>13807</v>
      </c>
      <c r="Y17" s="145"/>
      <c r="Z17" s="145"/>
      <c r="AA17" s="145">
        <f t="shared" si="6"/>
        <v>0</v>
      </c>
      <c r="AB17" s="144">
        <v>-13807</v>
      </c>
      <c r="AC17" s="145">
        <f t="shared" si="7"/>
        <v>-13807</v>
      </c>
      <c r="AD17" s="139">
        <f t="shared" si="3"/>
        <v>0</v>
      </c>
      <c r="AE17" s="139">
        <f t="shared" si="4"/>
        <v>-13807</v>
      </c>
      <c r="AF17" s="139"/>
      <c r="AG17" s="143">
        <f t="shared" si="8"/>
        <v>0</v>
      </c>
    </row>
    <row r="18" spans="1:33">
      <c r="A18" s="60" t="s">
        <v>22</v>
      </c>
      <c r="B18" s="58" t="s">
        <v>86</v>
      </c>
      <c r="C18" s="61">
        <f>1000*208.729</f>
        <v>208729</v>
      </c>
      <c r="D18" s="180">
        <f>1000*46.102</f>
        <v>46102</v>
      </c>
      <c r="E18" s="144"/>
      <c r="F18" s="144"/>
      <c r="G18" s="145"/>
      <c r="H18" s="145"/>
      <c r="I18" s="145"/>
      <c r="J18" s="145"/>
      <c r="K18" s="145"/>
      <c r="L18" s="145"/>
      <c r="M18" s="145"/>
      <c r="N18" s="145"/>
      <c r="O18" s="145"/>
      <c r="P18" s="145"/>
      <c r="Q18" s="145"/>
      <c r="R18" s="145"/>
      <c r="S18" s="145"/>
      <c r="T18" s="145"/>
      <c r="U18" s="145">
        <f t="shared" si="0"/>
        <v>0</v>
      </c>
      <c r="V18" s="145">
        <f t="shared" si="1"/>
        <v>-3585</v>
      </c>
      <c r="W18" s="142">
        <f t="shared" si="2"/>
        <v>-3585</v>
      </c>
      <c r="X18" s="145">
        <f t="shared" si="9"/>
        <v>42517</v>
      </c>
      <c r="Y18" s="145"/>
      <c r="Z18" s="145"/>
      <c r="AA18" s="145">
        <f t="shared" si="6"/>
        <v>0</v>
      </c>
      <c r="AB18" s="144">
        <v>-42517</v>
      </c>
      <c r="AC18" s="145">
        <f t="shared" si="7"/>
        <v>-42517</v>
      </c>
      <c r="AD18" s="139">
        <f t="shared" si="3"/>
        <v>0</v>
      </c>
      <c r="AE18" s="139">
        <f t="shared" si="4"/>
        <v>-42517</v>
      </c>
      <c r="AF18" s="139"/>
      <c r="AG18" s="143">
        <f t="shared" si="8"/>
        <v>0</v>
      </c>
    </row>
    <row r="19" spans="1:33">
      <c r="A19" s="60" t="s">
        <v>22</v>
      </c>
      <c r="B19" s="58" t="s">
        <v>87</v>
      </c>
      <c r="C19" s="61">
        <f>1000*64.489</f>
        <v>64489.000000000007</v>
      </c>
      <c r="D19" s="180">
        <f>1000*4.778</f>
        <v>4778</v>
      </c>
      <c r="E19" s="144"/>
      <c r="F19" s="144"/>
      <c r="G19" s="145"/>
      <c r="H19" s="145"/>
      <c r="I19" s="145"/>
      <c r="J19" s="145"/>
      <c r="K19" s="145"/>
      <c r="L19" s="145"/>
      <c r="M19" s="145"/>
      <c r="N19" s="145"/>
      <c r="O19" s="145"/>
      <c r="P19" s="145"/>
      <c r="Q19" s="145"/>
      <c r="R19" s="145"/>
      <c r="S19" s="145"/>
      <c r="T19" s="145"/>
      <c r="U19" s="145">
        <f t="shared" si="0"/>
        <v>0</v>
      </c>
      <c r="V19" s="145">
        <f t="shared" si="1"/>
        <v>-372</v>
      </c>
      <c r="W19" s="142">
        <f t="shared" si="2"/>
        <v>-372</v>
      </c>
      <c r="X19" s="145">
        <f t="shared" si="9"/>
        <v>4406</v>
      </c>
      <c r="Y19" s="145"/>
      <c r="Z19" s="145"/>
      <c r="AA19" s="145">
        <f t="shared" si="6"/>
        <v>0</v>
      </c>
      <c r="AB19" s="144">
        <v>-4406</v>
      </c>
      <c r="AC19" s="145">
        <f t="shared" si="7"/>
        <v>-4406</v>
      </c>
      <c r="AD19" s="139">
        <f t="shared" si="3"/>
        <v>0</v>
      </c>
      <c r="AE19" s="139">
        <f t="shared" si="4"/>
        <v>-4406</v>
      </c>
      <c r="AF19" s="139"/>
      <c r="AG19" s="143">
        <f t="shared" si="8"/>
        <v>0</v>
      </c>
    </row>
    <row r="20" spans="1:33">
      <c r="A20" s="60" t="s">
        <v>22</v>
      </c>
      <c r="B20" s="58" t="s">
        <v>89</v>
      </c>
      <c r="C20" s="61">
        <f>1000*189.29395</f>
        <v>189293.94999999998</v>
      </c>
      <c r="D20" s="180">
        <f>1000*14.024</f>
        <v>14024</v>
      </c>
      <c r="E20" s="144"/>
      <c r="F20" s="144"/>
      <c r="G20" s="145"/>
      <c r="H20" s="145"/>
      <c r="I20" s="145"/>
      <c r="J20" s="145"/>
      <c r="K20" s="145"/>
      <c r="L20" s="145"/>
      <c r="M20" s="145"/>
      <c r="N20" s="145"/>
      <c r="O20" s="145"/>
      <c r="P20" s="145"/>
      <c r="Q20" s="145"/>
      <c r="R20" s="145"/>
      <c r="S20" s="145"/>
      <c r="T20" s="145"/>
      <c r="U20" s="145">
        <f t="shared" si="0"/>
        <v>0</v>
      </c>
      <c r="V20" s="145">
        <f>ROUND(((+U20+D20)/0.37951*0.35-(U20+D20)),0)</f>
        <v>-1090</v>
      </c>
      <c r="W20" s="142">
        <f t="shared" si="2"/>
        <v>-1090</v>
      </c>
      <c r="X20" s="145">
        <f t="shared" si="9"/>
        <v>12934</v>
      </c>
      <c r="Y20" s="145"/>
      <c r="Z20" s="145"/>
      <c r="AA20" s="145">
        <f t="shared" si="6"/>
        <v>0</v>
      </c>
      <c r="AB20" s="145">
        <v>-12934</v>
      </c>
      <c r="AC20" s="145">
        <f t="shared" si="7"/>
        <v>-12934</v>
      </c>
      <c r="AD20" s="139">
        <f t="shared" si="3"/>
        <v>0</v>
      </c>
      <c r="AE20" s="139">
        <f t="shared" si="4"/>
        <v>-12934</v>
      </c>
      <c r="AF20" s="139"/>
      <c r="AG20" s="143">
        <f t="shared" si="8"/>
        <v>0</v>
      </c>
    </row>
    <row r="21" spans="1:33">
      <c r="A21" s="60" t="s">
        <v>22</v>
      </c>
      <c r="B21" s="58" t="s">
        <v>90</v>
      </c>
      <c r="C21" s="61">
        <f>1000*88.443</f>
        <v>88443</v>
      </c>
      <c r="D21" s="180">
        <f>1000*6.552</f>
        <v>6552</v>
      </c>
      <c r="E21" s="144"/>
      <c r="F21" s="144"/>
      <c r="G21" s="145"/>
      <c r="H21" s="145"/>
      <c r="I21" s="145"/>
      <c r="J21" s="145"/>
      <c r="K21" s="145"/>
      <c r="L21" s="145"/>
      <c r="M21" s="145"/>
      <c r="N21" s="145"/>
      <c r="O21" s="145"/>
      <c r="P21" s="145"/>
      <c r="Q21" s="145"/>
      <c r="R21" s="145"/>
      <c r="S21" s="145"/>
      <c r="T21" s="145"/>
      <c r="U21" s="145">
        <f t="shared" si="0"/>
        <v>0</v>
      </c>
      <c r="V21" s="145">
        <f t="shared" si="1"/>
        <v>-509</v>
      </c>
      <c r="W21" s="142">
        <f t="shared" si="2"/>
        <v>-509</v>
      </c>
      <c r="X21" s="145">
        <f t="shared" si="9"/>
        <v>6043</v>
      </c>
      <c r="Y21" s="145"/>
      <c r="Z21" s="145"/>
      <c r="AA21" s="145">
        <f t="shared" si="6"/>
        <v>0</v>
      </c>
      <c r="AB21" s="144">
        <v>-6043</v>
      </c>
      <c r="AC21" s="145">
        <f t="shared" si="7"/>
        <v>-6043</v>
      </c>
      <c r="AD21" s="139">
        <f t="shared" si="3"/>
        <v>0</v>
      </c>
      <c r="AE21" s="139">
        <f t="shared" si="4"/>
        <v>-6043</v>
      </c>
      <c r="AF21" s="139"/>
      <c r="AG21" s="143">
        <f t="shared" si="8"/>
        <v>0</v>
      </c>
    </row>
    <row r="22" spans="1:33">
      <c r="A22" s="60" t="s">
        <v>22</v>
      </c>
      <c r="B22" s="58" t="s">
        <v>91</v>
      </c>
      <c r="C22" s="61">
        <f>1000*318.753</f>
        <v>318753</v>
      </c>
      <c r="D22" s="180">
        <f>1000*23.614</f>
        <v>23614</v>
      </c>
      <c r="E22" s="144"/>
      <c r="F22" s="144"/>
      <c r="G22" s="145"/>
      <c r="H22" s="145"/>
      <c r="I22" s="145">
        <v>-23614</v>
      </c>
      <c r="J22" s="145"/>
      <c r="K22" s="145"/>
      <c r="L22" s="145"/>
      <c r="M22" s="145"/>
      <c r="N22" s="145"/>
      <c r="O22" s="145"/>
      <c r="P22" s="145"/>
      <c r="Q22" s="145"/>
      <c r="R22" s="145"/>
      <c r="S22" s="145"/>
      <c r="T22" s="145"/>
      <c r="U22" s="145">
        <f t="shared" si="0"/>
        <v>-23614</v>
      </c>
      <c r="V22" s="145">
        <f t="shared" si="1"/>
        <v>0</v>
      </c>
      <c r="W22" s="142">
        <f t="shared" si="2"/>
        <v>-23614</v>
      </c>
      <c r="X22" s="145">
        <f t="shared" si="9"/>
        <v>0</v>
      </c>
      <c r="Y22" s="145"/>
      <c r="Z22" s="145"/>
      <c r="AA22" s="145">
        <f t="shared" si="6"/>
        <v>0</v>
      </c>
      <c r="AB22" s="145"/>
      <c r="AC22" s="145">
        <f t="shared" si="7"/>
        <v>0</v>
      </c>
      <c r="AD22" s="139">
        <f t="shared" si="3"/>
        <v>0</v>
      </c>
      <c r="AE22" s="139">
        <f t="shared" si="4"/>
        <v>0</v>
      </c>
      <c r="AF22" s="139"/>
      <c r="AG22" s="143">
        <f t="shared" si="8"/>
        <v>0</v>
      </c>
    </row>
    <row r="23" spans="1:33">
      <c r="A23" s="60" t="s">
        <v>22</v>
      </c>
      <c r="B23" s="58" t="s">
        <v>93</v>
      </c>
      <c r="C23" s="61">
        <f>1000*384.707</f>
        <v>384707</v>
      </c>
      <c r="D23" s="180">
        <f>1000*28.501</f>
        <v>28501</v>
      </c>
      <c r="E23" s="144"/>
      <c r="F23" s="144"/>
      <c r="G23" s="145"/>
      <c r="H23" s="145"/>
      <c r="I23" s="145"/>
      <c r="J23" s="145"/>
      <c r="K23" s="145"/>
      <c r="L23" s="145"/>
      <c r="M23" s="145"/>
      <c r="N23" s="145"/>
      <c r="O23" s="145"/>
      <c r="P23" s="145"/>
      <c r="Q23" s="145"/>
      <c r="R23" s="145"/>
      <c r="S23" s="145"/>
      <c r="T23" s="145"/>
      <c r="U23" s="145">
        <f t="shared" si="0"/>
        <v>0</v>
      </c>
      <c r="V23" s="145">
        <f t="shared" si="1"/>
        <v>-2216</v>
      </c>
      <c r="W23" s="142">
        <f t="shared" si="2"/>
        <v>-2216</v>
      </c>
      <c r="X23" s="145">
        <f t="shared" si="9"/>
        <v>26285</v>
      </c>
      <c r="Y23" s="145"/>
      <c r="Z23" s="145"/>
      <c r="AA23" s="145">
        <f t="shared" si="6"/>
        <v>0</v>
      </c>
      <c r="AB23" s="144">
        <v>-26285</v>
      </c>
      <c r="AC23" s="145">
        <f t="shared" si="7"/>
        <v>-26285</v>
      </c>
      <c r="AD23" s="139">
        <f t="shared" si="3"/>
        <v>0</v>
      </c>
      <c r="AE23" s="139">
        <f t="shared" si="4"/>
        <v>-26285</v>
      </c>
      <c r="AF23" s="139"/>
      <c r="AG23" s="143">
        <f t="shared" si="8"/>
        <v>0</v>
      </c>
    </row>
    <row r="24" spans="1:33">
      <c r="A24" s="60" t="s">
        <v>22</v>
      </c>
      <c r="B24" s="58" t="s">
        <v>94</v>
      </c>
      <c r="C24" s="61">
        <f>1000*97.117</f>
        <v>97117</v>
      </c>
      <c r="D24" s="180">
        <f>1000*7.195</f>
        <v>7195</v>
      </c>
      <c r="E24" s="144"/>
      <c r="F24" s="144"/>
      <c r="G24" s="145"/>
      <c r="H24" s="145"/>
      <c r="I24" s="145"/>
      <c r="J24" s="145"/>
      <c r="K24" s="145"/>
      <c r="L24" s="145"/>
      <c r="M24" s="145"/>
      <c r="N24" s="145"/>
      <c r="O24" s="145"/>
      <c r="P24" s="145"/>
      <c r="Q24" s="145"/>
      <c r="R24" s="145"/>
      <c r="S24" s="145"/>
      <c r="T24" s="145"/>
      <c r="U24" s="145">
        <f t="shared" si="0"/>
        <v>0</v>
      </c>
      <c r="V24" s="145">
        <f t="shared" si="1"/>
        <v>-559</v>
      </c>
      <c r="W24" s="142">
        <f t="shared" si="2"/>
        <v>-559</v>
      </c>
      <c r="X24" s="145">
        <f t="shared" si="9"/>
        <v>6636</v>
      </c>
      <c r="Y24" s="145"/>
      <c r="Z24" s="145"/>
      <c r="AA24" s="145">
        <f t="shared" si="6"/>
        <v>0</v>
      </c>
      <c r="AB24" s="144">
        <v>-6636</v>
      </c>
      <c r="AC24" s="145">
        <f t="shared" si="7"/>
        <v>-6636</v>
      </c>
      <c r="AD24" s="139">
        <f t="shared" si="3"/>
        <v>0</v>
      </c>
      <c r="AE24" s="139">
        <f t="shared" si="4"/>
        <v>-6636</v>
      </c>
      <c r="AF24" s="139"/>
      <c r="AG24" s="143">
        <f t="shared" si="8"/>
        <v>0</v>
      </c>
    </row>
    <row r="25" spans="1:33">
      <c r="A25" s="60" t="s">
        <v>22</v>
      </c>
      <c r="B25" s="58" t="s">
        <v>81</v>
      </c>
      <c r="C25" s="61">
        <f>1000*22.181</f>
        <v>22181</v>
      </c>
      <c r="D25" s="180">
        <f>1000*1.643</f>
        <v>1643</v>
      </c>
      <c r="E25" s="144"/>
      <c r="F25" s="144"/>
      <c r="G25" s="145"/>
      <c r="H25" s="145"/>
      <c r="I25" s="145"/>
      <c r="J25" s="145"/>
      <c r="K25" s="145"/>
      <c r="L25" s="145"/>
      <c r="M25" s="145"/>
      <c r="N25" s="145"/>
      <c r="O25" s="145"/>
      <c r="P25" s="145"/>
      <c r="Q25" s="145"/>
      <c r="R25" s="145"/>
      <c r="S25" s="145"/>
      <c r="T25" s="145"/>
      <c r="U25" s="145">
        <f t="shared" si="0"/>
        <v>0</v>
      </c>
      <c r="V25" s="145">
        <f t="shared" si="1"/>
        <v>-128</v>
      </c>
      <c r="W25" s="142">
        <f t="shared" si="2"/>
        <v>-128</v>
      </c>
      <c r="X25" s="145">
        <f t="shared" si="9"/>
        <v>1515</v>
      </c>
      <c r="Y25" s="145"/>
      <c r="Z25" s="145"/>
      <c r="AA25" s="145">
        <f t="shared" si="6"/>
        <v>0</v>
      </c>
      <c r="AB25" s="145">
        <v>-1515</v>
      </c>
      <c r="AC25" s="145">
        <f t="shared" si="7"/>
        <v>-1515</v>
      </c>
      <c r="AD25" s="139">
        <f t="shared" si="3"/>
        <v>0</v>
      </c>
      <c r="AE25" s="139">
        <f t="shared" si="4"/>
        <v>-1515</v>
      </c>
      <c r="AF25" s="139"/>
      <c r="AG25" s="143">
        <f t="shared" si="8"/>
        <v>0</v>
      </c>
    </row>
    <row r="26" spans="1:33">
      <c r="A26" s="60" t="s">
        <v>37</v>
      </c>
      <c r="B26" s="58" t="s">
        <v>38</v>
      </c>
      <c r="C26" s="61">
        <f>1000*1763.121</f>
        <v>1763121</v>
      </c>
      <c r="D26" s="180">
        <f>1000*130.619</f>
        <v>130619</v>
      </c>
      <c r="E26" s="144"/>
      <c r="F26" s="144"/>
      <c r="G26" s="145"/>
      <c r="H26" s="145"/>
      <c r="I26" s="145"/>
      <c r="J26" s="145"/>
      <c r="K26" s="145"/>
      <c r="L26" s="145"/>
      <c r="M26" s="145"/>
      <c r="N26" s="145"/>
      <c r="O26" s="145"/>
      <c r="P26" s="145"/>
      <c r="Q26" s="145"/>
      <c r="R26" s="145"/>
      <c r="S26" s="145"/>
      <c r="T26" s="145"/>
      <c r="U26" s="145">
        <f t="shared" si="0"/>
        <v>0</v>
      </c>
      <c r="V26" s="145">
        <f t="shared" si="1"/>
        <v>-10157</v>
      </c>
      <c r="W26" s="142">
        <f t="shared" si="2"/>
        <v>-10157</v>
      </c>
      <c r="X26" s="145">
        <f t="shared" si="9"/>
        <v>120462</v>
      </c>
      <c r="Y26" s="145"/>
      <c r="Z26" s="145"/>
      <c r="AA26" s="145">
        <f t="shared" si="6"/>
        <v>0</v>
      </c>
      <c r="AB26" s="144">
        <v>-120462</v>
      </c>
      <c r="AC26" s="145">
        <f t="shared" si="7"/>
        <v>-120462</v>
      </c>
      <c r="AD26" s="139">
        <f t="shared" si="3"/>
        <v>0</v>
      </c>
      <c r="AE26" s="139">
        <f t="shared" si="4"/>
        <v>-120462</v>
      </c>
      <c r="AF26" s="139"/>
      <c r="AG26" s="143">
        <f t="shared" si="8"/>
        <v>0</v>
      </c>
    </row>
    <row r="27" spans="1:33">
      <c r="A27" s="60" t="s">
        <v>50</v>
      </c>
      <c r="B27" s="58" t="s">
        <v>51</v>
      </c>
      <c r="C27" s="61">
        <f>1000*116.845</f>
        <v>116845</v>
      </c>
      <c r="D27" s="180">
        <f>1000*24.955</f>
        <v>24955</v>
      </c>
      <c r="E27" s="144"/>
      <c r="F27" s="144"/>
      <c r="G27" s="145"/>
      <c r="H27" s="145"/>
      <c r="I27" s="145"/>
      <c r="J27" s="145"/>
      <c r="K27" s="145"/>
      <c r="L27" s="145"/>
      <c r="M27" s="145"/>
      <c r="N27" s="145"/>
      <c r="O27" s="145"/>
      <c r="P27" s="145"/>
      <c r="Q27" s="145"/>
      <c r="R27" s="145"/>
      <c r="S27" s="145"/>
      <c r="T27" s="145"/>
      <c r="U27" s="145">
        <f t="shared" si="0"/>
        <v>0</v>
      </c>
      <c r="V27" s="145">
        <f t="shared" si="1"/>
        <v>-1940</v>
      </c>
      <c r="W27" s="142">
        <f t="shared" si="2"/>
        <v>-1940</v>
      </c>
      <c r="X27" s="145">
        <f t="shared" si="9"/>
        <v>23015</v>
      </c>
      <c r="Y27" s="145"/>
      <c r="Z27" s="145"/>
      <c r="AA27" s="145">
        <f t="shared" si="6"/>
        <v>0</v>
      </c>
      <c r="AB27" s="144">
        <v>-23015</v>
      </c>
      <c r="AC27" s="145">
        <f t="shared" si="7"/>
        <v>-23015</v>
      </c>
      <c r="AD27" s="139">
        <f t="shared" si="3"/>
        <v>0</v>
      </c>
      <c r="AE27" s="139">
        <f t="shared" si="4"/>
        <v>-23015</v>
      </c>
      <c r="AF27" s="139"/>
      <c r="AG27" s="143">
        <f t="shared" si="8"/>
        <v>0</v>
      </c>
    </row>
    <row r="28" spans="1:33">
      <c r="A28" s="60" t="s">
        <v>44</v>
      </c>
      <c r="B28" s="58" t="s">
        <v>45</v>
      </c>
      <c r="C28" s="61">
        <f>1000*277.498</f>
        <v>277498</v>
      </c>
      <c r="D28" s="180">
        <f>1000*59.267</f>
        <v>59267</v>
      </c>
      <c r="E28" s="144"/>
      <c r="F28" s="144"/>
      <c r="G28" s="145"/>
      <c r="H28" s="145"/>
      <c r="I28" s="145"/>
      <c r="J28" s="145"/>
      <c r="K28" s="145"/>
      <c r="L28" s="145"/>
      <c r="M28" s="145"/>
      <c r="N28" s="145"/>
      <c r="O28" s="145"/>
      <c r="P28" s="145"/>
      <c r="Q28" s="145"/>
      <c r="R28" s="145"/>
      <c r="S28" s="145"/>
      <c r="T28" s="145"/>
      <c r="U28" s="145">
        <f t="shared" si="0"/>
        <v>0</v>
      </c>
      <c r="V28" s="145">
        <f t="shared" si="1"/>
        <v>-4608</v>
      </c>
      <c r="W28" s="142">
        <f t="shared" si="2"/>
        <v>-4608</v>
      </c>
      <c r="X28" s="145">
        <f t="shared" si="9"/>
        <v>54659</v>
      </c>
      <c r="Y28" s="145"/>
      <c r="Z28" s="145"/>
      <c r="AA28" s="145">
        <f t="shared" si="6"/>
        <v>0</v>
      </c>
      <c r="AB28" s="144">
        <v>-54659</v>
      </c>
      <c r="AC28" s="145">
        <f t="shared" si="7"/>
        <v>-54659</v>
      </c>
      <c r="AD28" s="139">
        <f t="shared" si="3"/>
        <v>0</v>
      </c>
      <c r="AE28" s="139">
        <f t="shared" si="4"/>
        <v>-54659</v>
      </c>
      <c r="AF28" s="139"/>
      <c r="AG28" s="143">
        <f t="shared" si="8"/>
        <v>0</v>
      </c>
    </row>
    <row r="29" spans="1:33">
      <c r="A29" s="60" t="s">
        <v>44</v>
      </c>
      <c r="B29" s="58" t="s">
        <v>80</v>
      </c>
      <c r="C29" s="61">
        <f>1000*1331.275</f>
        <v>1331275</v>
      </c>
      <c r="D29" s="180">
        <f>1000*284.327</f>
        <v>284327</v>
      </c>
      <c r="E29" s="144"/>
      <c r="F29" s="144"/>
      <c r="G29" s="145"/>
      <c r="H29" s="145"/>
      <c r="I29" s="145"/>
      <c r="J29" s="145"/>
      <c r="K29" s="145"/>
      <c r="L29" s="145"/>
      <c r="M29" s="145"/>
      <c r="N29" s="145"/>
      <c r="O29" s="145"/>
      <c r="P29" s="145"/>
      <c r="Q29" s="145"/>
      <c r="R29" s="145"/>
      <c r="S29" s="145"/>
      <c r="T29" s="145"/>
      <c r="U29" s="145">
        <f t="shared" si="0"/>
        <v>0</v>
      </c>
      <c r="V29" s="145">
        <f t="shared" si="1"/>
        <v>-22109</v>
      </c>
      <c r="W29" s="142">
        <f t="shared" si="2"/>
        <v>-22109</v>
      </c>
      <c r="X29" s="145">
        <f t="shared" si="9"/>
        <v>262218</v>
      </c>
      <c r="Y29" s="145"/>
      <c r="Z29" s="145"/>
      <c r="AA29" s="145">
        <f t="shared" si="6"/>
        <v>0</v>
      </c>
      <c r="AB29" s="145">
        <v>-262218</v>
      </c>
      <c r="AC29" s="145">
        <f t="shared" si="7"/>
        <v>-262218</v>
      </c>
      <c r="AD29" s="139">
        <f t="shared" si="3"/>
        <v>0</v>
      </c>
      <c r="AE29" s="139">
        <f t="shared" si="4"/>
        <v>-262218</v>
      </c>
      <c r="AF29" s="139"/>
      <c r="AG29" s="143">
        <f t="shared" si="8"/>
        <v>0</v>
      </c>
    </row>
    <row r="30" spans="1:33">
      <c r="A30" s="60" t="s">
        <v>44</v>
      </c>
      <c r="B30" s="58" t="s">
        <v>82</v>
      </c>
      <c r="C30" s="61">
        <f>1000*0.701</f>
        <v>701</v>
      </c>
      <c r="D30" s="180">
        <f>1000*0.15</f>
        <v>150</v>
      </c>
      <c r="E30" s="144"/>
      <c r="F30" s="144"/>
      <c r="G30" s="145"/>
      <c r="H30" s="145"/>
      <c r="I30" s="145"/>
      <c r="J30" s="145"/>
      <c r="K30" s="145"/>
      <c r="L30" s="145"/>
      <c r="M30" s="145"/>
      <c r="N30" s="145"/>
      <c r="O30" s="145"/>
      <c r="P30" s="145"/>
      <c r="Q30" s="145"/>
      <c r="R30" s="145"/>
      <c r="S30" s="145"/>
      <c r="T30" s="145"/>
      <c r="U30" s="145">
        <f t="shared" si="0"/>
        <v>0</v>
      </c>
      <c r="V30" s="145">
        <f t="shared" si="1"/>
        <v>-12</v>
      </c>
      <c r="W30" s="142">
        <f t="shared" si="2"/>
        <v>-12</v>
      </c>
      <c r="X30" s="145">
        <f t="shared" si="9"/>
        <v>138</v>
      </c>
      <c r="Y30" s="145"/>
      <c r="Z30" s="145"/>
      <c r="AA30" s="145">
        <f t="shared" si="6"/>
        <v>0</v>
      </c>
      <c r="AB30" s="145">
        <v>-138</v>
      </c>
      <c r="AC30" s="145">
        <f t="shared" si="7"/>
        <v>-138</v>
      </c>
      <c r="AD30" s="139">
        <f t="shared" si="3"/>
        <v>0</v>
      </c>
      <c r="AE30" s="139">
        <f t="shared" si="4"/>
        <v>-138</v>
      </c>
      <c r="AF30" s="139"/>
      <c r="AG30" s="143">
        <f t="shared" si="8"/>
        <v>0</v>
      </c>
    </row>
    <row r="31" spans="1:33">
      <c r="A31" s="60" t="s">
        <v>44</v>
      </c>
      <c r="B31" s="58" t="s">
        <v>83</v>
      </c>
      <c r="C31" s="61">
        <f>1000*83.929</f>
        <v>83929</v>
      </c>
      <c r="D31" s="180">
        <f>1000*17.925</f>
        <v>17925</v>
      </c>
      <c r="E31" s="144"/>
      <c r="F31" s="144"/>
      <c r="G31" s="145"/>
      <c r="H31" s="145"/>
      <c r="I31" s="145"/>
      <c r="J31" s="145"/>
      <c r="K31" s="145"/>
      <c r="L31" s="145"/>
      <c r="M31" s="145"/>
      <c r="N31" s="145"/>
      <c r="O31" s="145"/>
      <c r="P31" s="145"/>
      <c r="Q31" s="145"/>
      <c r="R31" s="145"/>
      <c r="S31" s="145"/>
      <c r="T31" s="145"/>
      <c r="U31" s="145">
        <f t="shared" si="0"/>
        <v>0</v>
      </c>
      <c r="V31" s="145">
        <f t="shared" si="1"/>
        <v>-1394</v>
      </c>
      <c r="W31" s="142">
        <f t="shared" si="2"/>
        <v>-1394</v>
      </c>
      <c r="X31" s="145">
        <f t="shared" si="9"/>
        <v>16531</v>
      </c>
      <c r="Y31" s="145"/>
      <c r="Z31" s="145"/>
      <c r="AA31" s="145">
        <f t="shared" si="6"/>
        <v>0</v>
      </c>
      <c r="AB31" s="144">
        <v>-16531</v>
      </c>
      <c r="AC31" s="145">
        <f t="shared" si="7"/>
        <v>-16531</v>
      </c>
      <c r="AD31" s="139">
        <f t="shared" si="3"/>
        <v>0</v>
      </c>
      <c r="AE31" s="139">
        <f t="shared" si="4"/>
        <v>-16531</v>
      </c>
      <c r="AF31" s="139"/>
      <c r="AG31" s="143">
        <f t="shared" si="8"/>
        <v>0</v>
      </c>
    </row>
    <row r="32" spans="1:33">
      <c r="A32" s="60" t="s">
        <v>44</v>
      </c>
      <c r="B32" s="58" t="s">
        <v>95</v>
      </c>
      <c r="C32" s="61">
        <f>1000*51.181</f>
        <v>51181</v>
      </c>
      <c r="D32" s="180">
        <f>1000*10.931</f>
        <v>10931</v>
      </c>
      <c r="E32" s="144"/>
      <c r="F32" s="144"/>
      <c r="G32" s="145"/>
      <c r="H32" s="145"/>
      <c r="I32" s="145"/>
      <c r="J32" s="145"/>
      <c r="K32" s="145"/>
      <c r="L32" s="145"/>
      <c r="M32" s="145"/>
      <c r="N32" s="145"/>
      <c r="O32" s="145"/>
      <c r="P32" s="145"/>
      <c r="Q32" s="145"/>
      <c r="R32" s="145"/>
      <c r="S32" s="145"/>
      <c r="T32" s="145"/>
      <c r="U32" s="145">
        <f t="shared" si="0"/>
        <v>0</v>
      </c>
      <c r="V32" s="145">
        <f t="shared" si="1"/>
        <v>-850</v>
      </c>
      <c r="W32" s="142">
        <f t="shared" si="2"/>
        <v>-850</v>
      </c>
      <c r="X32" s="145">
        <f t="shared" si="9"/>
        <v>10081</v>
      </c>
      <c r="Y32" s="145"/>
      <c r="Z32" s="145"/>
      <c r="AA32" s="145">
        <f t="shared" si="6"/>
        <v>0</v>
      </c>
      <c r="AB32" s="144">
        <v>-10081</v>
      </c>
      <c r="AC32" s="145">
        <f t="shared" si="7"/>
        <v>-10081</v>
      </c>
      <c r="AD32" s="139">
        <f t="shared" si="3"/>
        <v>0</v>
      </c>
      <c r="AE32" s="139">
        <f t="shared" si="4"/>
        <v>-10081</v>
      </c>
      <c r="AF32" s="139"/>
      <c r="AG32" s="143">
        <f t="shared" si="8"/>
        <v>0</v>
      </c>
    </row>
    <row r="33" spans="1:33">
      <c r="A33" s="60" t="s">
        <v>44</v>
      </c>
      <c r="B33" s="58" t="s">
        <v>96</v>
      </c>
      <c r="C33" s="61">
        <f>1000*35.965</f>
        <v>35965</v>
      </c>
      <c r="D33" s="180">
        <f>1000*7.681</f>
        <v>7681</v>
      </c>
      <c r="E33" s="144"/>
      <c r="F33" s="144"/>
      <c r="G33" s="145"/>
      <c r="H33" s="145"/>
      <c r="I33" s="145"/>
      <c r="J33" s="145"/>
      <c r="K33" s="145"/>
      <c r="L33" s="145"/>
      <c r="M33" s="145"/>
      <c r="N33" s="145"/>
      <c r="O33" s="145"/>
      <c r="P33" s="145"/>
      <c r="Q33" s="145"/>
      <c r="R33" s="145"/>
      <c r="S33" s="145"/>
      <c r="T33" s="145"/>
      <c r="U33" s="145">
        <f t="shared" si="0"/>
        <v>0</v>
      </c>
      <c r="V33" s="145">
        <f t="shared" si="1"/>
        <v>-597</v>
      </c>
      <c r="W33" s="142">
        <f t="shared" si="2"/>
        <v>-597</v>
      </c>
      <c r="X33" s="145">
        <f t="shared" si="9"/>
        <v>7084</v>
      </c>
      <c r="Y33" s="145"/>
      <c r="Z33" s="145"/>
      <c r="AA33" s="145">
        <f t="shared" si="6"/>
        <v>0</v>
      </c>
      <c r="AB33" s="144">
        <v>-7084</v>
      </c>
      <c r="AC33" s="145">
        <f t="shared" si="7"/>
        <v>-7084</v>
      </c>
      <c r="AD33" s="139">
        <f t="shared" si="3"/>
        <v>0</v>
      </c>
      <c r="AE33" s="139">
        <f>+AD33-X33</f>
        <v>-7084</v>
      </c>
      <c r="AF33" s="139"/>
      <c r="AG33" s="143">
        <f t="shared" si="8"/>
        <v>0</v>
      </c>
    </row>
    <row r="34" spans="1:33">
      <c r="A34" s="59" t="s">
        <v>23</v>
      </c>
      <c r="B34" s="58" t="s">
        <v>25</v>
      </c>
      <c r="C34" s="61">
        <f>47043.421*1000</f>
        <v>47043421</v>
      </c>
      <c r="D34" s="180">
        <f>1000*3900.673</f>
        <v>3900673</v>
      </c>
      <c r="E34" s="144"/>
      <c r="F34" s="144"/>
      <c r="G34" s="145"/>
      <c r="H34" s="145"/>
      <c r="I34" s="145"/>
      <c r="J34" s="145"/>
      <c r="K34" s="145"/>
      <c r="L34" s="145"/>
      <c r="M34" s="145"/>
      <c r="N34" s="145"/>
      <c r="O34" s="145"/>
      <c r="P34" s="145"/>
      <c r="Q34" s="145"/>
      <c r="R34" s="145"/>
      <c r="S34" s="145"/>
      <c r="T34" s="145"/>
      <c r="U34" s="145">
        <f t="shared" si="0"/>
        <v>0</v>
      </c>
      <c r="V34" s="145">
        <f t="shared" si="1"/>
        <v>-303309</v>
      </c>
      <c r="W34" s="142">
        <f t="shared" si="2"/>
        <v>-303309</v>
      </c>
      <c r="X34" s="145">
        <f t="shared" si="9"/>
        <v>3597364</v>
      </c>
      <c r="Y34" s="145"/>
      <c r="Z34" s="145"/>
      <c r="AA34" s="145">
        <f t="shared" si="6"/>
        <v>0</v>
      </c>
      <c r="AB34" s="145"/>
      <c r="AC34" s="145">
        <f t="shared" si="7"/>
        <v>0</v>
      </c>
      <c r="AD34" s="139">
        <f t="shared" si="3"/>
        <v>3597364</v>
      </c>
      <c r="AE34" s="139">
        <f t="shared" ref="AE34:AE58" si="10">+AD34-X34</f>
        <v>0</v>
      </c>
      <c r="AF34" s="139">
        <v>3597363.84</v>
      </c>
      <c r="AG34" s="143">
        <f t="shared" si="8"/>
        <v>0.16000000014901161</v>
      </c>
    </row>
    <row r="35" spans="1:33">
      <c r="A35" s="59" t="s">
        <v>23</v>
      </c>
      <c r="B35" s="58" t="s">
        <v>27</v>
      </c>
      <c r="C35" s="61">
        <f>1000*-2413.054</f>
        <v>-2413054</v>
      </c>
      <c r="D35" s="180">
        <f>1000*-200.082</f>
        <v>-200082</v>
      </c>
      <c r="E35" s="144"/>
      <c r="F35" s="144"/>
      <c r="G35" s="145"/>
      <c r="H35" s="145"/>
      <c r="I35" s="145"/>
      <c r="J35" s="145"/>
      <c r="K35" s="145"/>
      <c r="L35" s="145"/>
      <c r="M35" s="145"/>
      <c r="N35" s="145"/>
      <c r="O35" s="145"/>
      <c r="P35" s="145"/>
      <c r="Q35" s="145"/>
      <c r="R35" s="145"/>
      <c r="S35" s="145"/>
      <c r="T35" s="145"/>
      <c r="U35" s="145">
        <f t="shared" si="0"/>
        <v>0</v>
      </c>
      <c r="V35" s="145">
        <f t="shared" si="1"/>
        <v>15558</v>
      </c>
      <c r="W35" s="142">
        <f t="shared" si="2"/>
        <v>15558</v>
      </c>
      <c r="X35" s="145">
        <f t="shared" si="9"/>
        <v>-184524</v>
      </c>
      <c r="Y35" s="145"/>
      <c r="Z35" s="145"/>
      <c r="AA35" s="145">
        <f t="shared" si="6"/>
        <v>0</v>
      </c>
      <c r="AB35" s="145"/>
      <c r="AC35" s="145">
        <f t="shared" si="7"/>
        <v>0</v>
      </c>
      <c r="AD35" s="139">
        <f t="shared" si="3"/>
        <v>-184524</v>
      </c>
      <c r="AE35" s="139">
        <f t="shared" si="10"/>
        <v>0</v>
      </c>
      <c r="AF35" s="139">
        <v>-184523.861998654</v>
      </c>
      <c r="AG35" s="143">
        <f t="shared" si="8"/>
        <v>-0.13800134600023739</v>
      </c>
    </row>
    <row r="36" spans="1:33">
      <c r="A36" s="59" t="s">
        <v>23</v>
      </c>
      <c r="B36" s="58" t="s">
        <v>28</v>
      </c>
      <c r="C36" s="61">
        <f>1000*615608.171</f>
        <v>615608171</v>
      </c>
      <c r="D36" s="180">
        <f>1000*38857.657</f>
        <v>38857657</v>
      </c>
      <c r="E36" s="144"/>
      <c r="F36" s="144"/>
      <c r="G36" s="145"/>
      <c r="H36" s="145"/>
      <c r="I36" s="145"/>
      <c r="J36" s="145"/>
      <c r="K36" s="145"/>
      <c r="L36" s="145"/>
      <c r="M36" s="145"/>
      <c r="N36" s="145"/>
      <c r="O36" s="145"/>
      <c r="P36" s="145"/>
      <c r="Q36" s="145"/>
      <c r="R36" s="145"/>
      <c r="S36" s="145"/>
      <c r="T36" s="145"/>
      <c r="U36" s="145">
        <f t="shared" si="0"/>
        <v>0</v>
      </c>
      <c r="V36" s="145">
        <f>ROUND(((+U36+D36)/0.37951*0.35-(U36+D36)),0)</f>
        <v>-3021500</v>
      </c>
      <c r="W36" s="142">
        <f t="shared" si="2"/>
        <v>-3021500</v>
      </c>
      <c r="X36" s="145">
        <f t="shared" si="9"/>
        <v>35836157</v>
      </c>
      <c r="Y36" s="145"/>
      <c r="Z36" s="145"/>
      <c r="AA36" s="145">
        <f t="shared" si="6"/>
        <v>0</v>
      </c>
      <c r="AB36" s="145"/>
      <c r="AC36" s="145">
        <f t="shared" si="7"/>
        <v>0</v>
      </c>
      <c r="AD36" s="139">
        <f t="shared" si="3"/>
        <v>35836157</v>
      </c>
      <c r="AE36" s="139">
        <f t="shared" si="10"/>
        <v>0</v>
      </c>
      <c r="AF36" s="139">
        <v>35836157.020000003</v>
      </c>
      <c r="AG36" s="143">
        <f t="shared" si="8"/>
        <v>-2.0000003278255463E-2</v>
      </c>
    </row>
    <row r="37" spans="1:33">
      <c r="A37" s="59" t="s">
        <v>23</v>
      </c>
      <c r="B37" s="58" t="s">
        <v>31</v>
      </c>
      <c r="C37" s="61">
        <f>1000*9548.838</f>
        <v>9548838</v>
      </c>
      <c r="D37" s="180">
        <f>1000*2039.389</f>
        <v>2039389</v>
      </c>
      <c r="E37" s="144"/>
      <c r="F37" s="144"/>
      <c r="G37" s="145"/>
      <c r="H37" s="145"/>
      <c r="I37" s="145"/>
      <c r="J37" s="145"/>
      <c r="K37" s="145"/>
      <c r="L37" s="145"/>
      <c r="M37" s="145"/>
      <c r="N37" s="145"/>
      <c r="O37" s="145"/>
      <c r="P37" s="145"/>
      <c r="Q37" s="145"/>
      <c r="R37" s="145"/>
      <c r="S37" s="145"/>
      <c r="T37" s="145"/>
      <c r="U37" s="145">
        <f t="shared" si="0"/>
        <v>0</v>
      </c>
      <c r="V37" s="145">
        <f t="shared" si="1"/>
        <v>-158579</v>
      </c>
      <c r="W37" s="142">
        <f t="shared" si="2"/>
        <v>-158579</v>
      </c>
      <c r="X37" s="145">
        <f t="shared" si="9"/>
        <v>1880810</v>
      </c>
      <c r="Y37" s="145"/>
      <c r="Z37" s="145"/>
      <c r="AA37" s="145">
        <f t="shared" si="6"/>
        <v>0</v>
      </c>
      <c r="AB37" s="145"/>
      <c r="AC37" s="145">
        <f t="shared" si="7"/>
        <v>0</v>
      </c>
      <c r="AD37" s="139">
        <f t="shared" si="3"/>
        <v>1880810</v>
      </c>
      <c r="AE37" s="139">
        <f t="shared" si="10"/>
        <v>0</v>
      </c>
      <c r="AF37" s="139">
        <v>1880809.8599999999</v>
      </c>
      <c r="AG37" s="143">
        <f t="shared" si="8"/>
        <v>0.14000000013038516</v>
      </c>
    </row>
    <row r="38" spans="1:33">
      <c r="A38" s="59" t="s">
        <v>23</v>
      </c>
      <c r="B38" s="58" t="s">
        <v>29</v>
      </c>
      <c r="C38" s="61">
        <f>1000*1893.744</f>
        <v>1893744</v>
      </c>
      <c r="D38" s="180">
        <f>1000*140.296</f>
        <v>140296</v>
      </c>
      <c r="E38" s="144"/>
      <c r="F38" s="144"/>
      <c r="G38" s="145"/>
      <c r="H38" s="145"/>
      <c r="I38" s="145"/>
      <c r="J38" s="145"/>
      <c r="K38" s="145"/>
      <c r="L38" s="145"/>
      <c r="M38" s="145"/>
      <c r="N38" s="145"/>
      <c r="O38" s="145"/>
      <c r="P38" s="145"/>
      <c r="Q38" s="145"/>
      <c r="R38" s="145">
        <v>-115198</v>
      </c>
      <c r="S38" s="145"/>
      <c r="T38" s="145"/>
      <c r="U38" s="145">
        <f t="shared" si="0"/>
        <v>-115198</v>
      </c>
      <c r="V38" s="145">
        <f t="shared" si="1"/>
        <v>-1952</v>
      </c>
      <c r="W38" s="142">
        <f t="shared" si="2"/>
        <v>-117150</v>
      </c>
      <c r="X38" s="145">
        <f t="shared" si="9"/>
        <v>23146</v>
      </c>
      <c r="Y38" s="145">
        <f>115198</f>
        <v>115198</v>
      </c>
      <c r="Z38" s="145">
        <f>ROUND(115198/0.37951*0.35-115198,0)</f>
        <v>-8958</v>
      </c>
      <c r="AA38" s="145">
        <f t="shared" si="6"/>
        <v>106240</v>
      </c>
      <c r="AB38" s="145"/>
      <c r="AC38" s="145">
        <f t="shared" si="7"/>
        <v>106240</v>
      </c>
      <c r="AD38" s="139">
        <f t="shared" si="3"/>
        <v>129386</v>
      </c>
      <c r="AE38" s="139">
        <f t="shared" si="10"/>
        <v>106240</v>
      </c>
      <c r="AF38" s="139">
        <v>129386.84527232482</v>
      </c>
      <c r="AG38" s="143">
        <f t="shared" si="8"/>
        <v>-0.8452723248192342</v>
      </c>
    </row>
    <row r="39" spans="1:33">
      <c r="A39" s="59" t="s">
        <v>23</v>
      </c>
      <c r="B39" s="58" t="s">
        <v>33</v>
      </c>
      <c r="C39" s="61">
        <f>1000*35849.593</f>
        <v>35849593</v>
      </c>
      <c r="D39" s="180">
        <f>1000*2578.374</f>
        <v>2578374</v>
      </c>
      <c r="E39" s="144"/>
      <c r="F39" s="144"/>
      <c r="G39" s="145"/>
      <c r="H39" s="145"/>
      <c r="I39" s="145"/>
      <c r="J39" s="145"/>
      <c r="K39" s="145"/>
      <c r="L39" s="145"/>
      <c r="M39" s="145"/>
      <c r="N39" s="145"/>
      <c r="O39" s="145"/>
      <c r="P39" s="145"/>
      <c r="Q39" s="145"/>
      <c r="R39" s="145">
        <v>718835</v>
      </c>
      <c r="S39" s="145"/>
      <c r="T39" s="145"/>
      <c r="U39" s="145">
        <f t="shared" si="0"/>
        <v>718835</v>
      </c>
      <c r="V39" s="145">
        <f t="shared" si="1"/>
        <v>-256385</v>
      </c>
      <c r="W39" s="142">
        <f t="shared" si="2"/>
        <v>462450</v>
      </c>
      <c r="X39" s="145">
        <f t="shared" si="9"/>
        <v>3040824</v>
      </c>
      <c r="Y39" s="145">
        <f>-718835</f>
        <v>-718835</v>
      </c>
      <c r="Z39" s="145">
        <f>ROUND(-718835/0.37951*0.35+718835,0)</f>
        <v>55895</v>
      </c>
      <c r="AA39" s="145">
        <f t="shared" si="6"/>
        <v>-662940</v>
      </c>
      <c r="AB39" s="145"/>
      <c r="AC39" s="145">
        <f t="shared" si="7"/>
        <v>-662940</v>
      </c>
      <c r="AD39" s="139">
        <f t="shared" si="3"/>
        <v>2377884</v>
      </c>
      <c r="AE39" s="139">
        <f t="shared" si="10"/>
        <v>-662940</v>
      </c>
      <c r="AF39" s="139">
        <v>2377884.3782664486</v>
      </c>
      <c r="AG39" s="143">
        <f t="shared" si="8"/>
        <v>-0.3782664486207068</v>
      </c>
    </row>
    <row r="40" spans="1:33">
      <c r="A40" s="59" t="s">
        <v>23</v>
      </c>
      <c r="B40" s="58" t="s">
        <v>39</v>
      </c>
      <c r="C40" s="61">
        <f>1000*13684.374</f>
        <v>13684374</v>
      </c>
      <c r="D40" s="180">
        <f>1000*1013.789</f>
        <v>1013789</v>
      </c>
      <c r="E40" s="144"/>
      <c r="F40" s="144"/>
      <c r="G40" s="145"/>
      <c r="H40" s="145"/>
      <c r="I40" s="145"/>
      <c r="J40" s="145"/>
      <c r="K40" s="145"/>
      <c r="L40" s="145"/>
      <c r="M40" s="145"/>
      <c r="N40" s="145"/>
      <c r="O40" s="145"/>
      <c r="P40" s="145"/>
      <c r="Q40" s="145"/>
      <c r="R40" s="145"/>
      <c r="S40" s="145"/>
      <c r="T40" s="145"/>
      <c r="U40" s="145">
        <f t="shared" ref="U40:U58" si="11">SUM(E40:S40)</f>
        <v>0</v>
      </c>
      <c r="V40" s="145">
        <f t="shared" si="1"/>
        <v>-78830</v>
      </c>
      <c r="W40" s="142">
        <f t="shared" si="2"/>
        <v>-78830</v>
      </c>
      <c r="X40" s="145">
        <f t="shared" ref="X40:X58" si="12">+U40+V40+D40</f>
        <v>934959</v>
      </c>
      <c r="Y40" s="145"/>
      <c r="Z40" s="145"/>
      <c r="AA40" s="145">
        <f t="shared" si="6"/>
        <v>0</v>
      </c>
      <c r="AB40" s="145"/>
      <c r="AC40" s="145">
        <f t="shared" si="7"/>
        <v>0</v>
      </c>
      <c r="AD40" s="139">
        <f t="shared" ref="AD40:AD58" si="13">+AC40+X40</f>
        <v>934959</v>
      </c>
      <c r="AE40" s="139">
        <f t="shared" si="10"/>
        <v>0</v>
      </c>
      <c r="AF40" s="139">
        <v>934958.63</v>
      </c>
      <c r="AG40" s="143">
        <f t="shared" si="8"/>
        <v>0.36999999999534339</v>
      </c>
    </row>
    <row r="41" spans="1:33">
      <c r="A41" s="59" t="s">
        <v>23</v>
      </c>
      <c r="B41" s="58" t="s">
        <v>41</v>
      </c>
      <c r="C41" s="61">
        <f>1000*166.418</f>
        <v>166418</v>
      </c>
      <c r="D41" s="180">
        <f>1000*13.132</f>
        <v>13132</v>
      </c>
      <c r="E41" s="144"/>
      <c r="F41" s="144"/>
      <c r="G41" s="145"/>
      <c r="H41" s="145"/>
      <c r="I41" s="145"/>
      <c r="J41" s="145"/>
      <c r="K41" s="145"/>
      <c r="L41" s="145"/>
      <c r="M41" s="145"/>
      <c r="N41" s="145"/>
      <c r="O41" s="145"/>
      <c r="P41" s="145"/>
      <c r="Q41" s="145"/>
      <c r="R41" s="145"/>
      <c r="S41" s="145"/>
      <c r="T41" s="145"/>
      <c r="U41" s="145">
        <f t="shared" si="11"/>
        <v>0</v>
      </c>
      <c r="V41" s="145">
        <f t="shared" si="1"/>
        <v>-1021</v>
      </c>
      <c r="W41" s="142">
        <f t="shared" si="2"/>
        <v>-1021</v>
      </c>
      <c r="X41" s="145">
        <f t="shared" si="12"/>
        <v>12111</v>
      </c>
      <c r="Y41" s="145"/>
      <c r="Z41" s="145"/>
      <c r="AA41" s="145">
        <f t="shared" si="6"/>
        <v>0</v>
      </c>
      <c r="AB41" s="145"/>
      <c r="AC41" s="145">
        <f t="shared" si="7"/>
        <v>0</v>
      </c>
      <c r="AD41" s="139">
        <f t="shared" si="13"/>
        <v>12111</v>
      </c>
      <c r="AE41" s="139">
        <f t="shared" si="10"/>
        <v>0</v>
      </c>
      <c r="AF41" s="139">
        <v>12110.33</v>
      </c>
      <c r="AG41" s="143">
        <f t="shared" si="8"/>
        <v>0.67000000000007276</v>
      </c>
    </row>
    <row r="42" spans="1:33">
      <c r="A42" s="59" t="s">
        <v>23</v>
      </c>
      <c r="B42" s="58" t="s">
        <v>43</v>
      </c>
      <c r="C42" s="61">
        <f>1000*992.979</f>
        <v>992979</v>
      </c>
      <c r="D42" s="180">
        <f>1000*78.349</f>
        <v>78349</v>
      </c>
      <c r="E42" s="144"/>
      <c r="F42" s="144"/>
      <c r="G42" s="145"/>
      <c r="H42" s="145"/>
      <c r="I42" s="145"/>
      <c r="J42" s="145"/>
      <c r="K42" s="145"/>
      <c r="L42" s="145"/>
      <c r="M42" s="145"/>
      <c r="N42" s="145"/>
      <c r="O42" s="145"/>
      <c r="P42" s="145"/>
      <c r="Q42" s="145"/>
      <c r="R42" s="145"/>
      <c r="S42" s="145"/>
      <c r="T42" s="145"/>
      <c r="U42" s="145">
        <f t="shared" si="11"/>
        <v>0</v>
      </c>
      <c r="V42" s="145">
        <f t="shared" si="1"/>
        <v>-6092</v>
      </c>
      <c r="W42" s="142">
        <f t="shared" si="2"/>
        <v>-6092</v>
      </c>
      <c r="X42" s="145">
        <f t="shared" si="12"/>
        <v>72257</v>
      </c>
      <c r="Y42" s="145"/>
      <c r="Z42" s="145"/>
      <c r="AA42" s="145">
        <f t="shared" si="6"/>
        <v>0</v>
      </c>
      <c r="AB42" s="145"/>
      <c r="AC42" s="145">
        <f t="shared" si="7"/>
        <v>0</v>
      </c>
      <c r="AD42" s="139">
        <f t="shared" si="13"/>
        <v>72257</v>
      </c>
      <c r="AE42" s="139">
        <f t="shared" si="10"/>
        <v>0</v>
      </c>
      <c r="AF42" s="139">
        <v>72256.73</v>
      </c>
      <c r="AG42" s="143">
        <f t="shared" si="8"/>
        <v>0.27000000000407454</v>
      </c>
    </row>
    <row r="43" spans="1:33">
      <c r="A43" s="59" t="s">
        <v>23</v>
      </c>
      <c r="B43" s="58" t="s">
        <v>46</v>
      </c>
      <c r="C43" s="61">
        <f>1000*19589.214</f>
        <v>19589214</v>
      </c>
      <c r="D43" s="180">
        <f>1000*1451.241</f>
        <v>1451241</v>
      </c>
      <c r="E43" s="144"/>
      <c r="F43" s="144"/>
      <c r="G43" s="145"/>
      <c r="H43" s="145"/>
      <c r="I43" s="145"/>
      <c r="J43" s="145"/>
      <c r="K43" s="145"/>
      <c r="L43" s="145"/>
      <c r="M43" s="145"/>
      <c r="N43" s="145"/>
      <c r="O43" s="145"/>
      <c r="P43" s="145"/>
      <c r="Q43" s="145"/>
      <c r="R43" s="145"/>
      <c r="S43" s="145"/>
      <c r="T43" s="145"/>
      <c r="U43" s="145">
        <f t="shared" si="11"/>
        <v>0</v>
      </c>
      <c r="V43" s="145">
        <f t="shared" si="1"/>
        <v>-112846</v>
      </c>
      <c r="W43" s="142">
        <f t="shared" si="2"/>
        <v>-112846</v>
      </c>
      <c r="X43" s="145">
        <f t="shared" si="12"/>
        <v>1338395</v>
      </c>
      <c r="Y43" s="145"/>
      <c r="Z43" s="145"/>
      <c r="AA43" s="145">
        <f t="shared" si="6"/>
        <v>0</v>
      </c>
      <c r="AB43" s="145"/>
      <c r="AC43" s="145">
        <f t="shared" si="7"/>
        <v>0</v>
      </c>
      <c r="AD43" s="139">
        <f t="shared" si="13"/>
        <v>1338395</v>
      </c>
      <c r="AE43" s="139">
        <f t="shared" si="10"/>
        <v>0</v>
      </c>
      <c r="AF43" s="139">
        <v>1338395</v>
      </c>
      <c r="AG43" s="143">
        <f t="shared" si="8"/>
        <v>0</v>
      </c>
    </row>
    <row r="44" spans="1:33">
      <c r="A44" s="59" t="s">
        <v>23</v>
      </c>
      <c r="B44" s="58" t="s">
        <v>47</v>
      </c>
      <c r="C44" s="61">
        <f>1000*409.016</f>
        <v>409016</v>
      </c>
      <c r="D44" s="180">
        <f>1000*30.301</f>
        <v>30301</v>
      </c>
      <c r="E44" s="144"/>
      <c r="F44" s="144"/>
      <c r="G44" s="145"/>
      <c r="H44" s="145"/>
      <c r="I44" s="145"/>
      <c r="J44" s="145"/>
      <c r="K44" s="145"/>
      <c r="L44" s="145"/>
      <c r="M44" s="145"/>
      <c r="N44" s="145"/>
      <c r="O44" s="145"/>
      <c r="P44" s="145"/>
      <c r="Q44" s="145"/>
      <c r="R44" s="145"/>
      <c r="S44" s="145"/>
      <c r="T44" s="145"/>
      <c r="U44" s="145">
        <f t="shared" si="11"/>
        <v>0</v>
      </c>
      <c r="V44" s="145">
        <f t="shared" si="1"/>
        <v>-2356</v>
      </c>
      <c r="W44" s="142">
        <f t="shared" si="2"/>
        <v>-2356</v>
      </c>
      <c r="X44" s="145">
        <f t="shared" si="12"/>
        <v>27945</v>
      </c>
      <c r="Y44" s="145"/>
      <c r="Z44" s="145"/>
      <c r="AA44" s="145">
        <f t="shared" si="6"/>
        <v>0</v>
      </c>
      <c r="AB44" s="145"/>
      <c r="AC44" s="145">
        <f t="shared" si="7"/>
        <v>0</v>
      </c>
      <c r="AD44" s="139">
        <f t="shared" si="13"/>
        <v>27945</v>
      </c>
      <c r="AE44" s="139">
        <f t="shared" si="10"/>
        <v>0</v>
      </c>
      <c r="AF44" s="139">
        <v>27944.85</v>
      </c>
      <c r="AG44" s="143">
        <f t="shared" si="8"/>
        <v>0.15000000000145519</v>
      </c>
    </row>
    <row r="45" spans="1:33">
      <c r="A45" s="59" t="s">
        <v>23</v>
      </c>
      <c r="B45" s="58" t="s">
        <v>61</v>
      </c>
      <c r="C45" s="61">
        <f>1000*3463.954</f>
        <v>3463954</v>
      </c>
      <c r="D45" s="180">
        <f>1000*256.623</f>
        <v>256623</v>
      </c>
      <c r="E45" s="144"/>
      <c r="F45" s="144"/>
      <c r="G45" s="145"/>
      <c r="H45" s="145"/>
      <c r="I45" s="145"/>
      <c r="J45" s="145"/>
      <c r="K45" s="145"/>
      <c r="L45" s="145"/>
      <c r="M45" s="145"/>
      <c r="N45" s="145"/>
      <c r="O45" s="145"/>
      <c r="P45" s="145"/>
      <c r="Q45" s="145"/>
      <c r="R45" s="145"/>
      <c r="S45" s="145"/>
      <c r="T45" s="145"/>
      <c r="U45" s="145">
        <f t="shared" si="11"/>
        <v>0</v>
      </c>
      <c r="V45" s="145">
        <f t="shared" si="1"/>
        <v>-19955</v>
      </c>
      <c r="W45" s="142">
        <f t="shared" si="2"/>
        <v>-19955</v>
      </c>
      <c r="X45" s="145">
        <f t="shared" si="12"/>
        <v>236668</v>
      </c>
      <c r="Y45" s="145"/>
      <c r="Z45" s="145"/>
      <c r="AA45" s="145">
        <f t="shared" si="6"/>
        <v>0</v>
      </c>
      <c r="AB45" s="145"/>
      <c r="AC45" s="145">
        <f t="shared" si="7"/>
        <v>0</v>
      </c>
      <c r="AD45" s="139">
        <f t="shared" si="13"/>
        <v>236668</v>
      </c>
      <c r="AE45" s="139">
        <f t="shared" si="10"/>
        <v>0</v>
      </c>
      <c r="AF45" s="139">
        <v>236668.47</v>
      </c>
      <c r="AG45" s="143">
        <f t="shared" si="8"/>
        <v>-0.47000000000116415</v>
      </c>
    </row>
    <row r="46" spans="1:33">
      <c r="A46" s="59" t="s">
        <v>23</v>
      </c>
      <c r="B46" s="58" t="s">
        <v>35</v>
      </c>
      <c r="C46" s="61">
        <f>1000*329.757</f>
        <v>329757</v>
      </c>
      <c r="D46" s="180">
        <f>1000*329.757</f>
        <v>329757</v>
      </c>
      <c r="E46" s="144"/>
      <c r="F46" s="144"/>
      <c r="G46" s="145"/>
      <c r="H46" s="145"/>
      <c r="I46" s="145"/>
      <c r="J46" s="145"/>
      <c r="K46" s="145"/>
      <c r="L46" s="145"/>
      <c r="M46" s="145"/>
      <c r="N46" s="145"/>
      <c r="O46" s="145"/>
      <c r="P46" s="145"/>
      <c r="Q46" s="145"/>
      <c r="R46" s="145">
        <v>309030</v>
      </c>
      <c r="S46" s="145"/>
      <c r="T46" s="145"/>
      <c r="U46" s="145">
        <f t="shared" si="11"/>
        <v>309030</v>
      </c>
      <c r="V46" s="145">
        <f t="shared" si="1"/>
        <v>-49671</v>
      </c>
      <c r="W46" s="142">
        <f t="shared" si="2"/>
        <v>259359</v>
      </c>
      <c r="X46" s="145">
        <f t="shared" si="12"/>
        <v>589116</v>
      </c>
      <c r="Y46" s="145">
        <f>-309030</f>
        <v>-309030</v>
      </c>
      <c r="Z46" s="145">
        <f>ROUND(-309030/0.37951*0.35+309030,0)</f>
        <v>24030</v>
      </c>
      <c r="AA46" s="145">
        <f t="shared" si="6"/>
        <v>-285000</v>
      </c>
      <c r="AB46" s="144"/>
      <c r="AC46" s="145">
        <f t="shared" si="7"/>
        <v>-285000</v>
      </c>
      <c r="AD46" s="139">
        <f t="shared" si="13"/>
        <v>304116</v>
      </c>
      <c r="AE46" s="139">
        <f t="shared" si="10"/>
        <v>-285000</v>
      </c>
      <c r="AF46" s="139">
        <v>304115.70475349796</v>
      </c>
      <c r="AG46" s="143">
        <f t="shared" si="8"/>
        <v>0.29524650203529745</v>
      </c>
    </row>
    <row r="47" spans="1:33">
      <c r="A47" s="60" t="s">
        <v>58</v>
      </c>
      <c r="B47" s="58" t="s">
        <v>59</v>
      </c>
      <c r="C47" s="61">
        <f>1000*18662.78287</f>
        <v>18662782.869999997</v>
      </c>
      <c r="D47" s="180">
        <f>1000*1382.608</f>
        <v>1382608</v>
      </c>
      <c r="E47" s="144"/>
      <c r="F47" s="144"/>
      <c r="G47" s="145"/>
      <c r="H47" s="145"/>
      <c r="I47" s="145"/>
      <c r="J47" s="145"/>
      <c r="K47" s="145"/>
      <c r="L47" s="145"/>
      <c r="M47" s="145"/>
      <c r="N47" s="145"/>
      <c r="O47" s="145"/>
      <c r="P47" s="145"/>
      <c r="Q47" s="145"/>
      <c r="R47" s="145"/>
      <c r="S47" s="145"/>
      <c r="T47" s="145"/>
      <c r="U47" s="145">
        <f t="shared" si="11"/>
        <v>0</v>
      </c>
      <c r="V47" s="145">
        <f t="shared" si="1"/>
        <v>-107509</v>
      </c>
      <c r="W47" s="142">
        <f t="shared" si="2"/>
        <v>-107509</v>
      </c>
      <c r="X47" s="145">
        <f t="shared" si="12"/>
        <v>1275099</v>
      </c>
      <c r="Y47" s="145"/>
      <c r="Z47" s="145"/>
      <c r="AA47" s="145">
        <f t="shared" si="6"/>
        <v>0</v>
      </c>
      <c r="AB47" s="145">
        <v>-1275099</v>
      </c>
      <c r="AC47" s="145">
        <f t="shared" si="7"/>
        <v>-1275099</v>
      </c>
      <c r="AD47" s="139">
        <f t="shared" si="13"/>
        <v>0</v>
      </c>
      <c r="AE47" s="139">
        <f t="shared" si="10"/>
        <v>-1275099</v>
      </c>
      <c r="AF47" s="139"/>
      <c r="AG47" s="143">
        <f t="shared" si="8"/>
        <v>0</v>
      </c>
    </row>
    <row r="48" spans="1:33">
      <c r="A48" s="60" t="s">
        <v>58</v>
      </c>
      <c r="B48" s="58" t="s">
        <v>60</v>
      </c>
      <c r="C48" s="61">
        <f>1000*572.207</f>
        <v>572207</v>
      </c>
      <c r="D48" s="180">
        <f>1000*42.391</f>
        <v>42391</v>
      </c>
      <c r="E48" s="144"/>
      <c r="F48" s="144"/>
      <c r="G48" s="145"/>
      <c r="H48" s="145"/>
      <c r="I48" s="145"/>
      <c r="J48" s="145"/>
      <c r="K48" s="145"/>
      <c r="L48" s="145"/>
      <c r="M48" s="145"/>
      <c r="N48" s="145"/>
      <c r="O48" s="145"/>
      <c r="P48" s="145"/>
      <c r="Q48" s="145"/>
      <c r="R48" s="145"/>
      <c r="S48" s="145"/>
      <c r="T48" s="145"/>
      <c r="U48" s="145">
        <f t="shared" si="11"/>
        <v>0</v>
      </c>
      <c r="V48" s="145">
        <f t="shared" si="1"/>
        <v>-3296</v>
      </c>
      <c r="W48" s="142">
        <f t="shared" si="2"/>
        <v>-3296</v>
      </c>
      <c r="X48" s="145">
        <f t="shared" si="12"/>
        <v>39095</v>
      </c>
      <c r="Y48" s="145"/>
      <c r="Z48" s="145"/>
      <c r="AA48" s="145">
        <f t="shared" si="6"/>
        <v>0</v>
      </c>
      <c r="AB48" s="145">
        <v>-39095</v>
      </c>
      <c r="AC48" s="145">
        <f t="shared" si="7"/>
        <v>-39095</v>
      </c>
      <c r="AD48" s="139">
        <f t="shared" si="13"/>
        <v>0</v>
      </c>
      <c r="AE48" s="139">
        <f t="shared" si="10"/>
        <v>-39095</v>
      </c>
      <c r="AF48" s="139"/>
      <c r="AG48" s="143">
        <f t="shared" si="8"/>
        <v>0</v>
      </c>
    </row>
    <row r="49" spans="1:33">
      <c r="A49" s="60" t="s">
        <v>58</v>
      </c>
      <c r="B49" s="58" t="s">
        <v>62</v>
      </c>
      <c r="C49" s="61">
        <f>1000*621.543</f>
        <v>621543</v>
      </c>
      <c r="D49" s="180">
        <f>1000*51.536</f>
        <v>51536</v>
      </c>
      <c r="E49" s="144"/>
      <c r="F49" s="144"/>
      <c r="G49" s="145"/>
      <c r="H49" s="145"/>
      <c r="I49" s="145"/>
      <c r="J49" s="145"/>
      <c r="K49" s="145"/>
      <c r="L49" s="145"/>
      <c r="M49" s="145"/>
      <c r="N49" s="145"/>
      <c r="O49" s="145"/>
      <c r="P49" s="145"/>
      <c r="Q49" s="145"/>
      <c r="R49" s="145"/>
      <c r="S49" s="145"/>
      <c r="T49" s="145"/>
      <c r="U49" s="145">
        <f t="shared" si="11"/>
        <v>0</v>
      </c>
      <c r="V49" s="145">
        <f t="shared" si="1"/>
        <v>-4007</v>
      </c>
      <c r="W49" s="142">
        <f t="shared" si="2"/>
        <v>-4007</v>
      </c>
      <c r="X49" s="145">
        <f t="shared" si="12"/>
        <v>47529</v>
      </c>
      <c r="Y49" s="145"/>
      <c r="Z49" s="145"/>
      <c r="AA49" s="145">
        <f t="shared" si="6"/>
        <v>0</v>
      </c>
      <c r="AB49" s="144">
        <v>-47529</v>
      </c>
      <c r="AC49" s="145">
        <f t="shared" si="7"/>
        <v>-47529</v>
      </c>
      <c r="AD49" s="139">
        <f t="shared" si="13"/>
        <v>0</v>
      </c>
      <c r="AE49" s="139">
        <f t="shared" si="10"/>
        <v>-47529</v>
      </c>
      <c r="AF49" s="139"/>
      <c r="AG49" s="143">
        <f t="shared" si="8"/>
        <v>0</v>
      </c>
    </row>
    <row r="50" spans="1:33">
      <c r="A50" s="60" t="s">
        <v>58</v>
      </c>
      <c r="B50" s="58" t="s">
        <v>63</v>
      </c>
      <c r="C50" s="61">
        <f>1000*208.01</f>
        <v>208010</v>
      </c>
      <c r="D50" s="180">
        <f>1000*208.01</f>
        <v>208010</v>
      </c>
      <c r="E50" s="144"/>
      <c r="F50" s="144"/>
      <c r="G50" s="145"/>
      <c r="H50" s="145"/>
      <c r="I50" s="145"/>
      <c r="J50" s="145"/>
      <c r="K50" s="145">
        <v>-208010</v>
      </c>
      <c r="L50" s="145"/>
      <c r="M50" s="145"/>
      <c r="N50" s="145"/>
      <c r="O50" s="145"/>
      <c r="P50" s="145"/>
      <c r="Q50" s="145"/>
      <c r="R50" s="145"/>
      <c r="S50" s="145"/>
      <c r="T50" s="145"/>
      <c r="U50" s="145">
        <f t="shared" si="11"/>
        <v>-208010</v>
      </c>
      <c r="V50" s="145">
        <f t="shared" si="1"/>
        <v>0</v>
      </c>
      <c r="W50" s="142">
        <f t="shared" si="2"/>
        <v>-208010</v>
      </c>
      <c r="X50" s="145">
        <f t="shared" si="12"/>
        <v>0</v>
      </c>
      <c r="Y50" s="145"/>
      <c r="Z50" s="145"/>
      <c r="AA50" s="145">
        <f t="shared" si="6"/>
        <v>0</v>
      </c>
      <c r="AB50" s="145"/>
      <c r="AC50" s="145">
        <f t="shared" si="7"/>
        <v>0</v>
      </c>
      <c r="AD50" s="139">
        <f t="shared" si="13"/>
        <v>0</v>
      </c>
      <c r="AE50" s="139">
        <f t="shared" si="10"/>
        <v>0</v>
      </c>
      <c r="AF50" s="139"/>
      <c r="AG50" s="143">
        <f t="shared" si="8"/>
        <v>0</v>
      </c>
    </row>
    <row r="51" spans="1:33">
      <c r="A51" s="60" t="s">
        <v>58</v>
      </c>
      <c r="B51" s="58" t="s">
        <v>64</v>
      </c>
      <c r="C51" s="61">
        <f>1000*20.179</f>
        <v>20179</v>
      </c>
      <c r="D51" s="180">
        <f>1000*4.457</f>
        <v>4457</v>
      </c>
      <c r="E51" s="144"/>
      <c r="F51" s="144"/>
      <c r="G51" s="145"/>
      <c r="H51" s="145"/>
      <c r="I51" s="145"/>
      <c r="J51" s="145"/>
      <c r="K51" s="145"/>
      <c r="L51" s="145"/>
      <c r="M51" s="145"/>
      <c r="N51" s="145"/>
      <c r="O51" s="145"/>
      <c r="P51" s="145"/>
      <c r="Q51" s="145"/>
      <c r="R51" s="145"/>
      <c r="S51" s="145"/>
      <c r="T51" s="145"/>
      <c r="U51" s="145">
        <f t="shared" si="11"/>
        <v>0</v>
      </c>
      <c r="V51" s="145">
        <f t="shared" si="1"/>
        <v>-347</v>
      </c>
      <c r="W51" s="142">
        <f t="shared" si="2"/>
        <v>-347</v>
      </c>
      <c r="X51" s="145">
        <f t="shared" si="12"/>
        <v>4110</v>
      </c>
      <c r="Y51" s="145"/>
      <c r="Z51" s="145"/>
      <c r="AA51" s="145">
        <f t="shared" si="6"/>
        <v>0</v>
      </c>
      <c r="AB51" s="145">
        <v>-4110</v>
      </c>
      <c r="AC51" s="145">
        <f t="shared" si="7"/>
        <v>-4110</v>
      </c>
      <c r="AD51" s="139">
        <f t="shared" si="13"/>
        <v>0</v>
      </c>
      <c r="AE51" s="139">
        <f t="shared" si="10"/>
        <v>-4110</v>
      </c>
      <c r="AF51" s="139"/>
      <c r="AG51" s="143">
        <f t="shared" si="8"/>
        <v>0</v>
      </c>
    </row>
    <row r="52" spans="1:33">
      <c r="A52" s="60" t="s">
        <v>58</v>
      </c>
      <c r="B52" s="58" t="s">
        <v>71</v>
      </c>
      <c r="C52" s="61">
        <f>1000*7099.332</f>
        <v>7099332</v>
      </c>
      <c r="D52" s="180">
        <f>1000*525.945</f>
        <v>525945</v>
      </c>
      <c r="E52" s="144"/>
      <c r="F52" s="144"/>
      <c r="G52" s="145"/>
      <c r="H52" s="145">
        <v>-525945</v>
      </c>
      <c r="I52" s="145"/>
      <c r="J52" s="145"/>
      <c r="K52" s="145"/>
      <c r="L52" s="145"/>
      <c r="M52" s="145"/>
      <c r="N52" s="145"/>
      <c r="O52" s="145"/>
      <c r="P52" s="145"/>
      <c r="Q52" s="145"/>
      <c r="R52" s="145"/>
      <c r="S52" s="145"/>
      <c r="T52" s="145"/>
      <c r="U52" s="145">
        <f t="shared" si="11"/>
        <v>-525945</v>
      </c>
      <c r="V52" s="145">
        <f t="shared" si="1"/>
        <v>0</v>
      </c>
      <c r="W52" s="142">
        <f t="shared" si="2"/>
        <v>-525945</v>
      </c>
      <c r="X52" s="145">
        <f t="shared" si="12"/>
        <v>0</v>
      </c>
      <c r="Y52" s="145"/>
      <c r="Z52" s="145"/>
      <c r="AA52" s="145">
        <f t="shared" si="6"/>
        <v>0</v>
      </c>
      <c r="AB52" s="145"/>
      <c r="AC52" s="145">
        <f t="shared" si="7"/>
        <v>0</v>
      </c>
      <c r="AD52" s="139">
        <f t="shared" si="13"/>
        <v>0</v>
      </c>
      <c r="AE52" s="139">
        <f t="shared" si="10"/>
        <v>0</v>
      </c>
      <c r="AF52" s="139"/>
      <c r="AG52" s="143">
        <f t="shared" si="8"/>
        <v>0</v>
      </c>
    </row>
    <row r="53" spans="1:33">
      <c r="A53" s="60" t="s">
        <v>58</v>
      </c>
      <c r="B53" s="58" t="s">
        <v>72</v>
      </c>
      <c r="C53" s="61">
        <f>1000*993.98</f>
        <v>993980</v>
      </c>
      <c r="D53" s="180">
        <f>1000*73.638</f>
        <v>73638</v>
      </c>
      <c r="E53" s="144"/>
      <c r="F53" s="144"/>
      <c r="G53" s="145"/>
      <c r="H53" s="145"/>
      <c r="I53" s="145"/>
      <c r="J53" s="145"/>
      <c r="K53" s="145"/>
      <c r="L53" s="145"/>
      <c r="M53" s="145"/>
      <c r="N53" s="145"/>
      <c r="O53" s="145"/>
      <c r="P53" s="145"/>
      <c r="Q53" s="145"/>
      <c r="R53" s="145"/>
      <c r="S53" s="145"/>
      <c r="T53" s="145"/>
      <c r="U53" s="145">
        <f t="shared" si="11"/>
        <v>0</v>
      </c>
      <c r="V53" s="145">
        <f t="shared" si="1"/>
        <v>-5726</v>
      </c>
      <c r="W53" s="142">
        <f t="shared" si="2"/>
        <v>-5726</v>
      </c>
      <c r="X53" s="145">
        <f t="shared" si="12"/>
        <v>67912</v>
      </c>
      <c r="Y53" s="145"/>
      <c r="Z53" s="145"/>
      <c r="AA53" s="145">
        <f t="shared" si="6"/>
        <v>0</v>
      </c>
      <c r="AB53" s="145">
        <v>-67912</v>
      </c>
      <c r="AC53" s="145">
        <f t="shared" si="7"/>
        <v>-67912</v>
      </c>
      <c r="AD53" s="139">
        <f t="shared" si="13"/>
        <v>0</v>
      </c>
      <c r="AE53" s="139">
        <f t="shared" si="10"/>
        <v>-67912</v>
      </c>
      <c r="AF53" s="139"/>
      <c r="AG53" s="143">
        <f t="shared" si="8"/>
        <v>0</v>
      </c>
    </row>
    <row r="54" spans="1:33">
      <c r="A54" s="60" t="s">
        <v>58</v>
      </c>
      <c r="B54" s="58" t="s">
        <v>78</v>
      </c>
      <c r="C54" s="61">
        <f>1000*735.881</f>
        <v>735881</v>
      </c>
      <c r="D54" s="180">
        <f>1000*162.776</f>
        <v>162776</v>
      </c>
      <c r="E54" s="144"/>
      <c r="F54" s="144"/>
      <c r="G54" s="145"/>
      <c r="H54" s="145"/>
      <c r="I54" s="145"/>
      <c r="J54" s="145"/>
      <c r="K54" s="145"/>
      <c r="L54" s="145"/>
      <c r="M54" s="145"/>
      <c r="N54" s="145">
        <v>-162776</v>
      </c>
      <c r="O54" s="145"/>
      <c r="P54" s="145"/>
      <c r="Q54" s="145"/>
      <c r="R54" s="145"/>
      <c r="S54" s="145"/>
      <c r="T54" s="145"/>
      <c r="U54" s="145">
        <f t="shared" si="11"/>
        <v>-162776</v>
      </c>
      <c r="V54" s="145">
        <f t="shared" si="1"/>
        <v>0</v>
      </c>
      <c r="W54" s="142">
        <f t="shared" si="2"/>
        <v>-162776</v>
      </c>
      <c r="X54" s="145">
        <f t="shared" si="12"/>
        <v>0</v>
      </c>
      <c r="Y54" s="145"/>
      <c r="Z54" s="145"/>
      <c r="AA54" s="145">
        <f t="shared" si="6"/>
        <v>0</v>
      </c>
      <c r="AB54" s="145"/>
      <c r="AC54" s="145">
        <f t="shared" si="7"/>
        <v>0</v>
      </c>
      <c r="AD54" s="139">
        <f t="shared" si="13"/>
        <v>0</v>
      </c>
      <c r="AE54" s="139">
        <f t="shared" si="10"/>
        <v>0</v>
      </c>
      <c r="AF54" s="139"/>
      <c r="AG54" s="143">
        <f t="shared" si="8"/>
        <v>0</v>
      </c>
    </row>
    <row r="55" spans="1:33">
      <c r="A55" s="60" t="s">
        <v>58</v>
      </c>
      <c r="B55" s="58" t="s">
        <v>84</v>
      </c>
      <c r="C55" s="61">
        <f>1000*130.443</f>
        <v>130443.00000000001</v>
      </c>
      <c r="D55" s="180">
        <f>1000*130.443</f>
        <v>130443.00000000001</v>
      </c>
      <c r="E55" s="144">
        <v>-130443</v>
      </c>
      <c r="F55" s="144"/>
      <c r="G55" s="145"/>
      <c r="H55" s="145"/>
      <c r="I55" s="145"/>
      <c r="J55" s="145"/>
      <c r="K55" s="145"/>
      <c r="L55" s="145"/>
      <c r="M55" s="145"/>
      <c r="N55" s="145"/>
      <c r="O55" s="145"/>
      <c r="P55" s="145"/>
      <c r="Q55" s="145"/>
      <c r="R55" s="145"/>
      <c r="S55" s="145"/>
      <c r="T55" s="145"/>
      <c r="U55" s="145">
        <f t="shared" si="11"/>
        <v>-130443</v>
      </c>
      <c r="V55" s="145">
        <f t="shared" si="1"/>
        <v>0</v>
      </c>
      <c r="W55" s="142">
        <f t="shared" si="2"/>
        <v>-130443</v>
      </c>
      <c r="X55" s="145">
        <f t="shared" si="12"/>
        <v>0</v>
      </c>
      <c r="Y55" s="145"/>
      <c r="Z55" s="145"/>
      <c r="AA55" s="145">
        <f t="shared" si="6"/>
        <v>0</v>
      </c>
      <c r="AB55" s="145"/>
      <c r="AC55" s="145">
        <f t="shared" si="7"/>
        <v>0</v>
      </c>
      <c r="AD55" s="139">
        <f t="shared" si="13"/>
        <v>0</v>
      </c>
      <c r="AE55" s="139">
        <f t="shared" si="10"/>
        <v>0</v>
      </c>
      <c r="AF55" s="139"/>
      <c r="AG55" s="143">
        <f t="shared" si="8"/>
        <v>0</v>
      </c>
    </row>
    <row r="56" spans="1:33">
      <c r="A56" s="60" t="s">
        <v>58</v>
      </c>
      <c r="B56" s="60" t="s">
        <v>97</v>
      </c>
      <c r="C56" s="61"/>
      <c r="D56" s="180"/>
      <c r="E56" s="144"/>
      <c r="F56" s="144">
        <v>203822</v>
      </c>
      <c r="G56" s="145"/>
      <c r="H56" s="145"/>
      <c r="I56" s="145"/>
      <c r="J56" s="145"/>
      <c r="K56" s="145"/>
      <c r="L56" s="145"/>
      <c r="M56" s="145"/>
      <c r="N56" s="145"/>
      <c r="O56" s="145"/>
      <c r="P56" s="145"/>
      <c r="Q56" s="145"/>
      <c r="R56" s="145"/>
      <c r="S56" s="145"/>
      <c r="T56" s="145"/>
      <c r="U56" s="145">
        <f t="shared" si="11"/>
        <v>203822</v>
      </c>
      <c r="V56" s="145">
        <f t="shared" si="1"/>
        <v>-15849</v>
      </c>
      <c r="W56" s="142">
        <f t="shared" si="2"/>
        <v>187973</v>
      </c>
      <c r="X56" s="145">
        <f t="shared" si="12"/>
        <v>187973</v>
      </c>
      <c r="Y56" s="145"/>
      <c r="Z56" s="145"/>
      <c r="AA56" s="145">
        <f t="shared" si="6"/>
        <v>0</v>
      </c>
      <c r="AB56" s="145"/>
      <c r="AC56" s="145">
        <f t="shared" si="7"/>
        <v>0</v>
      </c>
      <c r="AD56" s="139">
        <f t="shared" si="13"/>
        <v>187973</v>
      </c>
      <c r="AE56" s="139">
        <f t="shared" si="10"/>
        <v>0</v>
      </c>
      <c r="AF56" s="139">
        <v>187972.7</v>
      </c>
      <c r="AG56" s="143">
        <f t="shared" si="8"/>
        <v>0.29999999998835847</v>
      </c>
    </row>
    <row r="57" spans="1:33">
      <c r="A57" s="60" t="s">
        <v>58</v>
      </c>
      <c r="B57" s="60" t="s">
        <v>98</v>
      </c>
      <c r="C57" s="61"/>
      <c r="D57" s="180"/>
      <c r="E57" s="144"/>
      <c r="F57" s="144"/>
      <c r="G57" s="145">
        <v>384714</v>
      </c>
      <c r="H57" s="145"/>
      <c r="I57" s="145"/>
      <c r="J57" s="145"/>
      <c r="K57" s="145"/>
      <c r="L57" s="145"/>
      <c r="M57" s="145"/>
      <c r="N57" s="145"/>
      <c r="O57" s="145"/>
      <c r="P57" s="145"/>
      <c r="Q57" s="145"/>
      <c r="R57" s="145"/>
      <c r="S57" s="145"/>
      <c r="T57" s="145"/>
      <c r="U57" s="145">
        <f t="shared" si="11"/>
        <v>384714</v>
      </c>
      <c r="V57" s="145">
        <f t="shared" si="1"/>
        <v>-29915</v>
      </c>
      <c r="W57" s="142">
        <f t="shared" si="2"/>
        <v>354799</v>
      </c>
      <c r="X57" s="145">
        <f t="shared" si="12"/>
        <v>354799</v>
      </c>
      <c r="Y57" s="145"/>
      <c r="Z57" s="145"/>
      <c r="AA57" s="145">
        <f t="shared" si="6"/>
        <v>0</v>
      </c>
      <c r="AB57" s="145"/>
      <c r="AC57" s="145">
        <f t="shared" si="7"/>
        <v>0</v>
      </c>
      <c r="AD57" s="139">
        <f t="shared" si="13"/>
        <v>354799</v>
      </c>
      <c r="AE57" s="139">
        <f t="shared" si="10"/>
        <v>0</v>
      </c>
      <c r="AF57" s="139"/>
      <c r="AG57" s="143">
        <f t="shared" si="8"/>
        <v>354799</v>
      </c>
    </row>
    <row r="58" spans="1:33">
      <c r="A58" s="60" t="s">
        <v>58</v>
      </c>
      <c r="B58" s="60" t="s">
        <v>99</v>
      </c>
      <c r="C58" s="61"/>
      <c r="D58" s="180"/>
      <c r="E58" s="144"/>
      <c r="F58" s="144"/>
      <c r="G58" s="145"/>
      <c r="H58" s="145"/>
      <c r="I58" s="145"/>
      <c r="J58" s="145"/>
      <c r="K58" s="145"/>
      <c r="L58" s="145"/>
      <c r="M58" s="145"/>
      <c r="N58" s="145"/>
      <c r="O58" s="145"/>
      <c r="P58" s="145"/>
      <c r="Q58" s="145"/>
      <c r="R58" s="145"/>
      <c r="S58" s="145">
        <v>170464</v>
      </c>
      <c r="T58" s="145"/>
      <c r="U58" s="145">
        <f t="shared" si="11"/>
        <v>170464</v>
      </c>
      <c r="V58" s="145">
        <f t="shared" si="1"/>
        <v>-13255</v>
      </c>
      <c r="W58" s="142">
        <f t="shared" si="2"/>
        <v>157209</v>
      </c>
      <c r="X58" s="145">
        <f t="shared" si="12"/>
        <v>157209</v>
      </c>
      <c r="Y58" s="145"/>
      <c r="Z58" s="145"/>
      <c r="AA58" s="145">
        <f t="shared" si="6"/>
        <v>0</v>
      </c>
      <c r="AB58" s="145"/>
      <c r="AC58" s="145">
        <f t="shared" si="7"/>
        <v>0</v>
      </c>
      <c r="AD58" s="139">
        <f t="shared" si="13"/>
        <v>157209</v>
      </c>
      <c r="AE58" s="139">
        <f t="shared" si="10"/>
        <v>0</v>
      </c>
      <c r="AF58" s="139"/>
      <c r="AG58" s="143">
        <f t="shared" si="8"/>
        <v>157209</v>
      </c>
    </row>
    <row r="59" spans="1:33">
      <c r="A59" s="63" t="s">
        <v>100</v>
      </c>
      <c r="B59" s="63"/>
      <c r="C59" s="64"/>
      <c r="D59" s="183">
        <f>ROUND(SUM(D8:D58),0)</f>
        <v>54159116</v>
      </c>
      <c r="E59" s="183">
        <f t="shared" ref="E59:AE59" si="14">ROUND(SUM(E8:E58),0)</f>
        <v>-130443</v>
      </c>
      <c r="F59" s="183">
        <f t="shared" si="14"/>
        <v>203822</v>
      </c>
      <c r="G59" s="183">
        <f t="shared" si="14"/>
        <v>384714</v>
      </c>
      <c r="H59" s="183">
        <f t="shared" si="14"/>
        <v>-525945</v>
      </c>
      <c r="I59" s="183">
        <f t="shared" si="14"/>
        <v>-23614</v>
      </c>
      <c r="J59" s="183">
        <f t="shared" si="14"/>
        <v>0</v>
      </c>
      <c r="K59" s="183">
        <f t="shared" si="14"/>
        <v>-208010</v>
      </c>
      <c r="L59" s="183">
        <f t="shared" si="14"/>
        <v>-204286</v>
      </c>
      <c r="M59" s="183">
        <f t="shared" si="14"/>
        <v>0</v>
      </c>
      <c r="N59" s="183">
        <f t="shared" si="14"/>
        <v>-162776</v>
      </c>
      <c r="O59" s="183">
        <f t="shared" si="14"/>
        <v>0</v>
      </c>
      <c r="P59" s="183">
        <f t="shared" si="14"/>
        <v>0</v>
      </c>
      <c r="Q59" s="183">
        <f t="shared" si="14"/>
        <v>0</v>
      </c>
      <c r="R59" s="183">
        <f t="shared" si="14"/>
        <v>912667</v>
      </c>
      <c r="S59" s="183">
        <f t="shared" si="14"/>
        <v>170464</v>
      </c>
      <c r="T59" s="183">
        <f t="shared" si="14"/>
        <v>0</v>
      </c>
      <c r="U59" s="183">
        <f t="shared" si="14"/>
        <v>416593</v>
      </c>
      <c r="V59" s="183">
        <f t="shared" si="14"/>
        <v>-4243705</v>
      </c>
      <c r="W59" s="183">
        <f t="shared" si="14"/>
        <v>-3827112</v>
      </c>
      <c r="X59" s="183">
        <f t="shared" si="14"/>
        <v>50332005</v>
      </c>
      <c r="Y59" s="183">
        <f t="shared" si="14"/>
        <v>-912667</v>
      </c>
      <c r="Z59" s="183">
        <f t="shared" si="14"/>
        <v>70967</v>
      </c>
      <c r="AA59" s="183">
        <f t="shared" si="14"/>
        <v>-841700</v>
      </c>
      <c r="AB59" s="183">
        <f t="shared" si="14"/>
        <v>-2226796</v>
      </c>
      <c r="AC59" s="183">
        <f t="shared" si="14"/>
        <v>-3068496</v>
      </c>
      <c r="AD59" s="183">
        <f t="shared" si="14"/>
        <v>47263509</v>
      </c>
      <c r="AE59" s="183">
        <f t="shared" si="14"/>
        <v>-3068496</v>
      </c>
      <c r="AF59" s="183">
        <f>SUM(AF8:AF58)</f>
        <v>46751500.496293619</v>
      </c>
      <c r="AG59" s="183">
        <f>SUM(AG8:AG58)</f>
        <v>512008.50370637956</v>
      </c>
    </row>
    <row r="60" spans="1:33">
      <c r="A60" s="63"/>
      <c r="B60" s="63"/>
      <c r="C60" s="64"/>
      <c r="D60" s="183"/>
      <c r="E60" s="146"/>
      <c r="F60" s="146"/>
      <c r="G60" s="146"/>
      <c r="H60" s="146"/>
      <c r="I60" s="146"/>
      <c r="J60" s="146"/>
      <c r="K60" s="146"/>
      <c r="L60" s="146"/>
      <c r="M60" s="146"/>
      <c r="N60" s="146"/>
      <c r="O60" s="146"/>
      <c r="P60" s="146"/>
      <c r="Q60" s="146"/>
      <c r="R60" s="146"/>
      <c r="S60" s="146"/>
      <c r="T60" s="146"/>
      <c r="U60" s="146"/>
      <c r="V60" s="146"/>
      <c r="W60" s="146"/>
      <c r="X60" s="146"/>
      <c r="Y60" s="146"/>
      <c r="Z60" s="146"/>
      <c r="AA60" s="146"/>
      <c r="AB60" s="146"/>
      <c r="AC60" s="146"/>
      <c r="AD60" s="146"/>
      <c r="AE60" s="146"/>
      <c r="AF60" s="146"/>
      <c r="AG60" s="143"/>
    </row>
    <row r="61" spans="1:33">
      <c r="A61" s="60" t="s">
        <v>22</v>
      </c>
      <c r="B61" s="58" t="s">
        <v>102</v>
      </c>
      <c r="C61" s="61">
        <f>1000*-5532.834</f>
        <v>-5532834</v>
      </c>
      <c r="D61" s="180">
        <f>1000*-5532.834</f>
        <v>-5532834</v>
      </c>
      <c r="E61" s="144"/>
      <c r="F61" s="144"/>
      <c r="G61" s="145"/>
      <c r="H61" s="145"/>
      <c r="I61" s="145"/>
      <c r="J61" s="145"/>
      <c r="K61" s="145"/>
      <c r="L61" s="145"/>
      <c r="M61" s="145"/>
      <c r="N61" s="145"/>
      <c r="O61" s="145"/>
      <c r="P61" s="145"/>
      <c r="Q61" s="145">
        <v>5532834</v>
      </c>
      <c r="R61" s="145"/>
      <c r="S61" s="145"/>
      <c r="T61" s="145"/>
      <c r="U61" s="145">
        <f t="shared" ref="U61:U104" si="15">SUM(E61:S61)</f>
        <v>5532834</v>
      </c>
      <c r="V61" s="145">
        <f t="shared" ref="V61:V103" si="16">ROUND(((+U61+D61)/0.37951*0.35-(U61+D61)),0)</f>
        <v>0</v>
      </c>
      <c r="W61" s="142">
        <f t="shared" ref="W61:W104" si="17">+V61+U61</f>
        <v>5532834</v>
      </c>
      <c r="X61" s="145">
        <f t="shared" ref="X61:X104" si="18">+U61+V61+D61</f>
        <v>0</v>
      </c>
      <c r="Y61" s="145"/>
      <c r="Z61" s="145"/>
      <c r="AA61" s="145">
        <f t="shared" ref="AA61:AA104" si="19">+Z61+Y61</f>
        <v>0</v>
      </c>
      <c r="AB61" s="145"/>
      <c r="AC61" s="145">
        <f t="shared" ref="AC61:AC104" si="20">+AB61+Y61+Z61</f>
        <v>0</v>
      </c>
      <c r="AD61" s="139">
        <f t="shared" ref="AD61:AD104" si="21">+AC61+X61</f>
        <v>0</v>
      </c>
      <c r="AE61" s="139">
        <f t="shared" ref="AE61:AE104" si="22">+AD61-X61</f>
        <v>0</v>
      </c>
      <c r="AF61" s="139"/>
      <c r="AG61" s="143">
        <f t="shared" ref="AG61:AG104" si="23">+AD61-AF61</f>
        <v>0</v>
      </c>
    </row>
    <row r="62" spans="1:33">
      <c r="A62" s="60" t="s">
        <v>22</v>
      </c>
      <c r="B62" s="65" t="s">
        <v>111</v>
      </c>
      <c r="C62" s="66">
        <f>1000*-39.93</f>
        <v>-39930</v>
      </c>
      <c r="D62" s="181">
        <f>1000*-39.93</f>
        <v>-39930</v>
      </c>
      <c r="E62" s="147"/>
      <c r="F62" s="147"/>
      <c r="G62" s="145"/>
      <c r="H62" s="145"/>
      <c r="I62" s="145"/>
      <c r="J62" s="145"/>
      <c r="K62" s="145"/>
      <c r="L62" s="145"/>
      <c r="M62" s="145"/>
      <c r="N62" s="145"/>
      <c r="O62" s="145"/>
      <c r="P62" s="145"/>
      <c r="Q62" s="145"/>
      <c r="R62" s="145"/>
      <c r="S62" s="145"/>
      <c r="T62" s="145"/>
      <c r="U62" s="145">
        <f t="shared" si="15"/>
        <v>0</v>
      </c>
      <c r="V62" s="145">
        <f t="shared" si="16"/>
        <v>3105</v>
      </c>
      <c r="W62" s="142">
        <f t="shared" si="17"/>
        <v>3105</v>
      </c>
      <c r="X62" s="145">
        <f t="shared" si="18"/>
        <v>-36825</v>
      </c>
      <c r="Y62" s="145"/>
      <c r="Z62" s="145"/>
      <c r="AA62" s="145">
        <f t="shared" si="19"/>
        <v>0</v>
      </c>
      <c r="AB62" s="147">
        <v>36825</v>
      </c>
      <c r="AC62" s="145">
        <f t="shared" si="20"/>
        <v>36825</v>
      </c>
      <c r="AD62" s="139">
        <f t="shared" si="21"/>
        <v>0</v>
      </c>
      <c r="AE62" s="139">
        <f t="shared" si="22"/>
        <v>36825</v>
      </c>
      <c r="AF62" s="139"/>
      <c r="AG62" s="143">
        <f t="shared" si="23"/>
        <v>0</v>
      </c>
    </row>
    <row r="63" spans="1:33">
      <c r="A63" s="60" t="s">
        <v>22</v>
      </c>
      <c r="B63" s="65" t="s">
        <v>48</v>
      </c>
      <c r="C63" s="66">
        <f>1000*-0.261</f>
        <v>-261</v>
      </c>
      <c r="D63" s="181">
        <f>1000*-0.0173</f>
        <v>-17.3</v>
      </c>
      <c r="E63" s="147"/>
      <c r="F63" s="147"/>
      <c r="G63" s="145"/>
      <c r="H63" s="145"/>
      <c r="I63" s="145"/>
      <c r="J63" s="145"/>
      <c r="K63" s="145"/>
      <c r="L63" s="145"/>
      <c r="M63" s="145"/>
      <c r="N63" s="145"/>
      <c r="O63" s="145"/>
      <c r="P63" s="145"/>
      <c r="Q63" s="145"/>
      <c r="R63" s="145"/>
      <c r="S63" s="145"/>
      <c r="T63" s="145"/>
      <c r="U63" s="145">
        <f t="shared" si="15"/>
        <v>0</v>
      </c>
      <c r="V63" s="145">
        <f t="shared" si="16"/>
        <v>1</v>
      </c>
      <c r="W63" s="142">
        <f t="shared" si="17"/>
        <v>1</v>
      </c>
      <c r="X63" s="145">
        <f t="shared" si="18"/>
        <v>-16.3</v>
      </c>
      <c r="Y63" s="145"/>
      <c r="Z63" s="145"/>
      <c r="AA63" s="145">
        <f t="shared" si="19"/>
        <v>0</v>
      </c>
      <c r="AB63" s="147">
        <v>16</v>
      </c>
      <c r="AC63" s="145">
        <f t="shared" si="20"/>
        <v>16</v>
      </c>
      <c r="AD63" s="139">
        <f t="shared" si="21"/>
        <v>-0.30000000000000071</v>
      </c>
      <c r="AE63" s="139">
        <f t="shared" si="22"/>
        <v>16</v>
      </c>
      <c r="AF63" s="139"/>
      <c r="AG63" s="143">
        <f t="shared" si="23"/>
        <v>-0.30000000000000071</v>
      </c>
    </row>
    <row r="64" spans="1:33">
      <c r="A64" s="60" t="s">
        <v>22</v>
      </c>
      <c r="B64" s="65" t="s">
        <v>118</v>
      </c>
      <c r="C64" s="66">
        <f>1000*-1.369</f>
        <v>-1369</v>
      </c>
      <c r="D64" s="181">
        <f>1000*-0.3024</f>
        <v>-302.39999999999998</v>
      </c>
      <c r="E64" s="147"/>
      <c r="F64" s="147"/>
      <c r="G64" s="145"/>
      <c r="H64" s="145"/>
      <c r="I64" s="145"/>
      <c r="J64" s="145"/>
      <c r="K64" s="145"/>
      <c r="L64" s="145">
        <v>302.39999999999998</v>
      </c>
      <c r="M64" s="145"/>
      <c r="N64" s="145"/>
      <c r="O64" s="145"/>
      <c r="P64" s="145"/>
      <c r="Q64" s="145"/>
      <c r="R64" s="145"/>
      <c r="S64" s="145"/>
      <c r="T64" s="145"/>
      <c r="U64" s="145">
        <f t="shared" si="15"/>
        <v>302.39999999999998</v>
      </c>
      <c r="V64" s="145">
        <f t="shared" si="16"/>
        <v>0</v>
      </c>
      <c r="W64" s="142">
        <f t="shared" si="17"/>
        <v>302.39999999999998</v>
      </c>
      <c r="X64" s="145">
        <f t="shared" si="18"/>
        <v>0</v>
      </c>
      <c r="Y64" s="145"/>
      <c r="Z64" s="145"/>
      <c r="AA64" s="145">
        <f t="shared" si="19"/>
        <v>0</v>
      </c>
      <c r="AB64" s="145"/>
      <c r="AC64" s="145">
        <f t="shared" si="20"/>
        <v>0</v>
      </c>
      <c r="AD64" s="139">
        <f t="shared" si="21"/>
        <v>0</v>
      </c>
      <c r="AE64" s="139">
        <f t="shared" si="22"/>
        <v>0</v>
      </c>
      <c r="AF64" s="139"/>
      <c r="AG64" s="143">
        <f t="shared" si="23"/>
        <v>0</v>
      </c>
    </row>
    <row r="65" spans="1:33">
      <c r="A65" s="60" t="s">
        <v>22</v>
      </c>
      <c r="B65" s="65" t="s">
        <v>119</v>
      </c>
      <c r="C65" s="66">
        <f>1000*-52.137</f>
        <v>-52137</v>
      </c>
      <c r="D65" s="181">
        <f>1000*-11.5164</f>
        <v>-11516.400000000001</v>
      </c>
      <c r="E65" s="147"/>
      <c r="F65" s="147"/>
      <c r="G65" s="145"/>
      <c r="H65" s="145"/>
      <c r="I65" s="145"/>
      <c r="J65" s="145"/>
      <c r="K65" s="145"/>
      <c r="L65" s="145">
        <v>11516.4</v>
      </c>
      <c r="M65" s="145"/>
      <c r="N65" s="145"/>
      <c r="O65" s="145"/>
      <c r="P65" s="145"/>
      <c r="Q65" s="145"/>
      <c r="R65" s="145"/>
      <c r="S65" s="145"/>
      <c r="T65" s="145"/>
      <c r="U65" s="145">
        <f t="shared" si="15"/>
        <v>11516.4</v>
      </c>
      <c r="V65" s="145">
        <f t="shared" si="16"/>
        <v>0</v>
      </c>
      <c r="W65" s="142">
        <f t="shared" si="17"/>
        <v>11516.4</v>
      </c>
      <c r="X65" s="145">
        <f t="shared" si="18"/>
        <v>0</v>
      </c>
      <c r="Y65" s="145"/>
      <c r="Z65" s="145"/>
      <c r="AA65" s="145">
        <f t="shared" si="19"/>
        <v>0</v>
      </c>
      <c r="AB65" s="145">
        <v>0</v>
      </c>
      <c r="AC65" s="145">
        <f t="shared" si="20"/>
        <v>0</v>
      </c>
      <c r="AD65" s="139">
        <f t="shared" si="21"/>
        <v>0</v>
      </c>
      <c r="AE65" s="139">
        <f t="shared" si="22"/>
        <v>0</v>
      </c>
      <c r="AF65" s="139"/>
      <c r="AG65" s="143">
        <f t="shared" si="23"/>
        <v>0</v>
      </c>
    </row>
    <row r="66" spans="1:33">
      <c r="A66" s="60" t="s">
        <v>22</v>
      </c>
      <c r="B66" s="65" t="s">
        <v>120</v>
      </c>
      <c r="C66" s="66">
        <f>1000*-65.159</f>
        <v>-65159.000000000007</v>
      </c>
      <c r="D66" s="181">
        <f>1000*-14.392</f>
        <v>-14392</v>
      </c>
      <c r="E66" s="147"/>
      <c r="F66" s="147"/>
      <c r="G66" s="145"/>
      <c r="H66" s="145"/>
      <c r="I66" s="145"/>
      <c r="J66" s="145"/>
      <c r="K66" s="145"/>
      <c r="L66" s="145">
        <v>14392</v>
      </c>
      <c r="M66" s="145"/>
      <c r="N66" s="145"/>
      <c r="O66" s="145"/>
      <c r="P66" s="145"/>
      <c r="Q66" s="145"/>
      <c r="R66" s="145"/>
      <c r="S66" s="145"/>
      <c r="T66" s="145"/>
      <c r="U66" s="145">
        <f t="shared" si="15"/>
        <v>14392</v>
      </c>
      <c r="V66" s="145">
        <f t="shared" si="16"/>
        <v>0</v>
      </c>
      <c r="W66" s="142">
        <f t="shared" si="17"/>
        <v>14392</v>
      </c>
      <c r="X66" s="145">
        <f t="shared" si="18"/>
        <v>0</v>
      </c>
      <c r="Y66" s="145"/>
      <c r="Z66" s="145"/>
      <c r="AA66" s="145">
        <f t="shared" si="19"/>
        <v>0</v>
      </c>
      <c r="AB66" s="145"/>
      <c r="AC66" s="145">
        <f t="shared" si="20"/>
        <v>0</v>
      </c>
      <c r="AD66" s="139">
        <f t="shared" si="21"/>
        <v>0</v>
      </c>
      <c r="AE66" s="139">
        <f t="shared" si="22"/>
        <v>0</v>
      </c>
      <c r="AF66" s="139"/>
      <c r="AG66" s="143">
        <f t="shared" si="23"/>
        <v>0</v>
      </c>
    </row>
    <row r="67" spans="1:33">
      <c r="A67" s="60" t="s">
        <v>22</v>
      </c>
      <c r="B67" s="65" t="s">
        <v>75</v>
      </c>
      <c r="C67" s="66">
        <f>1000*-14.568</f>
        <v>-14568</v>
      </c>
      <c r="D67" s="181">
        <f>1000*-1.079</f>
        <v>-1079</v>
      </c>
      <c r="E67" s="147"/>
      <c r="F67" s="147"/>
      <c r="G67" s="145"/>
      <c r="H67" s="145"/>
      <c r="I67" s="145"/>
      <c r="J67" s="145"/>
      <c r="K67" s="145"/>
      <c r="L67" s="145"/>
      <c r="M67" s="145"/>
      <c r="N67" s="145"/>
      <c r="O67" s="145"/>
      <c r="P67" s="145"/>
      <c r="Q67" s="145"/>
      <c r="R67" s="145"/>
      <c r="S67" s="145"/>
      <c r="T67" s="145"/>
      <c r="U67" s="145">
        <f t="shared" si="15"/>
        <v>0</v>
      </c>
      <c r="V67" s="145">
        <f t="shared" si="16"/>
        <v>84</v>
      </c>
      <c r="W67" s="142">
        <f t="shared" si="17"/>
        <v>84</v>
      </c>
      <c r="X67" s="145">
        <f t="shared" si="18"/>
        <v>-995</v>
      </c>
      <c r="Y67" s="145"/>
      <c r="Z67" s="145"/>
      <c r="AA67" s="145">
        <f t="shared" si="19"/>
        <v>0</v>
      </c>
      <c r="AB67" s="147">
        <v>995</v>
      </c>
      <c r="AC67" s="145">
        <f t="shared" si="20"/>
        <v>995</v>
      </c>
      <c r="AD67" s="139">
        <f t="shared" si="21"/>
        <v>0</v>
      </c>
      <c r="AE67" s="139">
        <f t="shared" si="22"/>
        <v>995</v>
      </c>
      <c r="AF67" s="139"/>
      <c r="AG67" s="143">
        <f t="shared" si="23"/>
        <v>0</v>
      </c>
    </row>
    <row r="68" spans="1:33">
      <c r="A68" s="60" t="s">
        <v>22</v>
      </c>
      <c r="B68" s="65" t="s">
        <v>121</v>
      </c>
      <c r="C68" s="66">
        <f>1000*-25.563</f>
        <v>-25563</v>
      </c>
      <c r="D68" s="181">
        <f>1000*-5.46</f>
        <v>-5460</v>
      </c>
      <c r="E68" s="147"/>
      <c r="F68" s="147"/>
      <c r="G68" s="145"/>
      <c r="H68" s="145"/>
      <c r="I68" s="145"/>
      <c r="J68" s="145"/>
      <c r="K68" s="145"/>
      <c r="L68" s="145"/>
      <c r="M68" s="145"/>
      <c r="N68" s="145"/>
      <c r="O68" s="145"/>
      <c r="P68" s="145"/>
      <c r="Q68" s="145"/>
      <c r="R68" s="145"/>
      <c r="S68" s="145"/>
      <c r="T68" s="145"/>
      <c r="U68" s="145">
        <f t="shared" si="15"/>
        <v>0</v>
      </c>
      <c r="V68" s="145">
        <f t="shared" si="16"/>
        <v>425</v>
      </c>
      <c r="W68" s="142">
        <f t="shared" si="17"/>
        <v>425</v>
      </c>
      <c r="X68" s="145">
        <f t="shared" si="18"/>
        <v>-5035</v>
      </c>
      <c r="Y68" s="145"/>
      <c r="Z68" s="145"/>
      <c r="AA68" s="145">
        <f t="shared" si="19"/>
        <v>0</v>
      </c>
      <c r="AB68" s="147">
        <v>5035</v>
      </c>
      <c r="AC68" s="145">
        <f t="shared" si="20"/>
        <v>5035</v>
      </c>
      <c r="AD68" s="139">
        <f t="shared" si="21"/>
        <v>0</v>
      </c>
      <c r="AE68" s="139">
        <f t="shared" si="22"/>
        <v>5035</v>
      </c>
      <c r="AF68" s="139"/>
      <c r="AG68" s="143">
        <f t="shared" si="23"/>
        <v>0</v>
      </c>
    </row>
    <row r="69" spans="1:33">
      <c r="A69" s="60" t="s">
        <v>58</v>
      </c>
      <c r="B69" s="65" t="s">
        <v>88</v>
      </c>
      <c r="C69" s="66">
        <f>1000*-24.258</f>
        <v>-24258</v>
      </c>
      <c r="D69" s="181">
        <f>1000*-1.797</f>
        <v>-1797</v>
      </c>
      <c r="E69" s="147"/>
      <c r="F69" s="147"/>
      <c r="G69" s="145"/>
      <c r="H69" s="145"/>
      <c r="I69" s="145"/>
      <c r="J69" s="145"/>
      <c r="K69" s="145"/>
      <c r="L69" s="145"/>
      <c r="M69" s="145"/>
      <c r="N69" s="145"/>
      <c r="O69" s="145"/>
      <c r="P69" s="145"/>
      <c r="Q69" s="145"/>
      <c r="R69" s="145"/>
      <c r="S69" s="145"/>
      <c r="T69" s="145"/>
      <c r="U69" s="145">
        <f>SUM(E69:S69)</f>
        <v>0</v>
      </c>
      <c r="V69" s="145">
        <f t="shared" si="16"/>
        <v>140</v>
      </c>
      <c r="W69" s="142">
        <f>+V69+U69</f>
        <v>140</v>
      </c>
      <c r="X69" s="145">
        <f>+U69+V69+D69</f>
        <v>-1657</v>
      </c>
      <c r="Y69" s="145"/>
      <c r="Z69" s="145"/>
      <c r="AA69" s="145">
        <f t="shared" si="19"/>
        <v>0</v>
      </c>
      <c r="AB69" s="145">
        <v>1657</v>
      </c>
      <c r="AC69" s="145">
        <f>+AB69+Y69+Z69</f>
        <v>1657</v>
      </c>
      <c r="AD69" s="139">
        <f>+AC69+X69</f>
        <v>0</v>
      </c>
      <c r="AE69" s="139">
        <f t="shared" si="22"/>
        <v>1657</v>
      </c>
      <c r="AF69" s="139"/>
      <c r="AG69" s="143">
        <f t="shared" si="23"/>
        <v>0</v>
      </c>
    </row>
    <row r="70" spans="1:33">
      <c r="A70" s="60" t="s">
        <v>22</v>
      </c>
      <c r="B70" s="65" t="s">
        <v>85</v>
      </c>
      <c r="C70" s="66">
        <f>1000*-41.581</f>
        <v>-41581</v>
      </c>
      <c r="D70" s="181">
        <f>1000*-3.081</f>
        <v>-3081</v>
      </c>
      <c r="E70" s="147"/>
      <c r="F70" s="147"/>
      <c r="G70" s="145"/>
      <c r="H70" s="145"/>
      <c r="I70" s="145"/>
      <c r="J70" s="145"/>
      <c r="K70" s="145"/>
      <c r="L70" s="145"/>
      <c r="M70" s="145"/>
      <c r="N70" s="145"/>
      <c r="O70" s="145"/>
      <c r="P70" s="145"/>
      <c r="Q70" s="145"/>
      <c r="R70" s="145"/>
      <c r="S70" s="145"/>
      <c r="T70" s="145"/>
      <c r="U70" s="145">
        <f t="shared" si="15"/>
        <v>0</v>
      </c>
      <c r="V70" s="145">
        <f t="shared" si="16"/>
        <v>240</v>
      </c>
      <c r="W70" s="142">
        <f t="shared" si="17"/>
        <v>240</v>
      </c>
      <c r="X70" s="145">
        <f t="shared" si="18"/>
        <v>-2841</v>
      </c>
      <c r="Y70" s="145"/>
      <c r="Z70" s="145"/>
      <c r="AA70" s="145">
        <f t="shared" si="19"/>
        <v>0</v>
      </c>
      <c r="AB70" s="145">
        <v>2841</v>
      </c>
      <c r="AC70" s="145">
        <f t="shared" si="20"/>
        <v>2841</v>
      </c>
      <c r="AD70" s="139">
        <f t="shared" si="21"/>
        <v>0</v>
      </c>
      <c r="AE70" s="139">
        <f t="shared" si="22"/>
        <v>2841</v>
      </c>
      <c r="AF70" s="139"/>
      <c r="AG70" s="143">
        <f t="shared" si="23"/>
        <v>0</v>
      </c>
    </row>
    <row r="71" spans="1:33">
      <c r="A71" s="60" t="s">
        <v>22</v>
      </c>
      <c r="B71" s="65" t="s">
        <v>124</v>
      </c>
      <c r="C71" s="66">
        <f>1000*-189.294</f>
        <v>-189294</v>
      </c>
      <c r="D71" s="181">
        <f>1000*-14.024</f>
        <v>-14024</v>
      </c>
      <c r="E71" s="147"/>
      <c r="F71" s="147"/>
      <c r="G71" s="145"/>
      <c r="H71" s="145"/>
      <c r="I71" s="145"/>
      <c r="J71" s="145"/>
      <c r="K71" s="145"/>
      <c r="L71" s="145"/>
      <c r="M71" s="145"/>
      <c r="N71" s="145"/>
      <c r="O71" s="145"/>
      <c r="P71" s="145"/>
      <c r="Q71" s="145"/>
      <c r="R71" s="145"/>
      <c r="S71" s="145"/>
      <c r="T71" s="145"/>
      <c r="U71" s="145">
        <f t="shared" si="15"/>
        <v>0</v>
      </c>
      <c r="V71" s="145">
        <f t="shared" si="16"/>
        <v>1090</v>
      </c>
      <c r="W71" s="142">
        <f t="shared" si="17"/>
        <v>1090</v>
      </c>
      <c r="X71" s="145">
        <f t="shared" si="18"/>
        <v>-12934</v>
      </c>
      <c r="Y71" s="145"/>
      <c r="Z71" s="145"/>
      <c r="AA71" s="145">
        <f t="shared" si="19"/>
        <v>0</v>
      </c>
      <c r="AB71" s="145">
        <v>12934</v>
      </c>
      <c r="AC71" s="145">
        <f t="shared" si="20"/>
        <v>12934</v>
      </c>
      <c r="AD71" s="139">
        <f t="shared" si="21"/>
        <v>0</v>
      </c>
      <c r="AE71" s="139">
        <f t="shared" si="22"/>
        <v>12934</v>
      </c>
      <c r="AF71" s="139"/>
      <c r="AG71" s="143">
        <f t="shared" si="23"/>
        <v>0</v>
      </c>
    </row>
    <row r="72" spans="1:33">
      <c r="A72" s="60" t="s">
        <v>22</v>
      </c>
      <c r="B72" s="65" t="s">
        <v>92</v>
      </c>
      <c r="C72" s="66">
        <f>1000*-1056.978</f>
        <v>-1056978</v>
      </c>
      <c r="D72" s="181">
        <f>1000*-76.02</f>
        <v>-76020</v>
      </c>
      <c r="E72" s="147"/>
      <c r="F72" s="147"/>
      <c r="G72" s="145"/>
      <c r="H72" s="145"/>
      <c r="I72" s="145"/>
      <c r="J72" s="145"/>
      <c r="K72" s="145"/>
      <c r="L72" s="145"/>
      <c r="M72" s="145"/>
      <c r="N72" s="145"/>
      <c r="O72" s="145"/>
      <c r="P72" s="145"/>
      <c r="Q72" s="145"/>
      <c r="R72" s="145"/>
      <c r="S72" s="145"/>
      <c r="T72" s="145"/>
      <c r="U72" s="145">
        <f t="shared" si="15"/>
        <v>0</v>
      </c>
      <c r="V72" s="145">
        <f t="shared" si="16"/>
        <v>5911</v>
      </c>
      <c r="W72" s="142">
        <f t="shared" si="17"/>
        <v>5911</v>
      </c>
      <c r="X72" s="145">
        <f t="shared" si="18"/>
        <v>-70109</v>
      </c>
      <c r="Y72" s="145"/>
      <c r="Z72" s="145"/>
      <c r="AA72" s="145">
        <f t="shared" si="19"/>
        <v>0</v>
      </c>
      <c r="AB72" s="145">
        <v>70109</v>
      </c>
      <c r="AC72" s="145">
        <f t="shared" si="20"/>
        <v>70109</v>
      </c>
      <c r="AD72" s="139">
        <f t="shared" si="21"/>
        <v>0</v>
      </c>
      <c r="AE72" s="139">
        <f t="shared" si="22"/>
        <v>70109</v>
      </c>
      <c r="AF72" s="139"/>
      <c r="AG72" s="143">
        <f t="shared" si="23"/>
        <v>0</v>
      </c>
    </row>
    <row r="73" spans="1:33">
      <c r="A73" s="60" t="s">
        <v>22</v>
      </c>
      <c r="B73" s="65" t="s">
        <v>126</v>
      </c>
      <c r="C73" s="66">
        <f>1000*-677.592</f>
        <v>-677592</v>
      </c>
      <c r="D73" s="181">
        <f>1000*-50.198</f>
        <v>-50198</v>
      </c>
      <c r="E73" s="147"/>
      <c r="F73" s="147"/>
      <c r="G73" s="145"/>
      <c r="H73" s="145"/>
      <c r="I73" s="145"/>
      <c r="J73" s="145"/>
      <c r="K73" s="145"/>
      <c r="L73" s="145"/>
      <c r="M73" s="145"/>
      <c r="N73" s="145"/>
      <c r="O73" s="145"/>
      <c r="P73" s="145"/>
      <c r="Q73" s="145"/>
      <c r="R73" s="145"/>
      <c r="S73" s="145"/>
      <c r="T73" s="145"/>
      <c r="U73" s="145">
        <f t="shared" si="15"/>
        <v>0</v>
      </c>
      <c r="V73" s="145">
        <f>ROUND(((+U73+D73)/0.37951*0.35-(U73+D73)),0)</f>
        <v>3903</v>
      </c>
      <c r="W73" s="142">
        <f t="shared" si="17"/>
        <v>3903</v>
      </c>
      <c r="X73" s="145">
        <f t="shared" si="18"/>
        <v>-46295</v>
      </c>
      <c r="Y73" s="145"/>
      <c r="Z73" s="145"/>
      <c r="AA73" s="145">
        <f t="shared" si="19"/>
        <v>0</v>
      </c>
      <c r="AB73" s="147">
        <v>46295</v>
      </c>
      <c r="AC73" s="145">
        <f t="shared" si="20"/>
        <v>46295</v>
      </c>
      <c r="AD73" s="139">
        <f t="shared" si="21"/>
        <v>0</v>
      </c>
      <c r="AE73" s="139">
        <f t="shared" si="22"/>
        <v>46295</v>
      </c>
      <c r="AF73" s="139"/>
      <c r="AG73" s="143">
        <f t="shared" si="23"/>
        <v>0</v>
      </c>
    </row>
    <row r="74" spans="1:33">
      <c r="A74" s="60" t="s">
        <v>44</v>
      </c>
      <c r="B74" s="65" t="s">
        <v>79</v>
      </c>
      <c r="C74" s="66">
        <f>1000*-1686.613</f>
        <v>-1686613</v>
      </c>
      <c r="D74" s="181">
        <f>1000*-360.218</f>
        <v>-360218</v>
      </c>
      <c r="E74" s="147"/>
      <c r="F74" s="147"/>
      <c r="G74" s="145"/>
      <c r="H74" s="145"/>
      <c r="I74" s="145"/>
      <c r="J74" s="145"/>
      <c r="K74" s="145"/>
      <c r="L74" s="145"/>
      <c r="M74" s="145"/>
      <c r="N74" s="145"/>
      <c r="O74" s="145"/>
      <c r="P74" s="145"/>
      <c r="Q74" s="145"/>
      <c r="R74" s="145"/>
      <c r="S74" s="145"/>
      <c r="T74" s="145"/>
      <c r="U74" s="145">
        <f t="shared" si="15"/>
        <v>0</v>
      </c>
      <c r="V74" s="145">
        <f t="shared" si="16"/>
        <v>28010</v>
      </c>
      <c r="W74" s="142">
        <f t="shared" si="17"/>
        <v>28010</v>
      </c>
      <c r="X74" s="145">
        <f t="shared" si="18"/>
        <v>-332208</v>
      </c>
      <c r="Y74" s="145"/>
      <c r="Z74" s="145"/>
      <c r="AA74" s="145">
        <f t="shared" si="19"/>
        <v>0</v>
      </c>
      <c r="AB74" s="147">
        <v>332208</v>
      </c>
      <c r="AC74" s="145">
        <f t="shared" si="20"/>
        <v>332208</v>
      </c>
      <c r="AD74" s="139">
        <f t="shared" si="21"/>
        <v>0</v>
      </c>
      <c r="AE74" s="139">
        <f t="shared" si="22"/>
        <v>332208</v>
      </c>
      <c r="AF74" s="139"/>
      <c r="AG74" s="143">
        <f t="shared" si="23"/>
        <v>0</v>
      </c>
    </row>
    <row r="75" spans="1:33">
      <c r="A75" s="60" t="s">
        <v>44</v>
      </c>
      <c r="B75" s="65" t="s">
        <v>125</v>
      </c>
      <c r="C75" s="66">
        <f>1000*-197.772</f>
        <v>-197772</v>
      </c>
      <c r="D75" s="181">
        <f>1000*-42.239</f>
        <v>-42239</v>
      </c>
      <c r="E75" s="147"/>
      <c r="F75" s="147"/>
      <c r="G75" s="145"/>
      <c r="H75" s="145"/>
      <c r="I75" s="145"/>
      <c r="J75" s="145"/>
      <c r="K75" s="145"/>
      <c r="L75" s="145"/>
      <c r="M75" s="145"/>
      <c r="N75" s="145"/>
      <c r="O75" s="145"/>
      <c r="P75" s="145"/>
      <c r="Q75" s="145"/>
      <c r="R75" s="145"/>
      <c r="S75" s="145"/>
      <c r="T75" s="145"/>
      <c r="U75" s="145">
        <f t="shared" si="15"/>
        <v>0</v>
      </c>
      <c r="V75" s="145">
        <f t="shared" si="16"/>
        <v>3284</v>
      </c>
      <c r="W75" s="142">
        <f t="shared" si="17"/>
        <v>3284</v>
      </c>
      <c r="X75" s="145">
        <f t="shared" si="18"/>
        <v>-38955</v>
      </c>
      <c r="Y75" s="145"/>
      <c r="Z75" s="145"/>
      <c r="AA75" s="145">
        <f t="shared" si="19"/>
        <v>0</v>
      </c>
      <c r="AB75" s="147">
        <v>38955</v>
      </c>
      <c r="AC75" s="145">
        <f t="shared" si="20"/>
        <v>38955</v>
      </c>
      <c r="AD75" s="139">
        <f t="shared" si="21"/>
        <v>0</v>
      </c>
      <c r="AE75" s="139">
        <f t="shared" si="22"/>
        <v>38955</v>
      </c>
      <c r="AF75" s="139"/>
      <c r="AG75" s="143">
        <f t="shared" si="23"/>
        <v>0</v>
      </c>
    </row>
    <row r="76" spans="1:33">
      <c r="A76" s="59" t="s">
        <v>23</v>
      </c>
      <c r="B76" s="58" t="s">
        <v>101</v>
      </c>
      <c r="C76" s="61">
        <f>1000*-7809.924</f>
        <v>-7809924</v>
      </c>
      <c r="D76" s="180">
        <f>1000*-578.588</f>
        <v>-578588</v>
      </c>
      <c r="E76" s="144"/>
      <c r="F76" s="144"/>
      <c r="G76" s="145"/>
      <c r="H76" s="145"/>
      <c r="I76" s="145"/>
      <c r="J76" s="145"/>
      <c r="K76" s="145"/>
      <c r="L76" s="145"/>
      <c r="M76" s="145"/>
      <c r="N76" s="145"/>
      <c r="O76" s="145"/>
      <c r="P76" s="145"/>
      <c r="Q76" s="145"/>
      <c r="R76" s="145">
        <f>-432843</f>
        <v>-432843</v>
      </c>
      <c r="S76" s="145"/>
      <c r="T76" s="145"/>
      <c r="U76" s="145">
        <f t="shared" si="15"/>
        <v>-432843</v>
      </c>
      <c r="V76" s="145">
        <f t="shared" si="16"/>
        <v>78647</v>
      </c>
      <c r="W76" s="142">
        <f t="shared" si="17"/>
        <v>-354196</v>
      </c>
      <c r="X76" s="145">
        <f t="shared" si="18"/>
        <v>-932784</v>
      </c>
      <c r="Y76" s="145">
        <f>432843</f>
        <v>432843</v>
      </c>
      <c r="Z76" s="145">
        <f>ROUND(432843/0.37951*0.35-432843,0)</f>
        <v>-33657</v>
      </c>
      <c r="AA76" s="145">
        <f t="shared" si="19"/>
        <v>399186</v>
      </c>
      <c r="AB76" s="145"/>
      <c r="AC76" s="145">
        <f t="shared" si="20"/>
        <v>399186</v>
      </c>
      <c r="AD76" s="139">
        <f t="shared" si="21"/>
        <v>-533598</v>
      </c>
      <c r="AE76" s="139">
        <f t="shared" si="22"/>
        <v>399186</v>
      </c>
      <c r="AF76" s="139">
        <v>-533598.05604542699</v>
      </c>
      <c r="AG76" s="143">
        <f t="shared" si="23"/>
        <v>5.6045426987111568E-2</v>
      </c>
    </row>
    <row r="77" spans="1:33" ht="16.5" customHeight="1">
      <c r="A77" s="59" t="s">
        <v>23</v>
      </c>
      <c r="B77" s="58" t="s">
        <v>103</v>
      </c>
      <c r="C77" s="61">
        <f>1000*-69.888</f>
        <v>-69888</v>
      </c>
      <c r="D77" s="180">
        <f>1000*-69.888</f>
        <v>-69888</v>
      </c>
      <c r="E77" s="144"/>
      <c r="F77" s="144"/>
      <c r="G77" s="145"/>
      <c r="H77" s="145"/>
      <c r="I77" s="145"/>
      <c r="J77" s="145"/>
      <c r="K77" s="145"/>
      <c r="L77" s="145"/>
      <c r="M77" s="145"/>
      <c r="N77" s="145"/>
      <c r="O77" s="145"/>
      <c r="P77" s="145"/>
      <c r="Q77" s="145"/>
      <c r="R77" s="145"/>
      <c r="S77" s="145"/>
      <c r="T77" s="145"/>
      <c r="U77" s="145">
        <f>SUM(E77:S77)</f>
        <v>0</v>
      </c>
      <c r="V77" s="145">
        <f t="shared" si="16"/>
        <v>5434</v>
      </c>
      <c r="W77" s="142">
        <f>+V77+U77</f>
        <v>5434</v>
      </c>
      <c r="X77" s="145">
        <f>+U77+V77+D77</f>
        <v>-64454</v>
      </c>
      <c r="Y77" s="145"/>
      <c r="Z77" s="145"/>
      <c r="AA77" s="145">
        <f t="shared" si="19"/>
        <v>0</v>
      </c>
      <c r="AB77" s="145"/>
      <c r="AC77" s="145">
        <f>+AB77+Y77+Z77</f>
        <v>0</v>
      </c>
      <c r="AD77" s="139">
        <f>+AC77+X77</f>
        <v>-64454</v>
      </c>
      <c r="AE77" s="139">
        <f t="shared" si="22"/>
        <v>0</v>
      </c>
      <c r="AF77" s="139">
        <v>-64453.64</v>
      </c>
      <c r="AG77" s="143">
        <f t="shared" si="23"/>
        <v>-0.36000000000058208</v>
      </c>
    </row>
    <row r="78" spans="1:33">
      <c r="A78" s="59" t="s">
        <v>23</v>
      </c>
      <c r="B78" s="58" t="s">
        <v>24</v>
      </c>
      <c r="C78" s="61">
        <f>1000*-203344.851</f>
        <v>-203344851</v>
      </c>
      <c r="D78" s="180">
        <f>1000*-16085.13</f>
        <v>-16085130</v>
      </c>
      <c r="E78" s="144"/>
      <c r="F78" s="144"/>
      <c r="G78" s="145"/>
      <c r="H78" s="145"/>
      <c r="I78" s="145"/>
      <c r="J78" s="145"/>
      <c r="K78" s="145"/>
      <c r="L78" s="145"/>
      <c r="M78" s="145"/>
      <c r="N78" s="145"/>
      <c r="O78" s="145"/>
      <c r="P78" s="145"/>
      <c r="Q78" s="145"/>
      <c r="R78" s="145"/>
      <c r="S78" s="145"/>
      <c r="T78" s="145"/>
      <c r="U78" s="145">
        <f t="shared" si="15"/>
        <v>0</v>
      </c>
      <c r="V78" s="145">
        <f t="shared" si="16"/>
        <v>1250750</v>
      </c>
      <c r="W78" s="142">
        <f t="shared" si="17"/>
        <v>1250750</v>
      </c>
      <c r="X78" s="145">
        <f t="shared" si="18"/>
        <v>-14834380</v>
      </c>
      <c r="Y78" s="145"/>
      <c r="Z78" s="145"/>
      <c r="AA78" s="145">
        <f t="shared" si="19"/>
        <v>0</v>
      </c>
      <c r="AB78" s="145"/>
      <c r="AC78" s="145">
        <f t="shared" si="20"/>
        <v>0</v>
      </c>
      <c r="AD78" s="139">
        <f t="shared" si="21"/>
        <v>-14834380</v>
      </c>
      <c r="AE78" s="139">
        <f t="shared" si="22"/>
        <v>0</v>
      </c>
      <c r="AF78" s="139">
        <v>-14834379.859999999</v>
      </c>
      <c r="AG78" s="143">
        <f t="shared" si="23"/>
        <v>-0.14000000059604645</v>
      </c>
    </row>
    <row r="79" spans="1:33">
      <c r="A79" s="59" t="s">
        <v>23</v>
      </c>
      <c r="B79" s="58" t="s">
        <v>104</v>
      </c>
      <c r="C79" s="61">
        <f>1000*-5806.233</f>
        <v>-5806233</v>
      </c>
      <c r="D79" s="180">
        <f>1000*-1240.0637</f>
        <v>-1240063.7</v>
      </c>
      <c r="E79" s="144"/>
      <c r="F79" s="144"/>
      <c r="G79" s="145"/>
      <c r="H79" s="145"/>
      <c r="I79" s="145"/>
      <c r="J79" s="145"/>
      <c r="K79" s="145"/>
      <c r="L79" s="145"/>
      <c r="M79" s="145"/>
      <c r="N79" s="145"/>
      <c r="O79" s="145"/>
      <c r="P79" s="145"/>
      <c r="Q79" s="145"/>
      <c r="R79" s="145"/>
      <c r="S79" s="145"/>
      <c r="T79" s="145"/>
      <c r="U79" s="145">
        <f t="shared" si="15"/>
        <v>0</v>
      </c>
      <c r="V79" s="145">
        <f t="shared" si="16"/>
        <v>96425</v>
      </c>
      <c r="W79" s="142">
        <f t="shared" si="17"/>
        <v>96425</v>
      </c>
      <c r="X79" s="145">
        <f t="shared" si="18"/>
        <v>-1143638.7</v>
      </c>
      <c r="Y79" s="145"/>
      <c r="Z79" s="145"/>
      <c r="AA79" s="145">
        <f t="shared" si="19"/>
        <v>0</v>
      </c>
      <c r="AB79" s="145"/>
      <c r="AC79" s="145">
        <f t="shared" si="20"/>
        <v>0</v>
      </c>
      <c r="AD79" s="139">
        <f t="shared" si="21"/>
        <v>-1143638.7</v>
      </c>
      <c r="AE79" s="139">
        <f t="shared" si="22"/>
        <v>0</v>
      </c>
      <c r="AF79" s="139">
        <v>-1143639.3999999999</v>
      </c>
      <c r="AG79" s="143">
        <v>0</v>
      </c>
    </row>
    <row r="80" spans="1:33">
      <c r="A80" s="59" t="s">
        <v>23</v>
      </c>
      <c r="B80" s="58" t="s">
        <v>27</v>
      </c>
      <c r="C80" s="61">
        <f>1000*-3779.21</f>
        <v>-3779210</v>
      </c>
      <c r="D80" s="180">
        <f>1000*-313.358</f>
        <v>-313358</v>
      </c>
      <c r="E80" s="144"/>
      <c r="F80" s="144"/>
      <c r="G80" s="145"/>
      <c r="H80" s="145"/>
      <c r="I80" s="145"/>
      <c r="J80" s="145"/>
      <c r="K80" s="145"/>
      <c r="L80" s="145"/>
      <c r="M80" s="145"/>
      <c r="N80" s="145"/>
      <c r="O80" s="145"/>
      <c r="P80" s="145"/>
      <c r="Q80" s="145"/>
      <c r="R80" s="145"/>
      <c r="S80" s="145"/>
      <c r="T80" s="145"/>
      <c r="U80" s="145">
        <f t="shared" si="15"/>
        <v>0</v>
      </c>
      <c r="V80" s="145">
        <f t="shared" si="16"/>
        <v>24366</v>
      </c>
      <c r="W80" s="142">
        <f t="shared" si="17"/>
        <v>24366</v>
      </c>
      <c r="X80" s="145">
        <f t="shared" si="18"/>
        <v>-288992</v>
      </c>
      <c r="Y80" s="145"/>
      <c r="Z80" s="145"/>
      <c r="AA80" s="145">
        <f t="shared" si="19"/>
        <v>0</v>
      </c>
      <c r="AB80" s="145"/>
      <c r="AC80" s="145">
        <f t="shared" si="20"/>
        <v>0</v>
      </c>
      <c r="AD80" s="139">
        <f t="shared" si="21"/>
        <v>-288992</v>
      </c>
      <c r="AE80" s="139">
        <f t="shared" si="22"/>
        <v>0</v>
      </c>
      <c r="AF80" s="139">
        <v>-288992</v>
      </c>
      <c r="AG80" s="143">
        <v>0</v>
      </c>
    </row>
    <row r="81" spans="1:33">
      <c r="A81" s="59" t="s">
        <v>23</v>
      </c>
      <c r="B81" s="58" t="s">
        <v>105</v>
      </c>
      <c r="C81" s="61">
        <f>1000*-20332.444</f>
        <v>-20332444</v>
      </c>
      <c r="D81" s="180">
        <f>1000*-1351.601</f>
        <v>-1351601</v>
      </c>
      <c r="E81" s="144"/>
      <c r="F81" s="144"/>
      <c r="G81" s="145"/>
      <c r="H81" s="145"/>
      <c r="I81" s="145"/>
      <c r="J81" s="145"/>
      <c r="K81" s="145"/>
      <c r="L81" s="145"/>
      <c r="M81" s="145"/>
      <c r="N81" s="145"/>
      <c r="O81" s="145"/>
      <c r="P81" s="145"/>
      <c r="Q81" s="145"/>
      <c r="R81" s="145"/>
      <c r="S81" s="145"/>
      <c r="T81" s="145"/>
      <c r="U81" s="145">
        <f t="shared" si="15"/>
        <v>0</v>
      </c>
      <c r="V81" s="145">
        <f t="shared" si="16"/>
        <v>105098</v>
      </c>
      <c r="W81" s="142">
        <f t="shared" si="17"/>
        <v>105098</v>
      </c>
      <c r="X81" s="145">
        <f t="shared" si="18"/>
        <v>-1246503</v>
      </c>
      <c r="Y81" s="145"/>
      <c r="Z81" s="145"/>
      <c r="AA81" s="145">
        <f t="shared" si="19"/>
        <v>0</v>
      </c>
      <c r="AB81" s="145"/>
      <c r="AC81" s="145">
        <f t="shared" si="20"/>
        <v>0</v>
      </c>
      <c r="AD81" s="139">
        <f t="shared" si="21"/>
        <v>-1246503</v>
      </c>
      <c r="AE81" s="139">
        <f t="shared" si="22"/>
        <v>0</v>
      </c>
      <c r="AF81" s="139">
        <v>-1246503.3999999999</v>
      </c>
      <c r="AG81" s="143">
        <f t="shared" si="23"/>
        <v>0.39999999990686774</v>
      </c>
    </row>
    <row r="82" spans="1:33">
      <c r="A82" s="59" t="s">
        <v>23</v>
      </c>
      <c r="B82" s="58" t="s">
        <v>106</v>
      </c>
      <c r="C82" s="61">
        <f>1000*-1948.906</f>
        <v>-1948906</v>
      </c>
      <c r="D82" s="180">
        <f>1000*-129.553</f>
        <v>-129553</v>
      </c>
      <c r="E82" s="144"/>
      <c r="F82" s="144"/>
      <c r="G82" s="145"/>
      <c r="H82" s="145"/>
      <c r="I82" s="145"/>
      <c r="J82" s="145"/>
      <c r="K82" s="145"/>
      <c r="L82" s="145"/>
      <c r="M82" s="145"/>
      <c r="N82" s="145"/>
      <c r="O82" s="145"/>
      <c r="P82" s="145"/>
      <c r="Q82" s="145"/>
      <c r="R82" s="145">
        <v>45738</v>
      </c>
      <c r="S82" s="145"/>
      <c r="T82" s="145"/>
      <c r="U82" s="145">
        <f t="shared" si="15"/>
        <v>45738</v>
      </c>
      <c r="V82" s="145">
        <f t="shared" si="16"/>
        <v>6517</v>
      </c>
      <c r="W82" s="142">
        <f t="shared" si="17"/>
        <v>52255</v>
      </c>
      <c r="X82" s="145">
        <f t="shared" si="18"/>
        <v>-77298</v>
      </c>
      <c r="Y82" s="145">
        <f>-45738</f>
        <v>-45738</v>
      </c>
      <c r="Z82" s="145">
        <f>ROUND(-45738/0.37951*0.35+45738,0)</f>
        <v>3557</v>
      </c>
      <c r="AA82" s="145">
        <f t="shared" si="19"/>
        <v>-42181</v>
      </c>
      <c r="AB82" s="145"/>
      <c r="AC82" s="145">
        <f t="shared" si="20"/>
        <v>-42181</v>
      </c>
      <c r="AD82" s="139">
        <f t="shared" si="21"/>
        <v>-119479</v>
      </c>
      <c r="AE82" s="139">
        <f t="shared" si="22"/>
        <v>-42181</v>
      </c>
      <c r="AF82" s="139">
        <v>-119480.4</v>
      </c>
      <c r="AG82" s="143">
        <f t="shared" si="23"/>
        <v>1.3999999999941792</v>
      </c>
    </row>
    <row r="83" spans="1:33">
      <c r="A83" s="59" t="s">
        <v>23</v>
      </c>
      <c r="B83" s="58" t="s">
        <v>107</v>
      </c>
      <c r="C83" s="61">
        <f>1000*-30559.912</f>
        <v>-30559912</v>
      </c>
      <c r="D83" s="180">
        <f>1000*-2197.929</f>
        <v>-2197929</v>
      </c>
      <c r="E83" s="144"/>
      <c r="F83" s="144"/>
      <c r="G83" s="145"/>
      <c r="H83" s="145"/>
      <c r="I83" s="145"/>
      <c r="J83" s="145"/>
      <c r="K83" s="145"/>
      <c r="L83" s="145"/>
      <c r="M83" s="145"/>
      <c r="N83" s="145"/>
      <c r="O83" s="145"/>
      <c r="P83" s="145"/>
      <c r="Q83" s="145"/>
      <c r="R83" s="145"/>
      <c r="S83" s="145"/>
      <c r="T83" s="145"/>
      <c r="U83" s="145">
        <f t="shared" si="15"/>
        <v>0</v>
      </c>
      <c r="V83" s="145">
        <f>ROUND(((+U83+D83)/0.37951*0.35-(U83+D83)),0)+1</f>
        <v>170908</v>
      </c>
      <c r="W83" s="142">
        <f t="shared" si="17"/>
        <v>170908</v>
      </c>
      <c r="X83" s="145">
        <f t="shared" si="18"/>
        <v>-2027021</v>
      </c>
      <c r="Y83" s="145"/>
      <c r="Z83" s="145"/>
      <c r="AA83" s="145">
        <f t="shared" si="19"/>
        <v>0</v>
      </c>
      <c r="AB83" s="145"/>
      <c r="AC83" s="145">
        <f t="shared" si="20"/>
        <v>0</v>
      </c>
      <c r="AD83" s="139">
        <f t="shared" si="21"/>
        <v>-2027021</v>
      </c>
      <c r="AE83" s="139">
        <f t="shared" si="22"/>
        <v>0</v>
      </c>
      <c r="AF83" s="139">
        <v>-2027022.4</v>
      </c>
      <c r="AG83" s="143">
        <f t="shared" si="23"/>
        <v>1.3999999999068677</v>
      </c>
    </row>
    <row r="84" spans="1:33">
      <c r="A84" s="59" t="s">
        <v>23</v>
      </c>
      <c r="B84" s="58" t="s">
        <v>108</v>
      </c>
      <c r="C84" s="61">
        <f>1000*-71.007</f>
        <v>-71007</v>
      </c>
      <c r="D84" s="180">
        <f>1000*-5.888</f>
        <v>-5888</v>
      </c>
      <c r="E84" s="144"/>
      <c r="F84" s="144"/>
      <c r="G84" s="145"/>
      <c r="H84" s="145"/>
      <c r="I84" s="145"/>
      <c r="J84" s="145"/>
      <c r="K84" s="145"/>
      <c r="L84" s="145"/>
      <c r="M84" s="145"/>
      <c r="N84" s="145"/>
      <c r="O84" s="145"/>
      <c r="P84" s="145"/>
      <c r="Q84" s="145"/>
      <c r="R84" s="145"/>
      <c r="S84" s="145"/>
      <c r="T84" s="145"/>
      <c r="U84" s="145">
        <f t="shared" si="15"/>
        <v>0</v>
      </c>
      <c r="V84" s="145">
        <f t="shared" si="16"/>
        <v>458</v>
      </c>
      <c r="W84" s="142">
        <f t="shared" si="17"/>
        <v>458</v>
      </c>
      <c r="X84" s="145">
        <f t="shared" si="18"/>
        <v>-5430</v>
      </c>
      <c r="Y84" s="145"/>
      <c r="Z84" s="145"/>
      <c r="AA84" s="145">
        <f t="shared" si="19"/>
        <v>0</v>
      </c>
      <c r="AB84" s="145"/>
      <c r="AC84" s="145">
        <f t="shared" si="20"/>
        <v>0</v>
      </c>
      <c r="AD84" s="139">
        <f t="shared" si="21"/>
        <v>-5430</v>
      </c>
      <c r="AE84" s="139">
        <f t="shared" si="22"/>
        <v>0</v>
      </c>
      <c r="AF84" s="139">
        <v>-5430.4</v>
      </c>
      <c r="AG84" s="143">
        <v>0</v>
      </c>
    </row>
    <row r="85" spans="1:33">
      <c r="A85" s="59" t="s">
        <v>23</v>
      </c>
      <c r="B85" s="58" t="s">
        <v>109</v>
      </c>
      <c r="C85" s="61">
        <f>1000*-4192.614</f>
        <v>-4192613.9999999995</v>
      </c>
      <c r="D85" s="180">
        <f>1000*-310.604</f>
        <v>-310604</v>
      </c>
      <c r="E85" s="144"/>
      <c r="F85" s="144"/>
      <c r="G85" s="145"/>
      <c r="H85" s="145"/>
      <c r="I85" s="145"/>
      <c r="J85" s="145"/>
      <c r="K85" s="145"/>
      <c r="L85" s="145"/>
      <c r="M85" s="145"/>
      <c r="N85" s="145"/>
      <c r="O85" s="145"/>
      <c r="P85" s="145"/>
      <c r="Q85" s="145"/>
      <c r="R85" s="145"/>
      <c r="S85" s="145"/>
      <c r="T85" s="145"/>
      <c r="U85" s="145">
        <f t="shared" si="15"/>
        <v>0</v>
      </c>
      <c r="V85" s="145">
        <f t="shared" si="16"/>
        <v>24152</v>
      </c>
      <c r="W85" s="142">
        <f t="shared" si="17"/>
        <v>24152</v>
      </c>
      <c r="X85" s="145">
        <f t="shared" si="18"/>
        <v>-286452</v>
      </c>
      <c r="Y85" s="145"/>
      <c r="Z85" s="145"/>
      <c r="AA85" s="145">
        <f t="shared" si="19"/>
        <v>0</v>
      </c>
      <c r="AB85" s="145"/>
      <c r="AC85" s="145">
        <f t="shared" si="20"/>
        <v>0</v>
      </c>
      <c r="AD85" s="139">
        <f t="shared" si="21"/>
        <v>-286452</v>
      </c>
      <c r="AE85" s="139">
        <f t="shared" si="22"/>
        <v>0</v>
      </c>
      <c r="AF85" s="139">
        <v>-286452.40000000002</v>
      </c>
      <c r="AG85" s="143">
        <f t="shared" si="23"/>
        <v>0.40000000002328306</v>
      </c>
    </row>
    <row r="86" spans="1:33">
      <c r="A86" s="59" t="s">
        <v>23</v>
      </c>
      <c r="B86" s="58" t="s">
        <v>41</v>
      </c>
      <c r="C86" s="61">
        <f>1000*-2.01</f>
        <v>-2009.9999999999998</v>
      </c>
      <c r="D86" s="180">
        <f>1000*-0.1585</f>
        <v>-158.5</v>
      </c>
      <c r="E86" s="144"/>
      <c r="F86" s="144"/>
      <c r="G86" s="145"/>
      <c r="H86" s="145"/>
      <c r="I86" s="145"/>
      <c r="J86" s="145"/>
      <c r="K86" s="145"/>
      <c r="L86" s="145"/>
      <c r="M86" s="145"/>
      <c r="N86" s="145"/>
      <c r="O86" s="145"/>
      <c r="P86" s="145"/>
      <c r="Q86" s="145"/>
      <c r="R86" s="145"/>
      <c r="S86" s="145"/>
      <c r="T86" s="145"/>
      <c r="U86" s="145">
        <f t="shared" si="15"/>
        <v>0</v>
      </c>
      <c r="V86" s="145">
        <f t="shared" si="16"/>
        <v>12</v>
      </c>
      <c r="W86" s="142">
        <f t="shared" si="17"/>
        <v>12</v>
      </c>
      <c r="X86" s="145">
        <f t="shared" si="18"/>
        <v>-146.5</v>
      </c>
      <c r="Y86" s="145"/>
      <c r="Z86" s="145"/>
      <c r="AA86" s="145">
        <f t="shared" si="19"/>
        <v>0</v>
      </c>
      <c r="AB86" s="145"/>
      <c r="AC86" s="145">
        <f t="shared" si="20"/>
        <v>0</v>
      </c>
      <c r="AD86" s="139">
        <f t="shared" si="21"/>
        <v>-146.5</v>
      </c>
      <c r="AE86" s="139">
        <f t="shared" si="22"/>
        <v>0</v>
      </c>
      <c r="AF86" s="139">
        <v>-146.26535181396201</v>
      </c>
      <c r="AG86" s="143">
        <f t="shared" si="23"/>
        <v>-0.23464818603798676</v>
      </c>
    </row>
    <row r="87" spans="1:33">
      <c r="A87" s="59" t="s">
        <v>23</v>
      </c>
      <c r="B87" s="58" t="s">
        <v>110</v>
      </c>
      <c r="C87" s="61">
        <f>1000*-369.825</f>
        <v>-369825</v>
      </c>
      <c r="D87" s="180">
        <f>1000*-29.18</f>
        <v>-29180</v>
      </c>
      <c r="E87" s="144"/>
      <c r="F87" s="144"/>
      <c r="G87" s="145"/>
      <c r="H87" s="145"/>
      <c r="I87" s="145"/>
      <c r="J87" s="145"/>
      <c r="K87" s="145"/>
      <c r="L87" s="145"/>
      <c r="M87" s="145"/>
      <c r="N87" s="145"/>
      <c r="O87" s="145"/>
      <c r="P87" s="145"/>
      <c r="Q87" s="145"/>
      <c r="R87" s="145"/>
      <c r="S87" s="145"/>
      <c r="T87" s="145"/>
      <c r="U87" s="145">
        <f t="shared" si="15"/>
        <v>0</v>
      </c>
      <c r="V87" s="145">
        <f t="shared" si="16"/>
        <v>2269</v>
      </c>
      <c r="W87" s="142">
        <f t="shared" si="17"/>
        <v>2269</v>
      </c>
      <c r="X87" s="145">
        <f t="shared" si="18"/>
        <v>-26911</v>
      </c>
      <c r="Y87" s="145"/>
      <c r="Z87" s="145"/>
      <c r="AA87" s="145">
        <f t="shared" si="19"/>
        <v>0</v>
      </c>
      <c r="AB87" s="145"/>
      <c r="AC87" s="145">
        <f t="shared" si="20"/>
        <v>0</v>
      </c>
      <c r="AD87" s="139">
        <f t="shared" si="21"/>
        <v>-26911</v>
      </c>
      <c r="AE87" s="139">
        <f t="shared" si="22"/>
        <v>0</v>
      </c>
      <c r="AF87" s="139">
        <v>-26911.4</v>
      </c>
      <c r="AG87" s="143">
        <f t="shared" si="23"/>
        <v>0.40000000000145519</v>
      </c>
    </row>
    <row r="88" spans="1:33">
      <c r="A88" s="60" t="s">
        <v>58</v>
      </c>
      <c r="B88" s="65" t="s">
        <v>112</v>
      </c>
      <c r="C88" s="66">
        <f>1000*-13878.27543</f>
        <v>-13878275.43</v>
      </c>
      <c r="D88" s="181">
        <f>1000*-1028.154</f>
        <v>-1028154</v>
      </c>
      <c r="E88" s="147"/>
      <c r="F88" s="147"/>
      <c r="G88" s="145"/>
      <c r="H88" s="145"/>
      <c r="I88" s="145"/>
      <c r="J88" s="145"/>
      <c r="K88" s="145"/>
      <c r="L88" s="145"/>
      <c r="M88" s="145"/>
      <c r="N88" s="145"/>
      <c r="O88" s="145"/>
      <c r="P88" s="145"/>
      <c r="Q88" s="145"/>
      <c r="R88" s="145"/>
      <c r="S88" s="145"/>
      <c r="T88" s="145"/>
      <c r="U88" s="145">
        <f t="shared" si="15"/>
        <v>0</v>
      </c>
      <c r="V88" s="145">
        <f t="shared" si="16"/>
        <v>79947</v>
      </c>
      <c r="W88" s="142">
        <f t="shared" si="17"/>
        <v>79947</v>
      </c>
      <c r="X88" s="145">
        <f t="shared" si="18"/>
        <v>-948207</v>
      </c>
      <c r="Y88" s="145"/>
      <c r="Z88" s="145"/>
      <c r="AA88" s="145">
        <f t="shared" si="19"/>
        <v>0</v>
      </c>
      <c r="AB88" s="145">
        <v>948207</v>
      </c>
      <c r="AC88" s="145">
        <f t="shared" si="20"/>
        <v>948207</v>
      </c>
      <c r="AD88" s="139">
        <f t="shared" si="21"/>
        <v>0</v>
      </c>
      <c r="AE88" s="139">
        <f t="shared" si="22"/>
        <v>948207</v>
      </c>
      <c r="AF88" s="139"/>
      <c r="AG88" s="143">
        <f t="shared" si="23"/>
        <v>0</v>
      </c>
    </row>
    <row r="89" spans="1:33">
      <c r="A89" s="60" t="s">
        <v>58</v>
      </c>
      <c r="B89" s="65" t="s">
        <v>60</v>
      </c>
      <c r="C89" s="66">
        <f>1000*-5356.717</f>
        <v>-5356717</v>
      </c>
      <c r="D89" s="181">
        <f>1000*-396.845</f>
        <v>-396845</v>
      </c>
      <c r="E89" s="147"/>
      <c r="F89" s="147"/>
      <c r="G89" s="145"/>
      <c r="H89" s="145"/>
      <c r="I89" s="145"/>
      <c r="J89" s="145"/>
      <c r="K89" s="145"/>
      <c r="L89" s="145"/>
      <c r="M89" s="145"/>
      <c r="N89" s="145"/>
      <c r="O89" s="145"/>
      <c r="P89" s="145"/>
      <c r="Q89" s="145"/>
      <c r="R89" s="145"/>
      <c r="S89" s="145"/>
      <c r="T89" s="145"/>
      <c r="U89" s="145">
        <f t="shared" si="15"/>
        <v>0</v>
      </c>
      <c r="V89" s="145">
        <f t="shared" si="16"/>
        <v>30858</v>
      </c>
      <c r="W89" s="142">
        <f t="shared" si="17"/>
        <v>30858</v>
      </c>
      <c r="X89" s="145">
        <f t="shared" si="18"/>
        <v>-365987</v>
      </c>
      <c r="Y89" s="145"/>
      <c r="Z89" s="145"/>
      <c r="AA89" s="145">
        <f t="shared" si="19"/>
        <v>0</v>
      </c>
      <c r="AB89" s="145">
        <v>365987</v>
      </c>
      <c r="AC89" s="145">
        <f t="shared" si="20"/>
        <v>365987</v>
      </c>
      <c r="AD89" s="139">
        <f t="shared" si="21"/>
        <v>0</v>
      </c>
      <c r="AE89" s="139">
        <f t="shared" si="22"/>
        <v>365987</v>
      </c>
      <c r="AF89" s="139"/>
      <c r="AG89" s="143">
        <f t="shared" si="23"/>
        <v>0</v>
      </c>
    </row>
    <row r="90" spans="1:33">
      <c r="A90" s="60" t="s">
        <v>58</v>
      </c>
      <c r="B90" s="65" t="s">
        <v>113</v>
      </c>
      <c r="C90" s="66">
        <f>1000*-210.501</f>
        <v>-210501</v>
      </c>
      <c r="D90" s="181">
        <f>1000*-15.595</f>
        <v>-15595</v>
      </c>
      <c r="E90" s="147"/>
      <c r="F90" s="147"/>
      <c r="G90" s="145"/>
      <c r="H90" s="145"/>
      <c r="I90" s="145"/>
      <c r="J90" s="145"/>
      <c r="K90" s="145">
        <v>15595</v>
      </c>
      <c r="L90" s="145"/>
      <c r="M90" s="145"/>
      <c r="N90" s="145"/>
      <c r="O90" s="145"/>
      <c r="P90" s="145"/>
      <c r="Q90" s="145"/>
      <c r="R90" s="145"/>
      <c r="S90" s="145"/>
      <c r="T90" s="145"/>
      <c r="U90" s="145">
        <f t="shared" si="15"/>
        <v>15595</v>
      </c>
      <c r="V90" s="145">
        <f t="shared" si="16"/>
        <v>0</v>
      </c>
      <c r="W90" s="142">
        <f t="shared" si="17"/>
        <v>15595</v>
      </c>
      <c r="X90" s="145">
        <f t="shared" si="18"/>
        <v>0</v>
      </c>
      <c r="Y90" s="145"/>
      <c r="Z90" s="145"/>
      <c r="AA90" s="145">
        <f t="shared" si="19"/>
        <v>0</v>
      </c>
      <c r="AB90" s="145"/>
      <c r="AC90" s="145">
        <f t="shared" si="20"/>
        <v>0</v>
      </c>
      <c r="AD90" s="139">
        <f t="shared" si="21"/>
        <v>0</v>
      </c>
      <c r="AE90" s="139">
        <f t="shared" si="22"/>
        <v>0</v>
      </c>
      <c r="AF90" s="139"/>
      <c r="AG90" s="143">
        <f t="shared" si="23"/>
        <v>0</v>
      </c>
    </row>
    <row r="91" spans="1:33">
      <c r="A91" s="60" t="s">
        <v>58</v>
      </c>
      <c r="B91" s="65" t="s">
        <v>114</v>
      </c>
      <c r="C91" s="66">
        <f>1000*-224.611</f>
        <v>-224611</v>
      </c>
      <c r="D91" s="181">
        <f>1000*-224.611</f>
        <v>-224611</v>
      </c>
      <c r="E91" s="147"/>
      <c r="F91" s="147"/>
      <c r="G91" s="145"/>
      <c r="H91" s="145"/>
      <c r="I91" s="145"/>
      <c r="J91" s="145"/>
      <c r="K91" s="145">
        <v>224611</v>
      </c>
      <c r="L91" s="145"/>
      <c r="M91" s="145"/>
      <c r="N91" s="145"/>
      <c r="O91" s="145"/>
      <c r="P91" s="145"/>
      <c r="Q91" s="145"/>
      <c r="R91" s="145"/>
      <c r="S91" s="145"/>
      <c r="T91" s="145"/>
      <c r="U91" s="145">
        <f t="shared" si="15"/>
        <v>224611</v>
      </c>
      <c r="V91" s="145">
        <f t="shared" si="16"/>
        <v>0</v>
      </c>
      <c r="W91" s="142">
        <f t="shared" si="17"/>
        <v>224611</v>
      </c>
      <c r="X91" s="145">
        <f t="shared" si="18"/>
        <v>0</v>
      </c>
      <c r="Y91" s="145"/>
      <c r="Z91" s="145"/>
      <c r="AA91" s="145">
        <f t="shared" si="19"/>
        <v>0</v>
      </c>
      <c r="AB91" s="145"/>
      <c r="AC91" s="145">
        <f t="shared" si="20"/>
        <v>0</v>
      </c>
      <c r="AD91" s="139">
        <f t="shared" si="21"/>
        <v>0</v>
      </c>
      <c r="AE91" s="139">
        <f t="shared" si="22"/>
        <v>0</v>
      </c>
      <c r="AF91" s="139"/>
      <c r="AG91" s="143">
        <f t="shared" si="23"/>
        <v>0</v>
      </c>
    </row>
    <row r="92" spans="1:33">
      <c r="A92" s="60" t="s">
        <v>58</v>
      </c>
      <c r="B92" s="65" t="s">
        <v>115</v>
      </c>
      <c r="C92" s="66">
        <f>1000*-19.806</f>
        <v>-19806</v>
      </c>
      <c r="D92" s="181">
        <f>1000*-19.806</f>
        <v>-19806</v>
      </c>
      <c r="E92" s="147"/>
      <c r="F92" s="147"/>
      <c r="G92" s="145"/>
      <c r="H92" s="145"/>
      <c r="I92" s="145"/>
      <c r="J92" s="145">
        <v>19806</v>
      </c>
      <c r="K92" s="145"/>
      <c r="L92" s="145"/>
      <c r="M92" s="145"/>
      <c r="N92" s="145"/>
      <c r="O92" s="145"/>
      <c r="P92" s="145"/>
      <c r="Q92" s="145"/>
      <c r="R92" s="145"/>
      <c r="S92" s="145"/>
      <c r="T92" s="145"/>
      <c r="U92" s="145">
        <f t="shared" si="15"/>
        <v>19806</v>
      </c>
      <c r="V92" s="145">
        <f t="shared" si="16"/>
        <v>0</v>
      </c>
      <c r="W92" s="142">
        <f t="shared" si="17"/>
        <v>19806</v>
      </c>
      <c r="X92" s="145">
        <f t="shared" si="18"/>
        <v>0</v>
      </c>
      <c r="Y92" s="145"/>
      <c r="Z92" s="145"/>
      <c r="AA92" s="145">
        <f t="shared" si="19"/>
        <v>0</v>
      </c>
      <c r="AB92" s="145"/>
      <c r="AC92" s="145">
        <f t="shared" si="20"/>
        <v>0</v>
      </c>
      <c r="AD92" s="139">
        <f t="shared" si="21"/>
        <v>0</v>
      </c>
      <c r="AE92" s="139">
        <f t="shared" si="22"/>
        <v>0</v>
      </c>
      <c r="AF92" s="139"/>
      <c r="AG92" s="143">
        <f t="shared" si="23"/>
        <v>0</v>
      </c>
    </row>
    <row r="93" spans="1:33">
      <c r="A93" s="60" t="s">
        <v>58</v>
      </c>
      <c r="B93" s="65" t="s">
        <v>116</v>
      </c>
      <c r="C93" s="66">
        <f>1000*-17.815</f>
        <v>-17815</v>
      </c>
      <c r="D93" s="181">
        <f>1000*-17.815</f>
        <v>-17815</v>
      </c>
      <c r="E93" s="147"/>
      <c r="F93" s="147"/>
      <c r="G93" s="145"/>
      <c r="H93" s="145"/>
      <c r="I93" s="145"/>
      <c r="J93" s="145"/>
      <c r="K93" s="145"/>
      <c r="L93" s="145"/>
      <c r="M93" s="145"/>
      <c r="N93" s="145"/>
      <c r="O93" s="145"/>
      <c r="P93" s="145"/>
      <c r="Q93" s="145"/>
      <c r="R93" s="145"/>
      <c r="S93" s="145"/>
      <c r="T93" s="145"/>
      <c r="U93" s="145">
        <f t="shared" si="15"/>
        <v>0</v>
      </c>
      <c r="V93" s="145">
        <f t="shared" si="16"/>
        <v>1385</v>
      </c>
      <c r="W93" s="142">
        <f t="shared" si="17"/>
        <v>1385</v>
      </c>
      <c r="X93" s="145">
        <f t="shared" si="18"/>
        <v>-16430</v>
      </c>
      <c r="Y93" s="145"/>
      <c r="Z93" s="145"/>
      <c r="AA93" s="145">
        <f t="shared" si="19"/>
        <v>0</v>
      </c>
      <c r="AB93" s="145"/>
      <c r="AC93" s="145">
        <f t="shared" si="20"/>
        <v>0</v>
      </c>
      <c r="AD93" s="139">
        <f t="shared" si="21"/>
        <v>-16430</v>
      </c>
      <c r="AE93" s="139">
        <f t="shared" si="22"/>
        <v>0</v>
      </c>
      <c r="AF93" s="139"/>
      <c r="AG93" s="143">
        <f t="shared" si="23"/>
        <v>-16430</v>
      </c>
    </row>
    <row r="94" spans="1:33">
      <c r="A94" s="60" t="s">
        <v>58</v>
      </c>
      <c r="B94" s="65" t="s">
        <v>117</v>
      </c>
      <c r="C94" s="66">
        <f>1000*-1544.666</f>
        <v>-1544666</v>
      </c>
      <c r="D94" s="181">
        <f>1000*-341.171</f>
        <v>-341171</v>
      </c>
      <c r="E94" s="147"/>
      <c r="F94" s="147"/>
      <c r="G94" s="145"/>
      <c r="H94" s="145"/>
      <c r="I94" s="145"/>
      <c r="J94" s="145"/>
      <c r="K94" s="145"/>
      <c r="L94" s="145"/>
      <c r="M94" s="145">
        <v>341171</v>
      </c>
      <c r="N94" s="145"/>
      <c r="O94" s="145"/>
      <c r="P94" s="145"/>
      <c r="Q94" s="145"/>
      <c r="R94" s="145"/>
      <c r="S94" s="145"/>
      <c r="T94" s="145"/>
      <c r="U94" s="145">
        <f t="shared" si="15"/>
        <v>341171</v>
      </c>
      <c r="V94" s="145">
        <f t="shared" si="16"/>
        <v>0</v>
      </c>
      <c r="W94" s="142">
        <f t="shared" si="17"/>
        <v>341171</v>
      </c>
      <c r="X94" s="145">
        <f t="shared" si="18"/>
        <v>0</v>
      </c>
      <c r="Y94" s="145"/>
      <c r="Z94" s="145"/>
      <c r="AA94" s="145">
        <f t="shared" si="19"/>
        <v>0</v>
      </c>
      <c r="AB94" s="145"/>
      <c r="AC94" s="145">
        <f t="shared" si="20"/>
        <v>0</v>
      </c>
      <c r="AD94" s="139">
        <f t="shared" si="21"/>
        <v>0</v>
      </c>
      <c r="AE94" s="139">
        <f t="shared" si="22"/>
        <v>0</v>
      </c>
      <c r="AF94" s="139"/>
      <c r="AG94" s="143">
        <f t="shared" si="23"/>
        <v>0</v>
      </c>
    </row>
    <row r="95" spans="1:33">
      <c r="A95" s="60" t="s">
        <v>58</v>
      </c>
      <c r="B95" s="65" t="s">
        <v>65</v>
      </c>
      <c r="C95" s="66">
        <f>1000*-627.345</f>
        <v>-627345</v>
      </c>
      <c r="D95" s="181">
        <f>1000*-627.345</f>
        <v>-627345</v>
      </c>
      <c r="E95" s="147">
        <v>627345</v>
      </c>
      <c r="F95" s="147"/>
      <c r="G95" s="145"/>
      <c r="H95" s="145"/>
      <c r="I95" s="145"/>
      <c r="J95" s="145"/>
      <c r="K95" s="145"/>
      <c r="L95" s="145"/>
      <c r="M95" s="145"/>
      <c r="N95" s="145"/>
      <c r="O95" s="145"/>
      <c r="P95" s="145"/>
      <c r="Q95" s="145"/>
      <c r="R95" s="145"/>
      <c r="S95" s="145"/>
      <c r="T95" s="145"/>
      <c r="U95" s="145">
        <f t="shared" si="15"/>
        <v>627345</v>
      </c>
      <c r="V95" s="145">
        <f t="shared" si="16"/>
        <v>0</v>
      </c>
      <c r="W95" s="142">
        <f t="shared" si="17"/>
        <v>627345</v>
      </c>
      <c r="X95" s="145">
        <f t="shared" si="18"/>
        <v>0</v>
      </c>
      <c r="Y95" s="145"/>
      <c r="Z95" s="145"/>
      <c r="AA95" s="145">
        <f t="shared" si="19"/>
        <v>0</v>
      </c>
      <c r="AB95" s="145"/>
      <c r="AC95" s="145">
        <f t="shared" si="20"/>
        <v>0</v>
      </c>
      <c r="AD95" s="139">
        <f t="shared" si="21"/>
        <v>0</v>
      </c>
      <c r="AE95" s="139">
        <f t="shared" si="22"/>
        <v>0</v>
      </c>
      <c r="AF95" s="139"/>
      <c r="AG95" s="143">
        <f t="shared" si="23"/>
        <v>0</v>
      </c>
    </row>
    <row r="96" spans="1:33">
      <c r="A96" s="60" t="s">
        <v>58</v>
      </c>
      <c r="B96" s="65" t="s">
        <v>122</v>
      </c>
      <c r="C96" s="66">
        <f>1000*-1332.481</f>
        <v>-1332481</v>
      </c>
      <c r="D96" s="181">
        <f>1000*-294.743</f>
        <v>-294743</v>
      </c>
      <c r="E96" s="147"/>
      <c r="F96" s="147"/>
      <c r="G96" s="145"/>
      <c r="H96" s="145"/>
      <c r="I96" s="145"/>
      <c r="J96" s="145"/>
      <c r="K96" s="145"/>
      <c r="L96" s="145"/>
      <c r="M96" s="145"/>
      <c r="N96" s="145">
        <v>294743</v>
      </c>
      <c r="O96" s="145"/>
      <c r="P96" s="145"/>
      <c r="Q96" s="145"/>
      <c r="R96" s="145"/>
      <c r="S96" s="145"/>
      <c r="T96" s="145"/>
      <c r="U96" s="145">
        <f t="shared" si="15"/>
        <v>294743</v>
      </c>
      <c r="V96" s="145">
        <f t="shared" si="16"/>
        <v>0</v>
      </c>
      <c r="W96" s="142">
        <f t="shared" si="17"/>
        <v>294743</v>
      </c>
      <c r="X96" s="145">
        <f t="shared" si="18"/>
        <v>0</v>
      </c>
      <c r="Y96" s="145"/>
      <c r="Z96" s="145"/>
      <c r="AA96" s="145">
        <f t="shared" si="19"/>
        <v>0</v>
      </c>
      <c r="AB96" s="145"/>
      <c r="AC96" s="145">
        <f t="shared" si="20"/>
        <v>0</v>
      </c>
      <c r="AD96" s="139">
        <f t="shared" si="21"/>
        <v>0</v>
      </c>
      <c r="AE96" s="139">
        <f t="shared" si="22"/>
        <v>0</v>
      </c>
      <c r="AF96" s="139"/>
      <c r="AG96" s="143">
        <f t="shared" si="23"/>
        <v>0</v>
      </c>
    </row>
    <row r="97" spans="1:33">
      <c r="A97" s="60" t="s">
        <v>58</v>
      </c>
      <c r="B97" s="65" t="s">
        <v>84</v>
      </c>
      <c r="C97" s="66">
        <f>1000*-126.418</f>
        <v>-126418</v>
      </c>
      <c r="D97" s="181">
        <f>1000*-126.418</f>
        <v>-126418</v>
      </c>
      <c r="E97" s="147">
        <v>126418</v>
      </c>
      <c r="F97" s="147"/>
      <c r="G97" s="145"/>
      <c r="H97" s="145"/>
      <c r="I97" s="145"/>
      <c r="J97" s="145"/>
      <c r="K97" s="145"/>
      <c r="L97" s="145"/>
      <c r="M97" s="145"/>
      <c r="N97" s="145"/>
      <c r="O97" s="145"/>
      <c r="P97" s="145"/>
      <c r="Q97" s="145"/>
      <c r="R97" s="145"/>
      <c r="S97" s="145"/>
      <c r="T97" s="145"/>
      <c r="U97" s="145">
        <f t="shared" si="15"/>
        <v>126418</v>
      </c>
      <c r="V97" s="145">
        <f t="shared" si="16"/>
        <v>0</v>
      </c>
      <c r="W97" s="142">
        <f t="shared" si="17"/>
        <v>126418</v>
      </c>
      <c r="X97" s="145">
        <f t="shared" si="18"/>
        <v>0</v>
      </c>
      <c r="Y97" s="145"/>
      <c r="Z97" s="145"/>
      <c r="AA97" s="145">
        <f t="shared" si="19"/>
        <v>0</v>
      </c>
      <c r="AB97" s="145"/>
      <c r="AC97" s="145">
        <f t="shared" si="20"/>
        <v>0</v>
      </c>
      <c r="AD97" s="139">
        <f t="shared" si="21"/>
        <v>0</v>
      </c>
      <c r="AE97" s="139">
        <f t="shared" si="22"/>
        <v>0</v>
      </c>
      <c r="AF97" s="139"/>
      <c r="AG97" s="143">
        <f t="shared" si="23"/>
        <v>0</v>
      </c>
    </row>
    <row r="98" spans="1:33">
      <c r="A98" s="60" t="s">
        <v>58</v>
      </c>
      <c r="B98" s="65" t="s">
        <v>123</v>
      </c>
      <c r="C98" s="66">
        <f>1000*-241.766</f>
        <v>-241766</v>
      </c>
      <c r="D98" s="181">
        <f>1000*-241.766</f>
        <v>-241766</v>
      </c>
      <c r="E98" s="147"/>
      <c r="F98" s="147"/>
      <c r="G98" s="145"/>
      <c r="H98" s="145"/>
      <c r="I98" s="145">
        <v>241766</v>
      </c>
      <c r="J98" s="145"/>
      <c r="K98" s="145"/>
      <c r="L98" s="145"/>
      <c r="M98" s="145"/>
      <c r="N98" s="145"/>
      <c r="O98" s="145"/>
      <c r="P98" s="145"/>
      <c r="Q98" s="145"/>
      <c r="R98" s="145"/>
      <c r="S98" s="145"/>
      <c r="T98" s="145"/>
      <c r="U98" s="145">
        <f t="shared" si="15"/>
        <v>241766</v>
      </c>
      <c r="V98" s="145">
        <f t="shared" si="16"/>
        <v>0</v>
      </c>
      <c r="W98" s="142">
        <f t="shared" si="17"/>
        <v>241766</v>
      </c>
      <c r="X98" s="145">
        <f t="shared" si="18"/>
        <v>0</v>
      </c>
      <c r="Y98" s="145"/>
      <c r="Z98" s="145"/>
      <c r="AA98" s="145">
        <f t="shared" si="19"/>
        <v>0</v>
      </c>
      <c r="AB98" s="145"/>
      <c r="AC98" s="145">
        <f t="shared" si="20"/>
        <v>0</v>
      </c>
      <c r="AD98" s="139">
        <f t="shared" si="21"/>
        <v>0</v>
      </c>
      <c r="AE98" s="139">
        <f t="shared" si="22"/>
        <v>0</v>
      </c>
      <c r="AF98" s="139"/>
      <c r="AG98" s="143">
        <f t="shared" si="23"/>
        <v>0</v>
      </c>
    </row>
    <row r="99" spans="1:33">
      <c r="A99" s="67" t="s">
        <v>58</v>
      </c>
      <c r="B99" s="67" t="s">
        <v>127</v>
      </c>
      <c r="C99" s="66"/>
      <c r="D99" s="181"/>
      <c r="E99" s="147"/>
      <c r="F99" s="147">
        <v>-10930</v>
      </c>
      <c r="G99" s="145"/>
      <c r="H99" s="145"/>
      <c r="I99" s="145"/>
      <c r="J99" s="145"/>
      <c r="K99" s="145"/>
      <c r="L99" s="145"/>
      <c r="M99" s="145"/>
      <c r="N99" s="145"/>
      <c r="O99" s="145"/>
      <c r="P99" s="145"/>
      <c r="Q99" s="145"/>
      <c r="R99" s="145"/>
      <c r="S99" s="145"/>
      <c r="T99" s="145"/>
      <c r="U99" s="145">
        <f t="shared" si="15"/>
        <v>-10930</v>
      </c>
      <c r="V99" s="145">
        <f t="shared" si="16"/>
        <v>850</v>
      </c>
      <c r="W99" s="142">
        <f t="shared" si="17"/>
        <v>-10080</v>
      </c>
      <c r="X99" s="145">
        <f t="shared" si="18"/>
        <v>-10080</v>
      </c>
      <c r="Y99" s="145"/>
      <c r="Z99" s="145"/>
      <c r="AA99" s="145">
        <f t="shared" si="19"/>
        <v>0</v>
      </c>
      <c r="AB99" s="145"/>
      <c r="AC99" s="145">
        <f t="shared" si="20"/>
        <v>0</v>
      </c>
      <c r="AD99" s="139">
        <f t="shared" si="21"/>
        <v>-10080</v>
      </c>
      <c r="AE99" s="139">
        <f t="shared" si="22"/>
        <v>0</v>
      </c>
      <c r="AF99" s="139">
        <v>-10080</v>
      </c>
      <c r="AG99" s="143">
        <f t="shared" si="23"/>
        <v>0</v>
      </c>
    </row>
    <row r="100" spans="1:33">
      <c r="A100" s="67" t="s">
        <v>58</v>
      </c>
      <c r="B100" s="67" t="s">
        <v>128</v>
      </c>
      <c r="C100" s="66"/>
      <c r="D100" s="181"/>
      <c r="E100" s="147"/>
      <c r="F100" s="147"/>
      <c r="G100" s="145"/>
      <c r="H100" s="145"/>
      <c r="I100" s="145"/>
      <c r="J100" s="145">
        <v>116447</v>
      </c>
      <c r="K100" s="145"/>
      <c r="L100" s="145"/>
      <c r="M100" s="145"/>
      <c r="N100" s="145"/>
      <c r="O100" s="145"/>
      <c r="P100" s="145"/>
      <c r="Q100" s="145"/>
      <c r="R100" s="145"/>
      <c r="S100" s="145"/>
      <c r="T100" s="145"/>
      <c r="U100" s="145">
        <f t="shared" si="15"/>
        <v>116447</v>
      </c>
      <c r="V100" s="145">
        <f>ROUND(((+U100+D100)/0.37951*0.35-(U100+D100)),0)</f>
        <v>-9055</v>
      </c>
      <c r="W100" s="142">
        <f t="shared" si="17"/>
        <v>107392</v>
      </c>
      <c r="X100" s="145">
        <f t="shared" si="18"/>
        <v>107392</v>
      </c>
      <c r="Y100" s="145"/>
      <c r="Z100" s="145"/>
      <c r="AA100" s="145">
        <f t="shared" si="19"/>
        <v>0</v>
      </c>
      <c r="AB100" s="145"/>
      <c r="AC100" s="145">
        <f t="shared" si="20"/>
        <v>0</v>
      </c>
      <c r="AD100" s="139">
        <f t="shared" si="21"/>
        <v>107392</v>
      </c>
      <c r="AE100" s="139">
        <f t="shared" si="22"/>
        <v>0</v>
      </c>
      <c r="AF100" s="139">
        <v>107392</v>
      </c>
      <c r="AG100" s="143">
        <f t="shared" si="23"/>
        <v>0</v>
      </c>
    </row>
    <row r="101" spans="1:33">
      <c r="A101" s="67" t="s">
        <v>58</v>
      </c>
      <c r="B101" s="67" t="s">
        <v>129</v>
      </c>
      <c r="C101" s="66"/>
      <c r="D101" s="181"/>
      <c r="E101" s="147"/>
      <c r="F101" s="147"/>
      <c r="G101" s="145"/>
      <c r="H101" s="145"/>
      <c r="I101" s="145"/>
      <c r="J101" s="145"/>
      <c r="K101" s="145">
        <v>-9662</v>
      </c>
      <c r="L101" s="145"/>
      <c r="M101" s="145"/>
      <c r="N101" s="145"/>
      <c r="O101" s="145"/>
      <c r="P101" s="145"/>
      <c r="Q101" s="145"/>
      <c r="R101" s="145"/>
      <c r="S101" s="145"/>
      <c r="T101" s="145"/>
      <c r="U101" s="145">
        <f t="shared" si="15"/>
        <v>-9662</v>
      </c>
      <c r="V101" s="145">
        <f t="shared" si="16"/>
        <v>751</v>
      </c>
      <c r="W101" s="142">
        <f t="shared" si="17"/>
        <v>-8911</v>
      </c>
      <c r="X101" s="145">
        <f t="shared" si="18"/>
        <v>-8911</v>
      </c>
      <c r="Y101" s="145"/>
      <c r="Z101" s="145"/>
      <c r="AA101" s="145">
        <f t="shared" si="19"/>
        <v>0</v>
      </c>
      <c r="AB101" s="145"/>
      <c r="AC101" s="145">
        <f t="shared" si="20"/>
        <v>0</v>
      </c>
      <c r="AD101" s="139">
        <f t="shared" si="21"/>
        <v>-8911</v>
      </c>
      <c r="AE101" s="139">
        <f t="shared" si="22"/>
        <v>0</v>
      </c>
      <c r="AF101" s="251">
        <v>-8911</v>
      </c>
      <c r="AG101" s="252">
        <f t="shared" si="23"/>
        <v>0</v>
      </c>
    </row>
    <row r="102" spans="1:33">
      <c r="A102" s="67" t="s">
        <v>58</v>
      </c>
      <c r="B102" s="67" t="s">
        <v>130</v>
      </c>
      <c r="C102" s="66"/>
      <c r="D102" s="181"/>
      <c r="E102" s="147"/>
      <c r="F102" s="147"/>
      <c r="G102" s="145"/>
      <c r="H102" s="145"/>
      <c r="I102" s="145"/>
      <c r="J102" s="145"/>
      <c r="K102" s="145"/>
      <c r="L102" s="145"/>
      <c r="M102" s="145">
        <v>-222521</v>
      </c>
      <c r="N102" s="145"/>
      <c r="O102" s="145"/>
      <c r="P102" s="145"/>
      <c r="Q102" s="145"/>
      <c r="R102" s="145"/>
      <c r="S102" s="145"/>
      <c r="T102" s="145"/>
      <c r="U102" s="145">
        <f t="shared" si="15"/>
        <v>-222521</v>
      </c>
      <c r="V102" s="145">
        <f t="shared" si="16"/>
        <v>17303</v>
      </c>
      <c r="W102" s="142">
        <f t="shared" si="17"/>
        <v>-205218</v>
      </c>
      <c r="X102" s="145">
        <f t="shared" si="18"/>
        <v>-205218</v>
      </c>
      <c r="Y102" s="145"/>
      <c r="Z102" s="145"/>
      <c r="AA102" s="145">
        <f t="shared" si="19"/>
        <v>0</v>
      </c>
      <c r="AB102" s="145"/>
      <c r="AC102" s="145">
        <f t="shared" si="20"/>
        <v>0</v>
      </c>
      <c r="AD102" s="139">
        <f t="shared" si="21"/>
        <v>-205218</v>
      </c>
      <c r="AE102" s="139">
        <f t="shared" si="22"/>
        <v>0</v>
      </c>
      <c r="AF102" s="139"/>
      <c r="AG102" s="143">
        <f t="shared" si="23"/>
        <v>-205218</v>
      </c>
    </row>
    <row r="103" spans="1:33">
      <c r="A103" s="67" t="s">
        <v>58</v>
      </c>
      <c r="B103" s="67" t="s">
        <v>131</v>
      </c>
      <c r="C103" s="66"/>
      <c r="D103" s="181"/>
      <c r="E103" s="147"/>
      <c r="F103" s="147"/>
      <c r="G103" s="145"/>
      <c r="H103" s="145"/>
      <c r="I103" s="145"/>
      <c r="J103" s="145"/>
      <c r="K103" s="145"/>
      <c r="L103" s="145"/>
      <c r="M103" s="145"/>
      <c r="N103" s="145"/>
      <c r="O103" s="145">
        <v>-1138530</v>
      </c>
      <c r="P103" s="145"/>
      <c r="Q103" s="145"/>
      <c r="R103" s="145"/>
      <c r="S103" s="145"/>
      <c r="T103" s="145"/>
      <c r="U103" s="145">
        <f t="shared" si="15"/>
        <v>-1138530</v>
      </c>
      <c r="V103" s="145">
        <f t="shared" si="16"/>
        <v>88530</v>
      </c>
      <c r="W103" s="142">
        <f t="shared" si="17"/>
        <v>-1050000</v>
      </c>
      <c r="X103" s="145">
        <f t="shared" si="18"/>
        <v>-1050000</v>
      </c>
      <c r="Y103" s="145"/>
      <c r="Z103" s="145"/>
      <c r="AA103" s="145">
        <f t="shared" si="19"/>
        <v>0</v>
      </c>
      <c r="AB103" s="145"/>
      <c r="AC103" s="145">
        <f t="shared" si="20"/>
        <v>0</v>
      </c>
      <c r="AD103" s="139">
        <f t="shared" si="21"/>
        <v>-1050000</v>
      </c>
      <c r="AE103" s="139">
        <f t="shared" si="22"/>
        <v>0</v>
      </c>
      <c r="AF103" s="139"/>
      <c r="AG103" s="143">
        <f t="shared" si="23"/>
        <v>-1050000</v>
      </c>
    </row>
    <row r="104" spans="1:33">
      <c r="A104" s="67" t="s">
        <v>58</v>
      </c>
      <c r="B104" s="67" t="s">
        <v>132</v>
      </c>
      <c r="C104" s="66"/>
      <c r="D104" s="181"/>
      <c r="E104" s="147"/>
      <c r="F104" s="147"/>
      <c r="G104" s="145"/>
      <c r="H104" s="145"/>
      <c r="I104" s="145"/>
      <c r="J104" s="145"/>
      <c r="K104" s="145"/>
      <c r="L104" s="145"/>
      <c r="M104" s="145"/>
      <c r="N104" s="145"/>
      <c r="O104" s="145"/>
      <c r="P104" s="145">
        <v>-291667</v>
      </c>
      <c r="Q104" s="145"/>
      <c r="R104" s="145"/>
      <c r="S104" s="145"/>
      <c r="T104" s="145"/>
      <c r="U104" s="145">
        <f t="shared" si="15"/>
        <v>-291667</v>
      </c>
      <c r="V104" s="145">
        <f>ROUND(((+U104+D104)/0.37951*0.35-(U104+D104)),0)</f>
        <v>22679</v>
      </c>
      <c r="W104" s="142">
        <f t="shared" si="17"/>
        <v>-268988</v>
      </c>
      <c r="X104" s="145">
        <f t="shared" si="18"/>
        <v>-268988</v>
      </c>
      <c r="Y104" s="145"/>
      <c r="Z104" s="145"/>
      <c r="AA104" s="145">
        <f t="shared" si="19"/>
        <v>0</v>
      </c>
      <c r="AB104" s="145"/>
      <c r="AC104" s="145">
        <f t="shared" si="20"/>
        <v>0</v>
      </c>
      <c r="AD104" s="139">
        <f t="shared" si="21"/>
        <v>-268988</v>
      </c>
      <c r="AE104" s="139">
        <f t="shared" si="22"/>
        <v>0</v>
      </c>
      <c r="AF104" s="139">
        <v>-268988</v>
      </c>
      <c r="AG104" s="143">
        <f t="shared" si="23"/>
        <v>0</v>
      </c>
    </row>
    <row r="105" spans="1:33">
      <c r="A105" s="63" t="s">
        <v>133</v>
      </c>
      <c r="B105" s="63"/>
      <c r="C105" s="64"/>
      <c r="D105" s="183">
        <f>ROUND(SUM(D61:D104),0)</f>
        <v>-31799318</v>
      </c>
      <c r="E105" s="183">
        <f t="shared" ref="E105:AE105" si="24">ROUND(SUM(E61:E104),0)</f>
        <v>753763</v>
      </c>
      <c r="F105" s="183">
        <f t="shared" si="24"/>
        <v>-10930</v>
      </c>
      <c r="G105" s="183">
        <f t="shared" si="24"/>
        <v>0</v>
      </c>
      <c r="H105" s="183">
        <f t="shared" si="24"/>
        <v>0</v>
      </c>
      <c r="I105" s="183">
        <f t="shared" si="24"/>
        <v>241766</v>
      </c>
      <c r="J105" s="183">
        <f t="shared" si="24"/>
        <v>136253</v>
      </c>
      <c r="K105" s="183">
        <f t="shared" si="24"/>
        <v>230544</v>
      </c>
      <c r="L105" s="183">
        <f t="shared" si="24"/>
        <v>26211</v>
      </c>
      <c r="M105" s="183">
        <f t="shared" si="24"/>
        <v>118650</v>
      </c>
      <c r="N105" s="183">
        <f t="shared" si="24"/>
        <v>294743</v>
      </c>
      <c r="O105" s="183">
        <f t="shared" si="24"/>
        <v>-1138530</v>
      </c>
      <c r="P105" s="183">
        <f t="shared" si="24"/>
        <v>-291667</v>
      </c>
      <c r="Q105" s="183">
        <f t="shared" si="24"/>
        <v>5532834</v>
      </c>
      <c r="R105" s="183">
        <f t="shared" si="24"/>
        <v>-387105</v>
      </c>
      <c r="S105" s="183">
        <f t="shared" si="24"/>
        <v>0</v>
      </c>
      <c r="T105" s="183">
        <f t="shared" si="24"/>
        <v>0</v>
      </c>
      <c r="U105" s="183">
        <f t="shared" si="24"/>
        <v>5506532</v>
      </c>
      <c r="V105" s="183">
        <f t="shared" si="24"/>
        <v>2044477</v>
      </c>
      <c r="W105" s="183">
        <f t="shared" si="24"/>
        <v>7551009</v>
      </c>
      <c r="X105" s="183">
        <f t="shared" si="24"/>
        <v>-24248310</v>
      </c>
      <c r="Y105" s="183">
        <f t="shared" si="24"/>
        <v>387105</v>
      </c>
      <c r="Z105" s="183">
        <f t="shared" si="24"/>
        <v>-30100</v>
      </c>
      <c r="AA105" s="183">
        <f t="shared" si="24"/>
        <v>357005</v>
      </c>
      <c r="AB105" s="183">
        <f t="shared" si="24"/>
        <v>1862064</v>
      </c>
      <c r="AC105" s="183">
        <f t="shared" si="24"/>
        <v>2219069</v>
      </c>
      <c r="AD105" s="183">
        <f t="shared" si="24"/>
        <v>-22029241</v>
      </c>
      <c r="AE105" s="183">
        <f t="shared" si="24"/>
        <v>2219069</v>
      </c>
      <c r="AF105" s="254">
        <f>SUM(AF61:AF104)</f>
        <v>-20757596.621397231</v>
      </c>
      <c r="AG105" s="254">
        <f>SUM(AG61:AG104)</f>
        <v>-1271644.9786027598</v>
      </c>
    </row>
    <row r="106" spans="1:33">
      <c r="A106" s="63"/>
      <c r="B106" s="63"/>
      <c r="C106" s="64"/>
      <c r="D106" s="183"/>
      <c r="E106" s="144"/>
      <c r="F106" s="144"/>
      <c r="G106" s="144"/>
      <c r="H106" s="144"/>
      <c r="I106" s="144"/>
      <c r="J106" s="144"/>
      <c r="K106" s="144"/>
      <c r="L106" s="144"/>
      <c r="M106" s="144"/>
      <c r="N106" s="144"/>
      <c r="O106" s="144"/>
      <c r="P106" s="144"/>
      <c r="Q106" s="144"/>
      <c r="R106" s="144"/>
      <c r="S106" s="144"/>
      <c r="T106" s="144"/>
      <c r="U106" s="144"/>
      <c r="V106" s="144"/>
      <c r="W106" s="144"/>
      <c r="X106" s="144"/>
      <c r="Y106" s="144"/>
      <c r="Z106" s="144"/>
      <c r="AA106" s="144"/>
      <c r="AB106" s="144"/>
      <c r="AC106" s="144"/>
      <c r="AD106" s="143"/>
      <c r="AE106" s="143"/>
      <c r="AF106" s="143"/>
      <c r="AG106" s="143"/>
    </row>
    <row r="107" spans="1:33">
      <c r="A107" s="57" t="s">
        <v>134</v>
      </c>
      <c r="B107" s="57"/>
      <c r="C107" s="62"/>
      <c r="D107" s="148">
        <f>ROUND(+D105+D59,0)</f>
        <v>22359798</v>
      </c>
      <c r="E107" s="148">
        <f t="shared" ref="E107:AE107" si="25">ROUND(+E105+E59,0)</f>
        <v>623320</v>
      </c>
      <c r="F107" s="148">
        <f t="shared" si="25"/>
        <v>192892</v>
      </c>
      <c r="G107" s="148">
        <f t="shared" si="25"/>
        <v>384714</v>
      </c>
      <c r="H107" s="148">
        <f t="shared" si="25"/>
        <v>-525945</v>
      </c>
      <c r="I107" s="148">
        <f t="shared" si="25"/>
        <v>218152</v>
      </c>
      <c r="J107" s="148">
        <f t="shared" si="25"/>
        <v>136253</v>
      </c>
      <c r="K107" s="148">
        <f t="shared" si="25"/>
        <v>22534</v>
      </c>
      <c r="L107" s="148">
        <f t="shared" si="25"/>
        <v>-178075</v>
      </c>
      <c r="M107" s="148">
        <f t="shared" si="25"/>
        <v>118650</v>
      </c>
      <c r="N107" s="148">
        <f t="shared" si="25"/>
        <v>131967</v>
      </c>
      <c r="O107" s="148">
        <f t="shared" si="25"/>
        <v>-1138530</v>
      </c>
      <c r="P107" s="148">
        <f t="shared" si="25"/>
        <v>-291667</v>
      </c>
      <c r="Q107" s="148">
        <f t="shared" si="25"/>
        <v>5532834</v>
      </c>
      <c r="R107" s="148">
        <f t="shared" si="25"/>
        <v>525562</v>
      </c>
      <c r="S107" s="148">
        <f t="shared" si="25"/>
        <v>170464</v>
      </c>
      <c r="T107" s="148">
        <f t="shared" si="25"/>
        <v>0</v>
      </c>
      <c r="U107" s="148">
        <f t="shared" si="25"/>
        <v>5923125</v>
      </c>
      <c r="V107" s="148">
        <f t="shared" si="25"/>
        <v>-2199228</v>
      </c>
      <c r="W107" s="148">
        <f t="shared" si="25"/>
        <v>3723897</v>
      </c>
      <c r="X107" s="148">
        <f t="shared" si="25"/>
        <v>26083695</v>
      </c>
      <c r="Y107" s="148">
        <f t="shared" si="25"/>
        <v>-525562</v>
      </c>
      <c r="Z107" s="148">
        <f t="shared" si="25"/>
        <v>40867</v>
      </c>
      <c r="AA107" s="148">
        <f t="shared" si="25"/>
        <v>-484695</v>
      </c>
      <c r="AB107" s="148">
        <f t="shared" si="25"/>
        <v>-364732</v>
      </c>
      <c r="AC107" s="148">
        <f t="shared" si="25"/>
        <v>-849427</v>
      </c>
      <c r="AD107" s="148">
        <f t="shared" si="25"/>
        <v>25234268</v>
      </c>
      <c r="AE107" s="148">
        <f t="shared" si="25"/>
        <v>-849427</v>
      </c>
      <c r="AF107" s="253">
        <f>+AF105+AF59</f>
        <v>25993903.874896389</v>
      </c>
      <c r="AG107" s="253">
        <f>AD107-AF107</f>
        <v>-759635.8748963885</v>
      </c>
    </row>
    <row r="108" spans="1:33">
      <c r="C108" s="43"/>
      <c r="D108" s="68"/>
      <c r="E108" s="68"/>
      <c r="F108" s="68"/>
      <c r="G108" s="68"/>
      <c r="H108" s="68"/>
      <c r="I108" s="68"/>
      <c r="J108" s="68"/>
      <c r="K108" s="68"/>
      <c r="L108" s="68"/>
      <c r="M108" s="68"/>
      <c r="N108" s="68"/>
      <c r="O108" s="68"/>
      <c r="Q108" s="68"/>
      <c r="R108" s="68"/>
      <c r="S108" s="68"/>
      <c r="T108" s="68"/>
      <c r="U108" s="68"/>
      <c r="V108" s="69"/>
      <c r="W108" s="69"/>
      <c r="X108" s="69"/>
      <c r="Y108" s="68"/>
      <c r="Z108" s="68"/>
      <c r="AA108" s="68"/>
      <c r="AB108" s="68"/>
      <c r="AC108" s="68"/>
    </row>
    <row r="109" spans="1:33">
      <c r="C109" s="43"/>
      <c r="D109" s="68"/>
      <c r="E109" s="68"/>
      <c r="F109" s="68"/>
      <c r="G109" s="68"/>
      <c r="H109" s="68"/>
      <c r="I109" s="68"/>
      <c r="J109" s="68"/>
      <c r="K109" s="68"/>
      <c r="L109" s="68"/>
      <c r="M109" s="68"/>
      <c r="N109" s="68"/>
      <c r="O109" s="68"/>
      <c r="Q109" s="68"/>
      <c r="R109" s="68"/>
      <c r="S109" s="68"/>
      <c r="T109" s="68"/>
      <c r="U109" s="68"/>
      <c r="V109" s="69"/>
      <c r="W109" s="69"/>
      <c r="X109" s="69"/>
      <c r="Y109" s="68"/>
      <c r="Z109" s="68"/>
      <c r="AA109" s="68"/>
      <c r="AB109" s="68"/>
      <c r="AC109" s="68"/>
    </row>
    <row r="110" spans="1:33">
      <c r="C110" s="43"/>
      <c r="D110" s="68"/>
      <c r="E110" s="68"/>
      <c r="F110" s="68"/>
      <c r="G110" s="68"/>
      <c r="H110" s="68"/>
      <c r="I110" s="68"/>
      <c r="J110" s="68"/>
      <c r="K110" s="68"/>
      <c r="L110" s="68"/>
      <c r="M110" s="68"/>
      <c r="N110" s="68"/>
      <c r="O110" s="68"/>
      <c r="Q110" s="68"/>
      <c r="R110" s="68"/>
      <c r="S110" s="68"/>
      <c r="T110" s="68"/>
      <c r="U110" s="68"/>
      <c r="V110" s="68"/>
      <c r="W110" s="68"/>
      <c r="X110" s="68"/>
      <c r="Y110" s="68"/>
      <c r="Z110" s="68"/>
      <c r="AA110" s="68"/>
      <c r="AB110" s="68"/>
      <c r="AC110" s="68"/>
    </row>
    <row r="111" spans="1:33">
      <c r="C111" s="68"/>
      <c r="D111" s="68"/>
      <c r="E111" s="68"/>
      <c r="F111" s="68"/>
      <c r="G111" s="68"/>
      <c r="H111" s="68"/>
      <c r="I111" s="68"/>
      <c r="J111" s="68"/>
      <c r="K111" s="68"/>
      <c r="L111" s="68"/>
      <c r="M111" s="68"/>
      <c r="N111" s="68"/>
      <c r="O111" s="68"/>
      <c r="Q111" s="68"/>
      <c r="R111" s="68"/>
      <c r="S111" s="68"/>
      <c r="T111" s="68"/>
      <c r="U111" s="68"/>
      <c r="V111" s="68"/>
      <c r="W111" s="68"/>
      <c r="X111" s="68"/>
      <c r="Y111" s="68"/>
      <c r="Z111" s="68"/>
      <c r="AA111" s="68"/>
      <c r="AB111" s="68"/>
      <c r="AC111" s="68"/>
    </row>
    <row r="112" spans="1:33">
      <c r="C112" s="68"/>
      <c r="D112" s="68"/>
      <c r="E112" s="68"/>
      <c r="F112" s="68"/>
      <c r="G112" s="68"/>
      <c r="H112" s="68"/>
      <c r="I112" s="68"/>
      <c r="J112" s="68"/>
      <c r="K112" s="68"/>
      <c r="L112" s="68"/>
      <c r="M112" s="68"/>
      <c r="N112" s="68"/>
      <c r="O112" s="68"/>
      <c r="Q112" s="68"/>
      <c r="R112" s="68"/>
      <c r="S112" s="68"/>
      <c r="T112" s="68"/>
      <c r="U112" s="68"/>
      <c r="V112" s="68"/>
      <c r="W112" s="68"/>
      <c r="X112" s="68"/>
      <c r="Y112" s="68"/>
      <c r="Z112" s="68"/>
      <c r="AA112" s="68"/>
      <c r="AB112" s="68"/>
      <c r="AC112" s="68"/>
    </row>
  </sheetData>
  <printOptions horizontalCentered="1"/>
  <pageMargins left="0" right="0" top="0.3" bottom="0.3" header="0.25" footer="0.2"/>
  <pageSetup scale="49" fitToWidth="2" fitToHeight="3" pageOrder="overThenDown" orientation="landscape" r:id="rId1"/>
  <headerFooter alignWithMargins="0">
    <oddFooter>&amp;C&amp;P of &amp;N</oddFooter>
  </headerFooter>
  <rowBreaks count="1" manualBreakCount="1">
    <brk id="59" max="16383" man="1"/>
  </rowBreaks>
  <legacyDrawing r:id="rId2"/>
</worksheet>
</file>

<file path=xl/worksheets/sheet13.xml><?xml version="1.0" encoding="utf-8"?>
<worksheet xmlns="http://schemas.openxmlformats.org/spreadsheetml/2006/main" xmlns:r="http://schemas.openxmlformats.org/officeDocument/2006/relationships">
  <dimension ref="A1:AJ110"/>
  <sheetViews>
    <sheetView zoomScale="80" zoomScaleNormal="80" zoomScaleSheetLayoutView="90" workbookViewId="0">
      <pane xSplit="9" ySplit="6" topLeftCell="AF82" activePane="bottomRight" state="frozen"/>
      <selection activeCell="K79" sqref="K79"/>
      <selection pane="topRight" activeCell="K79" sqref="K79"/>
      <selection pane="bottomLeft" activeCell="K79" sqref="K79"/>
      <selection pane="bottomRight" activeCell="AF114" sqref="AF114"/>
    </sheetView>
  </sheetViews>
  <sheetFormatPr defaultRowHeight="15.75"/>
  <cols>
    <col min="1" max="1" width="13.28515625" style="41" hidden="1" customWidth="1"/>
    <col min="2" max="2" width="24.28515625" style="41" hidden="1" customWidth="1"/>
    <col min="3" max="3" width="13.85546875" style="41" hidden="1" customWidth="1"/>
    <col min="4" max="4" width="6" style="41" customWidth="1"/>
    <col min="5" max="5" width="16.7109375" style="41" customWidth="1"/>
    <col min="6" max="6" width="50.42578125" style="41" customWidth="1"/>
    <col min="7" max="7" width="21.85546875" style="41" hidden="1" customWidth="1"/>
    <col min="8" max="9" width="21.85546875" style="41" customWidth="1"/>
    <col min="10" max="10" width="17.85546875" style="41" customWidth="1"/>
    <col min="11" max="11" width="18" style="41" customWidth="1"/>
    <col min="12" max="12" width="16.85546875" style="41" customWidth="1"/>
    <col min="13" max="13" width="17.140625" style="41" customWidth="1"/>
    <col min="14" max="14" width="17.28515625" style="41" customWidth="1"/>
    <col min="15" max="15" width="20.28515625" style="41" customWidth="1"/>
    <col min="16" max="16" width="17.7109375" style="41" customWidth="1"/>
    <col min="17" max="17" width="19.42578125" style="41" customWidth="1"/>
    <col min="18" max="18" width="18.28515625" style="41" customWidth="1"/>
    <col min="19" max="19" width="18.5703125" style="41" customWidth="1"/>
    <col min="20" max="20" width="19" style="41" customWidth="1"/>
    <col min="21" max="21" width="19.85546875" style="41" customWidth="1"/>
    <col min="22" max="22" width="16.140625" style="41" customWidth="1"/>
    <col min="23" max="23" width="16.28515625" style="41" customWidth="1"/>
    <col min="24" max="24" width="18" style="41" customWidth="1"/>
    <col min="25" max="25" width="16" style="41" customWidth="1"/>
    <col min="26" max="26" width="21.28515625" style="41" customWidth="1"/>
    <col min="27" max="27" width="16.85546875" style="41" customWidth="1"/>
    <col min="28" max="28" width="16.42578125" style="41" customWidth="1"/>
    <col min="29" max="30" width="19.42578125" style="41" customWidth="1"/>
    <col min="31" max="31" width="20.140625" style="41" customWidth="1"/>
    <col min="32" max="32" width="24.28515625" style="41" customWidth="1"/>
    <col min="33" max="33" width="20.28515625" style="41" customWidth="1"/>
    <col min="34" max="34" width="21.28515625" style="41" customWidth="1"/>
    <col min="35" max="35" width="20.5703125" style="41" customWidth="1"/>
    <col min="36" max="36" width="5.28515625" style="41" customWidth="1"/>
    <col min="37" max="37" width="6" style="41" customWidth="1"/>
    <col min="38" max="38" width="5.28515625" style="41" customWidth="1"/>
    <col min="39" max="39" width="6" style="41" customWidth="1"/>
    <col min="40" max="40" width="5.28515625" style="41" customWidth="1"/>
    <col min="41" max="41" width="6" style="41" customWidth="1"/>
    <col min="42" max="42" width="5.28515625" style="41" customWidth="1"/>
    <col min="43" max="43" width="6" style="41" customWidth="1"/>
    <col min="44" max="44" width="5.28515625" style="41" customWidth="1"/>
    <col min="45" max="45" width="6" style="41" customWidth="1"/>
    <col min="46" max="46" width="5.28515625" style="41" customWidth="1"/>
    <col min="47" max="47" width="6" style="41" customWidth="1"/>
    <col min="48" max="48" width="5.28515625" style="41" customWidth="1"/>
    <col min="49" max="49" width="6" style="41" customWidth="1"/>
    <col min="50" max="50" width="5.28515625" style="41" customWidth="1"/>
    <col min="51" max="51" width="6" style="41" customWidth="1"/>
    <col min="52" max="52" width="5.28515625" style="41" customWidth="1"/>
    <col min="53" max="53" width="6" style="41" customWidth="1"/>
    <col min="54" max="54" width="5.28515625" style="41" customWidth="1"/>
    <col min="55" max="55" width="6" style="41" customWidth="1"/>
    <col min="56" max="56" width="5.28515625" style="41" customWidth="1"/>
    <col min="57" max="57" width="6" style="41" customWidth="1"/>
    <col min="58" max="58" width="5.28515625" style="41" customWidth="1"/>
    <col min="59" max="59" width="6" style="41" customWidth="1"/>
    <col min="60" max="60" width="5.28515625" style="41" customWidth="1"/>
    <col min="61" max="61" width="6" style="41" customWidth="1"/>
    <col min="62" max="62" width="5.28515625" style="41" customWidth="1"/>
    <col min="63" max="63" width="6" style="41" customWidth="1"/>
    <col min="64" max="64" width="5.28515625" style="41" customWidth="1"/>
    <col min="65" max="65" width="6" style="41" customWidth="1"/>
    <col min="66" max="66" width="5.28515625" style="41" customWidth="1"/>
    <col min="67" max="67" width="6" style="41" customWidth="1"/>
    <col min="68" max="68" width="5.28515625" style="41" customWidth="1"/>
    <col min="69" max="69" width="8.140625" style="41" customWidth="1"/>
    <col min="70" max="70" width="6.85546875" style="41" customWidth="1"/>
    <col min="71" max="71" width="6" style="41" customWidth="1"/>
    <col min="72" max="72" width="5.28515625" style="41" customWidth="1"/>
    <col min="73" max="73" width="6" style="41" customWidth="1"/>
    <col min="74" max="74" width="5.28515625" style="41" customWidth="1"/>
    <col min="75" max="75" width="6" style="41" customWidth="1"/>
    <col min="76" max="76" width="5.28515625" style="41" customWidth="1"/>
    <col min="77" max="77" width="6" style="41" customWidth="1"/>
    <col min="78" max="78" width="5.28515625" style="41" customWidth="1"/>
    <col min="79" max="79" width="6" style="41" customWidth="1"/>
    <col min="80" max="80" width="5.28515625" style="41" customWidth="1"/>
    <col min="81" max="81" width="6" style="41" customWidth="1"/>
    <col min="82" max="82" width="5.28515625" style="41" customWidth="1"/>
    <col min="83" max="83" width="6" style="41" customWidth="1"/>
    <col min="84" max="84" width="5.28515625" style="41" customWidth="1"/>
    <col min="85" max="16384" width="9.140625" style="41"/>
  </cols>
  <sheetData>
    <row r="1" spans="1:36">
      <c r="C1" s="42"/>
      <c r="D1" s="40" t="s">
        <v>0</v>
      </c>
      <c r="F1" s="42"/>
      <c r="G1" s="42"/>
      <c r="H1" s="42"/>
      <c r="I1" s="42"/>
      <c r="J1" s="42"/>
      <c r="K1" s="42"/>
      <c r="L1" s="42"/>
      <c r="M1" s="42"/>
      <c r="N1" s="42"/>
      <c r="O1" s="42"/>
      <c r="P1" s="42"/>
      <c r="Q1" s="42"/>
      <c r="R1" s="42"/>
      <c r="S1" s="42"/>
      <c r="T1" s="42"/>
      <c r="U1" s="42"/>
      <c r="V1" s="42"/>
      <c r="W1" s="42"/>
      <c r="X1" s="42"/>
      <c r="Y1" s="44"/>
      <c r="Z1" s="44"/>
      <c r="AA1" s="44"/>
      <c r="AB1" s="42"/>
      <c r="AC1" s="42"/>
      <c r="AD1" s="42"/>
      <c r="AE1" s="42"/>
      <c r="AF1" s="42"/>
    </row>
    <row r="2" spans="1:36">
      <c r="C2" s="42"/>
      <c r="D2" s="40" t="s">
        <v>135</v>
      </c>
      <c r="F2" s="42"/>
      <c r="G2" s="42"/>
      <c r="H2" s="42"/>
      <c r="I2" s="42"/>
      <c r="J2" s="42"/>
      <c r="K2" s="42"/>
      <c r="L2" s="42"/>
      <c r="M2" s="42"/>
      <c r="N2" s="42"/>
      <c r="O2" s="42"/>
      <c r="P2" s="42"/>
      <c r="Q2" s="42"/>
      <c r="R2" s="42"/>
      <c r="S2" s="42"/>
      <c r="T2" s="42"/>
      <c r="U2" s="42"/>
      <c r="V2" s="42"/>
      <c r="W2" s="42"/>
      <c r="X2" s="42"/>
      <c r="Y2" s="44"/>
      <c r="Z2" s="44"/>
      <c r="AA2" s="44"/>
      <c r="AB2" s="42"/>
      <c r="AC2" s="42"/>
      <c r="AD2" s="42"/>
      <c r="AE2" s="42"/>
      <c r="AF2" s="42"/>
    </row>
    <row r="3" spans="1:36">
      <c r="B3" s="45"/>
      <c r="C3" s="44"/>
      <c r="D3" s="191" t="s">
        <v>136</v>
      </c>
      <c r="F3" s="42"/>
      <c r="G3" s="44"/>
      <c r="H3" s="42"/>
      <c r="I3" s="44"/>
      <c r="J3" s="44"/>
      <c r="K3" s="44"/>
      <c r="L3" s="44"/>
      <c r="M3" s="44"/>
      <c r="N3" s="44"/>
      <c r="O3" s="44"/>
      <c r="P3" s="44"/>
      <c r="Q3" s="44"/>
      <c r="R3" s="44"/>
      <c r="S3" s="44"/>
      <c r="T3" s="44"/>
      <c r="U3" s="44"/>
      <c r="V3" s="44"/>
      <c r="W3" s="44"/>
      <c r="X3" s="44"/>
      <c r="Y3" s="42"/>
      <c r="Z3" s="42"/>
      <c r="AA3" s="42"/>
      <c r="AB3" s="44"/>
      <c r="AC3" s="44"/>
      <c r="AD3" s="44"/>
      <c r="AE3" s="44"/>
      <c r="AF3" s="44"/>
    </row>
    <row r="4" spans="1:36">
      <c r="C4" s="42"/>
      <c r="D4" s="41" t="s">
        <v>137</v>
      </c>
      <c r="F4" s="42"/>
      <c r="G4" s="42"/>
      <c r="H4" s="42"/>
      <c r="I4" s="42"/>
      <c r="J4" s="42"/>
      <c r="K4" s="42"/>
      <c r="L4" s="42"/>
      <c r="M4" s="42"/>
      <c r="N4" s="42"/>
      <c r="O4" s="42"/>
      <c r="P4" s="42"/>
      <c r="Q4" s="42"/>
      <c r="R4" s="42"/>
      <c r="S4" s="42"/>
      <c r="T4" s="42"/>
      <c r="U4" s="42"/>
      <c r="V4" s="42"/>
      <c r="W4" s="42"/>
      <c r="X4" s="42"/>
      <c r="Y4" s="42"/>
      <c r="Z4" s="42"/>
      <c r="AA4" s="42"/>
      <c r="AB4" s="42"/>
      <c r="AC4" s="42"/>
      <c r="AD4" s="42"/>
      <c r="AE4" s="42"/>
      <c r="AF4" s="42"/>
    </row>
    <row r="5" spans="1:36">
      <c r="C5" s="42"/>
      <c r="D5" s="41" t="s">
        <v>14</v>
      </c>
      <c r="F5" s="42"/>
      <c r="G5" s="42"/>
      <c r="H5" s="42"/>
      <c r="I5" s="42"/>
      <c r="J5" s="42"/>
      <c r="K5" s="42"/>
      <c r="L5" s="47"/>
      <c r="M5" s="42"/>
      <c r="N5" s="42"/>
      <c r="O5" s="42"/>
      <c r="P5" s="42"/>
      <c r="Q5" s="42"/>
      <c r="R5" s="42"/>
      <c r="S5" s="42"/>
      <c r="T5" s="42"/>
      <c r="U5" s="42"/>
      <c r="V5" s="42"/>
      <c r="W5" s="42"/>
      <c r="X5" s="42"/>
      <c r="Y5" s="42"/>
      <c r="Z5" s="42"/>
      <c r="AA5" s="42"/>
      <c r="AB5" s="42"/>
      <c r="AC5" s="42"/>
      <c r="AD5" s="42"/>
      <c r="AE5" s="42"/>
      <c r="AF5" s="42"/>
    </row>
    <row r="6" spans="1:36" s="40" customFormat="1" ht="63">
      <c r="A6" s="48" t="s">
        <v>15</v>
      </c>
      <c r="B6" s="48" t="s">
        <v>16</v>
      </c>
      <c r="C6" s="48" t="s">
        <v>16</v>
      </c>
      <c r="D6" s="49" t="s">
        <v>460</v>
      </c>
      <c r="E6" s="49" t="s">
        <v>18</v>
      </c>
      <c r="F6" s="50" t="s">
        <v>19</v>
      </c>
      <c r="G6" s="48" t="s">
        <v>17</v>
      </c>
      <c r="H6" s="51" t="s">
        <v>138</v>
      </c>
      <c r="I6" s="51" t="s">
        <v>21</v>
      </c>
      <c r="J6" s="52" t="s">
        <v>555</v>
      </c>
      <c r="K6" s="52" t="s">
        <v>493</v>
      </c>
      <c r="L6" s="53" t="s">
        <v>512</v>
      </c>
      <c r="M6" s="53" t="s">
        <v>511</v>
      </c>
      <c r="N6" s="53" t="s">
        <v>556</v>
      </c>
      <c r="O6" s="53" t="s">
        <v>558</v>
      </c>
      <c r="P6" s="53" t="s">
        <v>559</v>
      </c>
      <c r="Q6" s="53" t="s">
        <v>560</v>
      </c>
      <c r="R6" s="53" t="s">
        <v>561</v>
      </c>
      <c r="S6" s="53" t="s">
        <v>563</v>
      </c>
      <c r="T6" s="53" t="s">
        <v>509</v>
      </c>
      <c r="U6" s="53" t="s">
        <v>508</v>
      </c>
      <c r="V6" s="53" t="s">
        <v>130</v>
      </c>
      <c r="W6" s="53" t="s">
        <v>506</v>
      </c>
      <c r="X6" s="53" t="s">
        <v>131</v>
      </c>
      <c r="Y6" s="138" t="s">
        <v>552</v>
      </c>
      <c r="Z6" s="138" t="s">
        <v>139</v>
      </c>
      <c r="AA6" s="138" t="s">
        <v>528</v>
      </c>
      <c r="AB6" s="53" t="s">
        <v>564</v>
      </c>
      <c r="AC6" s="53" t="s">
        <v>565</v>
      </c>
      <c r="AD6" s="53" t="s">
        <v>553</v>
      </c>
      <c r="AE6" s="138" t="s">
        <v>567</v>
      </c>
      <c r="AF6" s="138" t="s">
        <v>454</v>
      </c>
      <c r="AG6" s="53" t="s">
        <v>452</v>
      </c>
      <c r="AH6" s="138" t="s">
        <v>451</v>
      </c>
      <c r="AI6" s="53" t="s">
        <v>453</v>
      </c>
    </row>
    <row r="7" spans="1:36" s="40" customFormat="1">
      <c r="A7" s="49" t="s">
        <v>554</v>
      </c>
      <c r="B7" s="48"/>
      <c r="C7" s="48"/>
      <c r="D7" s="49"/>
      <c r="E7" s="49"/>
      <c r="F7" s="50"/>
      <c r="G7" s="48"/>
      <c r="H7" s="51"/>
      <c r="I7" s="51"/>
      <c r="J7" s="52" t="s">
        <v>141</v>
      </c>
      <c r="K7" s="52" t="s">
        <v>142</v>
      </c>
      <c r="L7" s="53" t="s">
        <v>495</v>
      </c>
      <c r="M7" s="53" t="s">
        <v>143</v>
      </c>
      <c r="N7" s="53" t="s">
        <v>144</v>
      </c>
      <c r="O7" s="53" t="s">
        <v>557</v>
      </c>
      <c r="P7" s="53" t="s">
        <v>150</v>
      </c>
      <c r="Q7" s="53" t="s">
        <v>500</v>
      </c>
      <c r="R7" s="53" t="s">
        <v>449</v>
      </c>
      <c r="S7" s="53" t="s">
        <v>562</v>
      </c>
      <c r="T7" s="53" t="s">
        <v>145</v>
      </c>
      <c r="U7" s="53" t="s">
        <v>146</v>
      </c>
      <c r="V7" s="53" t="s">
        <v>147</v>
      </c>
      <c r="W7" s="53" t="s">
        <v>148</v>
      </c>
      <c r="X7" s="53" t="s">
        <v>149</v>
      </c>
      <c r="Y7" s="138"/>
      <c r="Z7" s="138"/>
      <c r="AA7" s="138"/>
      <c r="AB7" s="53" t="s">
        <v>513</v>
      </c>
      <c r="AC7" s="53" t="s">
        <v>515</v>
      </c>
      <c r="AD7" s="53" t="s">
        <v>449</v>
      </c>
      <c r="AE7" s="138" t="s">
        <v>566</v>
      </c>
      <c r="AF7" s="138"/>
      <c r="AG7" s="53"/>
      <c r="AH7" s="138"/>
      <c r="AI7" s="53"/>
    </row>
    <row r="8" spans="1:36" s="40" customFormat="1">
      <c r="A8" s="48"/>
      <c r="B8" s="48"/>
      <c r="C8" s="48"/>
      <c r="D8" s="48" t="s">
        <v>461</v>
      </c>
      <c r="E8" s="48" t="s">
        <v>462</v>
      </c>
      <c r="F8" s="205" t="s">
        <v>463</v>
      </c>
      <c r="G8" s="48"/>
      <c r="H8" s="51" t="s">
        <v>464</v>
      </c>
      <c r="I8" s="51" t="s">
        <v>465</v>
      </c>
      <c r="J8" s="51" t="s">
        <v>466</v>
      </c>
      <c r="K8" s="51" t="s">
        <v>467</v>
      </c>
      <c r="L8" s="206" t="s">
        <v>468</v>
      </c>
      <c r="M8" s="206" t="s">
        <v>469</v>
      </c>
      <c r="N8" s="206" t="s">
        <v>470</v>
      </c>
      <c r="O8" s="206" t="s">
        <v>471</v>
      </c>
      <c r="P8" s="206" t="s">
        <v>472</v>
      </c>
      <c r="Q8" s="206" t="s">
        <v>473</v>
      </c>
      <c r="R8" s="206" t="s">
        <v>474</v>
      </c>
      <c r="S8" s="206" t="s">
        <v>475</v>
      </c>
      <c r="T8" s="206" t="s">
        <v>476</v>
      </c>
      <c r="U8" s="206" t="s">
        <v>477</v>
      </c>
      <c r="V8" s="206" t="s">
        <v>478</v>
      </c>
      <c r="W8" s="206" t="s">
        <v>479</v>
      </c>
      <c r="X8" s="206" t="s">
        <v>480</v>
      </c>
      <c r="Y8" s="207" t="s">
        <v>481</v>
      </c>
      <c r="Z8" s="207" t="s">
        <v>482</v>
      </c>
      <c r="AA8" s="207" t="s">
        <v>483</v>
      </c>
      <c r="AB8" s="206" t="s">
        <v>484</v>
      </c>
      <c r="AC8" s="206" t="s">
        <v>485</v>
      </c>
      <c r="AD8" s="206" t="s">
        <v>486</v>
      </c>
      <c r="AE8" s="138" t="s">
        <v>487</v>
      </c>
      <c r="AF8" s="138" t="s">
        <v>488</v>
      </c>
      <c r="AG8" s="53" t="s">
        <v>489</v>
      </c>
      <c r="AH8" s="138" t="s">
        <v>490</v>
      </c>
      <c r="AI8" s="53" t="s">
        <v>568</v>
      </c>
    </row>
    <row r="9" spans="1:36">
      <c r="A9" s="48"/>
      <c r="B9" s="48"/>
      <c r="C9" s="48"/>
      <c r="D9" s="48"/>
      <c r="E9" s="129" t="s">
        <v>450</v>
      </c>
      <c r="F9" s="50"/>
      <c r="G9" s="48"/>
      <c r="H9" s="208"/>
      <c r="I9" s="208"/>
      <c r="J9" s="209"/>
      <c r="K9" s="209"/>
      <c r="L9" s="210"/>
      <c r="M9" s="210"/>
      <c r="N9" s="210"/>
      <c r="O9" s="210"/>
      <c r="P9" s="210"/>
      <c r="Q9" s="210"/>
      <c r="R9" s="210"/>
      <c r="S9" s="210"/>
      <c r="T9" s="210"/>
      <c r="U9" s="210"/>
      <c r="V9" s="210"/>
      <c r="W9" s="210"/>
      <c r="X9" s="210"/>
      <c r="Y9" s="211"/>
      <c r="Z9" s="211"/>
      <c r="AA9" s="211"/>
      <c r="AB9" s="212"/>
      <c r="AC9" s="210"/>
      <c r="AD9" s="210"/>
      <c r="AE9" s="211"/>
      <c r="AF9" s="211"/>
      <c r="AG9" s="210"/>
      <c r="AH9" s="213"/>
      <c r="AI9" s="213"/>
    </row>
    <row r="10" spans="1:36">
      <c r="A10" s="58" t="s">
        <v>151</v>
      </c>
      <c r="B10" s="58" t="s">
        <v>152</v>
      </c>
      <c r="C10" s="58" t="s">
        <v>153</v>
      </c>
      <c r="D10" s="58">
        <f>1</f>
        <v>1</v>
      </c>
      <c r="E10" s="132" t="s">
        <v>22</v>
      </c>
      <c r="F10" s="58" t="s">
        <v>154</v>
      </c>
      <c r="G10" s="58" t="s">
        <v>30</v>
      </c>
      <c r="H10" s="214">
        <f>1000*4716.31375</f>
        <v>4716313.75</v>
      </c>
      <c r="I10" s="214">
        <f>1000*349.401958812</f>
        <v>349401.958812</v>
      </c>
      <c r="J10" s="213"/>
      <c r="K10" s="213"/>
      <c r="L10" s="213"/>
      <c r="M10" s="213"/>
      <c r="N10" s="213"/>
      <c r="O10" s="213">
        <v>-349401.96</v>
      </c>
      <c r="P10" s="213"/>
      <c r="Q10" s="213"/>
      <c r="R10" s="213"/>
      <c r="S10" s="213"/>
      <c r="T10" s="213"/>
      <c r="U10" s="213"/>
      <c r="V10" s="213"/>
      <c r="W10" s="213"/>
      <c r="X10" s="213"/>
      <c r="Y10" s="213">
        <f t="shared" ref="Y10:Y36" si="0">SUM(J10:X10)</f>
        <v>-349401.96</v>
      </c>
      <c r="Z10" s="213">
        <f>+Y10+I10</f>
        <v>-1.188000023830682E-3</v>
      </c>
      <c r="AA10" s="213"/>
      <c r="AB10" s="213"/>
      <c r="AC10" s="213">
        <f t="shared" ref="AC10:AC38" si="1">-Z10</f>
        <v>1.188000023830682E-3</v>
      </c>
      <c r="AD10" s="213">
        <f t="shared" ref="AD10:AD57" si="2">+AC10+AB10</f>
        <v>1.188000023830682E-3</v>
      </c>
      <c r="AE10" s="213"/>
      <c r="AF10" s="213">
        <f t="shared" ref="AF10:AF57" si="3">+AD10+Z10</f>
        <v>0</v>
      </c>
      <c r="AG10" s="213">
        <f t="shared" ref="AG10:AG57" si="4">+AF10-Z10</f>
        <v>1.188000023830682E-3</v>
      </c>
      <c r="AH10" s="213"/>
      <c r="AI10" s="213">
        <f>+AF10-AH10</f>
        <v>0</v>
      </c>
      <c r="AJ10" s="68"/>
    </row>
    <row r="11" spans="1:36">
      <c r="A11" s="58" t="s">
        <v>151</v>
      </c>
      <c r="B11" s="58" t="s">
        <v>152</v>
      </c>
      <c r="C11" s="58" t="s">
        <v>155</v>
      </c>
      <c r="D11" s="58">
        <f>1+D10</f>
        <v>2</v>
      </c>
      <c r="E11" s="132" t="s">
        <v>22</v>
      </c>
      <c r="F11" s="58" t="s">
        <v>156</v>
      </c>
      <c r="G11" s="58" t="s">
        <v>57</v>
      </c>
      <c r="H11" s="214">
        <f>1000*7.981083333</f>
        <v>7981.0833329999996</v>
      </c>
      <c r="I11" s="214">
        <f>1000*1.76278838</f>
        <v>1762.78838</v>
      </c>
      <c r="J11" s="213"/>
      <c r="K11" s="213"/>
      <c r="L11" s="213"/>
      <c r="M11" s="213"/>
      <c r="N11" s="213"/>
      <c r="O11" s="213"/>
      <c r="P11" s="213"/>
      <c r="Q11" s="213"/>
      <c r="R11" s="213"/>
      <c r="S11" s="213"/>
      <c r="T11" s="213"/>
      <c r="U11" s="213"/>
      <c r="V11" s="213"/>
      <c r="W11" s="213"/>
      <c r="X11" s="213"/>
      <c r="Y11" s="213">
        <f t="shared" si="0"/>
        <v>0</v>
      </c>
      <c r="Z11" s="213">
        <f t="shared" ref="Z11:Z57" si="5">+Y11+I11</f>
        <v>1762.78838</v>
      </c>
      <c r="AA11" s="213"/>
      <c r="AB11" s="213"/>
      <c r="AC11" s="213">
        <f t="shared" si="1"/>
        <v>-1762.78838</v>
      </c>
      <c r="AD11" s="213">
        <f t="shared" si="2"/>
        <v>-1762.78838</v>
      </c>
      <c r="AE11" s="213"/>
      <c r="AF11" s="213">
        <f t="shared" si="3"/>
        <v>0</v>
      </c>
      <c r="AG11" s="213">
        <f t="shared" si="4"/>
        <v>-1762.78838</v>
      </c>
      <c r="AH11" s="213"/>
      <c r="AI11" s="213">
        <f t="shared" ref="AI11:AI74" si="6">+AF11-AH11</f>
        <v>0</v>
      </c>
      <c r="AJ11" s="68"/>
    </row>
    <row r="12" spans="1:36">
      <c r="A12" s="58" t="s">
        <v>151</v>
      </c>
      <c r="B12" s="58" t="s">
        <v>152</v>
      </c>
      <c r="C12" s="58" t="s">
        <v>157</v>
      </c>
      <c r="D12" s="58">
        <f t="shared" ref="D12:D75" si="7">1+D11</f>
        <v>3</v>
      </c>
      <c r="E12" s="132" t="s">
        <v>22</v>
      </c>
      <c r="F12" s="58" t="s">
        <v>158</v>
      </c>
      <c r="G12" s="58" t="s">
        <v>57</v>
      </c>
      <c r="H12" s="214">
        <f>1000*55.611041667</f>
        <v>55611.041667000005</v>
      </c>
      <c r="I12" s="214">
        <f>1000*12.282856096</f>
        <v>12282.856096</v>
      </c>
      <c r="J12" s="213"/>
      <c r="K12" s="213"/>
      <c r="L12" s="213"/>
      <c r="M12" s="213"/>
      <c r="N12" s="213"/>
      <c r="O12" s="213"/>
      <c r="P12" s="213"/>
      <c r="Q12" s="213"/>
      <c r="R12" s="213"/>
      <c r="S12" s="213"/>
      <c r="T12" s="213"/>
      <c r="U12" s="213"/>
      <c r="V12" s="213"/>
      <c r="W12" s="213"/>
      <c r="X12" s="213"/>
      <c r="Y12" s="213">
        <f t="shared" si="0"/>
        <v>0</v>
      </c>
      <c r="Z12" s="213">
        <f t="shared" si="5"/>
        <v>12282.856096</v>
      </c>
      <c r="AA12" s="213"/>
      <c r="AB12" s="213"/>
      <c r="AC12" s="213">
        <f t="shared" si="1"/>
        <v>-12282.856096</v>
      </c>
      <c r="AD12" s="213">
        <f t="shared" si="2"/>
        <v>-12282.856096</v>
      </c>
      <c r="AE12" s="213"/>
      <c r="AF12" s="213">
        <f t="shared" si="3"/>
        <v>0</v>
      </c>
      <c r="AG12" s="213">
        <f t="shared" si="4"/>
        <v>-12282.856096</v>
      </c>
      <c r="AH12" s="213"/>
      <c r="AI12" s="213">
        <f t="shared" si="6"/>
        <v>0</v>
      </c>
      <c r="AJ12" s="68"/>
    </row>
    <row r="13" spans="1:36">
      <c r="A13" s="58" t="s">
        <v>151</v>
      </c>
      <c r="B13" s="58" t="s">
        <v>152</v>
      </c>
      <c r="C13" s="58" t="s">
        <v>159</v>
      </c>
      <c r="D13" s="58">
        <f t="shared" si="7"/>
        <v>4</v>
      </c>
      <c r="E13" s="132" t="s">
        <v>22</v>
      </c>
      <c r="F13" s="58" t="s">
        <v>162</v>
      </c>
      <c r="G13" s="58" t="s">
        <v>30</v>
      </c>
      <c r="H13" s="214">
        <f>1000*1.73254375</f>
        <v>1732.54375</v>
      </c>
      <c r="I13" s="214">
        <f>1000*0.128353246</f>
        <v>128.35324600000001</v>
      </c>
      <c r="J13" s="213"/>
      <c r="K13" s="213"/>
      <c r="L13" s="213"/>
      <c r="M13" s="213"/>
      <c r="N13" s="213"/>
      <c r="O13" s="213"/>
      <c r="P13" s="213"/>
      <c r="Q13" s="213"/>
      <c r="R13" s="213"/>
      <c r="S13" s="213"/>
      <c r="T13" s="213"/>
      <c r="U13" s="213"/>
      <c r="V13" s="213"/>
      <c r="W13" s="213"/>
      <c r="X13" s="213"/>
      <c r="Y13" s="213">
        <f t="shared" si="0"/>
        <v>0</v>
      </c>
      <c r="Z13" s="213">
        <f t="shared" si="5"/>
        <v>128.35324600000001</v>
      </c>
      <c r="AA13" s="213"/>
      <c r="AB13" s="213"/>
      <c r="AC13" s="213">
        <f t="shared" si="1"/>
        <v>-128.35324600000001</v>
      </c>
      <c r="AD13" s="213">
        <f t="shared" si="2"/>
        <v>-128.35324600000001</v>
      </c>
      <c r="AE13" s="213"/>
      <c r="AF13" s="213">
        <f t="shared" si="3"/>
        <v>0</v>
      </c>
      <c r="AG13" s="213">
        <f t="shared" si="4"/>
        <v>-128.35324600000001</v>
      </c>
      <c r="AH13" s="213"/>
      <c r="AI13" s="213">
        <f t="shared" si="6"/>
        <v>0</v>
      </c>
      <c r="AJ13" s="68"/>
    </row>
    <row r="14" spans="1:36">
      <c r="A14" s="58" t="s">
        <v>151</v>
      </c>
      <c r="B14" s="58" t="s">
        <v>152</v>
      </c>
      <c r="C14" s="58" t="s">
        <v>161</v>
      </c>
      <c r="D14" s="58">
        <f t="shared" si="7"/>
        <v>5</v>
      </c>
      <c r="E14" s="132" t="s">
        <v>22</v>
      </c>
      <c r="F14" s="58" t="s">
        <v>164</v>
      </c>
      <c r="G14" s="58" t="s">
        <v>30</v>
      </c>
      <c r="H14" s="214">
        <f>1000*1555.628904167</f>
        <v>1555628.904167</v>
      </c>
      <c r="I14" s="214">
        <f>1000*115.246740381</f>
        <v>115246.740381</v>
      </c>
      <c r="J14" s="213"/>
      <c r="K14" s="213"/>
      <c r="L14" s="213"/>
      <c r="M14" s="213"/>
      <c r="N14" s="213"/>
      <c r="O14" s="213"/>
      <c r="P14" s="213"/>
      <c r="Q14" s="213"/>
      <c r="R14" s="213"/>
      <c r="S14" s="213"/>
      <c r="T14" s="213"/>
      <c r="U14" s="213"/>
      <c r="V14" s="213"/>
      <c r="W14" s="213"/>
      <c r="X14" s="213"/>
      <c r="Y14" s="213">
        <f t="shared" si="0"/>
        <v>0</v>
      </c>
      <c r="Z14" s="213">
        <f t="shared" si="5"/>
        <v>115246.740381</v>
      </c>
      <c r="AA14" s="213"/>
      <c r="AB14" s="213"/>
      <c r="AC14" s="213">
        <f t="shared" si="1"/>
        <v>-115246.740381</v>
      </c>
      <c r="AD14" s="213">
        <f t="shared" si="2"/>
        <v>-115246.740381</v>
      </c>
      <c r="AE14" s="213"/>
      <c r="AF14" s="213">
        <f t="shared" si="3"/>
        <v>0</v>
      </c>
      <c r="AG14" s="213">
        <f t="shared" si="4"/>
        <v>-115246.740381</v>
      </c>
      <c r="AH14" s="213"/>
      <c r="AI14" s="213">
        <f t="shared" si="6"/>
        <v>0</v>
      </c>
      <c r="AJ14" s="68"/>
    </row>
    <row r="15" spans="1:36">
      <c r="A15" s="58" t="s">
        <v>151</v>
      </c>
      <c r="B15" s="58" t="s">
        <v>152</v>
      </c>
      <c r="C15" s="58" t="s">
        <v>163</v>
      </c>
      <c r="D15" s="58">
        <f t="shared" si="7"/>
        <v>6</v>
      </c>
      <c r="E15" s="132" t="s">
        <v>22</v>
      </c>
      <c r="F15" s="58" t="s">
        <v>166</v>
      </c>
      <c r="G15" s="58" t="s">
        <v>30</v>
      </c>
      <c r="H15" s="214">
        <f>1000*4431.598264583</f>
        <v>4431598.264583</v>
      </c>
      <c r="I15" s="214">
        <f>1000*328.309183059</f>
        <v>328309.183059</v>
      </c>
      <c r="J15" s="213"/>
      <c r="K15" s="213"/>
      <c r="L15" s="213"/>
      <c r="M15" s="213"/>
      <c r="N15" s="213"/>
      <c r="O15" s="213"/>
      <c r="P15" s="213"/>
      <c r="Q15" s="213"/>
      <c r="R15" s="213"/>
      <c r="S15" s="213"/>
      <c r="T15" s="213"/>
      <c r="U15" s="213"/>
      <c r="V15" s="213"/>
      <c r="W15" s="213"/>
      <c r="X15" s="213"/>
      <c r="Y15" s="213">
        <f t="shared" si="0"/>
        <v>0</v>
      </c>
      <c r="Z15" s="213">
        <f t="shared" si="5"/>
        <v>328309.183059</v>
      </c>
      <c r="AA15" s="213"/>
      <c r="AB15" s="213"/>
      <c r="AC15" s="213">
        <f t="shared" si="1"/>
        <v>-328309.183059</v>
      </c>
      <c r="AD15" s="213">
        <f t="shared" si="2"/>
        <v>-328309.183059</v>
      </c>
      <c r="AE15" s="213"/>
      <c r="AF15" s="213">
        <f t="shared" si="3"/>
        <v>0</v>
      </c>
      <c r="AG15" s="213">
        <f t="shared" si="4"/>
        <v>-328309.183059</v>
      </c>
      <c r="AH15" s="213"/>
      <c r="AI15" s="213">
        <f t="shared" si="6"/>
        <v>0</v>
      </c>
      <c r="AJ15" s="68"/>
    </row>
    <row r="16" spans="1:36">
      <c r="A16" s="58" t="s">
        <v>151</v>
      </c>
      <c r="B16" s="58" t="s">
        <v>152</v>
      </c>
      <c r="C16" s="58" t="s">
        <v>165</v>
      </c>
      <c r="D16" s="58">
        <f t="shared" si="7"/>
        <v>7</v>
      </c>
      <c r="E16" s="132" t="s">
        <v>22</v>
      </c>
      <c r="F16" s="58" t="s">
        <v>168</v>
      </c>
      <c r="G16" s="58" t="s">
        <v>30</v>
      </c>
      <c r="H16" s="214">
        <f>1000*293.8414</f>
        <v>293841.40000000002</v>
      </c>
      <c r="I16" s="214">
        <f>1000*21.768857244</f>
        <v>21768.857243999999</v>
      </c>
      <c r="J16" s="213"/>
      <c r="K16" s="213"/>
      <c r="L16" s="213"/>
      <c r="M16" s="213"/>
      <c r="N16" s="213"/>
      <c r="O16" s="213"/>
      <c r="P16" s="213"/>
      <c r="Q16" s="213"/>
      <c r="R16" s="213"/>
      <c r="S16" s="213"/>
      <c r="T16" s="213"/>
      <c r="U16" s="213"/>
      <c r="V16" s="213"/>
      <c r="W16" s="213"/>
      <c r="X16" s="213"/>
      <c r="Y16" s="213">
        <f t="shared" si="0"/>
        <v>0</v>
      </c>
      <c r="Z16" s="213">
        <f t="shared" si="5"/>
        <v>21768.857243999999</v>
      </c>
      <c r="AA16" s="213"/>
      <c r="AB16" s="213"/>
      <c r="AC16" s="213">
        <f t="shared" si="1"/>
        <v>-21768.857243999999</v>
      </c>
      <c r="AD16" s="213">
        <f t="shared" si="2"/>
        <v>-21768.857243999999</v>
      </c>
      <c r="AE16" s="213"/>
      <c r="AF16" s="213">
        <f t="shared" si="3"/>
        <v>0</v>
      </c>
      <c r="AG16" s="213">
        <f t="shared" si="4"/>
        <v>-21768.857243999999</v>
      </c>
      <c r="AH16" s="213"/>
      <c r="AI16" s="213">
        <f t="shared" si="6"/>
        <v>0</v>
      </c>
      <c r="AJ16" s="68"/>
    </row>
    <row r="17" spans="1:36">
      <c r="A17" s="58" t="s">
        <v>151</v>
      </c>
      <c r="B17" s="58" t="s">
        <v>152</v>
      </c>
      <c r="C17" s="58" t="s">
        <v>167</v>
      </c>
      <c r="D17" s="58">
        <f t="shared" si="7"/>
        <v>8</v>
      </c>
      <c r="E17" s="132" t="s">
        <v>22</v>
      </c>
      <c r="F17" s="58" t="s">
        <v>172</v>
      </c>
      <c r="G17" s="58" t="s">
        <v>30</v>
      </c>
      <c r="H17" s="214">
        <f>1000*-90.264458333</f>
        <v>-90264.458332999988</v>
      </c>
      <c r="I17" s="214">
        <f>1000*-6.687124781</f>
        <v>-6687.1247809999995</v>
      </c>
      <c r="J17" s="213"/>
      <c r="K17" s="213"/>
      <c r="L17" s="213"/>
      <c r="M17" s="213"/>
      <c r="N17" s="213"/>
      <c r="O17" s="213"/>
      <c r="P17" s="213"/>
      <c r="Q17" s="213"/>
      <c r="R17" s="213"/>
      <c r="S17" s="213"/>
      <c r="T17" s="213"/>
      <c r="U17" s="213"/>
      <c r="V17" s="213"/>
      <c r="W17" s="213"/>
      <c r="X17" s="213"/>
      <c r="Y17" s="213">
        <f t="shared" si="0"/>
        <v>0</v>
      </c>
      <c r="Z17" s="213">
        <f t="shared" si="5"/>
        <v>-6687.1247809999995</v>
      </c>
      <c r="AA17" s="213"/>
      <c r="AB17" s="213"/>
      <c r="AC17" s="213">
        <f t="shared" si="1"/>
        <v>6687.1247809999995</v>
      </c>
      <c r="AD17" s="213">
        <f t="shared" si="2"/>
        <v>6687.1247809999995</v>
      </c>
      <c r="AE17" s="213"/>
      <c r="AF17" s="213">
        <f t="shared" si="3"/>
        <v>0</v>
      </c>
      <c r="AG17" s="213">
        <f t="shared" si="4"/>
        <v>6687.1247809999995</v>
      </c>
      <c r="AH17" s="213"/>
      <c r="AI17" s="213">
        <f t="shared" si="6"/>
        <v>0</v>
      </c>
      <c r="AJ17" s="68"/>
    </row>
    <row r="18" spans="1:36">
      <c r="A18" s="58" t="s">
        <v>151</v>
      </c>
      <c r="B18" s="58" t="s">
        <v>152</v>
      </c>
      <c r="C18" s="58" t="s">
        <v>169</v>
      </c>
      <c r="D18" s="58">
        <f t="shared" si="7"/>
        <v>9</v>
      </c>
      <c r="E18" s="132" t="s">
        <v>22</v>
      </c>
      <c r="F18" s="58" t="s">
        <v>174</v>
      </c>
      <c r="G18" s="58" t="s">
        <v>30</v>
      </c>
      <c r="H18" s="214">
        <f>1000*13913.1677</f>
        <v>13913167.699999999</v>
      </c>
      <c r="I18" s="214">
        <f>1000*1030.738900197</f>
        <v>1030738.900197</v>
      </c>
      <c r="J18" s="213"/>
      <c r="K18" s="213"/>
      <c r="L18" s="213"/>
      <c r="M18" s="213"/>
      <c r="N18" s="213"/>
      <c r="O18" s="213"/>
      <c r="P18" s="213"/>
      <c r="Q18" s="213"/>
      <c r="R18" s="213"/>
      <c r="S18" s="213"/>
      <c r="T18" s="213"/>
      <c r="U18" s="213"/>
      <c r="V18" s="213"/>
      <c r="W18" s="213"/>
      <c r="X18" s="213"/>
      <c r="Y18" s="213">
        <f t="shared" si="0"/>
        <v>0</v>
      </c>
      <c r="Z18" s="213">
        <f t="shared" si="5"/>
        <v>1030738.900197</v>
      </c>
      <c r="AA18" s="213"/>
      <c r="AB18" s="213"/>
      <c r="AC18" s="213">
        <f t="shared" si="1"/>
        <v>-1030738.900197</v>
      </c>
      <c r="AD18" s="213">
        <f t="shared" si="2"/>
        <v>-1030738.900197</v>
      </c>
      <c r="AE18" s="213"/>
      <c r="AF18" s="213">
        <f t="shared" si="3"/>
        <v>0</v>
      </c>
      <c r="AG18" s="213">
        <f t="shared" si="4"/>
        <v>-1030738.900197</v>
      </c>
      <c r="AH18" s="213"/>
      <c r="AI18" s="213">
        <f t="shared" si="6"/>
        <v>0</v>
      </c>
      <c r="AJ18" s="68"/>
    </row>
    <row r="19" spans="1:36">
      <c r="A19" s="58" t="s">
        <v>151</v>
      </c>
      <c r="B19" s="58" t="s">
        <v>152</v>
      </c>
      <c r="C19" s="58" t="s">
        <v>171</v>
      </c>
      <c r="D19" s="58">
        <f t="shared" si="7"/>
        <v>10</v>
      </c>
      <c r="E19" s="132" t="s">
        <v>22</v>
      </c>
      <c r="F19" s="58" t="s">
        <v>176</v>
      </c>
      <c r="G19" s="58" t="s">
        <v>26</v>
      </c>
      <c r="H19" s="214">
        <f>1000*211.798120833</f>
        <v>211798.12083300002</v>
      </c>
      <c r="I19" s="214">
        <f>1000*17.561547449</f>
        <v>17561.547448999998</v>
      </c>
      <c r="J19" s="213"/>
      <c r="K19" s="213"/>
      <c r="L19" s="213"/>
      <c r="M19" s="213"/>
      <c r="N19" s="213"/>
      <c r="O19" s="213"/>
      <c r="P19" s="213"/>
      <c r="Q19" s="213"/>
      <c r="R19" s="213"/>
      <c r="S19" s="213"/>
      <c r="T19" s="213"/>
      <c r="U19" s="213"/>
      <c r="V19" s="213"/>
      <c r="W19" s="213"/>
      <c r="X19" s="213"/>
      <c r="Y19" s="213">
        <f t="shared" si="0"/>
        <v>0</v>
      </c>
      <c r="Z19" s="213">
        <f t="shared" si="5"/>
        <v>17561.547448999998</v>
      </c>
      <c r="AA19" s="213"/>
      <c r="AB19" s="213"/>
      <c r="AC19" s="213">
        <f t="shared" si="1"/>
        <v>-17561.547448999998</v>
      </c>
      <c r="AD19" s="213">
        <f t="shared" si="2"/>
        <v>-17561.547448999998</v>
      </c>
      <c r="AE19" s="213"/>
      <c r="AF19" s="213">
        <f t="shared" si="3"/>
        <v>0</v>
      </c>
      <c r="AG19" s="213">
        <f t="shared" si="4"/>
        <v>-17561.547448999998</v>
      </c>
      <c r="AH19" s="213"/>
      <c r="AI19" s="213">
        <f t="shared" si="6"/>
        <v>0</v>
      </c>
      <c r="AJ19" s="68"/>
    </row>
    <row r="20" spans="1:36">
      <c r="A20" s="58" t="s">
        <v>151</v>
      </c>
      <c r="B20" s="58" t="s">
        <v>152</v>
      </c>
      <c r="C20" s="58" t="s">
        <v>173</v>
      </c>
      <c r="D20" s="58">
        <f t="shared" si="7"/>
        <v>11</v>
      </c>
      <c r="E20" s="132" t="s">
        <v>22</v>
      </c>
      <c r="F20" s="58" t="s">
        <v>180</v>
      </c>
      <c r="G20" s="58" t="s">
        <v>56</v>
      </c>
      <c r="H20" s="214">
        <f>1000*3181.384529167</f>
        <v>3181384.5291670002</v>
      </c>
      <c r="I20" s="214">
        <f>1000*398.515309067</f>
        <v>398515.30906699999</v>
      </c>
      <c r="J20" s="213"/>
      <c r="K20" s="213"/>
      <c r="L20" s="213"/>
      <c r="M20" s="213"/>
      <c r="N20" s="213"/>
      <c r="O20" s="213"/>
      <c r="P20" s="213"/>
      <c r="Q20" s="213"/>
      <c r="R20" s="213"/>
      <c r="S20" s="213"/>
      <c r="T20" s="213"/>
      <c r="U20" s="213"/>
      <c r="V20" s="213"/>
      <c r="W20" s="213"/>
      <c r="X20" s="213"/>
      <c r="Y20" s="213">
        <f t="shared" si="0"/>
        <v>0</v>
      </c>
      <c r="Z20" s="213">
        <f t="shared" si="5"/>
        <v>398515.30906699999</v>
      </c>
      <c r="AA20" s="213"/>
      <c r="AB20" s="213"/>
      <c r="AC20" s="213">
        <f t="shared" si="1"/>
        <v>-398515.30906699999</v>
      </c>
      <c r="AD20" s="213">
        <f t="shared" si="2"/>
        <v>-398515.30906699999</v>
      </c>
      <c r="AE20" s="213"/>
      <c r="AF20" s="213">
        <f t="shared" si="3"/>
        <v>0</v>
      </c>
      <c r="AG20" s="213">
        <f t="shared" si="4"/>
        <v>-398515.30906699999</v>
      </c>
      <c r="AH20" s="213"/>
      <c r="AI20" s="213">
        <f t="shared" si="6"/>
        <v>0</v>
      </c>
      <c r="AJ20" s="68"/>
    </row>
    <row r="21" spans="1:36">
      <c r="A21" s="58" t="s">
        <v>151</v>
      </c>
      <c r="B21" s="58" t="s">
        <v>152</v>
      </c>
      <c r="C21" s="58" t="s">
        <v>175</v>
      </c>
      <c r="D21" s="58">
        <f t="shared" si="7"/>
        <v>12</v>
      </c>
      <c r="E21" s="132" t="s">
        <v>22</v>
      </c>
      <c r="F21" s="58" t="s">
        <v>182</v>
      </c>
      <c r="G21" s="58" t="s">
        <v>30</v>
      </c>
      <c r="H21" s="214">
        <f>1000*3210.520077083</f>
        <v>3210520.077083</v>
      </c>
      <c r="I21" s="214">
        <f>1000*237.847196603</f>
        <v>237847.19660299999</v>
      </c>
      <c r="J21" s="213"/>
      <c r="K21" s="213"/>
      <c r="L21" s="213"/>
      <c r="M21" s="213"/>
      <c r="N21" s="213"/>
      <c r="O21" s="213"/>
      <c r="P21" s="213"/>
      <c r="Q21" s="213"/>
      <c r="R21" s="213"/>
      <c r="S21" s="213"/>
      <c r="T21" s="213"/>
      <c r="U21" s="213"/>
      <c r="V21" s="213"/>
      <c r="W21" s="213"/>
      <c r="X21" s="213"/>
      <c r="Y21" s="213">
        <f t="shared" si="0"/>
        <v>0</v>
      </c>
      <c r="Z21" s="213">
        <f t="shared" si="5"/>
        <v>237847.19660299999</v>
      </c>
      <c r="AA21" s="213"/>
      <c r="AB21" s="213"/>
      <c r="AC21" s="213">
        <f t="shared" si="1"/>
        <v>-237847.19660299999</v>
      </c>
      <c r="AD21" s="213">
        <f t="shared" si="2"/>
        <v>-237847.19660299999</v>
      </c>
      <c r="AE21" s="213"/>
      <c r="AF21" s="213">
        <f t="shared" si="3"/>
        <v>0</v>
      </c>
      <c r="AG21" s="213">
        <f t="shared" si="4"/>
        <v>-237847.19660299999</v>
      </c>
      <c r="AH21" s="213"/>
      <c r="AI21" s="213">
        <f t="shared" si="6"/>
        <v>0</v>
      </c>
      <c r="AJ21" s="68"/>
    </row>
    <row r="22" spans="1:36">
      <c r="A22" s="58" t="s">
        <v>151</v>
      </c>
      <c r="B22" s="58" t="s">
        <v>152</v>
      </c>
      <c r="C22" s="58" t="s">
        <v>177</v>
      </c>
      <c r="D22" s="58">
        <f t="shared" si="7"/>
        <v>13</v>
      </c>
      <c r="E22" s="132" t="s">
        <v>22</v>
      </c>
      <c r="F22" s="58" t="s">
        <v>184</v>
      </c>
      <c r="G22" s="58" t="s">
        <v>57</v>
      </c>
      <c r="H22" s="214">
        <f>1000*1452.44391875</f>
        <v>1452443.91875</v>
      </c>
      <c r="I22" s="214">
        <f>1000*320.802472076</f>
        <v>320802.47207600001</v>
      </c>
      <c r="J22" s="213"/>
      <c r="K22" s="213"/>
      <c r="L22" s="213"/>
      <c r="M22" s="213"/>
      <c r="N22" s="213"/>
      <c r="O22" s="213"/>
      <c r="P22" s="213"/>
      <c r="Q22" s="213"/>
      <c r="R22" s="213"/>
      <c r="S22" s="213"/>
      <c r="T22" s="213"/>
      <c r="U22" s="213"/>
      <c r="V22" s="213"/>
      <c r="W22" s="213"/>
      <c r="X22" s="213"/>
      <c r="Y22" s="213">
        <f t="shared" si="0"/>
        <v>0</v>
      </c>
      <c r="Z22" s="213">
        <f t="shared" si="5"/>
        <v>320802.47207600001</v>
      </c>
      <c r="AA22" s="213"/>
      <c r="AB22" s="213"/>
      <c r="AC22" s="213">
        <f t="shared" si="1"/>
        <v>-320802.47207600001</v>
      </c>
      <c r="AD22" s="213">
        <f t="shared" si="2"/>
        <v>-320802.47207600001</v>
      </c>
      <c r="AE22" s="213"/>
      <c r="AF22" s="213">
        <f t="shared" si="3"/>
        <v>0</v>
      </c>
      <c r="AG22" s="213">
        <f t="shared" si="4"/>
        <v>-320802.47207600001</v>
      </c>
      <c r="AH22" s="213"/>
      <c r="AI22" s="213">
        <f t="shared" si="6"/>
        <v>0</v>
      </c>
      <c r="AJ22" s="68"/>
    </row>
    <row r="23" spans="1:36">
      <c r="A23" s="58" t="s">
        <v>151</v>
      </c>
      <c r="B23" s="58" t="s">
        <v>152</v>
      </c>
      <c r="C23" s="58" t="s">
        <v>179</v>
      </c>
      <c r="D23" s="58">
        <f t="shared" si="7"/>
        <v>14</v>
      </c>
      <c r="E23" s="132" t="s">
        <v>22</v>
      </c>
      <c r="F23" s="58" t="s">
        <v>186</v>
      </c>
      <c r="G23" s="58" t="s">
        <v>49</v>
      </c>
      <c r="H23" s="214">
        <f>1000*703.24293612</f>
        <v>703242.93611999997</v>
      </c>
      <c r="I23" s="214">
        <f>1000*46.748143753</f>
        <v>46748.143753000004</v>
      </c>
      <c r="J23" s="213"/>
      <c r="K23" s="213"/>
      <c r="L23" s="213"/>
      <c r="M23" s="213"/>
      <c r="N23" s="213"/>
      <c r="O23" s="213"/>
      <c r="P23" s="213"/>
      <c r="Q23" s="213"/>
      <c r="R23" s="213"/>
      <c r="S23" s="213"/>
      <c r="T23" s="213"/>
      <c r="U23" s="213"/>
      <c r="V23" s="213"/>
      <c r="W23" s="213"/>
      <c r="X23" s="213"/>
      <c r="Y23" s="213">
        <f t="shared" si="0"/>
        <v>0</v>
      </c>
      <c r="Z23" s="213">
        <f t="shared" si="5"/>
        <v>46748.143753000004</v>
      </c>
      <c r="AA23" s="213"/>
      <c r="AB23" s="213"/>
      <c r="AC23" s="213">
        <f t="shared" si="1"/>
        <v>-46748.143753000004</v>
      </c>
      <c r="AD23" s="213">
        <f t="shared" si="2"/>
        <v>-46748.143753000004</v>
      </c>
      <c r="AE23" s="213"/>
      <c r="AF23" s="213">
        <f t="shared" si="3"/>
        <v>0</v>
      </c>
      <c r="AG23" s="213">
        <f t="shared" si="4"/>
        <v>-46748.143753000004</v>
      </c>
      <c r="AH23" s="213"/>
      <c r="AI23" s="213">
        <f t="shared" si="6"/>
        <v>0</v>
      </c>
      <c r="AJ23" s="68"/>
    </row>
    <row r="24" spans="1:36">
      <c r="A24" s="58" t="s">
        <v>151</v>
      </c>
      <c r="B24" s="58" t="s">
        <v>152</v>
      </c>
      <c r="C24" s="58" t="s">
        <v>181</v>
      </c>
      <c r="D24" s="58">
        <f t="shared" si="7"/>
        <v>15</v>
      </c>
      <c r="E24" s="132" t="s">
        <v>22</v>
      </c>
      <c r="F24" s="58" t="s">
        <v>188</v>
      </c>
      <c r="G24" s="58" t="s">
        <v>30</v>
      </c>
      <c r="H24" s="214">
        <f>1000*7495.623477083</f>
        <v>7495623.4770829994</v>
      </c>
      <c r="I24" s="214">
        <f>1000*555.303498502</f>
        <v>555303.498502</v>
      </c>
      <c r="J24" s="213"/>
      <c r="K24" s="213"/>
      <c r="L24" s="213"/>
      <c r="M24" s="213"/>
      <c r="N24" s="213"/>
      <c r="O24" s="213"/>
      <c r="P24" s="213"/>
      <c r="Q24" s="213"/>
      <c r="R24" s="213"/>
      <c r="S24" s="213"/>
      <c r="T24" s="213"/>
      <c r="U24" s="213"/>
      <c r="V24" s="213"/>
      <c r="W24" s="213"/>
      <c r="X24" s="213"/>
      <c r="Y24" s="213">
        <f t="shared" si="0"/>
        <v>0</v>
      </c>
      <c r="Z24" s="213">
        <f t="shared" si="5"/>
        <v>555303.498502</v>
      </c>
      <c r="AA24" s="213"/>
      <c r="AB24" s="213"/>
      <c r="AC24" s="213">
        <f t="shared" si="1"/>
        <v>-555303.498502</v>
      </c>
      <c r="AD24" s="213">
        <f t="shared" si="2"/>
        <v>-555303.498502</v>
      </c>
      <c r="AE24" s="213"/>
      <c r="AF24" s="213">
        <f t="shared" si="3"/>
        <v>0</v>
      </c>
      <c r="AG24" s="213">
        <f t="shared" si="4"/>
        <v>-555303.498502</v>
      </c>
      <c r="AH24" s="213"/>
      <c r="AI24" s="213">
        <f t="shared" si="6"/>
        <v>0</v>
      </c>
      <c r="AJ24" s="68"/>
    </row>
    <row r="25" spans="1:36">
      <c r="A25" s="58" t="s">
        <v>151</v>
      </c>
      <c r="B25" s="58" t="s">
        <v>152</v>
      </c>
      <c r="C25" s="58" t="s">
        <v>183</v>
      </c>
      <c r="D25" s="58">
        <f t="shared" si="7"/>
        <v>16</v>
      </c>
      <c r="E25" s="132" t="s">
        <v>22</v>
      </c>
      <c r="F25" s="58" t="s">
        <v>192</v>
      </c>
      <c r="G25" s="58" t="s">
        <v>70</v>
      </c>
      <c r="H25" s="214">
        <f>1000*0.02848125</f>
        <v>28.481249999999999</v>
      </c>
      <c r="I25" s="214">
        <f>1000*0.006300017</f>
        <v>6.3000169999999995</v>
      </c>
      <c r="J25" s="213"/>
      <c r="K25" s="213"/>
      <c r="L25" s="213"/>
      <c r="M25" s="213"/>
      <c r="N25" s="213"/>
      <c r="O25" s="213"/>
      <c r="P25" s="213"/>
      <c r="Q25" s="213"/>
      <c r="R25" s="213"/>
      <c r="S25" s="213"/>
      <c r="T25" s="213"/>
      <c r="U25" s="213"/>
      <c r="V25" s="213"/>
      <c r="W25" s="213"/>
      <c r="X25" s="213"/>
      <c r="Y25" s="213">
        <f t="shared" si="0"/>
        <v>0</v>
      </c>
      <c r="Z25" s="213">
        <f t="shared" si="5"/>
        <v>6.3000169999999995</v>
      </c>
      <c r="AA25" s="213"/>
      <c r="AB25" s="213"/>
      <c r="AC25" s="213">
        <f t="shared" si="1"/>
        <v>-6.3000169999999995</v>
      </c>
      <c r="AD25" s="213">
        <f t="shared" si="2"/>
        <v>-6.3000169999999995</v>
      </c>
      <c r="AE25" s="213"/>
      <c r="AF25" s="213">
        <f t="shared" si="3"/>
        <v>0</v>
      </c>
      <c r="AG25" s="213">
        <f t="shared" si="4"/>
        <v>-6.3000169999999995</v>
      </c>
      <c r="AH25" s="213"/>
      <c r="AI25" s="213">
        <f t="shared" si="6"/>
        <v>0</v>
      </c>
      <c r="AJ25" s="68"/>
    </row>
    <row r="26" spans="1:36">
      <c r="A26" s="58" t="s">
        <v>151</v>
      </c>
      <c r="B26" s="58" t="s">
        <v>152</v>
      </c>
      <c r="C26" s="58" t="s">
        <v>185</v>
      </c>
      <c r="D26" s="58">
        <f t="shared" si="7"/>
        <v>17</v>
      </c>
      <c r="E26" s="132" t="s">
        <v>22</v>
      </c>
      <c r="F26" s="58" t="s">
        <v>196</v>
      </c>
      <c r="G26" s="58" t="s">
        <v>30</v>
      </c>
      <c r="H26" s="214">
        <f>1000*1719.411539583</f>
        <v>1719411.5395829999</v>
      </c>
      <c r="I26" s="214">
        <f>1000*127.380363517</f>
        <v>127380.36351700001</v>
      </c>
      <c r="J26" s="213"/>
      <c r="K26" s="213"/>
      <c r="L26" s="213"/>
      <c r="M26" s="213"/>
      <c r="N26" s="213"/>
      <c r="O26" s="213"/>
      <c r="P26" s="213"/>
      <c r="Q26" s="213"/>
      <c r="R26" s="213"/>
      <c r="S26" s="213"/>
      <c r="T26" s="213"/>
      <c r="U26" s="213"/>
      <c r="V26" s="213"/>
      <c r="W26" s="213"/>
      <c r="X26" s="213"/>
      <c r="Y26" s="213">
        <f t="shared" si="0"/>
        <v>0</v>
      </c>
      <c r="Z26" s="213">
        <f t="shared" si="5"/>
        <v>127380.36351700001</v>
      </c>
      <c r="AA26" s="213"/>
      <c r="AB26" s="213"/>
      <c r="AC26" s="213">
        <f t="shared" si="1"/>
        <v>-127380.36351700001</v>
      </c>
      <c r="AD26" s="213">
        <f t="shared" si="2"/>
        <v>-127380.36351700001</v>
      </c>
      <c r="AE26" s="213"/>
      <c r="AF26" s="213">
        <f t="shared" si="3"/>
        <v>0</v>
      </c>
      <c r="AG26" s="213">
        <f t="shared" si="4"/>
        <v>-127380.36351700001</v>
      </c>
      <c r="AH26" s="213"/>
      <c r="AI26" s="213">
        <f t="shared" si="6"/>
        <v>0</v>
      </c>
      <c r="AJ26" s="68"/>
    </row>
    <row r="27" spans="1:36">
      <c r="A27" s="58" t="s">
        <v>151</v>
      </c>
      <c r="B27" s="58" t="s">
        <v>152</v>
      </c>
      <c r="C27" s="58" t="s">
        <v>187</v>
      </c>
      <c r="D27" s="58">
        <f t="shared" si="7"/>
        <v>18</v>
      </c>
      <c r="E27" s="132" t="s">
        <v>22</v>
      </c>
      <c r="F27" s="58" t="s">
        <v>198</v>
      </c>
      <c r="G27" s="58" t="s">
        <v>67</v>
      </c>
      <c r="H27" s="214">
        <f>1000*87.42705625</f>
        <v>87427.056250000009</v>
      </c>
      <c r="I27" s="214">
        <f>1000*6.201427886</f>
        <v>6201.4278860000004</v>
      </c>
      <c r="J27" s="213"/>
      <c r="K27" s="213"/>
      <c r="L27" s="213"/>
      <c r="M27" s="213"/>
      <c r="N27" s="213"/>
      <c r="O27" s="213"/>
      <c r="P27" s="213"/>
      <c r="Q27" s="213"/>
      <c r="R27" s="213"/>
      <c r="S27" s="213"/>
      <c r="T27" s="213"/>
      <c r="U27" s="213"/>
      <c r="V27" s="213"/>
      <c r="W27" s="213"/>
      <c r="X27" s="213"/>
      <c r="Y27" s="213">
        <f t="shared" si="0"/>
        <v>0</v>
      </c>
      <c r="Z27" s="213">
        <f t="shared" si="5"/>
        <v>6201.4278860000004</v>
      </c>
      <c r="AA27" s="213"/>
      <c r="AB27" s="213"/>
      <c r="AC27" s="213">
        <f t="shared" si="1"/>
        <v>-6201.4278860000004</v>
      </c>
      <c r="AD27" s="213">
        <f t="shared" si="2"/>
        <v>-6201.4278860000004</v>
      </c>
      <c r="AE27" s="213"/>
      <c r="AF27" s="213">
        <f t="shared" si="3"/>
        <v>0</v>
      </c>
      <c r="AG27" s="213">
        <f t="shared" si="4"/>
        <v>-6201.4278860000004</v>
      </c>
      <c r="AH27" s="213"/>
      <c r="AI27" s="213">
        <f t="shared" si="6"/>
        <v>0</v>
      </c>
      <c r="AJ27" s="68"/>
    </row>
    <row r="28" spans="1:36">
      <c r="A28" s="58" t="s">
        <v>151</v>
      </c>
      <c r="B28" s="58" t="s">
        <v>152</v>
      </c>
      <c r="C28" s="58" t="s">
        <v>189</v>
      </c>
      <c r="D28" s="58">
        <f t="shared" si="7"/>
        <v>19</v>
      </c>
      <c r="E28" s="132" t="s">
        <v>22</v>
      </c>
      <c r="F28" s="58" t="s">
        <v>200</v>
      </c>
      <c r="G28" s="58" t="s">
        <v>30</v>
      </c>
      <c r="H28" s="214">
        <f>1000*-1038.7985</f>
        <v>-1038798.5000000001</v>
      </c>
      <c r="I28" s="214">
        <f>1000*-76.958033318</f>
        <v>-76958.033318000002</v>
      </c>
      <c r="J28" s="213"/>
      <c r="K28" s="213"/>
      <c r="L28" s="213"/>
      <c r="M28" s="213"/>
      <c r="N28" s="213"/>
      <c r="O28" s="213">
        <v>76958.03</v>
      </c>
      <c r="P28" s="213"/>
      <c r="Q28" s="213"/>
      <c r="R28" s="213"/>
      <c r="S28" s="213"/>
      <c r="T28" s="213"/>
      <c r="U28" s="213"/>
      <c r="V28" s="213"/>
      <c r="W28" s="213"/>
      <c r="X28" s="213"/>
      <c r="Y28" s="213">
        <f t="shared" si="0"/>
        <v>76958.03</v>
      </c>
      <c r="Z28" s="213">
        <f t="shared" si="5"/>
        <v>-3.3180000027641654E-3</v>
      </c>
      <c r="AA28" s="213"/>
      <c r="AB28" s="213"/>
      <c r="AC28" s="213">
        <f t="shared" si="1"/>
        <v>3.3180000027641654E-3</v>
      </c>
      <c r="AD28" s="213">
        <f t="shared" si="2"/>
        <v>3.3180000027641654E-3</v>
      </c>
      <c r="AE28" s="213"/>
      <c r="AF28" s="213">
        <f t="shared" si="3"/>
        <v>0</v>
      </c>
      <c r="AG28" s="213">
        <f t="shared" si="4"/>
        <v>3.3180000027641654E-3</v>
      </c>
      <c r="AH28" s="213"/>
      <c r="AI28" s="213">
        <f t="shared" si="6"/>
        <v>0</v>
      </c>
      <c r="AJ28" s="68"/>
    </row>
    <row r="29" spans="1:36">
      <c r="A29" s="58" t="s">
        <v>151</v>
      </c>
      <c r="B29" s="58" t="s">
        <v>152</v>
      </c>
      <c r="C29" s="58" t="s">
        <v>191</v>
      </c>
      <c r="D29" s="58">
        <f t="shared" si="7"/>
        <v>20</v>
      </c>
      <c r="E29" s="132" t="s">
        <v>22</v>
      </c>
      <c r="F29" s="58" t="s">
        <v>202</v>
      </c>
      <c r="G29" s="58" t="s">
        <v>30</v>
      </c>
      <c r="H29" s="214">
        <f>1000*3571.939402083</f>
        <v>3571939.4020830002</v>
      </c>
      <c r="I29" s="214">
        <f>1000*264.622476366</f>
        <v>264622.47636600002</v>
      </c>
      <c r="J29" s="213"/>
      <c r="K29" s="213"/>
      <c r="L29" s="213"/>
      <c r="M29" s="213"/>
      <c r="N29" s="213"/>
      <c r="O29" s="213"/>
      <c r="P29" s="213"/>
      <c r="Q29" s="213"/>
      <c r="R29" s="213"/>
      <c r="S29" s="213"/>
      <c r="T29" s="213"/>
      <c r="U29" s="213"/>
      <c r="V29" s="213"/>
      <c r="W29" s="213"/>
      <c r="X29" s="213"/>
      <c r="Y29" s="213">
        <f t="shared" si="0"/>
        <v>0</v>
      </c>
      <c r="Z29" s="213">
        <f t="shared" si="5"/>
        <v>264622.47636600002</v>
      </c>
      <c r="AA29" s="213"/>
      <c r="AB29" s="213"/>
      <c r="AC29" s="213">
        <f t="shared" si="1"/>
        <v>-264622.47636600002</v>
      </c>
      <c r="AD29" s="213">
        <f t="shared" si="2"/>
        <v>-264622.47636600002</v>
      </c>
      <c r="AE29" s="213"/>
      <c r="AF29" s="213">
        <f t="shared" si="3"/>
        <v>0</v>
      </c>
      <c r="AG29" s="213">
        <f t="shared" si="4"/>
        <v>-264622.47636600002</v>
      </c>
      <c r="AH29" s="213"/>
      <c r="AI29" s="213">
        <f t="shared" si="6"/>
        <v>0</v>
      </c>
      <c r="AJ29" s="68"/>
    </row>
    <row r="30" spans="1:36">
      <c r="A30" s="58" t="s">
        <v>151</v>
      </c>
      <c r="B30" s="58" t="s">
        <v>152</v>
      </c>
      <c r="C30" s="58" t="s">
        <v>233</v>
      </c>
      <c r="D30" s="58">
        <f t="shared" si="7"/>
        <v>21</v>
      </c>
      <c r="E30" s="132" t="s">
        <v>22</v>
      </c>
      <c r="F30" s="58" t="s">
        <v>170</v>
      </c>
      <c r="G30" s="58" t="s">
        <v>30</v>
      </c>
      <c r="H30" s="214">
        <f>1000*913.088954167</f>
        <v>913088.95416700002</v>
      </c>
      <c r="I30" s="214">
        <f>1000*67.645</f>
        <v>67645</v>
      </c>
      <c r="J30" s="213"/>
      <c r="K30" s="213"/>
      <c r="L30" s="213"/>
      <c r="M30" s="213"/>
      <c r="N30" s="213"/>
      <c r="O30" s="213"/>
      <c r="P30" s="213"/>
      <c r="Q30" s="213"/>
      <c r="R30" s="213"/>
      <c r="S30" s="213"/>
      <c r="T30" s="213"/>
      <c r="U30" s="213"/>
      <c r="V30" s="213"/>
      <c r="W30" s="213"/>
      <c r="X30" s="213"/>
      <c r="Y30" s="213">
        <f t="shared" si="0"/>
        <v>0</v>
      </c>
      <c r="Z30" s="213">
        <f t="shared" si="5"/>
        <v>67645</v>
      </c>
      <c r="AA30" s="213"/>
      <c r="AB30" s="213"/>
      <c r="AC30" s="213">
        <f t="shared" si="1"/>
        <v>-67645</v>
      </c>
      <c r="AD30" s="213">
        <f t="shared" si="2"/>
        <v>-67645</v>
      </c>
      <c r="AE30" s="213"/>
      <c r="AF30" s="213">
        <f t="shared" si="3"/>
        <v>0</v>
      </c>
      <c r="AG30" s="213">
        <f t="shared" si="4"/>
        <v>-67645</v>
      </c>
      <c r="AH30" s="213"/>
      <c r="AI30" s="213">
        <f t="shared" si="6"/>
        <v>0</v>
      </c>
      <c r="AJ30" s="68"/>
    </row>
    <row r="31" spans="1:36">
      <c r="A31" s="58" t="s">
        <v>151</v>
      </c>
      <c r="B31" s="58" t="s">
        <v>152</v>
      </c>
      <c r="C31" s="58" t="s">
        <v>193</v>
      </c>
      <c r="D31" s="58">
        <f t="shared" si="7"/>
        <v>22</v>
      </c>
      <c r="E31" s="132" t="s">
        <v>22</v>
      </c>
      <c r="F31" s="58" t="s">
        <v>206</v>
      </c>
      <c r="G31" s="58" t="s">
        <v>30</v>
      </c>
      <c r="H31" s="214">
        <f>1000*295.6664375</f>
        <v>295666.4375</v>
      </c>
      <c r="I31" s="214">
        <f>1000*21.904062769</f>
        <v>21904.062769</v>
      </c>
      <c r="J31" s="213"/>
      <c r="K31" s="213"/>
      <c r="L31" s="213"/>
      <c r="M31" s="213">
        <v>-21904</v>
      </c>
      <c r="N31" s="213"/>
      <c r="O31" s="213"/>
      <c r="P31" s="213"/>
      <c r="Q31" s="213"/>
      <c r="R31" s="213"/>
      <c r="S31" s="213"/>
      <c r="T31" s="213"/>
      <c r="U31" s="213"/>
      <c r="V31" s="213"/>
      <c r="W31" s="213"/>
      <c r="X31" s="213"/>
      <c r="Y31" s="213">
        <f t="shared" si="0"/>
        <v>-21904</v>
      </c>
      <c r="Z31" s="213">
        <f t="shared" si="5"/>
        <v>6.2769000000116648E-2</v>
      </c>
      <c r="AA31" s="213"/>
      <c r="AB31" s="213"/>
      <c r="AC31" s="213">
        <f t="shared" si="1"/>
        <v>-6.2769000000116648E-2</v>
      </c>
      <c r="AD31" s="213">
        <f t="shared" si="2"/>
        <v>-6.2769000000116648E-2</v>
      </c>
      <c r="AE31" s="213"/>
      <c r="AF31" s="213">
        <f t="shared" si="3"/>
        <v>0</v>
      </c>
      <c r="AG31" s="213">
        <f t="shared" si="4"/>
        <v>-6.2769000000116648E-2</v>
      </c>
      <c r="AH31" s="213"/>
      <c r="AI31" s="213">
        <f t="shared" si="6"/>
        <v>0</v>
      </c>
      <c r="AJ31" s="68"/>
    </row>
    <row r="32" spans="1:36">
      <c r="A32" s="58" t="s">
        <v>151</v>
      </c>
      <c r="B32" s="58" t="s">
        <v>152</v>
      </c>
      <c r="C32" s="58" t="s">
        <v>195</v>
      </c>
      <c r="D32" s="58">
        <f t="shared" si="7"/>
        <v>23</v>
      </c>
      <c r="E32" s="132" t="s">
        <v>22</v>
      </c>
      <c r="F32" s="58" t="s">
        <v>208</v>
      </c>
      <c r="G32" s="58" t="s">
        <v>42</v>
      </c>
      <c r="H32" s="214">
        <f>1000*3571.843470833</f>
        <v>3571843.4708330003</v>
      </c>
      <c r="I32" s="214">
        <f>1000*281.829736874</f>
        <v>281829.73687399999</v>
      </c>
      <c r="J32" s="213"/>
      <c r="K32" s="213"/>
      <c r="L32" s="213"/>
      <c r="M32" s="213"/>
      <c r="N32" s="213"/>
      <c r="O32" s="213"/>
      <c r="P32" s="213"/>
      <c r="Q32" s="213"/>
      <c r="R32" s="213"/>
      <c r="S32" s="213"/>
      <c r="T32" s="213"/>
      <c r="U32" s="213"/>
      <c r="V32" s="213"/>
      <c r="W32" s="213"/>
      <c r="X32" s="213"/>
      <c r="Y32" s="213">
        <f t="shared" si="0"/>
        <v>0</v>
      </c>
      <c r="Z32" s="213">
        <f t="shared" si="5"/>
        <v>281829.73687399999</v>
      </c>
      <c r="AA32" s="213"/>
      <c r="AB32" s="213"/>
      <c r="AC32" s="213">
        <f t="shared" si="1"/>
        <v>-281829.73687399999</v>
      </c>
      <c r="AD32" s="213">
        <f t="shared" si="2"/>
        <v>-281829.73687399999</v>
      </c>
      <c r="AE32" s="213"/>
      <c r="AF32" s="213">
        <f t="shared" si="3"/>
        <v>0</v>
      </c>
      <c r="AG32" s="213">
        <f t="shared" si="4"/>
        <v>-281829.73687399999</v>
      </c>
      <c r="AH32" s="213"/>
      <c r="AI32" s="213">
        <f t="shared" si="6"/>
        <v>0</v>
      </c>
      <c r="AJ32" s="68"/>
    </row>
    <row r="33" spans="1:36">
      <c r="A33" s="58" t="s">
        <v>151</v>
      </c>
      <c r="B33" s="58" t="s">
        <v>152</v>
      </c>
      <c r="C33" s="58" t="s">
        <v>197</v>
      </c>
      <c r="D33" s="58">
        <f t="shared" si="7"/>
        <v>24</v>
      </c>
      <c r="E33" s="132" t="s">
        <v>22</v>
      </c>
      <c r="F33" s="58" t="s">
        <v>210</v>
      </c>
      <c r="G33" s="58" t="s">
        <v>57</v>
      </c>
      <c r="H33" s="214">
        <f>1000*716.171833333</f>
        <v>716171.83333299996</v>
      </c>
      <c r="I33" s="214">
        <f>1000*158.181456508</f>
        <v>158181.456508</v>
      </c>
      <c r="J33" s="213"/>
      <c r="K33" s="213"/>
      <c r="L33" s="213"/>
      <c r="M33" s="213"/>
      <c r="N33" s="213"/>
      <c r="O33" s="213"/>
      <c r="P33" s="213"/>
      <c r="Q33" s="213"/>
      <c r="R33" s="213"/>
      <c r="S33" s="213"/>
      <c r="T33" s="213"/>
      <c r="U33" s="213"/>
      <c r="V33" s="213"/>
      <c r="W33" s="213"/>
      <c r="X33" s="213"/>
      <c r="Y33" s="213">
        <f t="shared" si="0"/>
        <v>0</v>
      </c>
      <c r="Z33" s="213">
        <f t="shared" si="5"/>
        <v>158181.456508</v>
      </c>
      <c r="AA33" s="213"/>
      <c r="AB33" s="213"/>
      <c r="AC33" s="213">
        <f t="shared" si="1"/>
        <v>-158181.456508</v>
      </c>
      <c r="AD33" s="213">
        <f t="shared" si="2"/>
        <v>-158181.456508</v>
      </c>
      <c r="AE33" s="213"/>
      <c r="AF33" s="213">
        <f t="shared" si="3"/>
        <v>0</v>
      </c>
      <c r="AG33" s="213">
        <f t="shared" si="4"/>
        <v>-158181.456508</v>
      </c>
      <c r="AH33" s="213"/>
      <c r="AI33" s="213">
        <f t="shared" si="6"/>
        <v>0</v>
      </c>
      <c r="AJ33" s="68"/>
    </row>
    <row r="34" spans="1:36">
      <c r="A34" s="58" t="s">
        <v>151</v>
      </c>
      <c r="B34" s="58" t="s">
        <v>152</v>
      </c>
      <c r="C34" s="58" t="s">
        <v>199</v>
      </c>
      <c r="D34" s="58">
        <f t="shared" si="7"/>
        <v>25</v>
      </c>
      <c r="E34" s="132" t="s">
        <v>22</v>
      </c>
      <c r="F34" s="58" t="s">
        <v>212</v>
      </c>
      <c r="G34" s="58" t="s">
        <v>76</v>
      </c>
      <c r="H34" s="214">
        <f>1000*262.658954167</f>
        <v>262658.95416700002</v>
      </c>
      <c r="I34" s="214">
        <f>1000*58.495592141</f>
        <v>58495.592141000001</v>
      </c>
      <c r="J34" s="213"/>
      <c r="K34" s="213"/>
      <c r="L34" s="213"/>
      <c r="M34" s="213"/>
      <c r="N34" s="213"/>
      <c r="O34" s="213"/>
      <c r="P34" s="213"/>
      <c r="Q34" s="213"/>
      <c r="R34" s="213"/>
      <c r="S34" s="213"/>
      <c r="T34" s="213"/>
      <c r="U34" s="213"/>
      <c r="V34" s="213"/>
      <c r="W34" s="213"/>
      <c r="X34" s="213"/>
      <c r="Y34" s="213">
        <f t="shared" si="0"/>
        <v>0</v>
      </c>
      <c r="Z34" s="213">
        <f t="shared" si="5"/>
        <v>58495.592141000001</v>
      </c>
      <c r="AA34" s="213"/>
      <c r="AB34" s="213"/>
      <c r="AC34" s="213">
        <f t="shared" si="1"/>
        <v>-58495.592141000001</v>
      </c>
      <c r="AD34" s="213">
        <f t="shared" si="2"/>
        <v>-58495.592141000001</v>
      </c>
      <c r="AE34" s="213"/>
      <c r="AF34" s="213">
        <f t="shared" si="3"/>
        <v>0</v>
      </c>
      <c r="AG34" s="213">
        <f t="shared" si="4"/>
        <v>-58495.592141000001</v>
      </c>
      <c r="AH34" s="213"/>
      <c r="AI34" s="213">
        <f t="shared" si="6"/>
        <v>0</v>
      </c>
      <c r="AJ34" s="68"/>
    </row>
    <row r="35" spans="1:36">
      <c r="A35" s="58" t="s">
        <v>151</v>
      </c>
      <c r="B35" s="58" t="s">
        <v>152</v>
      </c>
      <c r="C35" s="58" t="s">
        <v>201</v>
      </c>
      <c r="D35" s="58">
        <f t="shared" si="7"/>
        <v>26</v>
      </c>
      <c r="E35" s="132" t="s">
        <v>22</v>
      </c>
      <c r="F35" s="58" t="s">
        <v>218</v>
      </c>
      <c r="G35" s="58" t="s">
        <v>30</v>
      </c>
      <c r="H35" s="214">
        <f>1000*1013.777</f>
        <v>1013777</v>
      </c>
      <c r="I35" s="214">
        <f>1000*75.104348094</f>
        <v>75104.348094000001</v>
      </c>
      <c r="J35" s="213"/>
      <c r="K35" s="213"/>
      <c r="L35" s="213"/>
      <c r="M35" s="213"/>
      <c r="N35" s="213"/>
      <c r="O35" s="213"/>
      <c r="P35" s="213"/>
      <c r="Q35" s="213"/>
      <c r="R35" s="213"/>
      <c r="S35" s="213"/>
      <c r="T35" s="213"/>
      <c r="U35" s="213"/>
      <c r="V35" s="213"/>
      <c r="W35" s="213"/>
      <c r="X35" s="213"/>
      <c r="Y35" s="213">
        <f t="shared" si="0"/>
        <v>0</v>
      </c>
      <c r="Z35" s="213">
        <f t="shared" si="5"/>
        <v>75104.348094000001</v>
      </c>
      <c r="AA35" s="213"/>
      <c r="AB35" s="213"/>
      <c r="AC35" s="213">
        <f t="shared" si="1"/>
        <v>-75104.348094000001</v>
      </c>
      <c r="AD35" s="213">
        <f t="shared" si="2"/>
        <v>-75104.348094000001</v>
      </c>
      <c r="AE35" s="213"/>
      <c r="AF35" s="213">
        <f t="shared" si="3"/>
        <v>0</v>
      </c>
      <c r="AG35" s="213">
        <f t="shared" si="4"/>
        <v>-75104.348094000001</v>
      </c>
      <c r="AH35" s="213"/>
      <c r="AI35" s="213">
        <f t="shared" si="6"/>
        <v>0</v>
      </c>
      <c r="AJ35" s="68"/>
    </row>
    <row r="36" spans="1:36">
      <c r="A36" s="58" t="s">
        <v>151</v>
      </c>
      <c r="B36" s="58" t="s">
        <v>152</v>
      </c>
      <c r="C36" s="58" t="s">
        <v>203</v>
      </c>
      <c r="D36" s="58">
        <f t="shared" si="7"/>
        <v>27</v>
      </c>
      <c r="E36" s="132" t="s">
        <v>22</v>
      </c>
      <c r="F36" s="58" t="s">
        <v>220</v>
      </c>
      <c r="G36" s="58" t="s">
        <v>30</v>
      </c>
      <c r="H36" s="214">
        <f>1000*706.205458333</f>
        <v>706205.45833300008</v>
      </c>
      <c r="I36" s="214">
        <f>1000*52.318311195</f>
        <v>52318.311195000002</v>
      </c>
      <c r="J36" s="213"/>
      <c r="K36" s="213"/>
      <c r="L36" s="213"/>
      <c r="M36" s="213"/>
      <c r="N36" s="213"/>
      <c r="O36" s="213"/>
      <c r="P36" s="213"/>
      <c r="Q36" s="213"/>
      <c r="R36" s="213"/>
      <c r="S36" s="213"/>
      <c r="T36" s="213"/>
      <c r="U36" s="213"/>
      <c r="V36" s="213"/>
      <c r="W36" s="213"/>
      <c r="X36" s="213"/>
      <c r="Y36" s="213">
        <f t="shared" si="0"/>
        <v>0</v>
      </c>
      <c r="Z36" s="213">
        <f t="shared" si="5"/>
        <v>52318.311195000002</v>
      </c>
      <c r="AA36" s="213"/>
      <c r="AB36" s="213"/>
      <c r="AC36" s="213">
        <f t="shared" si="1"/>
        <v>-52318.311195000002</v>
      </c>
      <c r="AD36" s="213">
        <f t="shared" si="2"/>
        <v>-52318.311195000002</v>
      </c>
      <c r="AE36" s="213"/>
      <c r="AF36" s="213">
        <f t="shared" si="3"/>
        <v>0</v>
      </c>
      <c r="AG36" s="213">
        <f t="shared" si="4"/>
        <v>-52318.311195000002</v>
      </c>
      <c r="AH36" s="213"/>
      <c r="AI36" s="213">
        <f t="shared" si="6"/>
        <v>0</v>
      </c>
      <c r="AJ36" s="68"/>
    </row>
    <row r="37" spans="1:36">
      <c r="A37" s="58" t="s">
        <v>151</v>
      </c>
      <c r="B37" s="58" t="s">
        <v>152</v>
      </c>
      <c r="C37" s="58" t="s">
        <v>205</v>
      </c>
      <c r="D37" s="58">
        <f t="shared" si="7"/>
        <v>28</v>
      </c>
      <c r="E37" s="132" t="s">
        <v>22</v>
      </c>
      <c r="F37" s="58" t="s">
        <v>222</v>
      </c>
      <c r="G37" s="58" t="s">
        <v>30</v>
      </c>
      <c r="H37" s="214">
        <f>1000*257.159266667</f>
        <v>257159.26666699999</v>
      </c>
      <c r="I37" s="214">
        <f>1000*19.051309192</f>
        <v>19051.309192000001</v>
      </c>
      <c r="J37" s="213"/>
      <c r="K37" s="213"/>
      <c r="L37" s="213"/>
      <c r="M37" s="213"/>
      <c r="N37" s="213"/>
      <c r="O37" s="213"/>
      <c r="P37" s="213"/>
      <c r="Q37" s="213"/>
      <c r="R37" s="213"/>
      <c r="S37" s="213"/>
      <c r="T37" s="213"/>
      <c r="U37" s="213">
        <v>-19051</v>
      </c>
      <c r="V37" s="213"/>
      <c r="W37" s="213"/>
      <c r="X37" s="213"/>
      <c r="Y37" s="213">
        <f>ROUND(SUM(J37:X37),0)</f>
        <v>-19051</v>
      </c>
      <c r="Z37" s="213">
        <f t="shared" si="5"/>
        <v>0.30919200000062119</v>
      </c>
      <c r="AA37" s="213"/>
      <c r="AB37" s="213"/>
      <c r="AC37" s="213">
        <f t="shared" si="1"/>
        <v>-0.30919200000062119</v>
      </c>
      <c r="AD37" s="213">
        <f t="shared" si="2"/>
        <v>-0.30919200000062119</v>
      </c>
      <c r="AE37" s="213"/>
      <c r="AF37" s="213">
        <f t="shared" si="3"/>
        <v>0</v>
      </c>
      <c r="AG37" s="213">
        <f t="shared" si="4"/>
        <v>-0.30919200000062119</v>
      </c>
      <c r="AH37" s="213"/>
      <c r="AI37" s="213">
        <f t="shared" si="6"/>
        <v>0</v>
      </c>
      <c r="AJ37" s="68"/>
    </row>
    <row r="38" spans="1:36">
      <c r="A38" s="58" t="s">
        <v>151</v>
      </c>
      <c r="B38" s="58" t="s">
        <v>152</v>
      </c>
      <c r="C38" s="58" t="s">
        <v>207</v>
      </c>
      <c r="D38" s="58">
        <f t="shared" si="7"/>
        <v>29</v>
      </c>
      <c r="E38" s="132" t="s">
        <v>22</v>
      </c>
      <c r="F38" s="58" t="s">
        <v>224</v>
      </c>
      <c r="G38" s="58" t="s">
        <v>36</v>
      </c>
      <c r="H38" s="214">
        <f>1000*1.66375</f>
        <v>1663.75</v>
      </c>
      <c r="I38" s="214">
        <f>1000*1.66375</f>
        <v>1663.75</v>
      </c>
      <c r="J38" s="213"/>
      <c r="K38" s="213"/>
      <c r="L38" s="213"/>
      <c r="M38" s="213"/>
      <c r="N38" s="213"/>
      <c r="O38" s="213"/>
      <c r="P38" s="213"/>
      <c r="Q38" s="213"/>
      <c r="R38" s="213"/>
      <c r="S38" s="213"/>
      <c r="T38" s="213"/>
      <c r="U38" s="213"/>
      <c r="V38" s="213"/>
      <c r="W38" s="213"/>
      <c r="X38" s="213"/>
      <c r="Y38" s="213">
        <f t="shared" ref="Y38:Y57" si="8">ROUND(SUM(J38:X38),0)</f>
        <v>0</v>
      </c>
      <c r="Z38" s="213">
        <f t="shared" si="5"/>
        <v>1663.75</v>
      </c>
      <c r="AA38" s="213"/>
      <c r="AB38" s="213"/>
      <c r="AC38" s="213">
        <f t="shared" si="1"/>
        <v>-1663.75</v>
      </c>
      <c r="AD38" s="213">
        <f t="shared" si="2"/>
        <v>-1663.75</v>
      </c>
      <c r="AE38" s="213"/>
      <c r="AF38" s="213">
        <f t="shared" si="3"/>
        <v>0</v>
      </c>
      <c r="AG38" s="213">
        <f t="shared" si="4"/>
        <v>-1663.75</v>
      </c>
      <c r="AH38" s="213"/>
      <c r="AI38" s="213">
        <f t="shared" si="6"/>
        <v>0</v>
      </c>
      <c r="AJ38" s="68"/>
    </row>
    <row r="39" spans="1:36">
      <c r="A39" s="58" t="s">
        <v>151</v>
      </c>
      <c r="B39" s="58" t="s">
        <v>152</v>
      </c>
      <c r="C39" s="58" t="s">
        <v>235</v>
      </c>
      <c r="D39" s="58">
        <f t="shared" si="7"/>
        <v>30</v>
      </c>
      <c r="E39" s="132" t="s">
        <v>22</v>
      </c>
      <c r="F39" s="58" t="s">
        <v>178</v>
      </c>
      <c r="G39" s="58" t="s">
        <v>26</v>
      </c>
      <c r="H39" s="214">
        <f>1000*1314.199325</f>
        <v>1314199.325</v>
      </c>
      <c r="I39" s="214">
        <f>1000*108.968737365</f>
        <v>108968.73736499999</v>
      </c>
      <c r="J39" s="213"/>
      <c r="K39" s="213"/>
      <c r="L39" s="213"/>
      <c r="M39" s="213"/>
      <c r="N39" s="213"/>
      <c r="O39" s="213"/>
      <c r="P39" s="213"/>
      <c r="Q39" s="213"/>
      <c r="R39" s="213"/>
      <c r="S39" s="213"/>
      <c r="T39" s="213"/>
      <c r="U39" s="213"/>
      <c r="V39" s="213"/>
      <c r="W39" s="213"/>
      <c r="X39" s="213"/>
      <c r="Y39" s="213">
        <f t="shared" si="8"/>
        <v>0</v>
      </c>
      <c r="Z39" s="213">
        <f t="shared" si="5"/>
        <v>108968.73736499999</v>
      </c>
      <c r="AA39" s="213"/>
      <c r="AB39" s="213"/>
      <c r="AC39" s="213">
        <f t="shared" ref="AC39:AC41" si="9">-Z39</f>
        <v>-108968.73736499999</v>
      </c>
      <c r="AD39" s="213">
        <f t="shared" si="2"/>
        <v>-108968.73736499999</v>
      </c>
      <c r="AE39" s="213"/>
      <c r="AF39" s="213">
        <f t="shared" si="3"/>
        <v>0</v>
      </c>
      <c r="AG39" s="213">
        <f t="shared" si="4"/>
        <v>-108968.73736499999</v>
      </c>
      <c r="AH39" s="213"/>
      <c r="AI39" s="213">
        <f t="shared" si="6"/>
        <v>0</v>
      </c>
      <c r="AJ39" s="68"/>
    </row>
    <row r="40" spans="1:36">
      <c r="A40" s="58" t="s">
        <v>151</v>
      </c>
      <c r="B40" s="58" t="s">
        <v>152</v>
      </c>
      <c r="C40" s="58" t="s">
        <v>237</v>
      </c>
      <c r="D40" s="58">
        <f t="shared" si="7"/>
        <v>31</v>
      </c>
      <c r="E40" s="132" t="s">
        <v>22</v>
      </c>
      <c r="F40" s="58" t="s">
        <v>190</v>
      </c>
      <c r="G40" s="58" t="s">
        <v>30</v>
      </c>
      <c r="H40" s="214">
        <f>1000*2179.604497917</f>
        <v>2179604.4979170002</v>
      </c>
      <c r="I40" s="214">
        <f>1000*161.473159203</f>
        <v>161473.15920299999</v>
      </c>
      <c r="J40" s="213"/>
      <c r="K40" s="213"/>
      <c r="L40" s="213"/>
      <c r="M40" s="213"/>
      <c r="N40" s="213"/>
      <c r="O40" s="213"/>
      <c r="P40" s="213"/>
      <c r="Q40" s="213"/>
      <c r="R40" s="213"/>
      <c r="S40" s="213"/>
      <c r="T40" s="213"/>
      <c r="U40" s="213"/>
      <c r="V40" s="213"/>
      <c r="W40" s="213"/>
      <c r="X40" s="213"/>
      <c r="Y40" s="213">
        <f t="shared" si="8"/>
        <v>0</v>
      </c>
      <c r="Z40" s="213">
        <f t="shared" si="5"/>
        <v>161473.15920299999</v>
      </c>
      <c r="AA40" s="213"/>
      <c r="AB40" s="213"/>
      <c r="AC40" s="213">
        <f t="shared" si="9"/>
        <v>-161473.15920299999</v>
      </c>
      <c r="AD40" s="213">
        <f t="shared" si="2"/>
        <v>-161473.15920299999</v>
      </c>
      <c r="AE40" s="213"/>
      <c r="AF40" s="213">
        <f t="shared" si="3"/>
        <v>0</v>
      </c>
      <c r="AG40" s="213">
        <f t="shared" si="4"/>
        <v>-161473.15920299999</v>
      </c>
      <c r="AH40" s="213"/>
      <c r="AI40" s="213">
        <f t="shared" si="6"/>
        <v>0</v>
      </c>
      <c r="AJ40" s="68"/>
    </row>
    <row r="41" spans="1:36">
      <c r="A41" s="58" t="s">
        <v>151</v>
      </c>
      <c r="B41" s="58" t="s">
        <v>152</v>
      </c>
      <c r="C41" s="58" t="s">
        <v>239</v>
      </c>
      <c r="D41" s="58">
        <f t="shared" si="7"/>
        <v>32</v>
      </c>
      <c r="E41" s="132" t="s">
        <v>22</v>
      </c>
      <c r="F41" s="58" t="s">
        <v>194</v>
      </c>
      <c r="G41" s="58" t="s">
        <v>30</v>
      </c>
      <c r="H41" s="214">
        <f>1000*389.876833333</f>
        <v>389876.83333299996</v>
      </c>
      <c r="I41" s="214">
        <f>1000*28.883517188</f>
        <v>28883.517187999998</v>
      </c>
      <c r="J41" s="213"/>
      <c r="K41" s="213"/>
      <c r="L41" s="213"/>
      <c r="M41" s="213"/>
      <c r="N41" s="213"/>
      <c r="O41" s="213"/>
      <c r="P41" s="213"/>
      <c r="Q41" s="213"/>
      <c r="R41" s="213"/>
      <c r="S41" s="213"/>
      <c r="T41" s="213"/>
      <c r="U41" s="213"/>
      <c r="V41" s="213"/>
      <c r="W41" s="213"/>
      <c r="X41" s="213"/>
      <c r="Y41" s="213">
        <f t="shared" si="8"/>
        <v>0</v>
      </c>
      <c r="Z41" s="213">
        <f t="shared" si="5"/>
        <v>28883.517187999998</v>
      </c>
      <c r="AA41" s="213"/>
      <c r="AB41" s="213"/>
      <c r="AC41" s="213">
        <f t="shared" si="9"/>
        <v>-28883.517187999998</v>
      </c>
      <c r="AD41" s="213">
        <f t="shared" si="2"/>
        <v>-28883.517187999998</v>
      </c>
      <c r="AE41" s="213"/>
      <c r="AF41" s="213">
        <f t="shared" si="3"/>
        <v>0</v>
      </c>
      <c r="AG41" s="213">
        <f t="shared" si="4"/>
        <v>-28883.517187999998</v>
      </c>
      <c r="AH41" s="213"/>
      <c r="AI41" s="213">
        <f t="shared" si="6"/>
        <v>0</v>
      </c>
      <c r="AJ41" s="68"/>
    </row>
    <row r="42" spans="1:36" ht="16.5" customHeight="1">
      <c r="A42" s="58" t="s">
        <v>151</v>
      </c>
      <c r="B42" s="58" t="s">
        <v>152</v>
      </c>
      <c r="C42" s="58" t="s">
        <v>209</v>
      </c>
      <c r="D42" s="58">
        <f t="shared" si="7"/>
        <v>33</v>
      </c>
      <c r="E42" s="67" t="s">
        <v>50</v>
      </c>
      <c r="F42" s="58" t="s">
        <v>160</v>
      </c>
      <c r="G42" s="58" t="s">
        <v>32</v>
      </c>
      <c r="H42" s="214">
        <f>1000*285.464979167</f>
        <v>285464.97916700004</v>
      </c>
      <c r="I42" s="214">
        <f>1000*60.96805989</f>
        <v>60968.059889999997</v>
      </c>
      <c r="J42" s="213"/>
      <c r="K42" s="213"/>
      <c r="L42" s="213"/>
      <c r="M42" s="213"/>
      <c r="N42" s="213"/>
      <c r="O42" s="213"/>
      <c r="P42" s="213"/>
      <c r="Q42" s="213"/>
      <c r="R42" s="213"/>
      <c r="S42" s="213"/>
      <c r="T42" s="213"/>
      <c r="U42" s="213"/>
      <c r="V42" s="213"/>
      <c r="W42" s="213"/>
      <c r="X42" s="213"/>
      <c r="Y42" s="213">
        <f t="shared" si="8"/>
        <v>0</v>
      </c>
      <c r="Z42" s="213">
        <f t="shared" si="5"/>
        <v>60968.059889999997</v>
      </c>
      <c r="AA42" s="213"/>
      <c r="AB42" s="213"/>
      <c r="AC42" s="213">
        <f t="shared" ref="AC42:AC52" si="10">-Z42</f>
        <v>-60968.059889999997</v>
      </c>
      <c r="AD42" s="213">
        <f t="shared" si="2"/>
        <v>-60968.059889999997</v>
      </c>
      <c r="AE42" s="213"/>
      <c r="AF42" s="213">
        <f t="shared" si="3"/>
        <v>0</v>
      </c>
      <c r="AG42" s="213">
        <f t="shared" si="4"/>
        <v>-60968.059889999997</v>
      </c>
      <c r="AH42" s="213"/>
      <c r="AI42" s="213">
        <f t="shared" si="6"/>
        <v>0</v>
      </c>
      <c r="AJ42" s="68"/>
    </row>
    <row r="43" spans="1:36" ht="16.5" customHeight="1">
      <c r="A43" s="58" t="s">
        <v>151</v>
      </c>
      <c r="B43" s="58" t="s">
        <v>152</v>
      </c>
      <c r="C43" s="58" t="s">
        <v>211</v>
      </c>
      <c r="D43" s="58">
        <f t="shared" si="7"/>
        <v>34</v>
      </c>
      <c r="E43" s="67" t="s">
        <v>50</v>
      </c>
      <c r="F43" s="58" t="s">
        <v>226</v>
      </c>
      <c r="G43" s="58" t="s">
        <v>42</v>
      </c>
      <c r="H43" s="214">
        <f>1000*2069.824797917</f>
        <v>2069824.797917</v>
      </c>
      <c r="I43" s="214">
        <f>1000*163.315717202</f>
        <v>163315.717202</v>
      </c>
      <c r="J43" s="213"/>
      <c r="K43" s="213"/>
      <c r="L43" s="213"/>
      <c r="M43" s="213"/>
      <c r="N43" s="213"/>
      <c r="O43" s="213"/>
      <c r="P43" s="213"/>
      <c r="Q43" s="213"/>
      <c r="R43" s="213"/>
      <c r="S43" s="213"/>
      <c r="T43" s="213"/>
      <c r="U43" s="213"/>
      <c r="V43" s="213"/>
      <c r="W43" s="213"/>
      <c r="X43" s="213"/>
      <c r="Y43" s="213">
        <f t="shared" si="8"/>
        <v>0</v>
      </c>
      <c r="Z43" s="213">
        <f t="shared" si="5"/>
        <v>163315.717202</v>
      </c>
      <c r="AA43" s="213"/>
      <c r="AB43" s="213"/>
      <c r="AC43" s="213">
        <f t="shared" si="10"/>
        <v>-163315.717202</v>
      </c>
      <c r="AD43" s="213">
        <f t="shared" si="2"/>
        <v>-163315.717202</v>
      </c>
      <c r="AE43" s="213"/>
      <c r="AF43" s="213">
        <f t="shared" si="3"/>
        <v>0</v>
      </c>
      <c r="AG43" s="213">
        <f t="shared" si="4"/>
        <v>-163315.717202</v>
      </c>
      <c r="AH43" s="213"/>
      <c r="AI43" s="213">
        <f t="shared" si="6"/>
        <v>0</v>
      </c>
      <c r="AJ43" s="68"/>
    </row>
    <row r="44" spans="1:36" ht="16.5" customHeight="1">
      <c r="A44" s="58" t="s">
        <v>151</v>
      </c>
      <c r="B44" s="58" t="s">
        <v>152</v>
      </c>
      <c r="C44" s="58" t="s">
        <v>213</v>
      </c>
      <c r="D44" s="58">
        <f t="shared" si="7"/>
        <v>35</v>
      </c>
      <c r="E44" s="67" t="s">
        <v>50</v>
      </c>
      <c r="F44" s="58" t="s">
        <v>228</v>
      </c>
      <c r="G44" s="58" t="s">
        <v>32</v>
      </c>
      <c r="H44" s="214">
        <f>1000*90.373333333</f>
        <v>90373.333333000002</v>
      </c>
      <c r="I44" s="214">
        <f>1000*19.301445716</f>
        <v>19301.445715999998</v>
      </c>
      <c r="J44" s="213"/>
      <c r="K44" s="213"/>
      <c r="L44" s="213"/>
      <c r="M44" s="213"/>
      <c r="N44" s="213"/>
      <c r="O44" s="213"/>
      <c r="P44" s="213"/>
      <c r="Q44" s="213"/>
      <c r="R44" s="213"/>
      <c r="S44" s="213"/>
      <c r="T44" s="213"/>
      <c r="U44" s="213"/>
      <c r="V44" s="213"/>
      <c r="W44" s="213"/>
      <c r="X44" s="213"/>
      <c r="Y44" s="213">
        <f t="shared" si="8"/>
        <v>0</v>
      </c>
      <c r="Z44" s="213">
        <f t="shared" si="5"/>
        <v>19301.445715999998</v>
      </c>
      <c r="AA44" s="213"/>
      <c r="AB44" s="213"/>
      <c r="AC44" s="213">
        <f t="shared" si="10"/>
        <v>-19301.445715999998</v>
      </c>
      <c r="AD44" s="213">
        <f t="shared" si="2"/>
        <v>-19301.445715999998</v>
      </c>
      <c r="AE44" s="213"/>
      <c r="AF44" s="213">
        <f t="shared" si="3"/>
        <v>0</v>
      </c>
      <c r="AG44" s="213">
        <f t="shared" si="4"/>
        <v>-19301.445715999998</v>
      </c>
      <c r="AH44" s="213"/>
      <c r="AI44" s="213">
        <f t="shared" si="6"/>
        <v>0</v>
      </c>
      <c r="AJ44" s="68"/>
    </row>
    <row r="45" spans="1:36">
      <c r="A45" s="58" t="s">
        <v>151</v>
      </c>
      <c r="B45" s="58" t="s">
        <v>152</v>
      </c>
      <c r="C45" s="58" t="s">
        <v>215</v>
      </c>
      <c r="D45" s="58">
        <f t="shared" si="7"/>
        <v>36</v>
      </c>
      <c r="E45" s="67" t="s">
        <v>50</v>
      </c>
      <c r="F45" s="58" t="s">
        <v>230</v>
      </c>
      <c r="G45" s="58" t="s">
        <v>32</v>
      </c>
      <c r="H45" s="214">
        <f>1000*76.37725</f>
        <v>76377.25</v>
      </c>
      <c r="I45" s="214">
        <f>1000*16.31223825</f>
        <v>16312.23825</v>
      </c>
      <c r="J45" s="213"/>
      <c r="K45" s="213"/>
      <c r="L45" s="213"/>
      <c r="M45" s="213"/>
      <c r="N45" s="213"/>
      <c r="O45" s="213"/>
      <c r="P45" s="213"/>
      <c r="Q45" s="213"/>
      <c r="R45" s="213"/>
      <c r="S45" s="213"/>
      <c r="T45" s="213"/>
      <c r="U45" s="213"/>
      <c r="V45" s="213"/>
      <c r="W45" s="213"/>
      <c r="X45" s="213"/>
      <c r="Y45" s="213">
        <f t="shared" si="8"/>
        <v>0</v>
      </c>
      <c r="Z45" s="213">
        <f t="shared" si="5"/>
        <v>16312.23825</v>
      </c>
      <c r="AA45" s="213"/>
      <c r="AB45" s="213"/>
      <c r="AC45" s="213">
        <f t="shared" si="10"/>
        <v>-16312.23825</v>
      </c>
      <c r="AD45" s="213">
        <f t="shared" si="2"/>
        <v>-16312.23825</v>
      </c>
      <c r="AE45" s="213"/>
      <c r="AF45" s="213">
        <f t="shared" si="3"/>
        <v>0</v>
      </c>
      <c r="AG45" s="213">
        <f t="shared" si="4"/>
        <v>-16312.23825</v>
      </c>
      <c r="AH45" s="213"/>
      <c r="AI45" s="213">
        <f t="shared" si="6"/>
        <v>0</v>
      </c>
      <c r="AJ45" s="68"/>
    </row>
    <row r="46" spans="1:36">
      <c r="A46" s="58" t="s">
        <v>151</v>
      </c>
      <c r="B46" s="58" t="s">
        <v>152</v>
      </c>
      <c r="C46" s="58" t="s">
        <v>217</v>
      </c>
      <c r="D46" s="58">
        <f t="shared" si="7"/>
        <v>37</v>
      </c>
      <c r="E46" s="67" t="s">
        <v>50</v>
      </c>
      <c r="F46" s="58" t="s">
        <v>232</v>
      </c>
      <c r="G46" s="58" t="s">
        <v>42</v>
      </c>
      <c r="H46" s="214">
        <f>1000*-30.437125</f>
        <v>-30437.125</v>
      </c>
      <c r="I46" s="214">
        <f>1000*-2.401585344</f>
        <v>-2401.5853440000001</v>
      </c>
      <c r="J46" s="213"/>
      <c r="K46" s="213"/>
      <c r="L46" s="213"/>
      <c r="M46" s="213"/>
      <c r="N46" s="213"/>
      <c r="O46" s="213">
        <v>2394</v>
      </c>
      <c r="P46" s="213"/>
      <c r="Q46" s="213"/>
      <c r="R46" s="213"/>
      <c r="S46" s="213"/>
      <c r="T46" s="213"/>
      <c r="U46" s="213"/>
      <c r="V46" s="213"/>
      <c r="W46" s="213"/>
      <c r="X46" s="213"/>
      <c r="Y46" s="213">
        <f t="shared" si="8"/>
        <v>2394</v>
      </c>
      <c r="Z46" s="213">
        <f t="shared" si="5"/>
        <v>-7.5853440000000774</v>
      </c>
      <c r="AA46" s="213"/>
      <c r="AB46" s="213"/>
      <c r="AC46" s="213">
        <f t="shared" si="10"/>
        <v>7.5853440000000774</v>
      </c>
      <c r="AD46" s="213">
        <f t="shared" si="2"/>
        <v>7.5853440000000774</v>
      </c>
      <c r="AE46" s="213"/>
      <c r="AF46" s="213">
        <f t="shared" si="3"/>
        <v>0</v>
      </c>
      <c r="AG46" s="213">
        <f t="shared" si="4"/>
        <v>7.5853440000000774</v>
      </c>
      <c r="AH46" s="213"/>
      <c r="AI46" s="213">
        <f t="shared" si="6"/>
        <v>0</v>
      </c>
      <c r="AJ46" s="68"/>
    </row>
    <row r="47" spans="1:36">
      <c r="A47" s="58" t="s">
        <v>151</v>
      </c>
      <c r="B47" s="58" t="s">
        <v>152</v>
      </c>
      <c r="C47" s="58" t="s">
        <v>219</v>
      </c>
      <c r="D47" s="58">
        <f t="shared" si="7"/>
        <v>38</v>
      </c>
      <c r="E47" s="67" t="s">
        <v>50</v>
      </c>
      <c r="F47" s="58" t="s">
        <v>234</v>
      </c>
      <c r="G47" s="58" t="s">
        <v>32</v>
      </c>
      <c r="H47" s="214">
        <f>1000*-59.624541667</f>
        <v>-59624.541667000005</v>
      </c>
      <c r="I47" s="214">
        <f>1000*-12.734285788</f>
        <v>-12734.285787999999</v>
      </c>
      <c r="J47" s="213"/>
      <c r="K47" s="213"/>
      <c r="L47" s="213"/>
      <c r="M47" s="213"/>
      <c r="N47" s="213"/>
      <c r="O47" s="213"/>
      <c r="P47" s="213"/>
      <c r="Q47" s="213"/>
      <c r="R47" s="213"/>
      <c r="S47" s="213"/>
      <c r="T47" s="213"/>
      <c r="U47" s="213"/>
      <c r="V47" s="213"/>
      <c r="W47" s="213"/>
      <c r="X47" s="213"/>
      <c r="Y47" s="213">
        <f t="shared" si="8"/>
        <v>0</v>
      </c>
      <c r="Z47" s="213">
        <f t="shared" si="5"/>
        <v>-12734.285787999999</v>
      </c>
      <c r="AA47" s="213"/>
      <c r="AB47" s="213"/>
      <c r="AC47" s="213">
        <f t="shared" si="10"/>
        <v>12734.285787999999</v>
      </c>
      <c r="AD47" s="213">
        <f t="shared" si="2"/>
        <v>12734.285787999999</v>
      </c>
      <c r="AE47" s="213"/>
      <c r="AF47" s="213">
        <f t="shared" si="3"/>
        <v>0</v>
      </c>
      <c r="AG47" s="213">
        <f t="shared" si="4"/>
        <v>12734.285787999999</v>
      </c>
      <c r="AH47" s="213"/>
      <c r="AI47" s="213">
        <f t="shared" si="6"/>
        <v>0</v>
      </c>
      <c r="AJ47" s="68"/>
    </row>
    <row r="48" spans="1:36">
      <c r="A48" s="58" t="s">
        <v>151</v>
      </c>
      <c r="B48" s="58" t="s">
        <v>152</v>
      </c>
      <c r="C48" s="58" t="s">
        <v>221</v>
      </c>
      <c r="D48" s="58">
        <f t="shared" si="7"/>
        <v>39</v>
      </c>
      <c r="E48" s="67" t="s">
        <v>50</v>
      </c>
      <c r="F48" s="58" t="s">
        <v>236</v>
      </c>
      <c r="G48" s="58" t="s">
        <v>32</v>
      </c>
      <c r="H48" s="214">
        <f>1000*8.7245</f>
        <v>8724.5</v>
      </c>
      <c r="I48" s="214">
        <f>1000*1.863331327</f>
        <v>1863.3313270000001</v>
      </c>
      <c r="J48" s="213"/>
      <c r="K48" s="213"/>
      <c r="L48" s="213"/>
      <c r="M48" s="213"/>
      <c r="N48" s="213"/>
      <c r="O48" s="213"/>
      <c r="P48" s="213"/>
      <c r="Q48" s="213"/>
      <c r="R48" s="213"/>
      <c r="S48" s="213"/>
      <c r="T48" s="213"/>
      <c r="U48" s="213"/>
      <c r="V48" s="213"/>
      <c r="W48" s="213"/>
      <c r="X48" s="213"/>
      <c r="Y48" s="213">
        <f t="shared" si="8"/>
        <v>0</v>
      </c>
      <c r="Z48" s="213">
        <f t="shared" si="5"/>
        <v>1863.3313270000001</v>
      </c>
      <c r="AA48" s="213"/>
      <c r="AB48" s="213"/>
      <c r="AC48" s="213">
        <f t="shared" si="10"/>
        <v>-1863.3313270000001</v>
      </c>
      <c r="AD48" s="213">
        <f t="shared" si="2"/>
        <v>-1863.3313270000001</v>
      </c>
      <c r="AE48" s="213"/>
      <c r="AF48" s="213">
        <f t="shared" si="3"/>
        <v>0</v>
      </c>
      <c r="AG48" s="213">
        <f t="shared" si="4"/>
        <v>-1863.3313270000001</v>
      </c>
      <c r="AH48" s="213"/>
      <c r="AI48" s="213">
        <f t="shared" si="6"/>
        <v>0</v>
      </c>
      <c r="AJ48" s="68"/>
    </row>
    <row r="49" spans="1:36">
      <c r="A49" s="58" t="s">
        <v>151</v>
      </c>
      <c r="B49" s="58" t="s">
        <v>152</v>
      </c>
      <c r="C49" s="58" t="s">
        <v>223</v>
      </c>
      <c r="D49" s="58">
        <f t="shared" si="7"/>
        <v>40</v>
      </c>
      <c r="E49" s="67" t="s">
        <v>50</v>
      </c>
      <c r="F49" s="58" t="s">
        <v>238</v>
      </c>
      <c r="G49" s="58" t="s">
        <v>32</v>
      </c>
      <c r="H49" s="214">
        <f>1000*12.645791667</f>
        <v>12645.791667</v>
      </c>
      <c r="I49" s="214">
        <f>1000*2.700819505</f>
        <v>2700.8195049999999</v>
      </c>
      <c r="J49" s="213"/>
      <c r="K49" s="213"/>
      <c r="L49" s="213"/>
      <c r="M49" s="213"/>
      <c r="N49" s="213"/>
      <c r="O49" s="213"/>
      <c r="P49" s="213"/>
      <c r="Q49" s="213"/>
      <c r="R49" s="213"/>
      <c r="S49" s="213"/>
      <c r="T49" s="213"/>
      <c r="U49" s="213"/>
      <c r="V49" s="213"/>
      <c r="W49" s="213"/>
      <c r="X49" s="213"/>
      <c r="Y49" s="213">
        <f t="shared" si="8"/>
        <v>0</v>
      </c>
      <c r="Z49" s="213">
        <f t="shared" si="5"/>
        <v>2700.8195049999999</v>
      </c>
      <c r="AA49" s="213"/>
      <c r="AB49" s="213"/>
      <c r="AC49" s="213">
        <f t="shared" si="10"/>
        <v>-2700.8195049999999</v>
      </c>
      <c r="AD49" s="213">
        <f t="shared" si="2"/>
        <v>-2700.8195049999999</v>
      </c>
      <c r="AE49" s="213"/>
      <c r="AF49" s="213">
        <f t="shared" si="3"/>
        <v>0</v>
      </c>
      <c r="AG49" s="213">
        <f t="shared" si="4"/>
        <v>-2700.8195049999999</v>
      </c>
      <c r="AH49" s="213"/>
      <c r="AI49" s="213">
        <f t="shared" si="6"/>
        <v>0</v>
      </c>
      <c r="AJ49" s="68"/>
    </row>
    <row r="50" spans="1:36">
      <c r="A50" s="58" t="s">
        <v>151</v>
      </c>
      <c r="B50" s="58" t="s">
        <v>152</v>
      </c>
      <c r="C50" s="58" t="s">
        <v>225</v>
      </c>
      <c r="D50" s="58">
        <f t="shared" si="7"/>
        <v>41</v>
      </c>
      <c r="E50" s="67" t="s">
        <v>50</v>
      </c>
      <c r="F50" s="58" t="s">
        <v>240</v>
      </c>
      <c r="G50" s="58" t="s">
        <v>32</v>
      </c>
      <c r="H50" s="214">
        <f>1000*84.4315</f>
        <v>84431.5</v>
      </c>
      <c r="I50" s="214">
        <f>1000*18.032421223</f>
        <v>18032.421223000001</v>
      </c>
      <c r="J50" s="213"/>
      <c r="K50" s="213"/>
      <c r="L50" s="213"/>
      <c r="M50" s="213"/>
      <c r="N50" s="213"/>
      <c r="O50" s="213"/>
      <c r="P50" s="213"/>
      <c r="Q50" s="213"/>
      <c r="R50" s="213"/>
      <c r="S50" s="213"/>
      <c r="T50" s="213"/>
      <c r="U50" s="213"/>
      <c r="V50" s="213"/>
      <c r="W50" s="213"/>
      <c r="X50" s="213"/>
      <c r="Y50" s="213">
        <f t="shared" si="8"/>
        <v>0</v>
      </c>
      <c r="Z50" s="213">
        <f t="shared" si="5"/>
        <v>18032.421223000001</v>
      </c>
      <c r="AA50" s="213"/>
      <c r="AB50" s="213"/>
      <c r="AC50" s="213">
        <f t="shared" si="10"/>
        <v>-18032.421223000001</v>
      </c>
      <c r="AD50" s="213">
        <f t="shared" si="2"/>
        <v>-18032.421223000001</v>
      </c>
      <c r="AE50" s="213"/>
      <c r="AF50" s="213">
        <f t="shared" si="3"/>
        <v>0</v>
      </c>
      <c r="AG50" s="213">
        <f t="shared" si="4"/>
        <v>-18032.421223000001</v>
      </c>
      <c r="AH50" s="213"/>
      <c r="AI50" s="213">
        <f t="shared" si="6"/>
        <v>0</v>
      </c>
      <c r="AJ50" s="68"/>
    </row>
    <row r="51" spans="1:36">
      <c r="A51" s="58" t="s">
        <v>151</v>
      </c>
      <c r="B51" s="58" t="s">
        <v>152</v>
      </c>
      <c r="C51" s="58" t="s">
        <v>227</v>
      </c>
      <c r="D51" s="58">
        <f t="shared" si="7"/>
        <v>42</v>
      </c>
      <c r="E51" s="67" t="s">
        <v>50</v>
      </c>
      <c r="F51" s="58" t="s">
        <v>242</v>
      </c>
      <c r="G51" s="58" t="s">
        <v>32</v>
      </c>
      <c r="H51" s="214">
        <f>1000*825.139666667</f>
        <v>825139.66666700004</v>
      </c>
      <c r="I51" s="214">
        <f>1000*176.228848673</f>
        <v>176228.848673</v>
      </c>
      <c r="J51" s="213"/>
      <c r="K51" s="213"/>
      <c r="L51" s="213"/>
      <c r="M51" s="213"/>
      <c r="N51" s="213"/>
      <c r="O51" s="213"/>
      <c r="P51" s="213"/>
      <c r="Q51" s="213"/>
      <c r="R51" s="213"/>
      <c r="S51" s="213"/>
      <c r="T51" s="213"/>
      <c r="U51" s="213"/>
      <c r="V51" s="213"/>
      <c r="W51" s="213"/>
      <c r="X51" s="213"/>
      <c r="Y51" s="213">
        <f t="shared" si="8"/>
        <v>0</v>
      </c>
      <c r="Z51" s="213">
        <f t="shared" si="5"/>
        <v>176228.848673</v>
      </c>
      <c r="AA51" s="213"/>
      <c r="AB51" s="213"/>
      <c r="AC51" s="213">
        <f t="shared" si="10"/>
        <v>-176228.848673</v>
      </c>
      <c r="AD51" s="213">
        <f t="shared" si="2"/>
        <v>-176228.848673</v>
      </c>
      <c r="AE51" s="213"/>
      <c r="AF51" s="213">
        <f t="shared" si="3"/>
        <v>0</v>
      </c>
      <c r="AG51" s="213">
        <f t="shared" si="4"/>
        <v>-176228.848673</v>
      </c>
      <c r="AH51" s="213"/>
      <c r="AI51" s="213">
        <f t="shared" si="6"/>
        <v>0</v>
      </c>
      <c r="AJ51" s="68"/>
    </row>
    <row r="52" spans="1:36">
      <c r="A52" s="58" t="s">
        <v>151</v>
      </c>
      <c r="B52" s="58" t="s">
        <v>152</v>
      </c>
      <c r="C52" s="58" t="s">
        <v>229</v>
      </c>
      <c r="D52" s="58">
        <f t="shared" si="7"/>
        <v>43</v>
      </c>
      <c r="E52" s="67" t="s">
        <v>50</v>
      </c>
      <c r="F52" s="58" t="s">
        <v>247</v>
      </c>
      <c r="G52" s="58" t="s">
        <v>32</v>
      </c>
      <c r="H52" s="214">
        <f>1000*-8.180708333</f>
        <v>-8180.7083330000005</v>
      </c>
      <c r="I52" s="214">
        <f>1000*-1.747191256</f>
        <v>-1747.1912560000001</v>
      </c>
      <c r="J52" s="213"/>
      <c r="K52" s="213"/>
      <c r="L52" s="213"/>
      <c r="M52" s="213"/>
      <c r="N52" s="213"/>
      <c r="O52" s="213"/>
      <c r="P52" s="213"/>
      <c r="Q52" s="213"/>
      <c r="R52" s="213"/>
      <c r="S52" s="213"/>
      <c r="T52" s="213"/>
      <c r="U52" s="213"/>
      <c r="V52" s="213"/>
      <c r="W52" s="213"/>
      <c r="X52" s="213"/>
      <c r="Y52" s="213">
        <f t="shared" si="8"/>
        <v>0</v>
      </c>
      <c r="Z52" s="213">
        <f t="shared" si="5"/>
        <v>-1747.1912560000001</v>
      </c>
      <c r="AA52" s="213"/>
      <c r="AB52" s="213"/>
      <c r="AC52" s="213">
        <f t="shared" si="10"/>
        <v>1747.1912560000001</v>
      </c>
      <c r="AD52" s="213">
        <f t="shared" si="2"/>
        <v>1747.1912560000001</v>
      </c>
      <c r="AE52" s="213"/>
      <c r="AF52" s="213">
        <f t="shared" si="3"/>
        <v>0</v>
      </c>
      <c r="AG52" s="213">
        <f t="shared" si="4"/>
        <v>1747.1912560000001</v>
      </c>
      <c r="AH52" s="213"/>
      <c r="AI52" s="213">
        <f t="shared" si="6"/>
        <v>0</v>
      </c>
      <c r="AJ52" s="68"/>
    </row>
    <row r="53" spans="1:36">
      <c r="A53" s="58" t="s">
        <v>151</v>
      </c>
      <c r="B53" s="58" t="s">
        <v>152</v>
      </c>
      <c r="C53" s="58" t="s">
        <v>231</v>
      </c>
      <c r="D53" s="58">
        <f t="shared" si="7"/>
        <v>44</v>
      </c>
      <c r="E53" s="132" t="s">
        <v>244</v>
      </c>
      <c r="F53" s="58" t="s">
        <v>245</v>
      </c>
      <c r="G53" s="58" t="s">
        <v>32</v>
      </c>
      <c r="H53" s="214">
        <f>1000*-1135.29225</f>
        <v>-1135292.25</v>
      </c>
      <c r="I53" s="214">
        <f>1000*-242.469552983</f>
        <v>-242469.552983</v>
      </c>
      <c r="J53" s="213"/>
      <c r="K53" s="213"/>
      <c r="L53" s="213"/>
      <c r="M53" s="213"/>
      <c r="N53" s="213"/>
      <c r="O53" s="213"/>
      <c r="P53" s="213"/>
      <c r="Q53" s="213"/>
      <c r="R53" s="213"/>
      <c r="S53" s="213"/>
      <c r="T53" s="213"/>
      <c r="U53" s="213"/>
      <c r="V53" s="213"/>
      <c r="W53" s="213"/>
      <c r="X53" s="213"/>
      <c r="Y53" s="213">
        <f t="shared" si="8"/>
        <v>0</v>
      </c>
      <c r="Z53" s="213">
        <f t="shared" si="5"/>
        <v>-242469.552983</v>
      </c>
      <c r="AA53" s="213"/>
      <c r="AB53" s="213"/>
      <c r="AC53" s="213"/>
      <c r="AD53" s="213">
        <f t="shared" si="2"/>
        <v>0</v>
      </c>
      <c r="AE53" s="213"/>
      <c r="AF53" s="213">
        <f t="shared" si="3"/>
        <v>-242469.552983</v>
      </c>
      <c r="AG53" s="213">
        <f t="shared" si="4"/>
        <v>0</v>
      </c>
      <c r="AH53" s="213">
        <v>-242470</v>
      </c>
      <c r="AI53" s="213">
        <f t="shared" ref="AI53" si="11">ROUND(+AF53-AH53,0)</f>
        <v>0</v>
      </c>
      <c r="AJ53" s="68"/>
    </row>
    <row r="54" spans="1:36">
      <c r="A54" s="58" t="s">
        <v>151</v>
      </c>
      <c r="B54" s="58" t="s">
        <v>152</v>
      </c>
      <c r="C54" s="58" t="s">
        <v>241</v>
      </c>
      <c r="D54" s="58">
        <f t="shared" si="7"/>
        <v>45</v>
      </c>
      <c r="E54" s="132" t="s">
        <v>58</v>
      </c>
      <c r="F54" s="58" t="s">
        <v>204</v>
      </c>
      <c r="G54" s="58" t="s">
        <v>26</v>
      </c>
      <c r="H54" s="214">
        <f>1000*19.338322917</f>
        <v>19338.322916999998</v>
      </c>
      <c r="I54" s="214">
        <f>1000*1.603465008</f>
        <v>1603.4650079999999</v>
      </c>
      <c r="J54" s="213"/>
      <c r="K54" s="213"/>
      <c r="L54" s="213"/>
      <c r="M54" s="213"/>
      <c r="N54" s="213"/>
      <c r="O54" s="213"/>
      <c r="P54" s="213"/>
      <c r="Q54" s="213"/>
      <c r="R54" s="213"/>
      <c r="S54" s="213"/>
      <c r="T54" s="213"/>
      <c r="U54" s="213"/>
      <c r="V54" s="213"/>
      <c r="W54" s="213"/>
      <c r="X54" s="213"/>
      <c r="Y54" s="213">
        <f t="shared" si="8"/>
        <v>0</v>
      </c>
      <c r="Z54" s="213">
        <f t="shared" si="5"/>
        <v>1603.4650079999999</v>
      </c>
      <c r="AA54" s="213"/>
      <c r="AB54" s="213"/>
      <c r="AC54" s="213"/>
      <c r="AD54" s="213">
        <f t="shared" si="2"/>
        <v>0</v>
      </c>
      <c r="AE54" s="213"/>
      <c r="AF54" s="213">
        <f t="shared" si="3"/>
        <v>1603.4650079999999</v>
      </c>
      <c r="AG54" s="213">
        <f t="shared" si="4"/>
        <v>0</v>
      </c>
      <c r="AH54" s="213"/>
      <c r="AI54" s="213">
        <f t="shared" si="6"/>
        <v>1603.4650079999999</v>
      </c>
      <c r="AJ54" s="68"/>
    </row>
    <row r="55" spans="1:36">
      <c r="A55" s="58" t="s">
        <v>151</v>
      </c>
      <c r="B55" s="58" t="s">
        <v>152</v>
      </c>
      <c r="C55" s="58" t="s">
        <v>243</v>
      </c>
      <c r="D55" s="58">
        <f t="shared" si="7"/>
        <v>46</v>
      </c>
      <c r="E55" s="132" t="s">
        <v>58</v>
      </c>
      <c r="F55" s="58" t="s">
        <v>214</v>
      </c>
      <c r="G55" s="58" t="s">
        <v>70</v>
      </c>
      <c r="H55" s="214">
        <f>1000*607.430791667</f>
        <v>607430.79166700004</v>
      </c>
      <c r="I55" s="214">
        <f>1000*134.362926361</f>
        <v>134362.92636100002</v>
      </c>
      <c r="J55" s="213"/>
      <c r="K55" s="213"/>
      <c r="L55" s="213"/>
      <c r="M55" s="213"/>
      <c r="N55" s="213"/>
      <c r="O55" s="213"/>
      <c r="P55" s="213"/>
      <c r="Q55" s="213"/>
      <c r="R55" s="213"/>
      <c r="S55" s="213"/>
      <c r="T55" s="213"/>
      <c r="U55" s="213"/>
      <c r="V55" s="213"/>
      <c r="W55" s="213">
        <v>-134363</v>
      </c>
      <c r="X55" s="213"/>
      <c r="Y55" s="213">
        <f t="shared" si="8"/>
        <v>-134363</v>
      </c>
      <c r="Z55" s="213">
        <f t="shared" si="5"/>
        <v>-7.3638999980175868E-2</v>
      </c>
      <c r="AA55" s="213"/>
      <c r="AB55" s="213"/>
      <c r="AC55" s="213"/>
      <c r="AD55" s="213">
        <f t="shared" si="2"/>
        <v>0</v>
      </c>
      <c r="AE55" s="213"/>
      <c r="AF55" s="213">
        <f t="shared" si="3"/>
        <v>-7.3638999980175868E-2</v>
      </c>
      <c r="AG55" s="213">
        <f t="shared" si="4"/>
        <v>0</v>
      </c>
      <c r="AH55" s="213"/>
      <c r="AI55" s="213">
        <f t="shared" ref="AI55" si="12">ROUND(+AF55-AH55,0)</f>
        <v>0</v>
      </c>
      <c r="AJ55" s="68"/>
    </row>
    <row r="56" spans="1:36">
      <c r="A56" s="58" t="s">
        <v>151</v>
      </c>
      <c r="B56" s="58" t="s">
        <v>152</v>
      </c>
      <c r="C56" s="58" t="s">
        <v>246</v>
      </c>
      <c r="D56" s="58">
        <f t="shared" si="7"/>
        <v>47</v>
      </c>
      <c r="E56" s="132" t="s">
        <v>58</v>
      </c>
      <c r="F56" s="58" t="s">
        <v>216</v>
      </c>
      <c r="G56" s="58" t="s">
        <v>36</v>
      </c>
      <c r="H56" s="214">
        <f>1000*43.33531875</f>
        <v>43335.318749999999</v>
      </c>
      <c r="I56" s="214">
        <f>1000*43.33531875</f>
        <v>43335.318749999999</v>
      </c>
      <c r="J56" s="213"/>
      <c r="K56" s="213"/>
      <c r="L56" s="213"/>
      <c r="M56" s="213"/>
      <c r="N56" s="213"/>
      <c r="O56" s="213"/>
      <c r="P56" s="213"/>
      <c r="Q56" s="213"/>
      <c r="R56" s="213"/>
      <c r="S56" s="213"/>
      <c r="T56" s="213">
        <v>-43335</v>
      </c>
      <c r="U56" s="213"/>
      <c r="V56" s="213"/>
      <c r="W56" s="213"/>
      <c r="X56" s="213"/>
      <c r="Y56" s="213">
        <f t="shared" si="8"/>
        <v>-43335</v>
      </c>
      <c r="Z56" s="213">
        <f t="shared" si="5"/>
        <v>0.31874999999854481</v>
      </c>
      <c r="AA56" s="213"/>
      <c r="AB56" s="213"/>
      <c r="AC56" s="213"/>
      <c r="AD56" s="213">
        <f t="shared" si="2"/>
        <v>0</v>
      </c>
      <c r="AE56" s="213"/>
      <c r="AF56" s="213">
        <f t="shared" si="3"/>
        <v>0.31874999999854481</v>
      </c>
      <c r="AG56" s="213">
        <f t="shared" si="4"/>
        <v>0</v>
      </c>
      <c r="AH56" s="213"/>
      <c r="AI56" s="213">
        <f t="shared" si="6"/>
        <v>0.31874999999854481</v>
      </c>
      <c r="AJ56" s="68"/>
    </row>
    <row r="57" spans="1:36">
      <c r="A57" s="192" t="s">
        <v>248</v>
      </c>
      <c r="B57" s="58"/>
      <c r="C57" s="58"/>
      <c r="D57" s="58">
        <f t="shared" si="7"/>
        <v>48</v>
      </c>
      <c r="E57" s="132" t="s">
        <v>58</v>
      </c>
      <c r="F57" s="60" t="s">
        <v>249</v>
      </c>
      <c r="G57" s="58"/>
      <c r="H57" s="214"/>
      <c r="I57" s="214"/>
      <c r="J57" s="213"/>
      <c r="K57" s="213">
        <v>1600912</v>
      </c>
      <c r="L57" s="213"/>
      <c r="M57" s="213"/>
      <c r="N57" s="213"/>
      <c r="O57" s="213"/>
      <c r="P57" s="213"/>
      <c r="Q57" s="213"/>
      <c r="R57" s="213"/>
      <c r="S57" s="213"/>
      <c r="T57" s="213"/>
      <c r="U57" s="213"/>
      <c r="V57" s="213"/>
      <c r="W57" s="213"/>
      <c r="X57" s="213"/>
      <c r="Y57" s="213">
        <f t="shared" si="8"/>
        <v>1600912</v>
      </c>
      <c r="Z57" s="213">
        <f t="shared" si="5"/>
        <v>1600912</v>
      </c>
      <c r="AA57" s="213"/>
      <c r="AB57" s="213"/>
      <c r="AC57" s="213"/>
      <c r="AD57" s="213">
        <f t="shared" si="2"/>
        <v>0</v>
      </c>
      <c r="AE57" s="213"/>
      <c r="AF57" s="213">
        <f t="shared" si="3"/>
        <v>1600912</v>
      </c>
      <c r="AG57" s="213">
        <f t="shared" si="4"/>
        <v>0</v>
      </c>
      <c r="AH57" s="213">
        <v>1600912</v>
      </c>
      <c r="AI57" s="213">
        <f t="shared" si="6"/>
        <v>0</v>
      </c>
      <c r="AJ57" s="68"/>
    </row>
    <row r="58" spans="1:36" ht="20.25" customHeight="1">
      <c r="A58" s="63" t="s">
        <v>250</v>
      </c>
      <c r="B58" s="58"/>
      <c r="C58" s="63"/>
      <c r="D58" s="58">
        <f t="shared" si="7"/>
        <v>49</v>
      </c>
      <c r="E58" s="202" t="s">
        <v>548</v>
      </c>
      <c r="F58" s="63"/>
      <c r="G58" s="63"/>
      <c r="H58" s="215"/>
      <c r="I58" s="215">
        <f t="shared" ref="I58:Z58" si="13">SUM(I10:I57)</f>
        <v>5165174.1716149999</v>
      </c>
      <c r="J58" s="215">
        <f t="shared" si="13"/>
        <v>0</v>
      </c>
      <c r="K58" s="215">
        <f t="shared" si="13"/>
        <v>1600912</v>
      </c>
      <c r="L58" s="215">
        <f t="shared" si="13"/>
        <v>0</v>
      </c>
      <c r="M58" s="215">
        <f t="shared" si="13"/>
        <v>-21904</v>
      </c>
      <c r="N58" s="215">
        <f t="shared" si="13"/>
        <v>0</v>
      </c>
      <c r="O58" s="215">
        <f t="shared" si="13"/>
        <v>-270049.93000000005</v>
      </c>
      <c r="P58" s="215">
        <f t="shared" si="13"/>
        <v>0</v>
      </c>
      <c r="Q58" s="215">
        <f t="shared" si="13"/>
        <v>0</v>
      </c>
      <c r="R58" s="215">
        <f t="shared" si="13"/>
        <v>0</v>
      </c>
      <c r="S58" s="215">
        <f t="shared" si="13"/>
        <v>0</v>
      </c>
      <c r="T58" s="215">
        <f t="shared" si="13"/>
        <v>-43335</v>
      </c>
      <c r="U58" s="215">
        <f t="shared" si="13"/>
        <v>-19051</v>
      </c>
      <c r="V58" s="215">
        <f t="shared" si="13"/>
        <v>0</v>
      </c>
      <c r="W58" s="215">
        <f t="shared" si="13"/>
        <v>-134363</v>
      </c>
      <c r="X58" s="215">
        <f t="shared" si="13"/>
        <v>0</v>
      </c>
      <c r="Y58" s="215">
        <f t="shared" si="13"/>
        <v>1112209.0699999998</v>
      </c>
      <c r="Z58" s="215">
        <f t="shared" si="13"/>
        <v>6277383.2416150011</v>
      </c>
      <c r="AA58" s="215">
        <f t="shared" ref="AA58:AB58" si="14">SUM(AA10:AA57)</f>
        <v>0</v>
      </c>
      <c r="AB58" s="215">
        <f t="shared" si="14"/>
        <v>0</v>
      </c>
      <c r="AC58" s="215">
        <f>SUM(AC10:AC57)</f>
        <v>-4917337.0844790014</v>
      </c>
      <c r="AD58" s="215">
        <f>SUM(AD10:AD57)</f>
        <v>-4917337.0844790014</v>
      </c>
      <c r="AE58" s="215"/>
      <c r="AF58" s="215">
        <f>SUM(AF10:AF57)</f>
        <v>1360046.157136</v>
      </c>
      <c r="AG58" s="215">
        <f>SUM(AG10:AG57)</f>
        <v>-4917337.0844790014</v>
      </c>
      <c r="AH58" s="215">
        <f>SUM(AH10:AH57)</f>
        <v>1358442</v>
      </c>
      <c r="AI58" s="215">
        <f>SUM(AI10:AI57)</f>
        <v>1603.7837579999984</v>
      </c>
      <c r="AJ58" s="68"/>
    </row>
    <row r="59" spans="1:36">
      <c r="A59" s="58" t="s">
        <v>251</v>
      </c>
      <c r="B59" s="58" t="s">
        <v>252</v>
      </c>
      <c r="C59" s="58" t="s">
        <v>253</v>
      </c>
      <c r="D59" s="58">
        <f t="shared" si="7"/>
        <v>50</v>
      </c>
      <c r="E59" s="132" t="s">
        <v>22</v>
      </c>
      <c r="F59" s="58" t="s">
        <v>254</v>
      </c>
      <c r="G59" s="58" t="s">
        <v>30</v>
      </c>
      <c r="H59" s="214">
        <f>1000*-5528.011358333</f>
        <v>-5528011.358333</v>
      </c>
      <c r="I59" s="214">
        <f>1000*-409.535518483</f>
        <v>-409535.51848299999</v>
      </c>
      <c r="J59" s="213"/>
      <c r="K59" s="213"/>
      <c r="L59" s="213"/>
      <c r="M59" s="213"/>
      <c r="N59" s="213"/>
      <c r="O59" s="213"/>
      <c r="P59" s="213"/>
      <c r="Q59" s="213"/>
      <c r="R59" s="213"/>
      <c r="S59" s="213"/>
      <c r="T59" s="213"/>
      <c r="U59" s="213"/>
      <c r="V59" s="213"/>
      <c r="W59" s="213"/>
      <c r="X59" s="213"/>
      <c r="Y59" s="213">
        <f t="shared" ref="Y59:Y60" si="15">SUM(J59:X59)</f>
        <v>0</v>
      </c>
      <c r="Z59" s="213">
        <f t="shared" ref="Z59:Z60" si="16">+Y59+I59</f>
        <v>-409535.51848299999</v>
      </c>
      <c r="AA59" s="213"/>
      <c r="AB59" s="213"/>
      <c r="AC59" s="213">
        <v>409536</v>
      </c>
      <c r="AD59" s="213">
        <f>+AC59+AB59</f>
        <v>409536</v>
      </c>
      <c r="AE59" s="213"/>
      <c r="AF59" s="213">
        <f>+AD59+Z59</f>
        <v>0.48151700000744313</v>
      </c>
      <c r="AG59" s="213">
        <f>+AF59-Z59</f>
        <v>409536</v>
      </c>
      <c r="AH59" s="213"/>
      <c r="AI59" s="213">
        <f t="shared" ref="AI59:AI62" si="17">ROUND(+AF59-AH59,0)</f>
        <v>0</v>
      </c>
      <c r="AJ59" s="68"/>
    </row>
    <row r="60" spans="1:36">
      <c r="A60" s="58">
        <v>282</v>
      </c>
      <c r="B60" s="58"/>
      <c r="C60" s="58"/>
      <c r="D60" s="58">
        <f t="shared" si="7"/>
        <v>51</v>
      </c>
      <c r="E60" s="132" t="s">
        <v>244</v>
      </c>
      <c r="F60" s="60" t="s">
        <v>132</v>
      </c>
      <c r="G60" s="58"/>
      <c r="H60" s="214"/>
      <c r="I60" s="214"/>
      <c r="J60" s="213"/>
      <c r="K60" s="213"/>
      <c r="L60" s="213"/>
      <c r="M60" s="213"/>
      <c r="N60" s="213"/>
      <c r="O60" s="213"/>
      <c r="P60" s="213">
        <v>-510417</v>
      </c>
      <c r="Q60" s="213"/>
      <c r="R60" s="213"/>
      <c r="S60" s="213"/>
      <c r="T60" s="213"/>
      <c r="U60" s="213"/>
      <c r="V60" s="213"/>
      <c r="W60" s="213"/>
      <c r="X60" s="213"/>
      <c r="Y60" s="213">
        <f t="shared" si="15"/>
        <v>-510417</v>
      </c>
      <c r="Z60" s="213">
        <f t="shared" si="16"/>
        <v>-510417</v>
      </c>
      <c r="AA60" s="213"/>
      <c r="AB60" s="213"/>
      <c r="AC60" s="213"/>
      <c r="AD60" s="213">
        <f>+AC60+AB60</f>
        <v>0</v>
      </c>
      <c r="AE60" s="213"/>
      <c r="AF60" s="213">
        <f>+AD60+Z60</f>
        <v>-510417</v>
      </c>
      <c r="AG60" s="213">
        <f>+AF60-Z60</f>
        <v>0</v>
      </c>
      <c r="AH60" s="213">
        <v>-510417</v>
      </c>
      <c r="AI60" s="213">
        <f t="shared" si="17"/>
        <v>0</v>
      </c>
      <c r="AJ60" s="68"/>
    </row>
    <row r="61" spans="1:36" ht="21.75" customHeight="1">
      <c r="A61" s="63" t="s">
        <v>255</v>
      </c>
      <c r="B61" s="58"/>
      <c r="C61" s="63"/>
      <c r="D61" s="58">
        <f t="shared" si="7"/>
        <v>52</v>
      </c>
      <c r="E61" s="202" t="s">
        <v>533</v>
      </c>
      <c r="F61" s="63"/>
      <c r="G61" s="63"/>
      <c r="H61" s="215">
        <f>+H59</f>
        <v>-5528011.358333</v>
      </c>
      <c r="I61" s="215">
        <f>+I59+I60</f>
        <v>-409535.51848299999</v>
      </c>
      <c r="J61" s="215">
        <f t="shared" ref="J61:AH61" si="18">+J59+J60</f>
        <v>0</v>
      </c>
      <c r="K61" s="215">
        <f t="shared" si="18"/>
        <v>0</v>
      </c>
      <c r="L61" s="215">
        <f t="shared" si="18"/>
        <v>0</v>
      </c>
      <c r="M61" s="215">
        <f t="shared" si="18"/>
        <v>0</v>
      </c>
      <c r="N61" s="215">
        <f t="shared" si="18"/>
        <v>0</v>
      </c>
      <c r="O61" s="215">
        <f t="shared" si="18"/>
        <v>0</v>
      </c>
      <c r="P61" s="215">
        <f t="shared" si="18"/>
        <v>-510417</v>
      </c>
      <c r="Q61" s="215">
        <f t="shared" si="18"/>
        <v>0</v>
      </c>
      <c r="R61" s="215">
        <f t="shared" si="18"/>
        <v>0</v>
      </c>
      <c r="S61" s="215">
        <f t="shared" si="18"/>
        <v>0</v>
      </c>
      <c r="T61" s="215">
        <f t="shared" si="18"/>
        <v>0</v>
      </c>
      <c r="U61" s="215">
        <f t="shared" si="18"/>
        <v>0</v>
      </c>
      <c r="V61" s="215">
        <f t="shared" si="18"/>
        <v>0</v>
      </c>
      <c r="W61" s="215">
        <f t="shared" si="18"/>
        <v>0</v>
      </c>
      <c r="X61" s="215">
        <f t="shared" si="18"/>
        <v>0</v>
      </c>
      <c r="Y61" s="215">
        <f t="shared" si="18"/>
        <v>-510417</v>
      </c>
      <c r="Z61" s="215">
        <f t="shared" si="18"/>
        <v>-919952.51848299999</v>
      </c>
      <c r="AA61" s="215">
        <f t="shared" si="18"/>
        <v>0</v>
      </c>
      <c r="AB61" s="215">
        <f t="shared" si="18"/>
        <v>0</v>
      </c>
      <c r="AC61" s="215">
        <f t="shared" si="18"/>
        <v>409536</v>
      </c>
      <c r="AD61" s="215">
        <f t="shared" si="18"/>
        <v>409536</v>
      </c>
      <c r="AE61" s="215"/>
      <c r="AF61" s="215">
        <f t="shared" si="18"/>
        <v>-510416.51848299999</v>
      </c>
      <c r="AG61" s="215">
        <f t="shared" si="18"/>
        <v>409536</v>
      </c>
      <c r="AH61" s="215">
        <f t="shared" si="18"/>
        <v>-510417</v>
      </c>
      <c r="AI61" s="213">
        <f t="shared" si="17"/>
        <v>0</v>
      </c>
      <c r="AJ61" s="68"/>
    </row>
    <row r="62" spans="1:36">
      <c r="A62" s="58" t="s">
        <v>256</v>
      </c>
      <c r="B62" s="58" t="s">
        <v>257</v>
      </c>
      <c r="C62" s="58" t="s">
        <v>258</v>
      </c>
      <c r="D62" s="58">
        <f t="shared" si="7"/>
        <v>53</v>
      </c>
      <c r="E62" s="132" t="s">
        <v>244</v>
      </c>
      <c r="F62" s="58" t="s">
        <v>259</v>
      </c>
      <c r="G62" s="58" t="s">
        <v>26</v>
      </c>
      <c r="H62" s="214">
        <f>1000*-4059.471379167</f>
        <v>-4059471.3791670003</v>
      </c>
      <c r="I62" s="214">
        <f>1000*-336.596939399</f>
        <v>-336596.93939900002</v>
      </c>
      <c r="J62" s="213"/>
      <c r="K62" s="213"/>
      <c r="L62" s="213"/>
      <c r="M62" s="213"/>
      <c r="N62" s="213"/>
      <c r="O62" s="213"/>
      <c r="P62" s="213"/>
      <c r="Q62" s="213"/>
      <c r="R62" s="213"/>
      <c r="S62" s="213"/>
      <c r="T62" s="213"/>
      <c r="U62" s="213"/>
      <c r="V62" s="213"/>
      <c r="W62" s="213"/>
      <c r="X62" s="213"/>
      <c r="Y62" s="213">
        <f t="shared" ref="Y62:Y67" si="19">ROUND(SUM(J62:X62),0)</f>
        <v>0</v>
      </c>
      <c r="Z62" s="213">
        <f t="shared" ref="Z62:Z67" si="20">+Y62+I62</f>
        <v>-336596.93939900002</v>
      </c>
      <c r="AA62" s="213"/>
      <c r="AB62" s="213"/>
      <c r="AC62" s="213"/>
      <c r="AD62" s="213">
        <f t="shared" ref="AD62:AD67" si="21">+AC62+AB62</f>
        <v>0</v>
      </c>
      <c r="AE62" s="213"/>
      <c r="AF62" s="213">
        <f t="shared" ref="AF62:AF103" si="22">+AD62+Z62</f>
        <v>-336596.93939900002</v>
      </c>
      <c r="AG62" s="213">
        <f t="shared" ref="AG62:AG103" si="23">+AF62-Z62</f>
        <v>0</v>
      </c>
      <c r="AH62" s="213">
        <v>-336597</v>
      </c>
      <c r="AI62" s="213">
        <f t="shared" si="17"/>
        <v>0</v>
      </c>
      <c r="AJ62" s="68"/>
    </row>
    <row r="63" spans="1:36">
      <c r="A63" s="58" t="s">
        <v>256</v>
      </c>
      <c r="B63" s="58" t="s">
        <v>257</v>
      </c>
      <c r="C63" s="58" t="s">
        <v>260</v>
      </c>
      <c r="D63" s="58">
        <f t="shared" si="7"/>
        <v>54</v>
      </c>
      <c r="E63" s="132" t="s">
        <v>244</v>
      </c>
      <c r="F63" s="58" t="s">
        <v>261</v>
      </c>
      <c r="G63" s="58" t="s">
        <v>262</v>
      </c>
      <c r="H63" s="214">
        <v>-1845519.3454916601</v>
      </c>
      <c r="I63" s="214">
        <f>1000*-127926.774312483</f>
        <v>-127926774.312483</v>
      </c>
      <c r="J63" s="213"/>
      <c r="K63" s="213"/>
      <c r="L63" s="213"/>
      <c r="M63" s="213"/>
      <c r="N63" s="213">
        <v>1572142</v>
      </c>
      <c r="O63" s="213"/>
      <c r="P63" s="213"/>
      <c r="Q63" s="213"/>
      <c r="R63" s="213"/>
      <c r="S63" s="213"/>
      <c r="T63" s="213"/>
      <c r="U63" s="213"/>
      <c r="V63" s="213"/>
      <c r="W63" s="213"/>
      <c r="X63" s="213"/>
      <c r="Y63" s="213">
        <f t="shared" si="19"/>
        <v>1572142</v>
      </c>
      <c r="Z63" s="213">
        <f t="shared" si="20"/>
        <v>-126354632.312483</v>
      </c>
      <c r="AA63" s="213"/>
      <c r="AB63" s="213"/>
      <c r="AC63" s="213"/>
      <c r="AD63" s="213">
        <f t="shared" si="21"/>
        <v>0</v>
      </c>
      <c r="AE63" s="213"/>
      <c r="AF63" s="213">
        <f t="shared" si="22"/>
        <v>-126354632.312483</v>
      </c>
      <c r="AG63" s="213">
        <f t="shared" si="23"/>
        <v>0</v>
      </c>
      <c r="AH63" s="213">
        <v>-126354632</v>
      </c>
      <c r="AI63" s="213">
        <f>ROUND(+AF63-AH63,0)</f>
        <v>0</v>
      </c>
      <c r="AJ63" s="68"/>
    </row>
    <row r="64" spans="1:36">
      <c r="A64" s="58" t="s">
        <v>256</v>
      </c>
      <c r="B64" s="58" t="s">
        <v>257</v>
      </c>
      <c r="C64" s="58" t="s">
        <v>263</v>
      </c>
      <c r="D64" s="58">
        <f t="shared" si="7"/>
        <v>55</v>
      </c>
      <c r="E64" s="193" t="s">
        <v>22</v>
      </c>
      <c r="F64" s="58" t="s">
        <v>264</v>
      </c>
      <c r="G64" s="58" t="s">
        <v>30</v>
      </c>
      <c r="H64" s="214">
        <f>1000*792.756458333</f>
        <v>792756.45833299996</v>
      </c>
      <c r="I64" s="214">
        <f>1000*58.730329254</f>
        <v>58730.329253999997</v>
      </c>
      <c r="J64" s="213"/>
      <c r="K64" s="213"/>
      <c r="L64" s="213"/>
      <c r="M64" s="213"/>
      <c r="N64" s="213"/>
      <c r="O64" s="213"/>
      <c r="P64" s="213"/>
      <c r="Q64" s="213"/>
      <c r="R64" s="213"/>
      <c r="S64" s="213"/>
      <c r="T64" s="213"/>
      <c r="U64" s="213"/>
      <c r="V64" s="213"/>
      <c r="W64" s="213"/>
      <c r="X64" s="213"/>
      <c r="Y64" s="213">
        <f t="shared" si="19"/>
        <v>0</v>
      </c>
      <c r="Z64" s="213">
        <f t="shared" si="20"/>
        <v>58730.329253999997</v>
      </c>
      <c r="AA64" s="213"/>
      <c r="AB64" s="213"/>
      <c r="AC64" s="213">
        <f t="shared" ref="AC64:AC67" si="24">-Z64</f>
        <v>-58730.329253999997</v>
      </c>
      <c r="AD64" s="213">
        <f t="shared" si="21"/>
        <v>-58730.329253999997</v>
      </c>
      <c r="AE64" s="213"/>
      <c r="AF64" s="213">
        <f t="shared" si="22"/>
        <v>0</v>
      </c>
      <c r="AG64" s="213">
        <f t="shared" si="23"/>
        <v>-58730.329253999997</v>
      </c>
      <c r="AH64" s="213"/>
      <c r="AI64" s="213">
        <f t="shared" si="6"/>
        <v>0</v>
      </c>
      <c r="AJ64" s="68"/>
    </row>
    <row r="65" spans="1:36">
      <c r="A65" s="58" t="s">
        <v>256</v>
      </c>
      <c r="B65" s="58" t="s">
        <v>257</v>
      </c>
      <c r="C65" s="58" t="s">
        <v>265</v>
      </c>
      <c r="D65" s="58">
        <f t="shared" si="7"/>
        <v>56</v>
      </c>
      <c r="E65" s="193" t="s">
        <v>22</v>
      </c>
      <c r="F65" s="58" t="s">
        <v>266</v>
      </c>
      <c r="G65" s="58" t="s">
        <v>30</v>
      </c>
      <c r="H65" s="214">
        <f>1000*-5861.603322917</f>
        <v>-5861603.3229169995</v>
      </c>
      <c r="I65" s="214">
        <f>1000*-434.249244509</f>
        <v>-434249.24450899998</v>
      </c>
      <c r="J65" s="213"/>
      <c r="K65" s="213"/>
      <c r="L65" s="213"/>
      <c r="M65" s="213"/>
      <c r="N65" s="213"/>
      <c r="O65" s="213"/>
      <c r="P65" s="213"/>
      <c r="Q65" s="213"/>
      <c r="R65" s="213"/>
      <c r="S65" s="213"/>
      <c r="T65" s="213"/>
      <c r="U65" s="213"/>
      <c r="V65" s="213"/>
      <c r="W65" s="213"/>
      <c r="X65" s="213"/>
      <c r="Y65" s="213">
        <f t="shared" si="19"/>
        <v>0</v>
      </c>
      <c r="Z65" s="213">
        <f t="shared" si="20"/>
        <v>-434249.24450899998</v>
      </c>
      <c r="AA65" s="213"/>
      <c r="AB65" s="213"/>
      <c r="AC65" s="213">
        <f t="shared" si="24"/>
        <v>434249.24450899998</v>
      </c>
      <c r="AD65" s="213">
        <f t="shared" si="21"/>
        <v>434249.24450899998</v>
      </c>
      <c r="AE65" s="213"/>
      <c r="AF65" s="213">
        <f t="shared" si="22"/>
        <v>0</v>
      </c>
      <c r="AG65" s="213">
        <f t="shared" si="23"/>
        <v>434249.24450899998</v>
      </c>
      <c r="AH65" s="213"/>
      <c r="AI65" s="213">
        <f t="shared" si="6"/>
        <v>0</v>
      </c>
      <c r="AJ65" s="68"/>
    </row>
    <row r="66" spans="1:36">
      <c r="A66" s="58" t="s">
        <v>256</v>
      </c>
      <c r="B66" s="58" t="s">
        <v>257</v>
      </c>
      <c r="C66" s="58" t="s">
        <v>267</v>
      </c>
      <c r="D66" s="58">
        <f t="shared" si="7"/>
        <v>57</v>
      </c>
      <c r="E66" s="193" t="s">
        <v>22</v>
      </c>
      <c r="F66" s="58" t="s">
        <v>268</v>
      </c>
      <c r="G66" s="58" t="s">
        <v>30</v>
      </c>
      <c r="H66" s="214">
        <f>1000*219.393220833</f>
        <v>219393.220833</v>
      </c>
      <c r="I66" s="214">
        <f>1000*16.253460896</f>
        <v>16253.460896000001</v>
      </c>
      <c r="J66" s="213"/>
      <c r="K66" s="213"/>
      <c r="L66" s="213"/>
      <c r="M66" s="213"/>
      <c r="N66" s="213"/>
      <c r="O66" s="213"/>
      <c r="P66" s="213"/>
      <c r="Q66" s="213"/>
      <c r="R66" s="213"/>
      <c r="S66" s="213"/>
      <c r="T66" s="213"/>
      <c r="U66" s="213"/>
      <c r="V66" s="213"/>
      <c r="W66" s="213"/>
      <c r="X66" s="213"/>
      <c r="Y66" s="213">
        <f t="shared" si="19"/>
        <v>0</v>
      </c>
      <c r="Z66" s="213">
        <f t="shared" si="20"/>
        <v>16253.460896000001</v>
      </c>
      <c r="AA66" s="213"/>
      <c r="AB66" s="213"/>
      <c r="AC66" s="213">
        <f t="shared" si="24"/>
        <v>-16253.460896000001</v>
      </c>
      <c r="AD66" s="213">
        <f t="shared" si="21"/>
        <v>-16253.460896000001</v>
      </c>
      <c r="AE66" s="213"/>
      <c r="AF66" s="213">
        <f t="shared" si="22"/>
        <v>0</v>
      </c>
      <c r="AG66" s="213">
        <f t="shared" si="23"/>
        <v>-16253.460896000001</v>
      </c>
      <c r="AH66" s="213"/>
      <c r="AI66" s="213">
        <f t="shared" si="6"/>
        <v>0</v>
      </c>
      <c r="AJ66" s="68"/>
    </row>
    <row r="67" spans="1:36">
      <c r="A67" s="58" t="s">
        <v>256</v>
      </c>
      <c r="B67" s="58" t="s">
        <v>257</v>
      </c>
      <c r="C67" s="58" t="s">
        <v>269</v>
      </c>
      <c r="D67" s="58">
        <f t="shared" si="7"/>
        <v>58</v>
      </c>
      <c r="E67" s="193" t="s">
        <v>22</v>
      </c>
      <c r="F67" s="58" t="s">
        <v>270</v>
      </c>
      <c r="G67" s="58" t="s">
        <v>30</v>
      </c>
      <c r="H67" s="214">
        <f>1000*-41.78325</f>
        <v>-41783.25</v>
      </c>
      <c r="I67" s="214">
        <f>1000*-3.095457633</f>
        <v>-3095.457633</v>
      </c>
      <c r="J67" s="213"/>
      <c r="K67" s="213"/>
      <c r="L67" s="213"/>
      <c r="M67" s="213"/>
      <c r="N67" s="213"/>
      <c r="O67" s="213"/>
      <c r="P67" s="213"/>
      <c r="Q67" s="213"/>
      <c r="R67" s="213"/>
      <c r="S67" s="213"/>
      <c r="T67" s="213"/>
      <c r="U67" s="213"/>
      <c r="V67" s="213"/>
      <c r="W67" s="213"/>
      <c r="X67" s="213"/>
      <c r="Y67" s="213">
        <f t="shared" si="19"/>
        <v>0</v>
      </c>
      <c r="Z67" s="213">
        <f t="shared" si="20"/>
        <v>-3095.457633</v>
      </c>
      <c r="AA67" s="213"/>
      <c r="AB67" s="213"/>
      <c r="AC67" s="213">
        <f t="shared" si="24"/>
        <v>3095.457633</v>
      </c>
      <c r="AD67" s="213">
        <f t="shared" si="21"/>
        <v>3095.457633</v>
      </c>
      <c r="AE67" s="213"/>
      <c r="AF67" s="213">
        <f t="shared" si="22"/>
        <v>0</v>
      </c>
      <c r="AG67" s="213">
        <f t="shared" si="23"/>
        <v>3095.457633</v>
      </c>
      <c r="AH67" s="213"/>
      <c r="AI67" s="213">
        <f t="shared" si="6"/>
        <v>0</v>
      </c>
      <c r="AJ67" s="68"/>
    </row>
    <row r="68" spans="1:36" collapsed="1">
      <c r="A68" s="63" t="s">
        <v>271</v>
      </c>
      <c r="B68" s="58"/>
      <c r="C68" s="63"/>
      <c r="D68" s="58">
        <f t="shared" si="7"/>
        <v>59</v>
      </c>
      <c r="E68" s="202" t="s">
        <v>549</v>
      </c>
      <c r="F68" s="63"/>
      <c r="G68" s="63"/>
      <c r="H68" s="215"/>
      <c r="I68" s="215">
        <f t="shared" ref="I68:Z68" si="25">SUM(I62:I67)</f>
        <v>-128625732.163874</v>
      </c>
      <c r="J68" s="215">
        <f t="shared" si="25"/>
        <v>0</v>
      </c>
      <c r="K68" s="215">
        <f t="shared" si="25"/>
        <v>0</v>
      </c>
      <c r="L68" s="215">
        <f t="shared" si="25"/>
        <v>0</v>
      </c>
      <c r="M68" s="215">
        <f t="shared" si="25"/>
        <v>0</v>
      </c>
      <c r="N68" s="215">
        <f t="shared" si="25"/>
        <v>1572142</v>
      </c>
      <c r="O68" s="215">
        <f t="shared" si="25"/>
        <v>0</v>
      </c>
      <c r="P68" s="215">
        <f t="shared" si="25"/>
        <v>0</v>
      </c>
      <c r="Q68" s="215">
        <f t="shared" si="25"/>
        <v>0</v>
      </c>
      <c r="R68" s="215">
        <f t="shared" si="25"/>
        <v>0</v>
      </c>
      <c r="S68" s="215">
        <f t="shared" si="25"/>
        <v>0</v>
      </c>
      <c r="T68" s="215">
        <f t="shared" si="25"/>
        <v>0</v>
      </c>
      <c r="U68" s="215">
        <f t="shared" si="25"/>
        <v>0</v>
      </c>
      <c r="V68" s="215">
        <f t="shared" si="25"/>
        <v>0</v>
      </c>
      <c r="W68" s="215">
        <f t="shared" si="25"/>
        <v>0</v>
      </c>
      <c r="X68" s="215">
        <f t="shared" si="25"/>
        <v>0</v>
      </c>
      <c r="Y68" s="215">
        <f t="shared" si="25"/>
        <v>1572142</v>
      </c>
      <c r="Z68" s="215">
        <f t="shared" si="25"/>
        <v>-127053590.163874</v>
      </c>
      <c r="AA68" s="215">
        <f t="shared" ref="AA68:AB68" si="26">SUM(AA62:AA67)</f>
        <v>0</v>
      </c>
      <c r="AB68" s="215">
        <f t="shared" si="26"/>
        <v>0</v>
      </c>
      <c r="AC68" s="215">
        <f>SUM(AC62:AC67)</f>
        <v>362360.91199200001</v>
      </c>
      <c r="AD68" s="215">
        <f>SUM(AD62:AD67)</f>
        <v>362360.91199200001</v>
      </c>
      <c r="AE68" s="216"/>
      <c r="AF68" s="216">
        <f t="shared" si="22"/>
        <v>-126691229.251882</v>
      </c>
      <c r="AG68" s="216">
        <f t="shared" si="23"/>
        <v>362360.91199199855</v>
      </c>
      <c r="AH68" s="216">
        <f>SUM(AH62:AH67)</f>
        <v>-126691229</v>
      </c>
      <c r="AI68" s="216">
        <f>ROUND(SUM(AI62:AI67),0)</f>
        <v>0</v>
      </c>
      <c r="AJ68" s="68"/>
    </row>
    <row r="69" spans="1:36">
      <c r="A69" s="58" t="s">
        <v>272</v>
      </c>
      <c r="B69" s="58" t="s">
        <v>273</v>
      </c>
      <c r="C69" s="58" t="s">
        <v>274</v>
      </c>
      <c r="D69" s="58">
        <f t="shared" si="7"/>
        <v>60</v>
      </c>
      <c r="E69" s="193" t="s">
        <v>22</v>
      </c>
      <c r="F69" s="65" t="s">
        <v>295</v>
      </c>
      <c r="G69" s="65" t="s">
        <v>57</v>
      </c>
      <c r="H69" s="217">
        <f>1000*-1.312054167</f>
        <v>-1312.054167</v>
      </c>
      <c r="I69" s="217">
        <f>1000*-0.289794473</f>
        <v>-289.79447299999998</v>
      </c>
      <c r="J69" s="213"/>
      <c r="K69" s="213"/>
      <c r="L69" s="213"/>
      <c r="M69" s="213"/>
      <c r="N69" s="213"/>
      <c r="O69" s="213"/>
      <c r="P69" s="213"/>
      <c r="Q69" s="213"/>
      <c r="R69" s="213"/>
      <c r="S69" s="213"/>
      <c r="T69" s="213"/>
      <c r="U69" s="213">
        <v>290</v>
      </c>
      <c r="V69" s="213"/>
      <c r="W69" s="213"/>
      <c r="X69" s="213"/>
      <c r="Y69" s="213">
        <f t="shared" ref="Y69:Y103" si="27">SUM(J69:X69)</f>
        <v>290</v>
      </c>
      <c r="Z69" s="213">
        <f t="shared" ref="Z69:Z103" si="28">+Y69+I69</f>
        <v>0.20552700000001778</v>
      </c>
      <c r="AA69" s="213"/>
      <c r="AB69" s="213"/>
      <c r="AC69" s="213">
        <f>-Z69</f>
        <v>-0.20552700000001778</v>
      </c>
      <c r="AD69" s="213">
        <f>ROUND(+AC69+AB69,0)</f>
        <v>0</v>
      </c>
      <c r="AE69" s="213"/>
      <c r="AF69" s="213">
        <f>ROUND(+AD69+Z69,0)</f>
        <v>0</v>
      </c>
      <c r="AG69" s="213">
        <f t="shared" si="23"/>
        <v>-0.20552700000001778</v>
      </c>
      <c r="AH69" s="213"/>
      <c r="AI69" s="213">
        <f t="shared" si="6"/>
        <v>0</v>
      </c>
      <c r="AJ69" s="68"/>
    </row>
    <row r="70" spans="1:36">
      <c r="A70" s="58" t="s">
        <v>272</v>
      </c>
      <c r="B70" s="58" t="s">
        <v>273</v>
      </c>
      <c r="C70" s="58" t="s">
        <v>276</v>
      </c>
      <c r="D70" s="58">
        <f t="shared" si="7"/>
        <v>61</v>
      </c>
      <c r="E70" s="193" t="s">
        <v>22</v>
      </c>
      <c r="F70" s="65" t="s">
        <v>297</v>
      </c>
      <c r="G70" s="65" t="s">
        <v>57</v>
      </c>
      <c r="H70" s="217">
        <f>1000*-471.4087625</f>
        <v>-471408.76250000001</v>
      </c>
      <c r="I70" s="217">
        <f>1000*-104.120437572</f>
        <v>-104120.437572</v>
      </c>
      <c r="J70" s="213"/>
      <c r="K70" s="213"/>
      <c r="L70" s="213"/>
      <c r="M70" s="213"/>
      <c r="N70" s="213"/>
      <c r="O70" s="213"/>
      <c r="P70" s="213"/>
      <c r="Q70" s="213"/>
      <c r="R70" s="213"/>
      <c r="S70" s="213"/>
      <c r="T70" s="213"/>
      <c r="U70" s="213">
        <f>1000*104.12</f>
        <v>104120</v>
      </c>
      <c r="V70" s="213"/>
      <c r="W70" s="213"/>
      <c r="X70" s="213"/>
      <c r="Y70" s="213">
        <f t="shared" si="27"/>
        <v>104120</v>
      </c>
      <c r="Z70" s="213">
        <f t="shared" si="28"/>
        <v>-0.43757199999527074</v>
      </c>
      <c r="AA70" s="213"/>
      <c r="AB70" s="213"/>
      <c r="AC70" s="213">
        <f>-Z70</f>
        <v>0.43757199999527074</v>
      </c>
      <c r="AD70" s="213">
        <f t="shared" ref="AD70:AD103" si="29">+AC70+AB70</f>
        <v>0.43757199999527074</v>
      </c>
      <c r="AE70" s="213"/>
      <c r="AF70" s="213">
        <f t="shared" si="22"/>
        <v>0</v>
      </c>
      <c r="AG70" s="213">
        <f t="shared" si="23"/>
        <v>0.43757199999527074</v>
      </c>
      <c r="AH70" s="213"/>
      <c r="AI70" s="213">
        <f t="shared" si="6"/>
        <v>0</v>
      </c>
      <c r="AJ70" s="68"/>
    </row>
    <row r="71" spans="1:36">
      <c r="A71" s="58" t="s">
        <v>272</v>
      </c>
      <c r="B71" s="58" t="s">
        <v>273</v>
      </c>
      <c r="C71" s="58" t="s">
        <v>278</v>
      </c>
      <c r="D71" s="58">
        <f t="shared" si="7"/>
        <v>62</v>
      </c>
      <c r="E71" s="193" t="s">
        <v>22</v>
      </c>
      <c r="F71" s="65" t="s">
        <v>299</v>
      </c>
      <c r="G71" s="65" t="s">
        <v>57</v>
      </c>
      <c r="H71" s="217">
        <f>1000*-1794.595177083</f>
        <v>-1794595.1770829998</v>
      </c>
      <c r="I71" s="217">
        <f>1000*-396.373699357</f>
        <v>-396373.699357</v>
      </c>
      <c r="J71" s="213"/>
      <c r="K71" s="213"/>
      <c r="L71" s="213"/>
      <c r="M71" s="213"/>
      <c r="N71" s="213"/>
      <c r="O71" s="213"/>
      <c r="P71" s="213"/>
      <c r="Q71" s="213"/>
      <c r="R71" s="213"/>
      <c r="S71" s="213"/>
      <c r="T71" s="213"/>
      <c r="U71" s="213">
        <f>1000*396.374</f>
        <v>396374</v>
      </c>
      <c r="V71" s="213"/>
      <c r="W71" s="213"/>
      <c r="X71" s="213"/>
      <c r="Y71" s="213">
        <f t="shared" si="27"/>
        <v>396374</v>
      </c>
      <c r="Z71" s="213">
        <f t="shared" si="28"/>
        <v>0.30064299999503419</v>
      </c>
      <c r="AA71" s="213"/>
      <c r="AB71" s="213"/>
      <c r="AC71" s="213">
        <f>-Z71</f>
        <v>-0.30064299999503419</v>
      </c>
      <c r="AD71" s="213">
        <f t="shared" si="29"/>
        <v>-0.30064299999503419</v>
      </c>
      <c r="AE71" s="213"/>
      <c r="AF71" s="213">
        <f t="shared" si="22"/>
        <v>0</v>
      </c>
      <c r="AG71" s="213">
        <f t="shared" si="23"/>
        <v>-0.30064299999503419</v>
      </c>
      <c r="AH71" s="213"/>
      <c r="AI71" s="213">
        <f t="shared" si="6"/>
        <v>0</v>
      </c>
      <c r="AJ71" s="68"/>
    </row>
    <row r="72" spans="1:36">
      <c r="A72" s="58" t="s">
        <v>272</v>
      </c>
      <c r="B72" s="58" t="s">
        <v>273</v>
      </c>
      <c r="C72" s="58" t="s">
        <v>280</v>
      </c>
      <c r="D72" s="58">
        <f t="shared" si="7"/>
        <v>63</v>
      </c>
      <c r="E72" s="193" t="s">
        <v>22</v>
      </c>
      <c r="F72" s="65" t="s">
        <v>301</v>
      </c>
      <c r="G72" s="65" t="s">
        <v>30</v>
      </c>
      <c r="H72" s="217">
        <f>1000*-916.942625</f>
        <v>-916942.625</v>
      </c>
      <c r="I72" s="217">
        <f>1000*-67.93</f>
        <v>-67930</v>
      </c>
      <c r="J72" s="213"/>
      <c r="K72" s="213"/>
      <c r="L72" s="213"/>
      <c r="M72" s="213"/>
      <c r="N72" s="213"/>
      <c r="O72" s="213"/>
      <c r="P72" s="213"/>
      <c r="Q72" s="213"/>
      <c r="R72" s="213"/>
      <c r="S72" s="213"/>
      <c r="T72" s="213"/>
      <c r="U72" s="213">
        <f>1000*67.93</f>
        <v>67930</v>
      </c>
      <c r="V72" s="213"/>
      <c r="W72" s="213"/>
      <c r="X72" s="213"/>
      <c r="Y72" s="213">
        <f t="shared" si="27"/>
        <v>67930</v>
      </c>
      <c r="Z72" s="213">
        <f t="shared" si="28"/>
        <v>0</v>
      </c>
      <c r="AA72" s="213"/>
      <c r="AB72" s="213"/>
      <c r="AC72" s="213">
        <f>-Z72</f>
        <v>0</v>
      </c>
      <c r="AD72" s="213">
        <f t="shared" si="29"/>
        <v>0</v>
      </c>
      <c r="AE72" s="213"/>
      <c r="AF72" s="213">
        <f t="shared" si="22"/>
        <v>0</v>
      </c>
      <c r="AG72" s="213">
        <f t="shared" si="23"/>
        <v>0</v>
      </c>
      <c r="AH72" s="213"/>
      <c r="AI72" s="213">
        <f t="shared" si="6"/>
        <v>0</v>
      </c>
      <c r="AJ72" s="68"/>
    </row>
    <row r="73" spans="1:36">
      <c r="A73" s="65" t="s">
        <v>272</v>
      </c>
      <c r="B73" s="65" t="s">
        <v>273</v>
      </c>
      <c r="C73" s="65" t="s">
        <v>282</v>
      </c>
      <c r="D73" s="58">
        <f t="shared" si="7"/>
        <v>64</v>
      </c>
      <c r="E73" s="193" t="s">
        <v>22</v>
      </c>
      <c r="F73" s="65" t="s">
        <v>306</v>
      </c>
      <c r="G73" s="65" t="s">
        <v>40</v>
      </c>
      <c r="H73" s="217">
        <f>1000*-15492.972741667</f>
        <v>-15492972.741666999</v>
      </c>
      <c r="I73" s="217">
        <f>1000*-1147.776698223</f>
        <v>-1147776.6982229999</v>
      </c>
      <c r="J73" s="213"/>
      <c r="K73" s="213"/>
      <c r="L73" s="213"/>
      <c r="M73" s="213"/>
      <c r="N73" s="213"/>
      <c r="O73" s="213"/>
      <c r="P73" s="213"/>
      <c r="Q73" s="213"/>
      <c r="R73" s="213"/>
      <c r="S73" s="213"/>
      <c r="T73" s="213"/>
      <c r="U73" s="213">
        <f>1000*1147.777</f>
        <v>1147777</v>
      </c>
      <c r="V73" s="213"/>
      <c r="W73" s="213"/>
      <c r="X73" s="213"/>
      <c r="Y73" s="213">
        <f t="shared" si="27"/>
        <v>1147777</v>
      </c>
      <c r="Z73" s="213">
        <f t="shared" si="28"/>
        <v>0.30177700007334352</v>
      </c>
      <c r="AA73" s="213"/>
      <c r="AB73" s="213"/>
      <c r="AC73" s="213">
        <f>-Z73</f>
        <v>-0.30177700007334352</v>
      </c>
      <c r="AD73" s="213">
        <f t="shared" si="29"/>
        <v>-0.30177700007334352</v>
      </c>
      <c r="AE73" s="213"/>
      <c r="AF73" s="213">
        <f t="shared" si="22"/>
        <v>0</v>
      </c>
      <c r="AG73" s="213">
        <f t="shared" si="23"/>
        <v>-0.30177700007334352</v>
      </c>
      <c r="AH73" s="213"/>
      <c r="AI73" s="213">
        <f t="shared" si="6"/>
        <v>0</v>
      </c>
      <c r="AJ73" s="68"/>
    </row>
    <row r="74" spans="1:36">
      <c r="A74" s="65" t="s">
        <v>272</v>
      </c>
      <c r="B74" s="65" t="s">
        <v>273</v>
      </c>
      <c r="C74" s="65" t="s">
        <v>231</v>
      </c>
      <c r="D74" s="58">
        <f t="shared" si="7"/>
        <v>65</v>
      </c>
      <c r="E74" s="193" t="s">
        <v>22</v>
      </c>
      <c r="F74" s="58" t="s">
        <v>277</v>
      </c>
      <c r="G74" s="58" t="s">
        <v>30</v>
      </c>
      <c r="H74" s="214">
        <f>1000*-781.077833333</f>
        <v>-781077.83333299996</v>
      </c>
      <c r="I74" s="214">
        <f>1000*-57.865133538</f>
        <v>-57865.133538000002</v>
      </c>
      <c r="J74" s="213"/>
      <c r="K74" s="213"/>
      <c r="L74" s="213"/>
      <c r="M74" s="213"/>
      <c r="N74" s="213"/>
      <c r="O74" s="213"/>
      <c r="P74" s="213"/>
      <c r="Q74" s="213"/>
      <c r="R74" s="213"/>
      <c r="S74" s="213"/>
      <c r="T74" s="213"/>
      <c r="U74" s="213"/>
      <c r="V74" s="213"/>
      <c r="W74" s="213"/>
      <c r="X74" s="213"/>
      <c r="Y74" s="213">
        <f t="shared" si="27"/>
        <v>0</v>
      </c>
      <c r="Z74" s="213">
        <f t="shared" si="28"/>
        <v>-57865.133538000002</v>
      </c>
      <c r="AA74" s="213"/>
      <c r="AB74" s="213"/>
      <c r="AC74" s="213">
        <f t="shared" ref="AC74:AC76" si="30">-Z74</f>
        <v>57865.133538000002</v>
      </c>
      <c r="AD74" s="213">
        <f t="shared" si="29"/>
        <v>57865.133538000002</v>
      </c>
      <c r="AE74" s="213"/>
      <c r="AF74" s="213">
        <f t="shared" si="22"/>
        <v>0</v>
      </c>
      <c r="AG74" s="213">
        <f t="shared" si="23"/>
        <v>57865.133538000002</v>
      </c>
      <c r="AH74" s="213"/>
      <c r="AI74" s="213">
        <f t="shared" si="6"/>
        <v>0</v>
      </c>
      <c r="AJ74" s="68"/>
    </row>
    <row r="75" spans="1:36">
      <c r="A75" s="65" t="s">
        <v>272</v>
      </c>
      <c r="B75" s="65" t="s">
        <v>273</v>
      </c>
      <c r="C75" s="65" t="s">
        <v>233</v>
      </c>
      <c r="D75" s="58">
        <f t="shared" si="7"/>
        <v>66</v>
      </c>
      <c r="E75" s="193" t="s">
        <v>22</v>
      </c>
      <c r="F75" s="58" t="s">
        <v>279</v>
      </c>
      <c r="G75" s="58" t="s">
        <v>36</v>
      </c>
      <c r="H75" s="214">
        <f>1000*1187.206125</f>
        <v>1187206.125</v>
      </c>
      <c r="I75" s="214">
        <f>1000*1187.206125</f>
        <v>1187206.125</v>
      </c>
      <c r="J75" s="213"/>
      <c r="K75" s="213"/>
      <c r="L75" s="213"/>
      <c r="M75" s="213"/>
      <c r="N75" s="213"/>
      <c r="O75" s="213"/>
      <c r="P75" s="213"/>
      <c r="Q75" s="213"/>
      <c r="R75" s="213"/>
      <c r="S75" s="213"/>
      <c r="T75" s="213"/>
      <c r="U75" s="213"/>
      <c r="V75" s="213"/>
      <c r="W75" s="213"/>
      <c r="X75" s="213"/>
      <c r="Y75" s="213">
        <f t="shared" si="27"/>
        <v>0</v>
      </c>
      <c r="Z75" s="213">
        <f t="shared" si="28"/>
        <v>1187206.125</v>
      </c>
      <c r="AA75" s="213"/>
      <c r="AB75" s="213"/>
      <c r="AC75" s="213">
        <f t="shared" si="30"/>
        <v>-1187206.125</v>
      </c>
      <c r="AD75" s="213">
        <f t="shared" si="29"/>
        <v>-1187206.125</v>
      </c>
      <c r="AE75" s="213"/>
      <c r="AF75" s="213">
        <f t="shared" si="22"/>
        <v>0</v>
      </c>
      <c r="AG75" s="213">
        <f t="shared" si="23"/>
        <v>-1187206.125</v>
      </c>
      <c r="AH75" s="213"/>
      <c r="AI75" s="213">
        <f t="shared" ref="AI75:AI108" si="31">+AF75-AH75</f>
        <v>0</v>
      </c>
      <c r="AJ75" s="68"/>
    </row>
    <row r="76" spans="1:36">
      <c r="A76" s="65" t="s">
        <v>272</v>
      </c>
      <c r="B76" s="65" t="s">
        <v>273</v>
      </c>
      <c r="C76" s="65" t="s">
        <v>310</v>
      </c>
      <c r="D76" s="58">
        <f t="shared" ref="D76:D109" si="32">1+D75</f>
        <v>67</v>
      </c>
      <c r="E76" s="193" t="s">
        <v>22</v>
      </c>
      <c r="F76" s="65" t="s">
        <v>303</v>
      </c>
      <c r="G76" s="65" t="s">
        <v>34</v>
      </c>
      <c r="H76" s="217">
        <f>1000*-6294.7455875</f>
        <v>-6294745.5874999994</v>
      </c>
      <c r="I76" s="217">
        <f>1000*-452.73055366</f>
        <v>-452730.55365999998</v>
      </c>
      <c r="J76" s="213"/>
      <c r="K76" s="213"/>
      <c r="L76" s="213"/>
      <c r="M76" s="213"/>
      <c r="N76" s="213"/>
      <c r="O76" s="213"/>
      <c r="P76" s="213"/>
      <c r="Q76" s="213"/>
      <c r="R76" s="213"/>
      <c r="S76" s="213"/>
      <c r="T76" s="213"/>
      <c r="U76" s="213"/>
      <c r="V76" s="213"/>
      <c r="W76" s="213"/>
      <c r="X76" s="213"/>
      <c r="Y76" s="213">
        <f t="shared" si="27"/>
        <v>0</v>
      </c>
      <c r="Z76" s="213">
        <f t="shared" si="28"/>
        <v>-452730.55365999998</v>
      </c>
      <c r="AA76" s="213"/>
      <c r="AB76" s="213"/>
      <c r="AC76" s="213">
        <f t="shared" si="30"/>
        <v>452730.55365999998</v>
      </c>
      <c r="AD76" s="213">
        <f t="shared" si="29"/>
        <v>452730.55365999998</v>
      </c>
      <c r="AE76" s="213"/>
      <c r="AF76" s="213">
        <f t="shared" si="22"/>
        <v>0</v>
      </c>
      <c r="AG76" s="213">
        <f t="shared" si="23"/>
        <v>452730.55365999998</v>
      </c>
      <c r="AH76" s="213"/>
      <c r="AI76" s="213">
        <f t="shared" si="31"/>
        <v>0</v>
      </c>
      <c r="AJ76" s="68"/>
    </row>
    <row r="77" spans="1:36">
      <c r="A77" s="65" t="s">
        <v>272</v>
      </c>
      <c r="B77" s="65" t="s">
        <v>273</v>
      </c>
      <c r="C77" s="65" t="s">
        <v>284</v>
      </c>
      <c r="D77" s="58">
        <f t="shared" si="32"/>
        <v>68</v>
      </c>
      <c r="E77" s="67" t="s">
        <v>50</v>
      </c>
      <c r="F77" s="65" t="s">
        <v>293</v>
      </c>
      <c r="G77" s="65" t="s">
        <v>42</v>
      </c>
      <c r="H77" s="217">
        <f>1000*-712.618610417</f>
        <v>-712618.61041700002</v>
      </c>
      <c r="I77" s="217">
        <f>1000*-56.227860237</f>
        <v>-56227.860237000001</v>
      </c>
      <c r="J77" s="213"/>
      <c r="K77" s="213"/>
      <c r="L77" s="213"/>
      <c r="M77" s="213"/>
      <c r="N77" s="213"/>
      <c r="O77" s="213"/>
      <c r="P77" s="213"/>
      <c r="Q77" s="213"/>
      <c r="R77" s="213"/>
      <c r="S77" s="213"/>
      <c r="T77" s="213"/>
      <c r="U77" s="213"/>
      <c r="V77" s="213"/>
      <c r="W77" s="213"/>
      <c r="X77" s="213"/>
      <c r="Y77" s="213">
        <f t="shared" si="27"/>
        <v>0</v>
      </c>
      <c r="Z77" s="213">
        <f t="shared" si="28"/>
        <v>-56227.860237000001</v>
      </c>
      <c r="AA77" s="213"/>
      <c r="AB77" s="213"/>
      <c r="AC77" s="213">
        <f t="shared" ref="AC77:AC87" si="33">-Z77</f>
        <v>56227.860237000001</v>
      </c>
      <c r="AD77" s="213">
        <f t="shared" si="29"/>
        <v>56227.860237000001</v>
      </c>
      <c r="AE77" s="213"/>
      <c r="AF77" s="213">
        <f t="shared" si="22"/>
        <v>0</v>
      </c>
      <c r="AG77" s="213">
        <f t="shared" si="23"/>
        <v>56227.860237000001</v>
      </c>
      <c r="AH77" s="213"/>
      <c r="AI77" s="213">
        <f t="shared" si="31"/>
        <v>0</v>
      </c>
      <c r="AJ77" s="68"/>
    </row>
    <row r="78" spans="1:36">
      <c r="A78" s="65" t="s">
        <v>272</v>
      </c>
      <c r="B78" s="65" t="s">
        <v>273</v>
      </c>
      <c r="C78" s="65" t="s">
        <v>286</v>
      </c>
      <c r="D78" s="58">
        <f t="shared" si="32"/>
        <v>69</v>
      </c>
      <c r="E78" s="67" t="s">
        <v>50</v>
      </c>
      <c r="F78" s="65" t="s">
        <v>304</v>
      </c>
      <c r="G78" s="65" t="s">
        <v>32</v>
      </c>
      <c r="H78" s="217">
        <f>1000*2113.05315625</f>
        <v>2113053.15625</v>
      </c>
      <c r="I78" s="217">
        <f>1000*451.29441712</f>
        <v>451294.41712</v>
      </c>
      <c r="J78" s="213"/>
      <c r="K78" s="213"/>
      <c r="L78" s="213"/>
      <c r="M78" s="213"/>
      <c r="N78" s="213"/>
      <c r="O78" s="213"/>
      <c r="P78" s="213"/>
      <c r="Q78" s="213"/>
      <c r="R78" s="213"/>
      <c r="S78" s="213"/>
      <c r="T78" s="213"/>
      <c r="U78" s="213"/>
      <c r="V78" s="213"/>
      <c r="W78" s="213"/>
      <c r="X78" s="213"/>
      <c r="Y78" s="213">
        <f t="shared" si="27"/>
        <v>0</v>
      </c>
      <c r="Z78" s="213">
        <f t="shared" si="28"/>
        <v>451294.41712</v>
      </c>
      <c r="AA78" s="213"/>
      <c r="AB78" s="213"/>
      <c r="AC78" s="213">
        <f t="shared" si="33"/>
        <v>-451294.41712</v>
      </c>
      <c r="AD78" s="213">
        <f t="shared" si="29"/>
        <v>-451294.41712</v>
      </c>
      <c r="AE78" s="213"/>
      <c r="AF78" s="213">
        <f t="shared" si="22"/>
        <v>0</v>
      </c>
      <c r="AG78" s="213">
        <f t="shared" si="23"/>
        <v>-451294.41712</v>
      </c>
      <c r="AH78" s="213"/>
      <c r="AI78" s="213">
        <f t="shared" si="31"/>
        <v>0</v>
      </c>
      <c r="AJ78" s="68"/>
    </row>
    <row r="79" spans="1:36">
      <c r="A79" s="65" t="s">
        <v>272</v>
      </c>
      <c r="B79" s="65" t="s">
        <v>273</v>
      </c>
      <c r="C79" s="65" t="s">
        <v>288</v>
      </c>
      <c r="D79" s="58">
        <f t="shared" si="32"/>
        <v>70</v>
      </c>
      <c r="E79" s="67" t="s">
        <v>50</v>
      </c>
      <c r="F79" s="65" t="s">
        <v>230</v>
      </c>
      <c r="G79" s="65" t="s">
        <v>32</v>
      </c>
      <c r="H79" s="217">
        <f>1000*76.79513125</f>
        <v>76795.131249999991</v>
      </c>
      <c r="I79" s="217">
        <f>1000*16.401487058</f>
        <v>16401.487058000002</v>
      </c>
      <c r="J79" s="213"/>
      <c r="K79" s="213"/>
      <c r="L79" s="213"/>
      <c r="M79" s="213"/>
      <c r="N79" s="213"/>
      <c r="O79" s="213"/>
      <c r="P79" s="213"/>
      <c r="Q79" s="213"/>
      <c r="R79" s="213"/>
      <c r="S79" s="213"/>
      <c r="T79" s="213"/>
      <c r="U79" s="213"/>
      <c r="V79" s="213"/>
      <c r="W79" s="213"/>
      <c r="X79" s="213"/>
      <c r="Y79" s="213">
        <f t="shared" si="27"/>
        <v>0</v>
      </c>
      <c r="Z79" s="213">
        <f t="shared" si="28"/>
        <v>16401.487058000002</v>
      </c>
      <c r="AA79" s="213"/>
      <c r="AB79" s="213"/>
      <c r="AC79" s="213">
        <f t="shared" si="33"/>
        <v>-16401.487058000002</v>
      </c>
      <c r="AD79" s="213">
        <f t="shared" si="29"/>
        <v>-16401.487058000002</v>
      </c>
      <c r="AE79" s="213"/>
      <c r="AF79" s="213">
        <f t="shared" si="22"/>
        <v>0</v>
      </c>
      <c r="AG79" s="213">
        <f t="shared" si="23"/>
        <v>-16401.487058000002</v>
      </c>
      <c r="AH79" s="213"/>
      <c r="AI79" s="213">
        <f t="shared" si="31"/>
        <v>0</v>
      </c>
      <c r="AJ79" s="68"/>
    </row>
    <row r="80" spans="1:36">
      <c r="A80" s="65" t="s">
        <v>272</v>
      </c>
      <c r="B80" s="65" t="s">
        <v>273</v>
      </c>
      <c r="C80" s="65" t="s">
        <v>290</v>
      </c>
      <c r="D80" s="58">
        <f t="shared" si="32"/>
        <v>71</v>
      </c>
      <c r="E80" s="67" t="s">
        <v>50</v>
      </c>
      <c r="F80" s="65" t="s">
        <v>307</v>
      </c>
      <c r="G80" s="65" t="s">
        <v>32</v>
      </c>
      <c r="H80" s="217">
        <f>1000*-490.373</f>
        <v>-490373</v>
      </c>
      <c r="I80" s="217">
        <f>1000*-104.731202124</f>
        <v>-104731.202124</v>
      </c>
      <c r="J80" s="213"/>
      <c r="K80" s="213"/>
      <c r="L80" s="213"/>
      <c r="M80" s="213"/>
      <c r="N80" s="213"/>
      <c r="O80" s="213">
        <v>-6500.5</v>
      </c>
      <c r="P80" s="213"/>
      <c r="Q80" s="213"/>
      <c r="R80" s="213"/>
      <c r="S80" s="213"/>
      <c r="T80" s="213"/>
      <c r="U80" s="213"/>
      <c r="V80" s="213"/>
      <c r="W80" s="213"/>
      <c r="X80" s="213"/>
      <c r="Y80" s="213">
        <f t="shared" si="27"/>
        <v>-6500.5</v>
      </c>
      <c r="Z80" s="213">
        <f t="shared" si="28"/>
        <v>-111231.702124</v>
      </c>
      <c r="AA80" s="213"/>
      <c r="AB80" s="213"/>
      <c r="AC80" s="213">
        <f t="shared" si="33"/>
        <v>111231.702124</v>
      </c>
      <c r="AD80" s="213">
        <f t="shared" si="29"/>
        <v>111231.702124</v>
      </c>
      <c r="AE80" s="213"/>
      <c r="AF80" s="213">
        <f t="shared" si="22"/>
        <v>0</v>
      </c>
      <c r="AG80" s="213">
        <f t="shared" si="23"/>
        <v>111231.702124</v>
      </c>
      <c r="AH80" s="213"/>
      <c r="AI80" s="213">
        <f t="shared" si="31"/>
        <v>0</v>
      </c>
      <c r="AJ80" s="68"/>
    </row>
    <row r="81" spans="1:36">
      <c r="A81" s="65" t="s">
        <v>272</v>
      </c>
      <c r="B81" s="65" t="s">
        <v>273</v>
      </c>
      <c r="C81" s="65" t="s">
        <v>292</v>
      </c>
      <c r="D81" s="58">
        <f t="shared" si="32"/>
        <v>72</v>
      </c>
      <c r="E81" s="67" t="s">
        <v>50</v>
      </c>
      <c r="F81" s="65" t="s">
        <v>234</v>
      </c>
      <c r="G81" s="65" t="s">
        <v>32</v>
      </c>
      <c r="H81" s="217">
        <f>1000*-14.092766667</f>
        <v>-14092.766667</v>
      </c>
      <c r="I81" s="217">
        <f>1000*-3.009856567</f>
        <v>-3009.8565669999998</v>
      </c>
      <c r="J81" s="213"/>
      <c r="K81" s="213"/>
      <c r="L81" s="213"/>
      <c r="M81" s="213"/>
      <c r="N81" s="213"/>
      <c r="O81" s="213"/>
      <c r="P81" s="213"/>
      <c r="Q81" s="213"/>
      <c r="R81" s="213"/>
      <c r="S81" s="213"/>
      <c r="T81" s="213"/>
      <c r="U81" s="213"/>
      <c r="V81" s="213"/>
      <c r="W81" s="213"/>
      <c r="X81" s="213"/>
      <c r="Y81" s="213">
        <f t="shared" si="27"/>
        <v>0</v>
      </c>
      <c r="Z81" s="213">
        <f t="shared" si="28"/>
        <v>-3009.8565669999998</v>
      </c>
      <c r="AA81" s="213"/>
      <c r="AB81" s="213"/>
      <c r="AC81" s="213">
        <f t="shared" si="33"/>
        <v>3009.8565669999998</v>
      </c>
      <c r="AD81" s="213">
        <f t="shared" si="29"/>
        <v>3009.8565669999998</v>
      </c>
      <c r="AE81" s="213"/>
      <c r="AF81" s="213">
        <f t="shared" si="22"/>
        <v>0</v>
      </c>
      <c r="AG81" s="213">
        <f t="shared" si="23"/>
        <v>3009.8565669999998</v>
      </c>
      <c r="AH81" s="213"/>
      <c r="AI81" s="213">
        <f t="shared" si="31"/>
        <v>0</v>
      </c>
      <c r="AJ81" s="68"/>
    </row>
    <row r="82" spans="1:36">
      <c r="A82" s="65" t="s">
        <v>272</v>
      </c>
      <c r="B82" s="65" t="s">
        <v>273</v>
      </c>
      <c r="C82" s="65" t="s">
        <v>294</v>
      </c>
      <c r="D82" s="58">
        <f t="shared" si="32"/>
        <v>73</v>
      </c>
      <c r="E82" s="67" t="s">
        <v>50</v>
      </c>
      <c r="F82" s="65" t="s">
        <v>236</v>
      </c>
      <c r="G82" s="65" t="s">
        <v>32</v>
      </c>
      <c r="H82" s="217">
        <f>1000*200.663433333</f>
        <v>200663.43333299999</v>
      </c>
      <c r="I82" s="217">
        <f>1000*42.856606288</f>
        <v>42856.606288000003</v>
      </c>
      <c r="J82" s="213"/>
      <c r="K82" s="213"/>
      <c r="L82" s="213"/>
      <c r="M82" s="213"/>
      <c r="N82" s="213"/>
      <c r="O82" s="213"/>
      <c r="P82" s="213"/>
      <c r="Q82" s="213"/>
      <c r="R82" s="213"/>
      <c r="S82" s="213"/>
      <c r="T82" s="213"/>
      <c r="U82" s="213"/>
      <c r="V82" s="213"/>
      <c r="W82" s="213"/>
      <c r="X82" s="213"/>
      <c r="Y82" s="213">
        <f t="shared" si="27"/>
        <v>0</v>
      </c>
      <c r="Z82" s="213">
        <f t="shared" si="28"/>
        <v>42856.606288000003</v>
      </c>
      <c r="AA82" s="213"/>
      <c r="AB82" s="213"/>
      <c r="AC82" s="213">
        <f t="shared" si="33"/>
        <v>-42856.606288000003</v>
      </c>
      <c r="AD82" s="213">
        <f t="shared" si="29"/>
        <v>-42856.606288000003</v>
      </c>
      <c r="AE82" s="213"/>
      <c r="AF82" s="213">
        <f t="shared" si="22"/>
        <v>0</v>
      </c>
      <c r="AG82" s="213">
        <f t="shared" si="23"/>
        <v>-42856.606288000003</v>
      </c>
      <c r="AH82" s="213"/>
      <c r="AI82" s="213">
        <f t="shared" si="31"/>
        <v>0</v>
      </c>
      <c r="AJ82" s="68"/>
    </row>
    <row r="83" spans="1:36">
      <c r="A83" s="65" t="s">
        <v>272</v>
      </c>
      <c r="B83" s="65" t="s">
        <v>273</v>
      </c>
      <c r="C83" s="65" t="s">
        <v>296</v>
      </c>
      <c r="D83" s="58">
        <f t="shared" si="32"/>
        <v>74</v>
      </c>
      <c r="E83" s="67" t="s">
        <v>50</v>
      </c>
      <c r="F83" s="65" t="s">
        <v>238</v>
      </c>
      <c r="G83" s="65" t="s">
        <v>32</v>
      </c>
      <c r="H83" s="217">
        <f>1000*271.1636375</f>
        <v>271163.63750000001</v>
      </c>
      <c r="I83" s="217">
        <f>1000*57.913657008</f>
        <v>57913.657008000002</v>
      </c>
      <c r="J83" s="213"/>
      <c r="K83" s="213"/>
      <c r="L83" s="213"/>
      <c r="M83" s="213"/>
      <c r="N83" s="213"/>
      <c r="O83" s="213"/>
      <c r="P83" s="213"/>
      <c r="Q83" s="213"/>
      <c r="R83" s="213"/>
      <c r="S83" s="213"/>
      <c r="T83" s="213"/>
      <c r="U83" s="213"/>
      <c r="V83" s="213"/>
      <c r="W83" s="213"/>
      <c r="X83" s="213"/>
      <c r="Y83" s="213">
        <f t="shared" si="27"/>
        <v>0</v>
      </c>
      <c r="Z83" s="213">
        <f t="shared" si="28"/>
        <v>57913.657008000002</v>
      </c>
      <c r="AA83" s="213"/>
      <c r="AB83" s="213"/>
      <c r="AC83" s="213">
        <f t="shared" si="33"/>
        <v>-57913.657008000002</v>
      </c>
      <c r="AD83" s="213">
        <f t="shared" si="29"/>
        <v>-57913.657008000002</v>
      </c>
      <c r="AE83" s="213"/>
      <c r="AF83" s="213">
        <f t="shared" si="22"/>
        <v>0</v>
      </c>
      <c r="AG83" s="213">
        <f t="shared" si="23"/>
        <v>-57913.657008000002</v>
      </c>
      <c r="AH83" s="213"/>
      <c r="AI83" s="213">
        <f t="shared" si="31"/>
        <v>0</v>
      </c>
      <c r="AJ83" s="68"/>
    </row>
    <row r="84" spans="1:36">
      <c r="A84" s="65" t="s">
        <v>272</v>
      </c>
      <c r="B84" s="65" t="s">
        <v>273</v>
      </c>
      <c r="C84" s="65" t="s">
        <v>298</v>
      </c>
      <c r="D84" s="58">
        <f t="shared" si="32"/>
        <v>75</v>
      </c>
      <c r="E84" s="67" t="s">
        <v>50</v>
      </c>
      <c r="F84" s="65" t="s">
        <v>240</v>
      </c>
      <c r="G84" s="65" t="s">
        <v>32</v>
      </c>
      <c r="H84" s="217">
        <f>1000*1659.211170833</f>
        <v>1659211.170833</v>
      </c>
      <c r="I84" s="217">
        <f>1000*354.365310691</f>
        <v>354365.31069099996</v>
      </c>
      <c r="J84" s="213"/>
      <c r="K84" s="213"/>
      <c r="L84" s="213"/>
      <c r="M84" s="213"/>
      <c r="N84" s="213"/>
      <c r="O84" s="213"/>
      <c r="P84" s="213"/>
      <c r="Q84" s="213"/>
      <c r="R84" s="213"/>
      <c r="S84" s="213"/>
      <c r="T84" s="213"/>
      <c r="U84" s="213"/>
      <c r="V84" s="213"/>
      <c r="W84" s="213"/>
      <c r="X84" s="213"/>
      <c r="Y84" s="213">
        <f t="shared" si="27"/>
        <v>0</v>
      </c>
      <c r="Z84" s="213">
        <f t="shared" si="28"/>
        <v>354365.31069099996</v>
      </c>
      <c r="AA84" s="213"/>
      <c r="AB84" s="213"/>
      <c r="AC84" s="213">
        <f t="shared" si="33"/>
        <v>-354365.31069099996</v>
      </c>
      <c r="AD84" s="213">
        <f t="shared" si="29"/>
        <v>-354365.31069099996</v>
      </c>
      <c r="AE84" s="213"/>
      <c r="AF84" s="213">
        <f t="shared" si="22"/>
        <v>0</v>
      </c>
      <c r="AG84" s="213">
        <f t="shared" si="23"/>
        <v>-354365.31069099996</v>
      </c>
      <c r="AH84" s="213"/>
      <c r="AI84" s="213">
        <f t="shared" si="31"/>
        <v>0</v>
      </c>
      <c r="AJ84" s="68"/>
    </row>
    <row r="85" spans="1:36">
      <c r="A85" s="65" t="s">
        <v>272</v>
      </c>
      <c r="B85" s="65" t="s">
        <v>273</v>
      </c>
      <c r="C85" s="65" t="s">
        <v>300</v>
      </c>
      <c r="D85" s="58">
        <f t="shared" si="32"/>
        <v>76</v>
      </c>
      <c r="E85" s="67" t="s">
        <v>50</v>
      </c>
      <c r="F85" s="65" t="s">
        <v>242</v>
      </c>
      <c r="G85" s="65" t="s">
        <v>32</v>
      </c>
      <c r="H85" s="217">
        <f>1000*19721.7000875</f>
        <v>19721700.087500002</v>
      </c>
      <c r="I85" s="217">
        <f>1000*4212.053596135</f>
        <v>4212053.5961349998</v>
      </c>
      <c r="J85" s="213"/>
      <c r="K85" s="213"/>
      <c r="L85" s="213"/>
      <c r="M85" s="213"/>
      <c r="N85" s="213"/>
      <c r="O85" s="213">
        <v>-4212053.5959999999</v>
      </c>
      <c r="P85" s="213"/>
      <c r="Q85" s="213"/>
      <c r="R85" s="213"/>
      <c r="S85" s="213"/>
      <c r="T85" s="213"/>
      <c r="U85" s="213"/>
      <c r="V85" s="213"/>
      <c r="W85" s="213"/>
      <c r="X85" s="213"/>
      <c r="Y85" s="213">
        <f t="shared" si="27"/>
        <v>-4212053.5959999999</v>
      </c>
      <c r="Z85" s="213">
        <f t="shared" si="28"/>
        <v>1.3499986380338669E-4</v>
      </c>
      <c r="AA85" s="213"/>
      <c r="AB85" s="213"/>
      <c r="AC85" s="213">
        <f t="shared" si="33"/>
        <v>-1.3499986380338669E-4</v>
      </c>
      <c r="AD85" s="213">
        <f t="shared" si="29"/>
        <v>-1.3499986380338669E-4</v>
      </c>
      <c r="AE85" s="213"/>
      <c r="AF85" s="213">
        <f t="shared" si="22"/>
        <v>0</v>
      </c>
      <c r="AG85" s="213">
        <f t="shared" si="23"/>
        <v>-1.3499986380338669E-4</v>
      </c>
      <c r="AH85" s="213"/>
      <c r="AI85" s="213">
        <f t="shared" si="31"/>
        <v>0</v>
      </c>
      <c r="AJ85" s="68"/>
    </row>
    <row r="86" spans="1:36">
      <c r="A86" s="65" t="s">
        <v>272</v>
      </c>
      <c r="B86" s="65" t="s">
        <v>273</v>
      </c>
      <c r="C86" s="65" t="s">
        <v>229</v>
      </c>
      <c r="D86" s="58">
        <f t="shared" si="32"/>
        <v>77</v>
      </c>
      <c r="E86" s="67" t="s">
        <v>50</v>
      </c>
      <c r="F86" s="65" t="s">
        <v>312</v>
      </c>
      <c r="G86" s="65" t="s">
        <v>32</v>
      </c>
      <c r="H86" s="217">
        <f>1000*-140.255254167</f>
        <v>-140255.25416700001</v>
      </c>
      <c r="I86" s="217">
        <f>1000*-29.954955459</f>
        <v>-29954.955459000001</v>
      </c>
      <c r="J86" s="213"/>
      <c r="K86" s="213"/>
      <c r="L86" s="213"/>
      <c r="M86" s="213"/>
      <c r="N86" s="213"/>
      <c r="O86" s="213"/>
      <c r="P86" s="213"/>
      <c r="Q86" s="213"/>
      <c r="R86" s="213"/>
      <c r="S86" s="213"/>
      <c r="T86" s="213"/>
      <c r="U86" s="213"/>
      <c r="V86" s="213"/>
      <c r="W86" s="213"/>
      <c r="X86" s="213"/>
      <c r="Y86" s="213">
        <f t="shared" si="27"/>
        <v>0</v>
      </c>
      <c r="Z86" s="213">
        <f t="shared" si="28"/>
        <v>-29954.955459000001</v>
      </c>
      <c r="AA86" s="213"/>
      <c r="AB86" s="213"/>
      <c r="AC86" s="213">
        <f t="shared" si="33"/>
        <v>29954.955459000001</v>
      </c>
      <c r="AD86" s="213">
        <f t="shared" si="29"/>
        <v>29954.955459000001</v>
      </c>
      <c r="AE86" s="213"/>
      <c r="AF86" s="213">
        <f t="shared" si="22"/>
        <v>0</v>
      </c>
      <c r="AG86" s="213">
        <f t="shared" si="23"/>
        <v>29954.955459000001</v>
      </c>
      <c r="AH86" s="213"/>
      <c r="AI86" s="213">
        <f t="shared" si="31"/>
        <v>0</v>
      </c>
      <c r="AJ86" s="68"/>
    </row>
    <row r="87" spans="1:36">
      <c r="A87" s="65" t="s">
        <v>272</v>
      </c>
      <c r="B87" s="65" t="s">
        <v>273</v>
      </c>
      <c r="C87" s="65" t="s">
        <v>302</v>
      </c>
      <c r="D87" s="58">
        <f t="shared" si="32"/>
        <v>78</v>
      </c>
      <c r="E87" s="67" t="s">
        <v>50</v>
      </c>
      <c r="F87" s="65" t="s">
        <v>322</v>
      </c>
      <c r="G87" s="65" t="s">
        <v>42</v>
      </c>
      <c r="H87" s="217">
        <f>1000*-2069.824797917</f>
        <v>-2069824.797917</v>
      </c>
      <c r="I87" s="217">
        <f>1000*-163.315717202</f>
        <v>-163315.717202</v>
      </c>
      <c r="J87" s="213"/>
      <c r="K87" s="213"/>
      <c r="L87" s="213"/>
      <c r="M87" s="213"/>
      <c r="N87" s="213"/>
      <c r="O87" s="213"/>
      <c r="P87" s="213"/>
      <c r="Q87" s="213"/>
      <c r="R87" s="213"/>
      <c r="S87" s="213"/>
      <c r="T87" s="213"/>
      <c r="U87" s="213"/>
      <c r="V87" s="213"/>
      <c r="W87" s="213"/>
      <c r="X87" s="213"/>
      <c r="Y87" s="213">
        <f t="shared" si="27"/>
        <v>0</v>
      </c>
      <c r="Z87" s="213">
        <f t="shared" si="28"/>
        <v>-163315.717202</v>
      </c>
      <c r="AA87" s="213"/>
      <c r="AB87" s="213"/>
      <c r="AC87" s="213">
        <f t="shared" si="33"/>
        <v>163315.717202</v>
      </c>
      <c r="AD87" s="213">
        <f t="shared" si="29"/>
        <v>163315.717202</v>
      </c>
      <c r="AE87" s="213"/>
      <c r="AF87" s="213">
        <f t="shared" si="22"/>
        <v>0</v>
      </c>
      <c r="AG87" s="213">
        <f t="shared" si="23"/>
        <v>163315.717202</v>
      </c>
      <c r="AH87" s="213"/>
      <c r="AI87" s="213">
        <f t="shared" si="31"/>
        <v>0</v>
      </c>
      <c r="AJ87" s="68"/>
    </row>
    <row r="88" spans="1:36">
      <c r="A88" s="65" t="s">
        <v>272</v>
      </c>
      <c r="B88" s="65" t="s">
        <v>273</v>
      </c>
      <c r="C88" s="65" t="s">
        <v>227</v>
      </c>
      <c r="D88" s="58">
        <f t="shared" si="32"/>
        <v>79</v>
      </c>
      <c r="E88" s="67" t="s">
        <v>244</v>
      </c>
      <c r="F88" s="65" t="s">
        <v>245</v>
      </c>
      <c r="G88" s="65" t="s">
        <v>32</v>
      </c>
      <c r="H88" s="217">
        <f>1000*-21712.481389583</f>
        <v>-21712481.389583003</v>
      </c>
      <c r="I88" s="217">
        <f>1000*-4637.233854701</f>
        <v>-4637233.8547010003</v>
      </c>
      <c r="J88" s="213"/>
      <c r="K88" s="213"/>
      <c r="L88" s="213"/>
      <c r="M88" s="213"/>
      <c r="N88" s="213"/>
      <c r="O88" s="213"/>
      <c r="P88" s="213"/>
      <c r="Q88" s="213"/>
      <c r="R88" s="213"/>
      <c r="S88" s="213"/>
      <c r="T88" s="213"/>
      <c r="U88" s="213"/>
      <c r="V88" s="213"/>
      <c r="W88" s="213"/>
      <c r="X88" s="213"/>
      <c r="Y88" s="213">
        <f t="shared" si="27"/>
        <v>0</v>
      </c>
      <c r="Z88" s="213">
        <f t="shared" si="28"/>
        <v>-4637233.8547010003</v>
      </c>
      <c r="AA88" s="213"/>
      <c r="AB88" s="213"/>
      <c r="AC88" s="213"/>
      <c r="AD88" s="213">
        <f t="shared" si="29"/>
        <v>0</v>
      </c>
      <c r="AE88" s="213"/>
      <c r="AF88" s="213">
        <f t="shared" si="22"/>
        <v>-4637233.8547010003</v>
      </c>
      <c r="AG88" s="213">
        <f t="shared" si="23"/>
        <v>0</v>
      </c>
      <c r="AH88" s="213">
        <v>-4637234</v>
      </c>
      <c r="AI88" s="213">
        <f>ROUND(+AF88-AH88,0)</f>
        <v>0</v>
      </c>
      <c r="AJ88" s="68"/>
    </row>
    <row r="89" spans="1:36">
      <c r="A89" s="65" t="s">
        <v>272</v>
      </c>
      <c r="B89" s="65" t="s">
        <v>273</v>
      </c>
      <c r="C89" s="65" t="s">
        <v>305</v>
      </c>
      <c r="D89" s="58">
        <f t="shared" si="32"/>
        <v>80</v>
      </c>
      <c r="E89" s="132" t="s">
        <v>58</v>
      </c>
      <c r="F89" s="58" t="s">
        <v>275</v>
      </c>
      <c r="G89" s="58" t="s">
        <v>36</v>
      </c>
      <c r="H89" s="214">
        <f>1000*-2257.540625</f>
        <v>-2257540.625</v>
      </c>
      <c r="I89" s="214">
        <f>1000*-2257.540625</f>
        <v>-2257540.625</v>
      </c>
      <c r="J89" s="213">
        <v>2257540.625</v>
      </c>
      <c r="K89" s="213"/>
      <c r="L89" s="213"/>
      <c r="M89" s="213"/>
      <c r="N89" s="213"/>
      <c r="O89" s="213"/>
      <c r="P89" s="213"/>
      <c r="Q89" s="213"/>
      <c r="R89" s="213"/>
      <c r="S89" s="213"/>
      <c r="T89" s="213"/>
      <c r="U89" s="213"/>
      <c r="V89" s="213"/>
      <c r="W89" s="213"/>
      <c r="X89" s="213"/>
      <c r="Y89" s="213">
        <f t="shared" si="27"/>
        <v>2257540.625</v>
      </c>
      <c r="Z89" s="213">
        <f t="shared" si="28"/>
        <v>0</v>
      </c>
      <c r="AA89" s="213"/>
      <c r="AB89" s="213"/>
      <c r="AC89" s="213"/>
      <c r="AD89" s="213">
        <f t="shared" si="29"/>
        <v>0</v>
      </c>
      <c r="AE89" s="213"/>
      <c r="AF89" s="213">
        <f t="shared" si="22"/>
        <v>0</v>
      </c>
      <c r="AG89" s="213">
        <f t="shared" si="23"/>
        <v>0</v>
      </c>
      <c r="AH89" s="213"/>
      <c r="AI89" s="213">
        <f t="shared" si="31"/>
        <v>0</v>
      </c>
      <c r="AJ89" s="68"/>
    </row>
    <row r="90" spans="1:36">
      <c r="A90" s="65" t="s">
        <v>272</v>
      </c>
      <c r="B90" s="65" t="s">
        <v>273</v>
      </c>
      <c r="C90" s="65" t="s">
        <v>235</v>
      </c>
      <c r="D90" s="58">
        <f t="shared" si="32"/>
        <v>81</v>
      </c>
      <c r="E90" s="132" t="s">
        <v>58</v>
      </c>
      <c r="F90" s="58" t="s">
        <v>281</v>
      </c>
      <c r="G90" s="58" t="s">
        <v>36</v>
      </c>
      <c r="H90" s="214">
        <f>1000*165.366291667</f>
        <v>165366.29166700001</v>
      </c>
      <c r="I90" s="214">
        <f>1000*165.366291667</f>
        <v>165366.29166700001</v>
      </c>
      <c r="J90" s="213"/>
      <c r="K90" s="213"/>
      <c r="L90" s="213"/>
      <c r="M90" s="213"/>
      <c r="N90" s="213"/>
      <c r="O90" s="213"/>
      <c r="P90" s="213"/>
      <c r="Q90" s="213"/>
      <c r="R90" s="213"/>
      <c r="S90" s="213"/>
      <c r="T90" s="213">
        <v>-165366</v>
      </c>
      <c r="U90" s="213"/>
      <c r="V90" s="213"/>
      <c r="W90" s="213"/>
      <c r="X90" s="213"/>
      <c r="Y90" s="213">
        <f t="shared" si="27"/>
        <v>-165366</v>
      </c>
      <c r="Z90" s="213">
        <f>ROUND(+Y90+I90,0)</f>
        <v>0</v>
      </c>
      <c r="AA90" s="213"/>
      <c r="AB90" s="213"/>
      <c r="AC90" s="213"/>
      <c r="AD90" s="213">
        <f t="shared" si="29"/>
        <v>0</v>
      </c>
      <c r="AE90" s="213"/>
      <c r="AF90" s="213">
        <f t="shared" si="22"/>
        <v>0</v>
      </c>
      <c r="AG90" s="213">
        <f t="shared" si="23"/>
        <v>0</v>
      </c>
      <c r="AH90" s="213"/>
      <c r="AI90" s="213">
        <f t="shared" si="31"/>
        <v>0</v>
      </c>
      <c r="AJ90" s="68"/>
    </row>
    <row r="91" spans="1:36">
      <c r="A91" s="65" t="s">
        <v>272</v>
      </c>
      <c r="B91" s="65" t="s">
        <v>273</v>
      </c>
      <c r="C91" s="65" t="s">
        <v>237</v>
      </c>
      <c r="D91" s="58">
        <f t="shared" si="32"/>
        <v>82</v>
      </c>
      <c r="E91" s="132" t="s">
        <v>58</v>
      </c>
      <c r="F91" s="65" t="s">
        <v>283</v>
      </c>
      <c r="G91" s="65" t="s">
        <v>70</v>
      </c>
      <c r="H91" s="217">
        <f>1000*153.30836875</f>
        <v>153308.36874999999</v>
      </c>
      <c r="I91" s="217">
        <f>1000*33.911618152</f>
        <v>33911.618152000003</v>
      </c>
      <c r="J91" s="213"/>
      <c r="K91" s="213"/>
      <c r="L91" s="213"/>
      <c r="M91" s="213"/>
      <c r="N91" s="213"/>
      <c r="O91" s="213"/>
      <c r="P91" s="213"/>
      <c r="Q91" s="213"/>
      <c r="R91" s="213"/>
      <c r="S91" s="213"/>
      <c r="T91" s="213"/>
      <c r="U91" s="213"/>
      <c r="V91" s="213"/>
      <c r="W91" s="213">
        <v>-33912</v>
      </c>
      <c r="X91" s="213"/>
      <c r="Y91" s="213">
        <f t="shared" si="27"/>
        <v>-33912</v>
      </c>
      <c r="Z91" s="213">
        <f t="shared" ref="Z91:Z93" si="34">ROUND(+Y91+I91,0)</f>
        <v>0</v>
      </c>
      <c r="AA91" s="213"/>
      <c r="AB91" s="213"/>
      <c r="AC91" s="213"/>
      <c r="AD91" s="213">
        <f t="shared" si="29"/>
        <v>0</v>
      </c>
      <c r="AE91" s="213"/>
      <c r="AF91" s="213">
        <f t="shared" si="22"/>
        <v>0</v>
      </c>
      <c r="AG91" s="213">
        <f t="shared" si="23"/>
        <v>0</v>
      </c>
      <c r="AH91" s="213"/>
      <c r="AI91" s="213">
        <f t="shared" si="31"/>
        <v>0</v>
      </c>
      <c r="AJ91" s="68"/>
    </row>
    <row r="92" spans="1:36">
      <c r="A92" s="65" t="s">
        <v>272</v>
      </c>
      <c r="B92" s="65" t="s">
        <v>273</v>
      </c>
      <c r="C92" s="65" t="s">
        <v>239</v>
      </c>
      <c r="D92" s="58">
        <f t="shared" si="32"/>
        <v>83</v>
      </c>
      <c r="E92" s="132" t="s">
        <v>58</v>
      </c>
      <c r="F92" s="65" t="s">
        <v>285</v>
      </c>
      <c r="G92" s="65" t="s">
        <v>30</v>
      </c>
      <c r="H92" s="217">
        <f>1000*-6376.651402083</f>
        <v>-6376651.4020830002</v>
      </c>
      <c r="I92" s="217">
        <f>1000*-472.405910347</f>
        <v>-472405.910347</v>
      </c>
      <c r="J92" s="213"/>
      <c r="K92" s="213"/>
      <c r="L92" s="213">
        <v>472406</v>
      </c>
      <c r="M92" s="213"/>
      <c r="N92" s="213"/>
      <c r="O92" s="213"/>
      <c r="P92" s="213"/>
      <c r="Q92" s="213"/>
      <c r="R92" s="213"/>
      <c r="S92" s="213"/>
      <c r="T92" s="213"/>
      <c r="U92" s="213"/>
      <c r="V92" s="213"/>
      <c r="W92" s="213"/>
      <c r="X92" s="213"/>
      <c r="Y92" s="213">
        <f t="shared" si="27"/>
        <v>472406</v>
      </c>
      <c r="Z92" s="213">
        <f t="shared" si="34"/>
        <v>0</v>
      </c>
      <c r="AA92" s="213"/>
      <c r="AB92" s="213"/>
      <c r="AC92" s="213"/>
      <c r="AD92" s="213">
        <f t="shared" si="29"/>
        <v>0</v>
      </c>
      <c r="AE92" s="213"/>
      <c r="AF92" s="213">
        <f t="shared" si="22"/>
        <v>0</v>
      </c>
      <c r="AG92" s="213">
        <f t="shared" si="23"/>
        <v>0</v>
      </c>
      <c r="AH92" s="213"/>
      <c r="AI92" s="213">
        <f t="shared" si="31"/>
        <v>0</v>
      </c>
      <c r="AJ92" s="68"/>
    </row>
    <row r="93" spans="1:36">
      <c r="A93" s="65" t="s">
        <v>272</v>
      </c>
      <c r="B93" s="65" t="s">
        <v>273</v>
      </c>
      <c r="C93" s="65" t="s">
        <v>241</v>
      </c>
      <c r="D93" s="58">
        <f t="shared" si="32"/>
        <v>84</v>
      </c>
      <c r="E93" s="132" t="s">
        <v>58</v>
      </c>
      <c r="F93" s="65" t="s">
        <v>287</v>
      </c>
      <c r="G93" s="65" t="s">
        <v>30</v>
      </c>
      <c r="H93" s="217">
        <f>1000*9589.576208333</f>
        <v>9589576.2083329987</v>
      </c>
      <c r="I93" s="217">
        <f>1000*710.431258177</f>
        <v>710431.25817699998</v>
      </c>
      <c r="J93" s="213"/>
      <c r="K93" s="213"/>
      <c r="L93" s="213"/>
      <c r="M93" s="213"/>
      <c r="N93" s="213"/>
      <c r="O93" s="213">
        <v>-710431</v>
      </c>
      <c r="P93" s="213"/>
      <c r="Q93" s="213"/>
      <c r="R93" s="213"/>
      <c r="S93" s="213"/>
      <c r="T93" s="213"/>
      <c r="U93" s="213"/>
      <c r="V93" s="213"/>
      <c r="W93" s="213"/>
      <c r="X93" s="213"/>
      <c r="Y93" s="213">
        <f t="shared" si="27"/>
        <v>-710431</v>
      </c>
      <c r="Z93" s="213">
        <f t="shared" si="34"/>
        <v>0</v>
      </c>
      <c r="AA93" s="213"/>
      <c r="AB93" s="213"/>
      <c r="AC93" s="213"/>
      <c r="AD93" s="213">
        <f t="shared" si="29"/>
        <v>0</v>
      </c>
      <c r="AE93" s="213"/>
      <c r="AF93" s="213">
        <f t="shared" si="22"/>
        <v>0</v>
      </c>
      <c r="AG93" s="213">
        <f t="shared" si="23"/>
        <v>0</v>
      </c>
      <c r="AH93" s="213"/>
      <c r="AI93" s="213">
        <f t="shared" si="31"/>
        <v>0</v>
      </c>
      <c r="AJ93" s="68"/>
    </row>
    <row r="94" spans="1:36">
      <c r="A94" s="65" t="s">
        <v>272</v>
      </c>
      <c r="B94" s="65" t="s">
        <v>273</v>
      </c>
      <c r="C94" s="65" t="s">
        <v>243</v>
      </c>
      <c r="D94" s="58">
        <f t="shared" si="32"/>
        <v>85</v>
      </c>
      <c r="E94" s="132" t="s">
        <v>58</v>
      </c>
      <c r="F94" s="65" t="s">
        <v>289</v>
      </c>
      <c r="G94" s="65" t="s">
        <v>26</v>
      </c>
      <c r="H94" s="217">
        <f>1000*-4360.220072917</f>
        <v>-4360220.0729169995</v>
      </c>
      <c r="I94" s="217">
        <f>1000*-361.533952224</f>
        <v>-361533.95222400001</v>
      </c>
      <c r="J94" s="213"/>
      <c r="K94" s="213"/>
      <c r="L94" s="213"/>
      <c r="M94" s="213"/>
      <c r="N94" s="213"/>
      <c r="O94" s="213"/>
      <c r="P94" s="213"/>
      <c r="Q94" s="213"/>
      <c r="R94" s="213"/>
      <c r="S94" s="213"/>
      <c r="T94" s="213">
        <v>314644</v>
      </c>
      <c r="U94" s="213"/>
      <c r="V94" s="213"/>
      <c r="W94" s="213"/>
      <c r="X94" s="213"/>
      <c r="Y94" s="213">
        <f t="shared" si="27"/>
        <v>314644</v>
      </c>
      <c r="Z94" s="213">
        <f t="shared" si="28"/>
        <v>-46889.952224000008</v>
      </c>
      <c r="AA94" s="213"/>
      <c r="AB94" s="213"/>
      <c r="AC94" s="213"/>
      <c r="AD94" s="213">
        <f t="shared" si="29"/>
        <v>0</v>
      </c>
      <c r="AE94" s="213"/>
      <c r="AF94" s="213">
        <f t="shared" si="22"/>
        <v>-46889.952224000008</v>
      </c>
      <c r="AG94" s="213">
        <f t="shared" si="23"/>
        <v>0</v>
      </c>
      <c r="AH94" s="256">
        <v>-46890</v>
      </c>
      <c r="AI94" s="256">
        <f t="shared" si="31"/>
        <v>4.7775999992154539E-2</v>
      </c>
      <c r="AJ94" s="68"/>
    </row>
    <row r="95" spans="1:36">
      <c r="A95" s="65" t="s">
        <v>272</v>
      </c>
      <c r="B95" s="65" t="s">
        <v>273</v>
      </c>
      <c r="C95" s="65" t="s">
        <v>308</v>
      </c>
      <c r="D95" s="58">
        <f t="shared" si="32"/>
        <v>86</v>
      </c>
      <c r="E95" s="132" t="s">
        <v>58</v>
      </c>
      <c r="F95" s="65" t="s">
        <v>291</v>
      </c>
      <c r="G95" s="65" t="s">
        <v>36</v>
      </c>
      <c r="H95" s="217">
        <f>1000*-238.5067625</f>
        <v>-238506.76250000001</v>
      </c>
      <c r="I95" s="217">
        <f>1000*-238.5067625</f>
        <v>-238506.76250000001</v>
      </c>
      <c r="J95" s="213"/>
      <c r="K95" s="213"/>
      <c r="L95" s="213"/>
      <c r="M95" s="213"/>
      <c r="N95" s="213">
        <v>238507</v>
      </c>
      <c r="O95" s="213"/>
      <c r="P95" s="213"/>
      <c r="Q95" s="213"/>
      <c r="R95" s="213"/>
      <c r="S95" s="213"/>
      <c r="T95" s="213"/>
      <c r="U95" s="213"/>
      <c r="V95" s="213"/>
      <c r="W95" s="213"/>
      <c r="X95" s="213"/>
      <c r="Y95" s="213">
        <f t="shared" si="27"/>
        <v>238507</v>
      </c>
      <c r="Z95" s="213">
        <f t="shared" si="28"/>
        <v>0.23749999998835847</v>
      </c>
      <c r="AA95" s="213"/>
      <c r="AB95" s="213"/>
      <c r="AC95" s="213"/>
      <c r="AD95" s="213">
        <f t="shared" si="29"/>
        <v>0</v>
      </c>
      <c r="AE95" s="213"/>
      <c r="AF95" s="213">
        <f>ROUND(+AD95+Z95,0)</f>
        <v>0</v>
      </c>
      <c r="AG95" s="213">
        <f>ROUND(+AF95-Z95,0)</f>
        <v>0</v>
      </c>
      <c r="AH95" s="213"/>
      <c r="AI95" s="213">
        <f t="shared" si="31"/>
        <v>0</v>
      </c>
      <c r="AJ95" s="68"/>
    </row>
    <row r="96" spans="1:36">
      <c r="A96" s="65" t="s">
        <v>272</v>
      </c>
      <c r="B96" s="65" t="s">
        <v>273</v>
      </c>
      <c r="C96" s="65" t="s">
        <v>246</v>
      </c>
      <c r="D96" s="58">
        <f t="shared" si="32"/>
        <v>87</v>
      </c>
      <c r="E96" s="132" t="s">
        <v>58</v>
      </c>
      <c r="F96" s="65" t="s">
        <v>309</v>
      </c>
      <c r="G96" s="65" t="s">
        <v>26</v>
      </c>
      <c r="H96" s="217">
        <f>1000*103.170791667</f>
        <v>103170.791667</v>
      </c>
      <c r="I96" s="217">
        <f>1000*8.554555376</f>
        <v>8554.5553760000003</v>
      </c>
      <c r="J96" s="213"/>
      <c r="K96" s="213"/>
      <c r="L96" s="213"/>
      <c r="M96" s="213"/>
      <c r="N96" s="213"/>
      <c r="O96" s="213"/>
      <c r="P96" s="213"/>
      <c r="Q96" s="213"/>
      <c r="R96" s="213"/>
      <c r="S96" s="213"/>
      <c r="T96" s="213"/>
      <c r="U96" s="213"/>
      <c r="V96" s="213"/>
      <c r="W96" s="213"/>
      <c r="X96" s="213"/>
      <c r="Y96" s="213">
        <f t="shared" si="27"/>
        <v>0</v>
      </c>
      <c r="Z96" s="213">
        <f t="shared" si="28"/>
        <v>8554.5553760000003</v>
      </c>
      <c r="AA96" s="213"/>
      <c r="AB96" s="213"/>
      <c r="AC96" s="213"/>
      <c r="AD96" s="213">
        <f t="shared" si="29"/>
        <v>0</v>
      </c>
      <c r="AE96" s="213"/>
      <c r="AF96" s="213">
        <f t="shared" si="22"/>
        <v>8554.5553760000003</v>
      </c>
      <c r="AG96" s="213">
        <f t="shared" si="23"/>
        <v>0</v>
      </c>
      <c r="AH96" s="213"/>
      <c r="AI96" s="213">
        <f t="shared" si="31"/>
        <v>8554.5553760000003</v>
      </c>
      <c r="AJ96" s="68"/>
    </row>
    <row r="97" spans="1:36">
      <c r="A97" s="65" t="s">
        <v>272</v>
      </c>
      <c r="B97" s="65" t="s">
        <v>273</v>
      </c>
      <c r="C97" s="65" t="s">
        <v>313</v>
      </c>
      <c r="D97" s="58">
        <f t="shared" si="32"/>
        <v>88</v>
      </c>
      <c r="E97" s="132" t="s">
        <v>58</v>
      </c>
      <c r="F97" s="65" t="s">
        <v>311</v>
      </c>
      <c r="G97" s="65" t="s">
        <v>36</v>
      </c>
      <c r="H97" s="217">
        <f>1000*-14.55934375</f>
        <v>-14559.34375</v>
      </c>
      <c r="I97" s="217">
        <f>1000*-14.55934375</f>
        <v>-14559.34375</v>
      </c>
      <c r="J97" s="213">
        <v>14559.34375</v>
      </c>
      <c r="K97" s="213"/>
      <c r="L97" s="213"/>
      <c r="M97" s="213"/>
      <c r="N97" s="213"/>
      <c r="O97" s="213"/>
      <c r="P97" s="213"/>
      <c r="Q97" s="213"/>
      <c r="R97" s="213"/>
      <c r="S97" s="213"/>
      <c r="T97" s="213"/>
      <c r="U97" s="213"/>
      <c r="V97" s="213"/>
      <c r="W97" s="213"/>
      <c r="X97" s="213"/>
      <c r="Y97" s="213">
        <f t="shared" si="27"/>
        <v>14559.34375</v>
      </c>
      <c r="Z97" s="213">
        <f t="shared" si="28"/>
        <v>0</v>
      </c>
      <c r="AA97" s="213"/>
      <c r="AB97" s="213"/>
      <c r="AC97" s="213"/>
      <c r="AD97" s="213">
        <f t="shared" si="29"/>
        <v>0</v>
      </c>
      <c r="AE97" s="213"/>
      <c r="AF97" s="213">
        <f t="shared" si="22"/>
        <v>0</v>
      </c>
      <c r="AG97" s="213">
        <f t="shared" si="23"/>
        <v>0</v>
      </c>
      <c r="AH97" s="213"/>
      <c r="AI97" s="213">
        <f t="shared" si="31"/>
        <v>0</v>
      </c>
      <c r="AJ97" s="68"/>
    </row>
    <row r="98" spans="1:36">
      <c r="A98" s="65" t="s">
        <v>272</v>
      </c>
      <c r="B98" s="65" t="s">
        <v>273</v>
      </c>
      <c r="C98" s="65" t="s">
        <v>315</v>
      </c>
      <c r="D98" s="58">
        <f t="shared" si="32"/>
        <v>89</v>
      </c>
      <c r="E98" s="132" t="s">
        <v>58</v>
      </c>
      <c r="F98" s="65" t="s">
        <v>314</v>
      </c>
      <c r="G98" s="65" t="s">
        <v>36</v>
      </c>
      <c r="H98" s="217">
        <f>1000*-43.79368125</f>
        <v>-43793.681250000001</v>
      </c>
      <c r="I98" s="217">
        <f>1000*-43.79368125</f>
        <v>-43793.681250000001</v>
      </c>
      <c r="J98" s="213"/>
      <c r="K98" s="213"/>
      <c r="L98" s="213"/>
      <c r="M98" s="213"/>
      <c r="N98" s="213"/>
      <c r="O98" s="213"/>
      <c r="P98" s="213"/>
      <c r="Q98" s="213"/>
      <c r="R98" s="213"/>
      <c r="S98" s="213"/>
      <c r="T98" s="213"/>
      <c r="U98" s="213"/>
      <c r="V98" s="213"/>
      <c r="W98" s="213"/>
      <c r="X98" s="213"/>
      <c r="Y98" s="213">
        <f t="shared" si="27"/>
        <v>0</v>
      </c>
      <c r="Z98" s="213">
        <f t="shared" si="28"/>
        <v>-43793.681250000001</v>
      </c>
      <c r="AA98" s="213"/>
      <c r="AB98" s="213"/>
      <c r="AC98" s="213"/>
      <c r="AD98" s="213">
        <f t="shared" si="29"/>
        <v>0</v>
      </c>
      <c r="AE98" s="213"/>
      <c r="AF98" s="213">
        <f t="shared" si="22"/>
        <v>-43793.681250000001</v>
      </c>
      <c r="AG98" s="213">
        <f t="shared" si="23"/>
        <v>0</v>
      </c>
      <c r="AH98" s="213"/>
      <c r="AI98" s="213">
        <f t="shared" si="31"/>
        <v>-43793.681250000001</v>
      </c>
      <c r="AJ98" s="68"/>
    </row>
    <row r="99" spans="1:36">
      <c r="A99" s="65" t="s">
        <v>272</v>
      </c>
      <c r="B99" s="65" t="s">
        <v>273</v>
      </c>
      <c r="C99" s="65" t="s">
        <v>317</v>
      </c>
      <c r="D99" s="58">
        <f t="shared" si="32"/>
        <v>90</v>
      </c>
      <c r="E99" s="132" t="s">
        <v>58</v>
      </c>
      <c r="F99" s="65" t="s">
        <v>316</v>
      </c>
      <c r="G99" s="65" t="s">
        <v>36</v>
      </c>
      <c r="H99" s="217">
        <f>1000*-352.5753625</f>
        <v>-352575.36249999999</v>
      </c>
      <c r="I99" s="217">
        <f>1000*-352.5753625</f>
        <v>-352575.36249999999</v>
      </c>
      <c r="J99" s="213"/>
      <c r="K99" s="213"/>
      <c r="L99" s="213"/>
      <c r="M99" s="213">
        <v>352575</v>
      </c>
      <c r="N99" s="213"/>
      <c r="O99" s="213"/>
      <c r="P99" s="213"/>
      <c r="Q99" s="213"/>
      <c r="R99" s="213"/>
      <c r="S99" s="213"/>
      <c r="T99" s="213"/>
      <c r="U99" s="213"/>
      <c r="V99" s="213"/>
      <c r="W99" s="213"/>
      <c r="X99" s="213"/>
      <c r="Y99" s="213">
        <f t="shared" si="27"/>
        <v>352575</v>
      </c>
      <c r="Z99" s="213">
        <f>ROUND(+Y99+I99,0)</f>
        <v>0</v>
      </c>
      <c r="AA99" s="213"/>
      <c r="AB99" s="213"/>
      <c r="AC99" s="213"/>
      <c r="AD99" s="213">
        <f t="shared" si="29"/>
        <v>0</v>
      </c>
      <c r="AE99" s="213"/>
      <c r="AF99" s="213">
        <f>ROUND(+AD99+Z99,0)</f>
        <v>0</v>
      </c>
      <c r="AG99" s="213">
        <f>ROUND(+AF99-Z99,0)</f>
        <v>0</v>
      </c>
      <c r="AH99" s="213"/>
      <c r="AI99" s="213">
        <f t="shared" si="31"/>
        <v>0</v>
      </c>
      <c r="AJ99" s="68"/>
    </row>
    <row r="100" spans="1:36">
      <c r="A100" s="65" t="s">
        <v>272</v>
      </c>
      <c r="B100" s="65" t="s">
        <v>273</v>
      </c>
      <c r="C100" s="65" t="s">
        <v>319</v>
      </c>
      <c r="D100" s="58">
        <f t="shared" si="32"/>
        <v>91</v>
      </c>
      <c r="E100" s="132" t="s">
        <v>58</v>
      </c>
      <c r="F100" s="65" t="s">
        <v>318</v>
      </c>
      <c r="G100" s="65" t="s">
        <v>36</v>
      </c>
      <c r="H100" s="217">
        <f>1000*-479.2319125</f>
        <v>-479231.91250000003</v>
      </c>
      <c r="I100" s="217">
        <f>1000*-479.2319125</f>
        <v>-479231.91250000003</v>
      </c>
      <c r="J100" s="213">
        <v>479231.91250000003</v>
      </c>
      <c r="K100" s="213"/>
      <c r="L100" s="213"/>
      <c r="M100" s="213"/>
      <c r="N100" s="213"/>
      <c r="O100" s="213"/>
      <c r="P100" s="213"/>
      <c r="Q100" s="213"/>
      <c r="R100" s="213"/>
      <c r="S100" s="213"/>
      <c r="T100" s="213"/>
      <c r="U100" s="213"/>
      <c r="V100" s="213"/>
      <c r="W100" s="213"/>
      <c r="X100" s="213"/>
      <c r="Y100" s="213">
        <f t="shared" si="27"/>
        <v>479231.91250000003</v>
      </c>
      <c r="Z100" s="213">
        <f t="shared" si="28"/>
        <v>0</v>
      </c>
      <c r="AA100" s="213"/>
      <c r="AB100" s="213"/>
      <c r="AC100" s="213"/>
      <c r="AD100" s="213">
        <f t="shared" si="29"/>
        <v>0</v>
      </c>
      <c r="AE100" s="213"/>
      <c r="AF100" s="213">
        <f t="shared" si="22"/>
        <v>0</v>
      </c>
      <c r="AG100" s="213">
        <f t="shared" si="23"/>
        <v>0</v>
      </c>
      <c r="AH100" s="213"/>
      <c r="AI100" s="213">
        <f t="shared" si="31"/>
        <v>0</v>
      </c>
      <c r="AJ100" s="68"/>
    </row>
    <row r="101" spans="1:36">
      <c r="A101" s="65" t="s">
        <v>272</v>
      </c>
      <c r="B101" s="65" t="s">
        <v>273</v>
      </c>
      <c r="C101" s="65" t="s">
        <v>321</v>
      </c>
      <c r="D101" s="58">
        <f t="shared" si="32"/>
        <v>92</v>
      </c>
      <c r="E101" s="132" t="s">
        <v>58</v>
      </c>
      <c r="F101" s="65" t="s">
        <v>320</v>
      </c>
      <c r="G101" s="65" t="s">
        <v>57</v>
      </c>
      <c r="H101" s="217">
        <f>1000*-2255.290945833</f>
        <v>-2255290.9458329999</v>
      </c>
      <c r="I101" s="217">
        <f>1000*-498.127949268</f>
        <v>-498127.94926800003</v>
      </c>
      <c r="J101" s="213"/>
      <c r="K101" s="213"/>
      <c r="L101" s="213"/>
      <c r="M101" s="213"/>
      <c r="N101" s="213"/>
      <c r="O101" s="213"/>
      <c r="P101" s="213"/>
      <c r="Q101" s="213"/>
      <c r="R101" s="213"/>
      <c r="S101" s="213"/>
      <c r="T101" s="213"/>
      <c r="U101" s="213"/>
      <c r="V101" s="213">
        <v>498128</v>
      </c>
      <c r="W101" s="213"/>
      <c r="X101" s="213"/>
      <c r="Y101" s="213">
        <f t="shared" si="27"/>
        <v>498128</v>
      </c>
      <c r="Z101" s="213">
        <f t="shared" si="28"/>
        <v>5.0731999974232167E-2</v>
      </c>
      <c r="AA101" s="213"/>
      <c r="AB101" s="213"/>
      <c r="AC101" s="213"/>
      <c r="AD101" s="213">
        <f t="shared" si="29"/>
        <v>0</v>
      </c>
      <c r="AE101" s="213"/>
      <c r="AF101" s="213">
        <f>ROUND(+AD101+Z101,0)</f>
        <v>0</v>
      </c>
      <c r="AG101" s="213">
        <f>ROUND(+AF101-Z101,0)</f>
        <v>0</v>
      </c>
      <c r="AH101" s="213"/>
      <c r="AI101" s="213">
        <f t="shared" si="31"/>
        <v>0</v>
      </c>
      <c r="AJ101" s="68"/>
    </row>
    <row r="102" spans="1:36">
      <c r="A102" s="65">
        <v>283</v>
      </c>
      <c r="B102" s="65"/>
      <c r="C102" s="65"/>
      <c r="D102" s="58">
        <f t="shared" si="32"/>
        <v>93</v>
      </c>
      <c r="E102" s="132" t="s">
        <v>58</v>
      </c>
      <c r="F102" s="67" t="s">
        <v>323</v>
      </c>
      <c r="G102" s="65"/>
      <c r="H102" s="217"/>
      <c r="I102" s="217"/>
      <c r="J102" s="213"/>
      <c r="K102" s="213"/>
      <c r="L102" s="213"/>
      <c r="M102" s="213"/>
      <c r="N102" s="213"/>
      <c r="O102" s="213"/>
      <c r="P102" s="213"/>
      <c r="Q102" s="213"/>
      <c r="R102" s="213"/>
      <c r="S102" s="213"/>
      <c r="T102" s="213"/>
      <c r="U102" s="213"/>
      <c r="V102" s="213">
        <v>-111262</v>
      </c>
      <c r="W102" s="213"/>
      <c r="X102" s="213"/>
      <c r="Y102" s="213">
        <f t="shared" si="27"/>
        <v>-111262</v>
      </c>
      <c r="Z102" s="213">
        <f t="shared" si="28"/>
        <v>-111262</v>
      </c>
      <c r="AA102" s="213"/>
      <c r="AB102" s="213"/>
      <c r="AC102" s="213"/>
      <c r="AD102" s="213">
        <f t="shared" si="29"/>
        <v>0</v>
      </c>
      <c r="AE102" s="213"/>
      <c r="AF102" s="213">
        <f t="shared" si="22"/>
        <v>-111262</v>
      </c>
      <c r="AG102" s="213">
        <f t="shared" si="23"/>
        <v>0</v>
      </c>
      <c r="AH102" s="213"/>
      <c r="AI102" s="213">
        <f t="shared" si="31"/>
        <v>-111262</v>
      </c>
      <c r="AJ102" s="68"/>
    </row>
    <row r="103" spans="1:36">
      <c r="A103" s="65">
        <v>283</v>
      </c>
      <c r="B103" s="65"/>
      <c r="C103" s="65"/>
      <c r="D103" s="58">
        <f t="shared" si="32"/>
        <v>94</v>
      </c>
      <c r="E103" s="132" t="s">
        <v>58</v>
      </c>
      <c r="F103" s="67" t="s">
        <v>131</v>
      </c>
      <c r="G103" s="65"/>
      <c r="H103" s="217"/>
      <c r="I103" s="217"/>
      <c r="J103" s="213"/>
      <c r="K103" s="213"/>
      <c r="L103" s="213"/>
      <c r="M103" s="213"/>
      <c r="N103" s="213"/>
      <c r="O103" s="213"/>
      <c r="P103" s="213"/>
      <c r="Q103" s="213"/>
      <c r="R103" s="213"/>
      <c r="S103" s="213"/>
      <c r="T103" s="213"/>
      <c r="U103" s="213"/>
      <c r="V103" s="213"/>
      <c r="W103" s="213"/>
      <c r="X103" s="213">
        <v>-6261915</v>
      </c>
      <c r="Y103" s="213">
        <f t="shared" si="27"/>
        <v>-6261915</v>
      </c>
      <c r="Z103" s="213">
        <f t="shared" si="28"/>
        <v>-6261915</v>
      </c>
      <c r="AA103" s="213"/>
      <c r="AB103" s="213"/>
      <c r="AC103" s="213"/>
      <c r="AD103" s="213">
        <f t="shared" si="29"/>
        <v>0</v>
      </c>
      <c r="AE103" s="213"/>
      <c r="AF103" s="213">
        <f t="shared" si="22"/>
        <v>-6261915</v>
      </c>
      <c r="AG103" s="213">
        <f t="shared" si="23"/>
        <v>0</v>
      </c>
      <c r="AH103" s="213"/>
      <c r="AI103" s="213">
        <f t="shared" si="31"/>
        <v>-6261915</v>
      </c>
      <c r="AJ103" s="68"/>
    </row>
    <row r="104" spans="1:36">
      <c r="A104" s="194" t="s">
        <v>324</v>
      </c>
      <c r="B104" s="65"/>
      <c r="C104" s="194"/>
      <c r="D104" s="58">
        <f t="shared" si="32"/>
        <v>95</v>
      </c>
      <c r="E104" s="194" t="s">
        <v>534</v>
      </c>
      <c r="F104" s="65"/>
      <c r="G104" s="194"/>
      <c r="H104" s="218"/>
      <c r="I104" s="218">
        <f>ROUND(SUM(I69:I103),0)</f>
        <v>-4699480</v>
      </c>
      <c r="J104" s="218">
        <f t="shared" ref="J104:AI104" si="35">ROUND(SUM(J69:J103),0)</f>
        <v>2751332</v>
      </c>
      <c r="K104" s="218">
        <f t="shared" si="35"/>
        <v>0</v>
      </c>
      <c r="L104" s="218">
        <f t="shared" si="35"/>
        <v>472406</v>
      </c>
      <c r="M104" s="218">
        <f t="shared" si="35"/>
        <v>352575</v>
      </c>
      <c r="N104" s="218">
        <f t="shared" si="35"/>
        <v>238507</v>
      </c>
      <c r="O104" s="218">
        <f t="shared" si="35"/>
        <v>-4928985</v>
      </c>
      <c r="P104" s="218">
        <f t="shared" si="35"/>
        <v>0</v>
      </c>
      <c r="Q104" s="218">
        <f t="shared" si="35"/>
        <v>0</v>
      </c>
      <c r="R104" s="218">
        <f t="shared" si="35"/>
        <v>0</v>
      </c>
      <c r="S104" s="218">
        <f t="shared" si="35"/>
        <v>0</v>
      </c>
      <c r="T104" s="218">
        <f t="shared" si="35"/>
        <v>149278</v>
      </c>
      <c r="U104" s="218">
        <f t="shared" si="35"/>
        <v>1716491</v>
      </c>
      <c r="V104" s="218">
        <f t="shared" si="35"/>
        <v>386866</v>
      </c>
      <c r="W104" s="218">
        <f t="shared" si="35"/>
        <v>-33912</v>
      </c>
      <c r="X104" s="218">
        <f t="shared" si="35"/>
        <v>-6261915</v>
      </c>
      <c r="Y104" s="218">
        <f t="shared" si="35"/>
        <v>-5157357</v>
      </c>
      <c r="Z104" s="218">
        <f t="shared" si="35"/>
        <v>-9856837</v>
      </c>
      <c r="AA104" s="218">
        <f t="shared" si="35"/>
        <v>0</v>
      </c>
      <c r="AB104" s="218">
        <f t="shared" si="35"/>
        <v>0</v>
      </c>
      <c r="AC104" s="218">
        <f t="shared" si="35"/>
        <v>-1235702</v>
      </c>
      <c r="AD104" s="218">
        <f t="shared" si="35"/>
        <v>-1235702</v>
      </c>
      <c r="AE104" s="218">
        <f t="shared" si="35"/>
        <v>0</v>
      </c>
      <c r="AF104" s="218">
        <f t="shared" si="35"/>
        <v>-11092540</v>
      </c>
      <c r="AG104" s="218">
        <f t="shared" si="35"/>
        <v>-1235702</v>
      </c>
      <c r="AH104" s="218">
        <f t="shared" si="35"/>
        <v>-4684124</v>
      </c>
      <c r="AI104" s="218">
        <f t="shared" si="35"/>
        <v>-6408416</v>
      </c>
      <c r="AJ104" s="68"/>
    </row>
    <row r="105" spans="1:36">
      <c r="A105" s="195"/>
      <c r="B105" s="196"/>
      <c r="C105" s="197" t="s">
        <v>325</v>
      </c>
      <c r="D105" s="58">
        <f t="shared" si="32"/>
        <v>96</v>
      </c>
      <c r="E105" s="203" t="s">
        <v>550</v>
      </c>
      <c r="F105" s="196"/>
      <c r="G105" s="197" t="s">
        <v>325</v>
      </c>
      <c r="H105" s="218"/>
      <c r="I105" s="218"/>
      <c r="J105" s="218"/>
      <c r="K105" s="218"/>
      <c r="L105" s="218"/>
      <c r="M105" s="218"/>
      <c r="N105" s="218"/>
      <c r="O105" s="218"/>
      <c r="P105" s="218"/>
      <c r="Q105" s="218">
        <v>1099614</v>
      </c>
      <c r="R105" s="218"/>
      <c r="S105" s="218"/>
      <c r="T105" s="218"/>
      <c r="U105" s="218"/>
      <c r="V105" s="218"/>
      <c r="W105" s="218"/>
      <c r="X105" s="218"/>
      <c r="Y105" s="213">
        <f t="shared" ref="Y105:Y107" si="36">SUM(J105:X105)</f>
        <v>1099614</v>
      </c>
      <c r="Z105" s="213">
        <f t="shared" ref="Z105:Z107" si="37">+Y105+I105</f>
        <v>1099614</v>
      </c>
      <c r="AA105" s="213"/>
      <c r="AB105" s="213"/>
      <c r="AC105" s="213"/>
      <c r="AD105" s="213">
        <f>+AC105+AB105</f>
        <v>0</v>
      </c>
      <c r="AE105" s="213"/>
      <c r="AF105" s="213">
        <f>+AD105+Z105</f>
        <v>1099614</v>
      </c>
      <c r="AG105" s="213">
        <f>+AF105-Z105</f>
        <v>0</v>
      </c>
      <c r="AH105" s="256">
        <v>1095830</v>
      </c>
      <c r="AI105" s="256">
        <f t="shared" si="31"/>
        <v>3784</v>
      </c>
      <c r="AJ105" s="68"/>
    </row>
    <row r="106" spans="1:36">
      <c r="A106" s="195"/>
      <c r="B106" s="196"/>
      <c r="C106" s="197" t="s">
        <v>326</v>
      </c>
      <c r="D106" s="58">
        <f t="shared" si="32"/>
        <v>97</v>
      </c>
      <c r="E106" s="203" t="s">
        <v>326</v>
      </c>
      <c r="F106" s="196"/>
      <c r="G106" s="197" t="s">
        <v>326</v>
      </c>
      <c r="H106" s="218"/>
      <c r="I106" s="218"/>
      <c r="J106" s="218"/>
      <c r="K106" s="218"/>
      <c r="L106" s="218"/>
      <c r="M106" s="218"/>
      <c r="N106" s="218"/>
      <c r="O106" s="218"/>
      <c r="P106" s="218"/>
      <c r="Q106" s="218"/>
      <c r="R106" s="218">
        <v>-262781</v>
      </c>
      <c r="S106" s="218"/>
      <c r="T106" s="218"/>
      <c r="U106" s="218"/>
      <c r="V106" s="218"/>
      <c r="W106" s="218"/>
      <c r="X106" s="218"/>
      <c r="Y106" s="213">
        <f t="shared" si="36"/>
        <v>-262781</v>
      </c>
      <c r="Z106" s="213">
        <f t="shared" si="37"/>
        <v>-262781</v>
      </c>
      <c r="AA106" s="213">
        <v>262781</v>
      </c>
      <c r="AB106" s="213">
        <f>ROUND(262781/0.37951*0.35-262781,0)</f>
        <v>-20433</v>
      </c>
      <c r="AC106" s="213"/>
      <c r="AD106" s="213">
        <f>+AC106+AB106</f>
        <v>-20433</v>
      </c>
      <c r="AE106" s="213"/>
      <c r="AF106" s="213">
        <f>+AD106+Z106+AA106</f>
        <v>-20433</v>
      </c>
      <c r="AG106" s="213">
        <f>+AF106-Z106</f>
        <v>242348</v>
      </c>
      <c r="AH106" s="213"/>
      <c r="AI106" s="213">
        <f t="shared" si="31"/>
        <v>-20433</v>
      </c>
      <c r="AJ106" s="68"/>
    </row>
    <row r="107" spans="1:36">
      <c r="A107" s="195"/>
      <c r="B107" s="196"/>
      <c r="C107" s="197" t="s">
        <v>327</v>
      </c>
      <c r="D107" s="58">
        <f t="shared" si="32"/>
        <v>98</v>
      </c>
      <c r="E107" s="203" t="s">
        <v>551</v>
      </c>
      <c r="F107" s="196"/>
      <c r="G107" s="197" t="s">
        <v>327</v>
      </c>
      <c r="H107" s="218"/>
      <c r="I107" s="218"/>
      <c r="J107" s="218"/>
      <c r="K107" s="218"/>
      <c r="L107" s="218"/>
      <c r="M107" s="218"/>
      <c r="N107" s="218"/>
      <c r="O107" s="218"/>
      <c r="P107" s="218"/>
      <c r="Q107" s="218"/>
      <c r="R107" s="218"/>
      <c r="S107" s="218">
        <v>-9873198.5</v>
      </c>
      <c r="T107" s="218"/>
      <c r="U107" s="218"/>
      <c r="V107" s="218"/>
      <c r="W107" s="218"/>
      <c r="X107" s="218"/>
      <c r="Y107" s="213">
        <f t="shared" si="36"/>
        <v>-9873198.5</v>
      </c>
      <c r="Z107" s="213">
        <f t="shared" si="37"/>
        <v>-9873198.5</v>
      </c>
      <c r="AA107" s="213"/>
      <c r="AB107" s="213"/>
      <c r="AC107" s="213"/>
      <c r="AD107" s="213">
        <f>+AC107+AB107</f>
        <v>0</v>
      </c>
      <c r="AE107" s="213"/>
      <c r="AF107" s="213">
        <f>+AD107+Z107</f>
        <v>-9873198.5</v>
      </c>
      <c r="AG107" s="213">
        <f>+AF107-Z107</f>
        <v>0</v>
      </c>
      <c r="AH107" s="213">
        <v>-9873199</v>
      </c>
      <c r="AI107" s="213">
        <f t="shared" si="31"/>
        <v>0.5</v>
      </c>
      <c r="AJ107" s="68"/>
    </row>
    <row r="108" spans="1:36">
      <c r="A108" s="195"/>
      <c r="B108" s="196"/>
      <c r="C108" s="197" t="s">
        <v>329</v>
      </c>
      <c r="D108" s="58">
        <f t="shared" si="32"/>
        <v>99</v>
      </c>
      <c r="E108" s="204" t="s">
        <v>329</v>
      </c>
      <c r="F108" s="198"/>
      <c r="G108" s="199" t="s">
        <v>328</v>
      </c>
      <c r="H108" s="218"/>
      <c r="I108" s="218"/>
      <c r="J108" s="218"/>
      <c r="K108" s="218"/>
      <c r="L108" s="218"/>
      <c r="M108" s="218"/>
      <c r="N108" s="218"/>
      <c r="O108" s="218"/>
      <c r="P108" s="218"/>
      <c r="Q108" s="218"/>
      <c r="R108" s="218"/>
      <c r="S108" s="218"/>
      <c r="T108" s="218"/>
      <c r="U108" s="218"/>
      <c r="V108" s="218"/>
      <c r="W108" s="218"/>
      <c r="X108" s="218"/>
      <c r="Y108" s="213"/>
      <c r="Z108" s="213"/>
      <c r="AA108" s="213"/>
      <c r="AB108" s="213"/>
      <c r="AC108" s="213"/>
      <c r="AD108" s="213"/>
      <c r="AE108" s="213">
        <v>-14463670</v>
      </c>
      <c r="AF108" s="213">
        <f>+AD108+Z108+AE108</f>
        <v>-14463670</v>
      </c>
      <c r="AG108" s="213">
        <f>+AF108-Z108</f>
        <v>-14463670</v>
      </c>
      <c r="AH108" s="213"/>
      <c r="AI108" s="213">
        <f t="shared" si="31"/>
        <v>-14463670</v>
      </c>
      <c r="AJ108" s="68"/>
    </row>
    <row r="109" spans="1:36">
      <c r="A109" s="200"/>
      <c r="B109" s="198"/>
      <c r="C109" s="199" t="s">
        <v>328</v>
      </c>
      <c r="D109" s="58">
        <f t="shared" si="32"/>
        <v>100</v>
      </c>
      <c r="E109" s="199" t="s">
        <v>328</v>
      </c>
      <c r="F109" s="198"/>
      <c r="H109" s="213"/>
      <c r="I109" s="216">
        <f>ROUND(+I104+I68+I61+I58+I105+I107+I106,0)</f>
        <v>-128569574</v>
      </c>
      <c r="J109" s="216">
        <f t="shared" ref="J109:AD109" si="38">ROUND(+J104+J68+J61+J58+J105+J107+J106,0)</f>
        <v>2751332</v>
      </c>
      <c r="K109" s="216">
        <f t="shared" si="38"/>
        <v>1600912</v>
      </c>
      <c r="L109" s="216">
        <f t="shared" si="38"/>
        <v>472406</v>
      </c>
      <c r="M109" s="216">
        <f t="shared" si="38"/>
        <v>330671</v>
      </c>
      <c r="N109" s="216">
        <f t="shared" si="38"/>
        <v>1810649</v>
      </c>
      <c r="O109" s="216">
        <f t="shared" si="38"/>
        <v>-5199035</v>
      </c>
      <c r="P109" s="216">
        <f t="shared" si="38"/>
        <v>-510417</v>
      </c>
      <c r="Q109" s="216">
        <f t="shared" si="38"/>
        <v>1099614</v>
      </c>
      <c r="R109" s="216">
        <f t="shared" si="38"/>
        <v>-262781</v>
      </c>
      <c r="S109" s="216">
        <f t="shared" si="38"/>
        <v>-9873199</v>
      </c>
      <c r="T109" s="216">
        <f t="shared" si="38"/>
        <v>105943</v>
      </c>
      <c r="U109" s="216">
        <f t="shared" si="38"/>
        <v>1697440</v>
      </c>
      <c r="V109" s="216">
        <f t="shared" si="38"/>
        <v>386866</v>
      </c>
      <c r="W109" s="216">
        <f t="shared" si="38"/>
        <v>-168275</v>
      </c>
      <c r="X109" s="216">
        <f t="shared" si="38"/>
        <v>-6261915</v>
      </c>
      <c r="Y109" s="216">
        <f t="shared" si="38"/>
        <v>-12019788</v>
      </c>
      <c r="Z109" s="216">
        <f t="shared" si="38"/>
        <v>-140589362</v>
      </c>
      <c r="AA109" s="216">
        <f t="shared" si="38"/>
        <v>262781</v>
      </c>
      <c r="AB109" s="216">
        <f t="shared" si="38"/>
        <v>-20433</v>
      </c>
      <c r="AC109" s="216">
        <f t="shared" si="38"/>
        <v>-5381142</v>
      </c>
      <c r="AD109" s="216">
        <f t="shared" si="38"/>
        <v>-5401575</v>
      </c>
      <c r="AE109" s="216">
        <f>ROUND(+AE104+AE68+AE61+AE58+AE105+AE107+AE106+AE108,0)</f>
        <v>-14463670</v>
      </c>
      <c r="AF109" s="216">
        <f>ROUND(+AF104+AF68+AF61+AF58+AF105+AF107+AF106+AF108,0)</f>
        <v>-160191827</v>
      </c>
      <c r="AG109" s="216">
        <f t="shared" ref="AG109:AI109" si="39">ROUND(+AG104+AG68+AG61+AG58+AG105+AG107+AG106+AG108,0)</f>
        <v>-19602464</v>
      </c>
      <c r="AH109" s="256">
        <f t="shared" si="39"/>
        <v>-139304697</v>
      </c>
      <c r="AI109" s="256">
        <f t="shared" si="39"/>
        <v>-20887131</v>
      </c>
      <c r="AJ109" s="68"/>
    </row>
    <row r="110" spans="1:36">
      <c r="Y110" s="201"/>
    </row>
  </sheetData>
  <sortState ref="E73:AF107">
    <sortCondition ref="E73:E107"/>
  </sortState>
  <printOptions horizontalCentered="1"/>
  <pageMargins left="0.25" right="0.25" top="0.55000000000000004" bottom="0.3" header="0.15" footer="0.15"/>
  <pageSetup scale="53" fitToWidth="2" fitToHeight="4" pageOrder="overThenDown" orientation="landscape" r:id="rId1"/>
  <headerFooter alignWithMargins="0">
    <oddFooter>&amp;C&amp;P of &amp;N</oddFooter>
  </headerFooter>
  <rowBreaks count="1" manualBreakCount="1">
    <brk id="61" min="7" max="37" man="1"/>
  </rowBreaks>
  <legacyDrawing r:id="rId2"/>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BJ97"/>
  <sheetViews>
    <sheetView workbookViewId="0">
      <selection activeCell="K79" sqref="K79"/>
    </sheetView>
  </sheetViews>
  <sheetFormatPr defaultColWidth="9.140625" defaultRowHeight="12.75"/>
  <cols>
    <col min="1" max="1" width="3" style="97" customWidth="1"/>
    <col min="2" max="2" width="29.28515625" style="97" customWidth="1"/>
    <col min="3" max="3" width="12.5703125" style="97" customWidth="1"/>
    <col min="4" max="4" width="13.85546875" style="97" customWidth="1"/>
    <col min="5" max="5" width="13.28515625" style="97" customWidth="1"/>
    <col min="6" max="6" width="17.140625" style="221" customWidth="1"/>
    <col min="7" max="62" width="9.140625" style="221"/>
    <col min="63" max="16384" width="9.140625" style="97"/>
  </cols>
  <sheetData>
    <row r="1" spans="1:6" s="221" customFormat="1">
      <c r="A1" s="91"/>
      <c r="B1" s="92" t="s">
        <v>0</v>
      </c>
      <c r="C1" s="93"/>
      <c r="D1" s="91"/>
      <c r="E1" s="93"/>
      <c r="F1" s="94" t="s">
        <v>368</v>
      </c>
    </row>
    <row r="2" spans="1:6" s="221" customFormat="1">
      <c r="A2" s="91"/>
      <c r="B2" s="92" t="s">
        <v>135</v>
      </c>
      <c r="C2" s="93"/>
      <c r="D2" s="91"/>
      <c r="E2" s="93"/>
      <c r="F2" s="94" t="s">
        <v>369</v>
      </c>
    </row>
    <row r="3" spans="1:6" s="221" customFormat="1">
      <c r="A3" s="91"/>
      <c r="B3" s="95" t="s">
        <v>370</v>
      </c>
      <c r="C3" s="93"/>
      <c r="D3" s="96"/>
      <c r="E3" s="93"/>
      <c r="F3" s="94" t="s">
        <v>371</v>
      </c>
    </row>
    <row r="4" spans="1:6" s="221" customFormat="1" ht="13.5">
      <c r="A4" s="91"/>
      <c r="B4" s="97" t="s">
        <v>372</v>
      </c>
      <c r="C4" s="93"/>
      <c r="D4" s="96"/>
      <c r="E4" s="93"/>
      <c r="F4" s="237" t="s">
        <v>580</v>
      </c>
    </row>
    <row r="5" spans="1:6" s="221" customFormat="1">
      <c r="A5" s="91"/>
      <c r="B5" s="99"/>
      <c r="C5" s="100"/>
      <c r="D5" s="101"/>
      <c r="E5" s="101"/>
      <c r="F5" s="102"/>
    </row>
    <row r="6" spans="1:6" s="221" customFormat="1">
      <c r="A6" s="91"/>
      <c r="B6" s="99"/>
      <c r="C6" s="103" t="s">
        <v>0</v>
      </c>
      <c r="D6" s="100" t="s">
        <v>11</v>
      </c>
      <c r="E6" s="101"/>
      <c r="F6" s="104"/>
    </row>
    <row r="7" spans="1:6" s="221" customFormat="1">
      <c r="A7" s="91"/>
      <c r="B7" s="93"/>
      <c r="C7" s="105" t="s">
        <v>373</v>
      </c>
      <c r="D7" s="100" t="s">
        <v>373</v>
      </c>
      <c r="E7" s="105" t="s">
        <v>374</v>
      </c>
      <c r="F7" s="104"/>
    </row>
    <row r="8" spans="1:6" s="221" customFormat="1">
      <c r="A8" s="91"/>
      <c r="B8" s="106" t="s">
        <v>375</v>
      </c>
      <c r="C8" s="106"/>
      <c r="D8" s="107"/>
      <c r="E8" s="108"/>
      <c r="F8" s="109"/>
    </row>
    <row r="9" spans="1:6" s="221" customFormat="1">
      <c r="A9" s="91">
        <v>1</v>
      </c>
      <c r="B9" s="93" t="s">
        <v>376</v>
      </c>
      <c r="C9" s="93"/>
      <c r="D9" s="107"/>
      <c r="E9" s="109">
        <f>+D9-C9</f>
        <v>0</v>
      </c>
      <c r="F9" s="109"/>
    </row>
    <row r="10" spans="1:6" s="221" customFormat="1">
      <c r="A10" s="91">
        <v>2</v>
      </c>
      <c r="B10" s="93" t="s">
        <v>377</v>
      </c>
      <c r="C10" s="93"/>
      <c r="D10" s="107"/>
      <c r="E10" s="109">
        <f t="shared" ref="E10:E12" si="0">+D10-C10</f>
        <v>0</v>
      </c>
      <c r="F10" s="109"/>
    </row>
    <row r="11" spans="1:6" s="221" customFormat="1">
      <c r="A11" s="91">
        <v>3</v>
      </c>
      <c r="B11" s="93" t="s">
        <v>378</v>
      </c>
      <c r="C11" s="93"/>
      <c r="D11" s="107"/>
      <c r="E11" s="109">
        <f t="shared" si="0"/>
        <v>0</v>
      </c>
      <c r="F11" s="109"/>
    </row>
    <row r="12" spans="1:6" s="221" customFormat="1">
      <c r="A12" s="91">
        <v>4</v>
      </c>
      <c r="B12" s="93" t="s">
        <v>379</v>
      </c>
      <c r="C12" s="107"/>
      <c r="D12" s="107"/>
      <c r="E12" s="109">
        <f t="shared" si="0"/>
        <v>0</v>
      </c>
      <c r="F12" s="110"/>
    </row>
    <row r="13" spans="1:6" s="221" customFormat="1">
      <c r="A13" s="91">
        <v>5</v>
      </c>
      <c r="B13" s="106" t="s">
        <v>380</v>
      </c>
      <c r="C13" s="111">
        <f>SUM(C9:C12)</f>
        <v>0</v>
      </c>
      <c r="D13" s="111">
        <f>SUM(D9:D12)</f>
        <v>0</v>
      </c>
      <c r="E13" s="111">
        <f>SUM(E9:E12)</f>
        <v>0</v>
      </c>
      <c r="F13" s="109"/>
    </row>
    <row r="14" spans="1:6" s="221" customFormat="1">
      <c r="A14" s="91">
        <v>6</v>
      </c>
      <c r="B14" s="93"/>
      <c r="C14" s="93"/>
      <c r="D14" s="107"/>
      <c r="E14" s="109"/>
      <c r="F14" s="109"/>
    </row>
    <row r="15" spans="1:6" s="221" customFormat="1">
      <c r="A15" s="91">
        <v>7</v>
      </c>
      <c r="B15" s="106" t="s">
        <v>381</v>
      </c>
      <c r="C15" s="106"/>
      <c r="D15" s="107"/>
      <c r="E15" s="109"/>
      <c r="F15" s="109"/>
    </row>
    <row r="16" spans="1:6" s="221" customFormat="1">
      <c r="A16" s="91">
        <v>8</v>
      </c>
      <c r="B16" s="93" t="s">
        <v>382</v>
      </c>
      <c r="C16" s="93"/>
      <c r="D16" s="107"/>
      <c r="E16" s="109">
        <f>+D16-C16</f>
        <v>0</v>
      </c>
      <c r="F16" s="109"/>
    </row>
    <row r="17" spans="1:6" s="221" customFormat="1">
      <c r="A17" s="91">
        <v>9</v>
      </c>
      <c r="B17" s="93" t="s">
        <v>383</v>
      </c>
      <c r="C17" s="93"/>
      <c r="D17" s="107"/>
      <c r="E17" s="109">
        <f t="shared" ref="E17:E25" si="1">+D17-C17</f>
        <v>0</v>
      </c>
      <c r="F17" s="109"/>
    </row>
    <row r="18" spans="1:6" s="221" customFormat="1">
      <c r="A18" s="91">
        <v>10</v>
      </c>
      <c r="B18" s="93" t="s">
        <v>384</v>
      </c>
      <c r="C18" s="107"/>
      <c r="D18" s="107"/>
      <c r="E18" s="109">
        <f t="shared" si="1"/>
        <v>0</v>
      </c>
      <c r="F18" s="109"/>
    </row>
    <row r="19" spans="1:6" s="221" customFormat="1">
      <c r="A19" s="91">
        <v>11</v>
      </c>
      <c r="B19" s="93" t="s">
        <v>385</v>
      </c>
      <c r="C19" s="93"/>
      <c r="D19" s="112"/>
      <c r="E19" s="109">
        <f t="shared" si="1"/>
        <v>0</v>
      </c>
      <c r="F19" s="109"/>
    </row>
    <row r="20" spans="1:6" s="221" customFormat="1">
      <c r="A20" s="91">
        <v>12</v>
      </c>
      <c r="B20" s="93" t="s">
        <v>386</v>
      </c>
      <c r="C20" s="93"/>
      <c r="D20" s="107"/>
      <c r="E20" s="109">
        <f t="shared" si="1"/>
        <v>0</v>
      </c>
      <c r="F20" s="109"/>
    </row>
    <row r="21" spans="1:6" s="221" customFormat="1">
      <c r="A21" s="91">
        <v>13</v>
      </c>
      <c r="B21" s="93" t="s">
        <v>387</v>
      </c>
      <c r="C21" s="93"/>
      <c r="D21" s="107"/>
      <c r="E21" s="109">
        <f t="shared" si="1"/>
        <v>0</v>
      </c>
      <c r="F21" s="109"/>
    </row>
    <row r="22" spans="1:6" s="221" customFormat="1">
      <c r="A22" s="91">
        <v>14</v>
      </c>
      <c r="B22" s="93" t="s">
        <v>388</v>
      </c>
      <c r="C22" s="93"/>
      <c r="D22" s="107"/>
      <c r="E22" s="109">
        <f t="shared" si="1"/>
        <v>0</v>
      </c>
      <c r="F22" s="109"/>
    </row>
    <row r="23" spans="1:6" s="221" customFormat="1">
      <c r="A23" s="91">
        <v>15</v>
      </c>
      <c r="B23" s="93" t="s">
        <v>389</v>
      </c>
      <c r="C23" s="93"/>
      <c r="D23" s="107"/>
      <c r="E23" s="109">
        <f t="shared" si="1"/>
        <v>0</v>
      </c>
      <c r="F23" s="109"/>
    </row>
    <row r="24" spans="1:6" s="221" customFormat="1">
      <c r="A24" s="91">
        <v>16</v>
      </c>
      <c r="B24" s="93" t="s">
        <v>390</v>
      </c>
      <c r="C24" s="93"/>
      <c r="D24" s="107"/>
      <c r="E24" s="109">
        <f t="shared" si="1"/>
        <v>0</v>
      </c>
      <c r="F24" s="109"/>
    </row>
    <row r="25" spans="1:6" s="221" customFormat="1">
      <c r="A25" s="91">
        <v>17</v>
      </c>
      <c r="B25" s="93" t="s">
        <v>391</v>
      </c>
      <c r="C25" s="107"/>
      <c r="D25" s="107"/>
      <c r="E25" s="109">
        <f t="shared" si="1"/>
        <v>0</v>
      </c>
      <c r="F25" s="110"/>
    </row>
    <row r="26" spans="1:6" s="221" customFormat="1">
      <c r="A26" s="91">
        <v>18</v>
      </c>
      <c r="B26" s="113" t="s">
        <v>392</v>
      </c>
      <c r="C26" s="114">
        <f>SUM(C16:C25)</f>
        <v>0</v>
      </c>
      <c r="D26" s="114">
        <f>SUM(D16:D25)</f>
        <v>0</v>
      </c>
      <c r="E26" s="114">
        <f>SUM(E16:E25)</f>
        <v>0</v>
      </c>
      <c r="F26" s="110"/>
    </row>
    <row r="27" spans="1:6" s="221" customFormat="1">
      <c r="A27" s="91"/>
      <c r="B27" s="106"/>
      <c r="C27" s="106"/>
      <c r="D27" s="110"/>
      <c r="E27" s="110"/>
      <c r="F27" s="109"/>
    </row>
    <row r="28" spans="1:6" s="221" customFormat="1">
      <c r="A28" s="91">
        <v>19</v>
      </c>
      <c r="B28" s="93" t="s">
        <v>393</v>
      </c>
      <c r="C28" s="115"/>
      <c r="D28" s="107"/>
      <c r="E28" s="109">
        <f>+D28-C28</f>
        <v>0</v>
      </c>
      <c r="F28" s="109"/>
    </row>
    <row r="29" spans="1:6" s="221" customFormat="1">
      <c r="A29" s="91">
        <v>20</v>
      </c>
      <c r="B29" s="93" t="s">
        <v>394</v>
      </c>
      <c r="C29" s="115"/>
      <c r="D29" s="107"/>
      <c r="E29" s="109">
        <f t="shared" ref="E29:E35" si="2">+D29-C29</f>
        <v>0</v>
      </c>
      <c r="F29" s="109"/>
    </row>
    <row r="30" spans="1:6" s="221" customFormat="1">
      <c r="A30" s="91">
        <v>21</v>
      </c>
      <c r="B30" s="93" t="s">
        <v>395</v>
      </c>
      <c r="C30" s="93"/>
      <c r="D30" s="107"/>
      <c r="E30" s="109">
        <f t="shared" si="2"/>
        <v>0</v>
      </c>
      <c r="F30" s="109"/>
    </row>
    <row r="31" spans="1:6" s="221" customFormat="1">
      <c r="A31" s="91">
        <v>22</v>
      </c>
      <c r="B31" s="93" t="s">
        <v>396</v>
      </c>
      <c r="C31" s="107">
        <f>C83</f>
        <v>0</v>
      </c>
      <c r="D31" s="107">
        <f>D83</f>
        <v>0</v>
      </c>
      <c r="E31" s="109">
        <f t="shared" si="2"/>
        <v>0</v>
      </c>
      <c r="F31" s="109"/>
    </row>
    <row r="32" spans="1:6" s="221" customFormat="1">
      <c r="A32" s="91">
        <v>23</v>
      </c>
      <c r="B32" s="93" t="s">
        <v>397</v>
      </c>
      <c r="C32" s="107">
        <f>C80</f>
        <v>0</v>
      </c>
      <c r="D32" s="107">
        <f>D80</f>
        <v>0</v>
      </c>
      <c r="E32" s="109">
        <f t="shared" si="2"/>
        <v>0</v>
      </c>
      <c r="F32" s="109"/>
    </row>
    <row r="33" spans="1:6" s="225" customFormat="1" ht="13.5">
      <c r="A33" s="223">
        <v>24</v>
      </c>
      <c r="B33" s="229" t="s">
        <v>398</v>
      </c>
      <c r="C33" s="238">
        <v>525562</v>
      </c>
      <c r="D33" s="238">
        <f>+'Adj 7.9 Summary'!H10</f>
        <v>-323865</v>
      </c>
      <c r="E33" s="239">
        <f t="shared" si="2"/>
        <v>-849427</v>
      </c>
      <c r="F33" s="228"/>
    </row>
    <row r="34" spans="1:6" s="221" customFormat="1">
      <c r="A34" s="91">
        <v>25</v>
      </c>
      <c r="B34" s="93" t="s">
        <v>399</v>
      </c>
      <c r="C34" s="240"/>
      <c r="D34" s="241"/>
      <c r="E34" s="242">
        <f t="shared" si="2"/>
        <v>0</v>
      </c>
      <c r="F34" s="109"/>
    </row>
    <row r="35" spans="1:6" s="221" customFormat="1">
      <c r="A35" s="91">
        <v>26</v>
      </c>
      <c r="B35" s="93" t="s">
        <v>400</v>
      </c>
      <c r="C35" s="241"/>
      <c r="D35" s="241"/>
      <c r="E35" s="242">
        <f t="shared" si="2"/>
        <v>0</v>
      </c>
      <c r="F35" s="109"/>
    </row>
    <row r="36" spans="1:6" s="225" customFormat="1" ht="13.5">
      <c r="A36" s="223">
        <v>27</v>
      </c>
      <c r="B36" s="226" t="s">
        <v>401</v>
      </c>
      <c r="C36" s="243">
        <f>SUM(C26:C35)</f>
        <v>525562</v>
      </c>
      <c r="D36" s="243">
        <f>SUM(D26:D35)</f>
        <v>-323865</v>
      </c>
      <c r="E36" s="243">
        <f>SUM(E26:E35)</f>
        <v>-849427</v>
      </c>
      <c r="F36" s="228"/>
    </row>
    <row r="37" spans="1:6" s="225" customFormat="1" ht="13.5">
      <c r="A37" s="223">
        <v>28</v>
      </c>
      <c r="B37" s="229"/>
      <c r="C37" s="238"/>
      <c r="D37" s="238"/>
      <c r="E37" s="238"/>
      <c r="F37" s="228"/>
    </row>
    <row r="38" spans="1:6" s="225" customFormat="1" ht="14.25" thickBot="1">
      <c r="A38" s="223">
        <v>29</v>
      </c>
      <c r="B38" s="235" t="s">
        <v>402</v>
      </c>
      <c r="C38" s="244">
        <f>C13-C36</f>
        <v>-525562</v>
      </c>
      <c r="D38" s="244">
        <f>D13-D36</f>
        <v>323865</v>
      </c>
      <c r="E38" s="244">
        <f>E13-E36</f>
        <v>849427</v>
      </c>
      <c r="F38" s="228"/>
    </row>
    <row r="39" spans="1:6" s="221" customFormat="1" ht="13.5" thickTop="1">
      <c r="A39" s="91">
        <v>30</v>
      </c>
      <c r="B39" s="93"/>
      <c r="C39" s="93"/>
      <c r="D39" s="107"/>
      <c r="E39" s="109"/>
      <c r="F39" s="109"/>
    </row>
    <row r="40" spans="1:6" s="221" customFormat="1">
      <c r="A40" s="91">
        <v>31</v>
      </c>
      <c r="B40" s="106" t="s">
        <v>403</v>
      </c>
      <c r="C40" s="117"/>
      <c r="D40" s="107"/>
      <c r="E40" s="109"/>
      <c r="F40" s="109"/>
    </row>
    <row r="41" spans="1:6" s="221" customFormat="1">
      <c r="A41" s="91">
        <v>32</v>
      </c>
      <c r="B41" s="93" t="s">
        <v>404</v>
      </c>
      <c r="C41" s="115"/>
      <c r="D41" s="107"/>
      <c r="E41" s="109">
        <f t="shared" ref="E41:E51" si="3">+D41-C41</f>
        <v>0</v>
      </c>
      <c r="F41" s="109"/>
    </row>
    <row r="42" spans="1:6" s="221" customFormat="1">
      <c r="A42" s="91">
        <v>33</v>
      </c>
      <c r="B42" s="93" t="s">
        <v>405</v>
      </c>
      <c r="C42" s="115"/>
      <c r="D42" s="107"/>
      <c r="E42" s="109">
        <f t="shared" si="3"/>
        <v>0</v>
      </c>
      <c r="F42" s="109"/>
    </row>
    <row r="43" spans="1:6" s="221" customFormat="1">
      <c r="A43" s="91">
        <v>34</v>
      </c>
      <c r="B43" s="93" t="s">
        <v>406</v>
      </c>
      <c r="C43" s="115"/>
      <c r="D43" s="107"/>
      <c r="E43" s="109">
        <f t="shared" si="3"/>
        <v>0</v>
      </c>
      <c r="F43" s="109"/>
    </row>
    <row r="44" spans="1:6" s="221" customFormat="1">
      <c r="A44" s="91">
        <v>35</v>
      </c>
      <c r="B44" s="93" t="s">
        <v>407</v>
      </c>
      <c r="C44" s="115"/>
      <c r="D44" s="107"/>
      <c r="E44" s="109">
        <f t="shared" si="3"/>
        <v>0</v>
      </c>
      <c r="F44" s="109"/>
    </row>
    <row r="45" spans="1:6" s="221" customFormat="1">
      <c r="A45" s="91">
        <v>36</v>
      </c>
      <c r="B45" s="93" t="s">
        <v>408</v>
      </c>
      <c r="C45" s="115"/>
      <c r="D45" s="107"/>
      <c r="E45" s="109">
        <f t="shared" si="3"/>
        <v>0</v>
      </c>
      <c r="F45" s="109"/>
    </row>
    <row r="46" spans="1:6" s="221" customFormat="1">
      <c r="A46" s="91">
        <v>37</v>
      </c>
      <c r="B46" s="93" t="s">
        <v>409</v>
      </c>
      <c r="C46" s="115"/>
      <c r="D46" s="107"/>
      <c r="E46" s="109">
        <f t="shared" si="3"/>
        <v>0</v>
      </c>
      <c r="F46" s="109"/>
    </row>
    <row r="47" spans="1:6" s="221" customFormat="1">
      <c r="A47" s="91">
        <v>38</v>
      </c>
      <c r="B47" s="93" t="s">
        <v>410</v>
      </c>
      <c r="C47" s="115"/>
      <c r="D47" s="107"/>
      <c r="E47" s="109">
        <f t="shared" si="3"/>
        <v>0</v>
      </c>
      <c r="F47" s="109"/>
    </row>
    <row r="48" spans="1:6" s="221" customFormat="1">
      <c r="A48" s="91">
        <v>39</v>
      </c>
      <c r="B48" s="93" t="s">
        <v>411</v>
      </c>
      <c r="C48" s="115"/>
      <c r="D48" s="107"/>
      <c r="E48" s="109">
        <f t="shared" si="3"/>
        <v>0</v>
      </c>
      <c r="F48" s="109"/>
    </row>
    <row r="49" spans="1:6" s="221" customFormat="1">
      <c r="A49" s="91">
        <v>40</v>
      </c>
      <c r="B49" s="93" t="s">
        <v>412</v>
      </c>
      <c r="C49" s="115"/>
      <c r="D49" s="107"/>
      <c r="E49" s="109">
        <f t="shared" si="3"/>
        <v>0</v>
      </c>
      <c r="F49" s="109"/>
    </row>
    <row r="50" spans="1:6" s="221" customFormat="1">
      <c r="A50" s="91">
        <v>41</v>
      </c>
      <c r="B50" s="93" t="s">
        <v>413</v>
      </c>
      <c r="C50" s="115"/>
      <c r="D50" s="107"/>
      <c r="E50" s="109">
        <f t="shared" si="3"/>
        <v>0</v>
      </c>
      <c r="F50" s="109"/>
    </row>
    <row r="51" spans="1:6" s="221" customFormat="1">
      <c r="A51" s="91">
        <v>42</v>
      </c>
      <c r="B51" s="93" t="s">
        <v>414</v>
      </c>
      <c r="C51" s="118"/>
      <c r="D51" s="107"/>
      <c r="E51" s="109">
        <f t="shared" si="3"/>
        <v>0</v>
      </c>
      <c r="F51" s="109"/>
    </row>
    <row r="52" spans="1:6" s="221" customFormat="1">
      <c r="A52" s="91">
        <v>43</v>
      </c>
      <c r="B52" s="106" t="s">
        <v>415</v>
      </c>
      <c r="C52" s="119">
        <f>SUM(C41:C51)</f>
        <v>0</v>
      </c>
      <c r="D52" s="116">
        <f>SUM(D41:D51)</f>
        <v>0</v>
      </c>
      <c r="E52" s="116">
        <f>SUM(E41:E51)</f>
        <v>0</v>
      </c>
      <c r="F52" s="109"/>
    </row>
    <row r="53" spans="1:6" s="221" customFormat="1">
      <c r="A53" s="91">
        <v>44</v>
      </c>
      <c r="B53" s="93"/>
      <c r="C53" s="115"/>
      <c r="D53" s="107"/>
      <c r="E53" s="109"/>
      <c r="F53" s="109"/>
    </row>
    <row r="54" spans="1:6" s="221" customFormat="1">
      <c r="A54" s="91">
        <v>45</v>
      </c>
      <c r="B54" s="106" t="s">
        <v>416</v>
      </c>
      <c r="C54" s="117"/>
      <c r="D54" s="107"/>
      <c r="E54" s="109"/>
      <c r="F54" s="109"/>
    </row>
    <row r="55" spans="1:6" s="221" customFormat="1">
      <c r="A55" s="91">
        <v>46</v>
      </c>
      <c r="B55" s="93" t="s">
        <v>417</v>
      </c>
      <c r="C55" s="115"/>
      <c r="D55" s="107"/>
      <c r="E55" s="109">
        <f t="shared" ref="E55:E62" si="4">+D55-C55</f>
        <v>0</v>
      </c>
      <c r="F55" s="109"/>
    </row>
    <row r="56" spans="1:6" s="221" customFormat="1">
      <c r="A56" s="91">
        <v>47</v>
      </c>
      <c r="B56" s="93" t="s">
        <v>418</v>
      </c>
      <c r="C56" s="115"/>
      <c r="D56" s="107"/>
      <c r="E56" s="109">
        <f t="shared" si="4"/>
        <v>0</v>
      </c>
      <c r="F56" s="109"/>
    </row>
    <row r="57" spans="1:6" s="225" customFormat="1" ht="13.5">
      <c r="A57" s="223">
        <v>48</v>
      </c>
      <c r="B57" s="229" t="s">
        <v>419</v>
      </c>
      <c r="C57" s="230">
        <v>-262781</v>
      </c>
      <c r="D57" s="238">
        <f>+'Rate Base Support'!AD109</f>
        <v>-5401575</v>
      </c>
      <c r="E57" s="239">
        <f t="shared" si="4"/>
        <v>-5138794</v>
      </c>
      <c r="F57" s="228"/>
    </row>
    <row r="58" spans="1:6" s="221" customFormat="1">
      <c r="A58" s="91">
        <v>49</v>
      </c>
      <c r="B58" s="93" t="s">
        <v>420</v>
      </c>
      <c r="C58" s="115"/>
      <c r="D58" s="107"/>
      <c r="E58" s="109">
        <f t="shared" si="4"/>
        <v>0</v>
      </c>
      <c r="F58" s="109"/>
    </row>
    <row r="59" spans="1:6" s="221" customFormat="1">
      <c r="A59" s="91">
        <v>50</v>
      </c>
      <c r="B59" s="93" t="s">
        <v>421</v>
      </c>
      <c r="C59" s="115"/>
      <c r="D59" s="107"/>
      <c r="E59" s="109">
        <f t="shared" si="4"/>
        <v>0</v>
      </c>
      <c r="F59" s="109"/>
    </row>
    <row r="60" spans="1:6" s="221" customFormat="1">
      <c r="A60" s="91">
        <v>51</v>
      </c>
      <c r="B60" s="93" t="s">
        <v>422</v>
      </c>
      <c r="C60" s="115"/>
      <c r="D60" s="107"/>
      <c r="E60" s="109">
        <f t="shared" si="4"/>
        <v>0</v>
      </c>
      <c r="F60" s="109"/>
    </row>
    <row r="61" spans="1:6" s="221" customFormat="1">
      <c r="A61" s="91">
        <v>52</v>
      </c>
      <c r="B61" s="93" t="s">
        <v>423</v>
      </c>
      <c r="C61" s="115"/>
      <c r="D61" s="107"/>
      <c r="E61" s="109">
        <f t="shared" si="4"/>
        <v>0</v>
      </c>
      <c r="F61" s="109"/>
    </row>
    <row r="62" spans="1:6" s="221" customFormat="1">
      <c r="A62" s="91">
        <v>53</v>
      </c>
      <c r="B62" s="93"/>
      <c r="C62" s="118"/>
      <c r="D62" s="107"/>
      <c r="E62" s="109">
        <f t="shared" si="4"/>
        <v>0</v>
      </c>
      <c r="F62" s="109"/>
    </row>
    <row r="63" spans="1:6" s="225" customFormat="1" ht="13.5">
      <c r="A63" s="223">
        <v>54</v>
      </c>
      <c r="B63" s="226" t="s">
        <v>424</v>
      </c>
      <c r="C63" s="227">
        <f>SUM(C55:C62)</f>
        <v>-262781</v>
      </c>
      <c r="D63" s="243">
        <f>SUM(D55:D62)</f>
        <v>-5401575</v>
      </c>
      <c r="E63" s="243">
        <f>SUM(E55:E62)</f>
        <v>-5138794</v>
      </c>
      <c r="F63" s="228"/>
    </row>
    <row r="64" spans="1:6" s="225" customFormat="1" ht="13.5">
      <c r="A64" s="223">
        <v>55</v>
      </c>
      <c r="B64" s="229"/>
      <c r="C64" s="230"/>
      <c r="D64" s="231"/>
      <c r="E64" s="231"/>
      <c r="F64" s="228"/>
    </row>
    <row r="65" spans="1:6" s="225" customFormat="1" ht="13.5">
      <c r="A65" s="223">
        <v>56</v>
      </c>
      <c r="B65" s="226" t="s">
        <v>425</v>
      </c>
      <c r="C65" s="232">
        <f>C52+C63</f>
        <v>-262781</v>
      </c>
      <c r="D65" s="238">
        <f>D52+D63</f>
        <v>-5401575</v>
      </c>
      <c r="E65" s="238">
        <f>+D65-C65</f>
        <v>-5138794</v>
      </c>
      <c r="F65" s="233"/>
    </row>
    <row r="66" spans="1:6" s="225" customFormat="1" ht="13.5">
      <c r="A66" s="223">
        <v>57</v>
      </c>
      <c r="B66" s="229"/>
      <c r="C66" s="230"/>
      <c r="D66" s="230"/>
      <c r="E66" s="230"/>
      <c r="F66" s="233"/>
    </row>
    <row r="67" spans="1:6" s="225" customFormat="1" ht="14.25" thickBot="1">
      <c r="A67" s="223">
        <v>58</v>
      </c>
      <c r="B67" s="234" t="s">
        <v>426</v>
      </c>
      <c r="C67" s="246">
        <f>ROUND((-C38+(C65*C84))/C85,0)</f>
        <v>812490</v>
      </c>
      <c r="D67" s="245">
        <f>ROUND((-D38+(D65*D84))/D85,0)</f>
        <v>-1174264</v>
      </c>
      <c r="E67" s="245">
        <f>ROUND((-E38+(E65*E84))/E85,0)</f>
        <v>-1990399</v>
      </c>
      <c r="F67" s="233"/>
    </row>
    <row r="68" spans="1:6" s="221" customFormat="1">
      <c r="A68" s="91">
        <v>59</v>
      </c>
      <c r="B68" s="93"/>
      <c r="C68" s="93"/>
      <c r="D68" s="91"/>
      <c r="E68" s="222"/>
      <c r="F68" s="121"/>
    </row>
    <row r="69" spans="1:6" s="221" customFormat="1" hidden="1">
      <c r="A69" s="91">
        <v>60</v>
      </c>
      <c r="B69" s="93" t="s">
        <v>427</v>
      </c>
      <c r="C69" s="93"/>
      <c r="D69" s="91"/>
      <c r="E69" s="93"/>
      <c r="F69" s="121"/>
    </row>
    <row r="70" spans="1:6" s="221" customFormat="1" hidden="1">
      <c r="A70" s="91">
        <v>61</v>
      </c>
      <c r="B70" s="93" t="s">
        <v>428</v>
      </c>
      <c r="C70" s="93"/>
      <c r="D70" s="91"/>
      <c r="E70" s="93"/>
      <c r="F70" s="121"/>
    </row>
    <row r="71" spans="1:6" s="221" customFormat="1" hidden="1">
      <c r="A71" s="91">
        <v>62</v>
      </c>
      <c r="B71" s="93"/>
      <c r="C71" s="93"/>
      <c r="D71" s="91"/>
      <c r="E71" s="93"/>
      <c r="F71" s="109"/>
    </row>
    <row r="72" spans="1:6" s="221" customFormat="1" hidden="1">
      <c r="A72" s="91">
        <v>63</v>
      </c>
      <c r="B72" s="93" t="s">
        <v>429</v>
      </c>
      <c r="C72" s="107">
        <f>C13-C26-C28-C29-C30-C35</f>
        <v>0</v>
      </c>
      <c r="D72" s="107">
        <f>D13-D26-D28-D29-D30-D35</f>
        <v>0</v>
      </c>
      <c r="E72" s="120">
        <f>+D72-C72</f>
        <v>0</v>
      </c>
      <c r="F72" s="109"/>
    </row>
    <row r="73" spans="1:6" s="221" customFormat="1" hidden="1">
      <c r="A73" s="91">
        <v>64</v>
      </c>
      <c r="B73" s="93" t="s">
        <v>430</v>
      </c>
      <c r="C73" s="107"/>
      <c r="D73" s="107"/>
      <c r="E73" s="107"/>
      <c r="F73" s="109"/>
    </row>
    <row r="74" spans="1:6" s="221" customFormat="1" hidden="1">
      <c r="A74" s="91">
        <v>65</v>
      </c>
      <c r="B74" s="93" t="s">
        <v>431</v>
      </c>
      <c r="C74" s="107"/>
      <c r="D74" s="107"/>
      <c r="E74" s="107"/>
      <c r="F74" s="109"/>
    </row>
    <row r="75" spans="1:6" s="221" customFormat="1" hidden="1">
      <c r="A75" s="91">
        <v>66</v>
      </c>
      <c r="B75" s="93" t="s">
        <v>432</v>
      </c>
      <c r="C75" s="107"/>
      <c r="D75" s="107"/>
      <c r="E75" s="107"/>
      <c r="F75" s="109"/>
    </row>
    <row r="76" spans="1:6" s="221" customFormat="1" hidden="1">
      <c r="A76" s="91">
        <v>67</v>
      </c>
      <c r="B76" s="93" t="s">
        <v>433</v>
      </c>
      <c r="C76" s="107"/>
      <c r="D76" s="107"/>
      <c r="E76" s="120">
        <f t="shared" ref="E76:E77" si="5">+D76-C76</f>
        <v>0</v>
      </c>
      <c r="F76" s="109"/>
    </row>
    <row r="77" spans="1:6" s="221" customFormat="1" hidden="1">
      <c r="A77" s="91">
        <v>68</v>
      </c>
      <c r="B77" s="93" t="s">
        <v>434</v>
      </c>
      <c r="C77" s="122"/>
      <c r="D77" s="122"/>
      <c r="E77" s="123">
        <f t="shared" si="5"/>
        <v>0</v>
      </c>
      <c r="F77" s="109"/>
    </row>
    <row r="78" spans="1:6" s="221" customFormat="1" hidden="1">
      <c r="A78" s="91">
        <v>69</v>
      </c>
      <c r="B78" s="93"/>
      <c r="C78" s="107"/>
      <c r="D78" s="107"/>
      <c r="E78" s="107"/>
      <c r="F78" s="124"/>
    </row>
    <row r="79" spans="1:6" s="221" customFormat="1" hidden="1">
      <c r="A79" s="91">
        <v>70</v>
      </c>
      <c r="B79" s="93" t="s">
        <v>435</v>
      </c>
      <c r="C79" s="125">
        <f>C72-C73-C74-C75+C76-C77</f>
        <v>0</v>
      </c>
      <c r="D79" s="125">
        <f>D72-D73-D74-D75+D76-D77</f>
        <v>0</v>
      </c>
      <c r="E79" s="125">
        <f>+D79-C79</f>
        <v>0</v>
      </c>
      <c r="F79" s="109"/>
    </row>
    <row r="80" spans="1:6" s="221" customFormat="1" hidden="1">
      <c r="A80" s="91">
        <v>71</v>
      </c>
      <c r="B80" s="93" t="s">
        <v>436</v>
      </c>
      <c r="C80" s="107">
        <f>C79*$D$87</f>
        <v>0</v>
      </c>
      <c r="D80" s="107">
        <f>D79*$D$87</f>
        <v>0</v>
      </c>
      <c r="E80" s="125">
        <f>+D80-C80</f>
        <v>0</v>
      </c>
      <c r="F80" s="109"/>
    </row>
    <row r="81" spans="1:6" s="221" customFormat="1" hidden="1">
      <c r="A81" s="91">
        <v>72</v>
      </c>
      <c r="B81" s="93" t="s">
        <v>437</v>
      </c>
      <c r="C81" s="116">
        <f>C79-C80</f>
        <v>0</v>
      </c>
      <c r="D81" s="116">
        <f>D79-D80</f>
        <v>0</v>
      </c>
      <c r="E81" s="116">
        <f>E79-E80</f>
        <v>0</v>
      </c>
      <c r="F81" s="109"/>
    </row>
    <row r="82" spans="1:6" s="221" customFormat="1" hidden="1">
      <c r="A82" s="91">
        <v>73</v>
      </c>
      <c r="B82" s="93" t="s">
        <v>438</v>
      </c>
      <c r="C82" s="107"/>
      <c r="D82" s="107"/>
      <c r="E82" s="107"/>
      <c r="F82" s="109"/>
    </row>
    <row r="83" spans="1:6" s="221" customFormat="1" ht="13.5" hidden="1" thickBot="1">
      <c r="A83" s="91">
        <v>74</v>
      </c>
      <c r="B83" s="93" t="s">
        <v>330</v>
      </c>
      <c r="C83" s="126">
        <f>C81*$D$86+C82</f>
        <v>0</v>
      </c>
      <c r="D83" s="126">
        <f>D81*$D$86+D82</f>
        <v>0</v>
      </c>
      <c r="E83" s="126">
        <f>+D83-C83</f>
        <v>0</v>
      </c>
      <c r="F83" s="98"/>
    </row>
    <row r="84" spans="1:6" s="221" customFormat="1" ht="13.5" hidden="1" thickTop="1">
      <c r="A84" s="91"/>
      <c r="B84" s="127" t="s">
        <v>439</v>
      </c>
      <c r="C84" s="128">
        <v>8.3400000000000002E-2</v>
      </c>
      <c r="D84" s="128">
        <v>7.4800000000000005E-2</v>
      </c>
      <c r="E84" s="128">
        <v>7.4800000000000005E-2</v>
      </c>
    </row>
    <row r="85" spans="1:6" s="221" customFormat="1" hidden="1">
      <c r="A85" s="91"/>
      <c r="B85" s="127" t="s">
        <v>440</v>
      </c>
      <c r="C85" s="127">
        <v>0.61987999999999999</v>
      </c>
      <c r="D85" s="127">
        <v>0.61987999999999999</v>
      </c>
      <c r="E85" s="127">
        <v>0.61987999999999999</v>
      </c>
    </row>
    <row r="86" spans="1:6" s="221" customFormat="1" hidden="1">
      <c r="A86" s="91"/>
      <c r="B86" s="127" t="s">
        <v>441</v>
      </c>
      <c r="C86" s="127">
        <v>0.35</v>
      </c>
      <c r="D86" s="127">
        <v>0.35</v>
      </c>
      <c r="E86" s="127">
        <v>0.35</v>
      </c>
    </row>
    <row r="87" spans="1:6" s="221" customFormat="1" hidden="1">
      <c r="A87" s="91"/>
      <c r="B87" s="127" t="s">
        <v>442</v>
      </c>
      <c r="C87" s="127"/>
      <c r="D87" s="127"/>
      <c r="E87" s="97"/>
    </row>
    <row r="88" spans="1:6" s="221" customFormat="1">
      <c r="A88" s="91"/>
      <c r="B88" s="97"/>
      <c r="C88" s="97"/>
      <c r="D88" s="97"/>
      <c r="E88" s="97"/>
    </row>
    <row r="89" spans="1:6" s="225" customFormat="1" ht="13.5">
      <c r="A89" s="223"/>
      <c r="B89" s="224" t="s">
        <v>575</v>
      </c>
      <c r="C89" s="224"/>
      <c r="D89" s="224"/>
      <c r="E89" s="224"/>
    </row>
    <row r="90" spans="1:6" s="225" customFormat="1" ht="13.5">
      <c r="A90" s="223"/>
      <c r="B90" s="224" t="s">
        <v>576</v>
      </c>
      <c r="C90" s="224"/>
      <c r="D90" s="224"/>
      <c r="E90" s="224"/>
    </row>
    <row r="91" spans="1:6" s="225" customFormat="1" ht="13.5">
      <c r="A91" s="223"/>
      <c r="B91" s="224" t="s">
        <v>577</v>
      </c>
      <c r="C91" s="224"/>
      <c r="D91" s="224"/>
      <c r="E91" s="224"/>
    </row>
    <row r="92" spans="1:6" s="221" customFormat="1">
      <c r="A92" s="91"/>
      <c r="B92" s="97"/>
      <c r="C92" s="97"/>
      <c r="D92" s="97"/>
      <c r="E92" s="97"/>
    </row>
    <row r="93" spans="1:6" s="221" customFormat="1">
      <c r="A93" s="91"/>
      <c r="B93" s="106"/>
      <c r="C93" s="107"/>
      <c r="D93" s="107"/>
      <c r="E93" s="107"/>
      <c r="F93" s="109"/>
    </row>
    <row r="94" spans="1:6" s="221" customFormat="1">
      <c r="A94" s="91"/>
      <c r="B94" s="93"/>
      <c r="C94" s="125"/>
      <c r="D94" s="107"/>
      <c r="E94" s="107"/>
      <c r="F94" s="109"/>
    </row>
    <row r="95" spans="1:6" s="221" customFormat="1">
      <c r="A95" s="91"/>
      <c r="B95" s="91"/>
      <c r="C95" s="91"/>
      <c r="D95" s="91"/>
      <c r="E95" s="91"/>
      <c r="F95" s="98"/>
    </row>
    <row r="96" spans="1:6" s="221" customFormat="1">
      <c r="A96" s="91"/>
      <c r="B96" s="91"/>
      <c r="C96" s="91"/>
      <c r="D96" s="91"/>
      <c r="E96" s="91"/>
      <c r="F96" s="98"/>
    </row>
    <row r="97" spans="1:6" s="221" customFormat="1">
      <c r="A97" s="91"/>
      <c r="B97" s="91"/>
      <c r="C97" s="91"/>
      <c r="D97" s="91"/>
      <c r="E97" s="91"/>
      <c r="F97" s="98"/>
    </row>
  </sheetData>
  <pageMargins left="0.7" right="0.7" top="0.75" bottom="0.25" header="0.3" footer="0.05"/>
  <pageSetup scale="8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H24"/>
  <sheetViews>
    <sheetView workbookViewId="0">
      <selection activeCell="E7" sqref="E7"/>
    </sheetView>
  </sheetViews>
  <sheetFormatPr defaultRowHeight="15.75"/>
  <cols>
    <col min="1" max="5" width="9.140625" style="70"/>
    <col min="6" max="6" width="13.5703125" style="70" customWidth="1"/>
    <col min="7" max="8" width="13.28515625" style="70" customWidth="1"/>
    <col min="9" max="16384" width="9.140625" style="70"/>
  </cols>
  <sheetData>
    <row r="1" spans="1:8">
      <c r="A1" s="40" t="s">
        <v>0</v>
      </c>
    </row>
    <row r="2" spans="1:8">
      <c r="A2" s="40" t="s">
        <v>135</v>
      </c>
    </row>
    <row r="3" spans="1:8">
      <c r="A3" s="45" t="s">
        <v>366</v>
      </c>
    </row>
    <row r="4" spans="1:8">
      <c r="A4" s="41" t="s">
        <v>13</v>
      </c>
    </row>
    <row r="6" spans="1:8">
      <c r="F6" s="71" t="s">
        <v>443</v>
      </c>
      <c r="G6" s="71" t="s">
        <v>443</v>
      </c>
      <c r="H6" s="71" t="s">
        <v>443</v>
      </c>
    </row>
    <row r="7" spans="1:8">
      <c r="F7" s="73" t="s">
        <v>373</v>
      </c>
      <c r="G7" s="73" t="s">
        <v>373</v>
      </c>
      <c r="H7" s="73" t="s">
        <v>448</v>
      </c>
    </row>
    <row r="8" spans="1:8">
      <c r="F8" s="72" t="s">
        <v>444</v>
      </c>
      <c r="G8" s="72" t="s">
        <v>446</v>
      </c>
      <c r="H8" s="72" t="s">
        <v>449</v>
      </c>
    </row>
    <row r="10" spans="1:8">
      <c r="B10" s="70" t="s">
        <v>7</v>
      </c>
      <c r="F10" s="177">
        <f>+'Expense Support'!Z107</f>
        <v>40867</v>
      </c>
      <c r="G10" s="177">
        <f>+'Expense Support'!AB107</f>
        <v>-364732</v>
      </c>
      <c r="H10" s="177">
        <f>+G10+F10</f>
        <v>-323865</v>
      </c>
    </row>
    <row r="11" spans="1:8">
      <c r="F11" s="177"/>
      <c r="G11" s="177"/>
      <c r="H11" s="177"/>
    </row>
    <row r="12" spans="1:8">
      <c r="B12" s="70" t="s">
        <v>136</v>
      </c>
      <c r="F12" s="177">
        <f>+'Rate Base Support'!AB109</f>
        <v>-20433</v>
      </c>
      <c r="G12" s="177">
        <f>+'Rate Base Support'!AC109</f>
        <v>-5381142</v>
      </c>
      <c r="H12" s="177">
        <f>+G12+F12</f>
        <v>-5401575</v>
      </c>
    </row>
    <row r="23" spans="2:2">
      <c r="B23" s="75" t="s">
        <v>445</v>
      </c>
    </row>
    <row r="24" spans="2:2">
      <c r="B24" s="75" t="s">
        <v>447</v>
      </c>
    </row>
  </sheetData>
  <pageMargins left="0.7" right="0.7" top="1.25" bottom="0.75" header="0.3" footer="0.3"/>
  <pageSetup scale="81"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K79"/>
  <sheetViews>
    <sheetView zoomScale="120" zoomScaleNormal="120" workbookViewId="0">
      <selection activeCell="D14" sqref="D14"/>
    </sheetView>
  </sheetViews>
  <sheetFormatPr defaultRowHeight="15.75"/>
  <cols>
    <col min="1" max="1" width="3.5703125" style="70" customWidth="1"/>
    <col min="2" max="2" width="7.7109375" style="70" customWidth="1"/>
    <col min="3" max="3" width="3" style="70" customWidth="1"/>
    <col min="4" max="4" width="54" style="70" customWidth="1"/>
    <col min="5" max="5" width="19.140625" style="70" customWidth="1"/>
    <col min="6" max="6" width="19.42578125" style="70" customWidth="1"/>
    <col min="7" max="16384" width="9.140625" style="70"/>
  </cols>
  <sheetData>
    <row r="1" spans="1:6">
      <c r="A1" s="40" t="s">
        <v>0</v>
      </c>
    </row>
    <row r="2" spans="1:6">
      <c r="A2" s="40" t="s">
        <v>135</v>
      </c>
    </row>
    <row r="3" spans="1:6">
      <c r="A3" s="45" t="s">
        <v>366</v>
      </c>
    </row>
    <row r="4" spans="1:6">
      <c r="A4" s="41" t="s">
        <v>13</v>
      </c>
    </row>
    <row r="5" spans="1:6">
      <c r="B5" s="77" t="s">
        <v>331</v>
      </c>
      <c r="C5" s="77"/>
      <c r="D5" s="80"/>
      <c r="E5" s="80" t="s">
        <v>340</v>
      </c>
      <c r="F5" s="71" t="s">
        <v>337</v>
      </c>
    </row>
    <row r="6" spans="1:6">
      <c r="B6" s="78" t="s">
        <v>332</v>
      </c>
      <c r="C6" s="83"/>
      <c r="D6" s="81" t="s">
        <v>334</v>
      </c>
      <c r="E6" s="81" t="s">
        <v>341</v>
      </c>
      <c r="F6" s="73" t="s">
        <v>338</v>
      </c>
    </row>
    <row r="7" spans="1:6">
      <c r="B7" s="79" t="s">
        <v>333</v>
      </c>
      <c r="C7" s="84"/>
      <c r="D7" s="85" t="s">
        <v>335</v>
      </c>
      <c r="E7" s="82" t="s">
        <v>336</v>
      </c>
      <c r="F7" s="74" t="s">
        <v>339</v>
      </c>
    </row>
    <row r="8" spans="1:6" ht="16.5" thickBot="1">
      <c r="B8" s="88">
        <v>1</v>
      </c>
      <c r="C8" s="86" t="s">
        <v>358</v>
      </c>
      <c r="D8" s="86"/>
      <c r="E8" s="87">
        <v>22359798</v>
      </c>
      <c r="F8" s="87">
        <v>-128569574</v>
      </c>
    </row>
    <row r="9" spans="1:6" ht="16.5" thickTop="1">
      <c r="B9" s="88">
        <f>1+B8</f>
        <v>2</v>
      </c>
      <c r="C9" s="70" t="s">
        <v>342</v>
      </c>
      <c r="E9" s="177">
        <f>+'Expense Support'!E107</f>
        <v>623320</v>
      </c>
      <c r="F9" s="177">
        <f>ROUND(+'Rate Base Support'!J109,0)</f>
        <v>2751332</v>
      </c>
    </row>
    <row r="10" spans="1:6">
      <c r="B10" s="88">
        <f>1+B9</f>
        <v>3</v>
      </c>
      <c r="C10" s="70" t="s">
        <v>343</v>
      </c>
      <c r="E10" s="177">
        <f>+'Expense Support'!F107</f>
        <v>192892</v>
      </c>
      <c r="F10" s="177">
        <f>ROUND(+'Rate Base Support'!K109,0)</f>
        <v>1600912</v>
      </c>
    </row>
    <row r="11" spans="1:6">
      <c r="B11" s="88">
        <f t="shared" ref="B11:B26" si="0">1+B10</f>
        <v>4</v>
      </c>
      <c r="C11" s="70" t="s">
        <v>98</v>
      </c>
      <c r="E11" s="177">
        <f>+'Expense Support'!G107</f>
        <v>384714</v>
      </c>
      <c r="F11" s="177"/>
    </row>
    <row r="12" spans="1:6">
      <c r="B12" s="88">
        <f t="shared" si="0"/>
        <v>5</v>
      </c>
      <c r="C12" s="70" t="s">
        <v>344</v>
      </c>
      <c r="E12" s="177">
        <f>+'Expense Support'!H107</f>
        <v>-525945</v>
      </c>
      <c r="F12" s="177">
        <f>ROUND(+'Rate Base Support'!L109,0)</f>
        <v>472406</v>
      </c>
    </row>
    <row r="13" spans="1:6">
      <c r="B13" s="88">
        <f t="shared" si="0"/>
        <v>6</v>
      </c>
      <c r="C13" s="70" t="s">
        <v>345</v>
      </c>
      <c r="E13" s="177">
        <f>+'Expense Support'!I107</f>
        <v>218152</v>
      </c>
      <c r="F13" s="177">
        <f>ROUND(+'Rate Base Support'!M109,0)</f>
        <v>330671</v>
      </c>
    </row>
    <row r="14" spans="1:6">
      <c r="B14" s="88">
        <f t="shared" si="0"/>
        <v>7</v>
      </c>
      <c r="C14" s="70" t="s">
        <v>346</v>
      </c>
      <c r="E14" s="177">
        <f>+'Expense Support'!J107</f>
        <v>136253</v>
      </c>
      <c r="F14" s="177">
        <f>ROUND(+'Rate Base Support'!N109,0)</f>
        <v>1810649</v>
      </c>
    </row>
    <row r="15" spans="1:6">
      <c r="B15" s="88">
        <f t="shared" si="0"/>
        <v>8</v>
      </c>
      <c r="C15" s="70" t="s">
        <v>347</v>
      </c>
      <c r="E15" s="177">
        <f>+'Expense Support'!K107</f>
        <v>22534</v>
      </c>
      <c r="F15" s="177">
        <f>ROUND(+'Rate Base Support'!T109,0)</f>
        <v>105943</v>
      </c>
    </row>
    <row r="16" spans="1:6">
      <c r="B16" s="88">
        <f t="shared" si="0"/>
        <v>9</v>
      </c>
      <c r="C16" s="70" t="s">
        <v>348</v>
      </c>
      <c r="E16" s="177">
        <f>+'Expense Support'!L107</f>
        <v>-178075</v>
      </c>
      <c r="F16" s="177">
        <f>ROUND(+'Rate Base Support'!U109,0)</f>
        <v>1697440</v>
      </c>
    </row>
    <row r="17" spans="2:6">
      <c r="B17" s="88">
        <f t="shared" si="0"/>
        <v>10</v>
      </c>
      <c r="C17" s="70" t="s">
        <v>349</v>
      </c>
      <c r="E17" s="177">
        <f>+'Expense Support'!M107</f>
        <v>118650</v>
      </c>
      <c r="F17" s="177">
        <f>ROUND(+'Rate Base Support'!V109,0)</f>
        <v>386866</v>
      </c>
    </row>
    <row r="18" spans="2:6">
      <c r="B18" s="88">
        <f t="shared" si="0"/>
        <v>11</v>
      </c>
      <c r="C18" s="70" t="s">
        <v>350</v>
      </c>
      <c r="E18" s="177">
        <f>+'Expense Support'!N107</f>
        <v>131967</v>
      </c>
      <c r="F18" s="177">
        <f>ROUND(+'Rate Base Support'!W109,0)</f>
        <v>-168275</v>
      </c>
    </row>
    <row r="19" spans="2:6">
      <c r="B19" s="88">
        <f t="shared" si="0"/>
        <v>12</v>
      </c>
      <c r="C19" s="70" t="s">
        <v>351</v>
      </c>
      <c r="E19" s="177">
        <f>+'Expense Support'!O107</f>
        <v>-1138530</v>
      </c>
      <c r="F19" s="177">
        <f>ROUND(+'Rate Base Support'!X109,0)</f>
        <v>-6261915</v>
      </c>
    </row>
    <row r="20" spans="2:6">
      <c r="B20" s="88">
        <f t="shared" si="0"/>
        <v>13</v>
      </c>
      <c r="C20" s="70" t="s">
        <v>352</v>
      </c>
      <c r="E20" s="177"/>
      <c r="F20" s="177">
        <f>ROUND(+'Rate Base Support'!O109,0)</f>
        <v>-5199035</v>
      </c>
    </row>
    <row r="21" spans="2:6">
      <c r="B21" s="88">
        <f t="shared" si="0"/>
        <v>14</v>
      </c>
      <c r="C21" s="70" t="s">
        <v>132</v>
      </c>
      <c r="E21" s="177">
        <f>+'Expense Support'!P107</f>
        <v>-291667</v>
      </c>
      <c r="F21" s="177">
        <f>ROUND(+'Rate Base Support'!P109,0)</f>
        <v>-510417</v>
      </c>
    </row>
    <row r="22" spans="2:6">
      <c r="B22" s="88">
        <f t="shared" si="0"/>
        <v>15</v>
      </c>
      <c r="C22" s="70" t="s">
        <v>353</v>
      </c>
      <c r="E22" s="177">
        <f>+'Expense Support'!Q107</f>
        <v>5532834</v>
      </c>
      <c r="F22" s="177"/>
    </row>
    <row r="23" spans="2:6">
      <c r="B23" s="88">
        <f t="shared" si="0"/>
        <v>16</v>
      </c>
      <c r="C23" s="70" t="s">
        <v>354</v>
      </c>
      <c r="E23" s="177">
        <f>+'Expense Support'!V107</f>
        <v>-2199228</v>
      </c>
      <c r="F23" s="177">
        <f>ROUND(+'Rate Base Support'!Q109,0)</f>
        <v>1099614</v>
      </c>
    </row>
    <row r="24" spans="2:6">
      <c r="B24" s="88">
        <f t="shared" si="0"/>
        <v>17</v>
      </c>
      <c r="C24" s="70" t="s">
        <v>355</v>
      </c>
      <c r="E24" s="177">
        <f>+'Expense Support'!R107</f>
        <v>525562</v>
      </c>
      <c r="F24" s="177">
        <f>ROUND(+'Rate Base Support'!R109,0)</f>
        <v>-262781</v>
      </c>
    </row>
    <row r="25" spans="2:6">
      <c r="B25" s="88">
        <f t="shared" si="0"/>
        <v>18</v>
      </c>
      <c r="C25" s="70" t="s">
        <v>356</v>
      </c>
      <c r="E25" s="177">
        <f>+'Expense Support'!S107</f>
        <v>170464</v>
      </c>
      <c r="F25" s="177"/>
    </row>
    <row r="26" spans="2:6">
      <c r="B26" s="88">
        <f t="shared" si="0"/>
        <v>19</v>
      </c>
      <c r="C26" s="70" t="s">
        <v>357</v>
      </c>
      <c r="E26" s="177"/>
      <c r="F26" s="177">
        <f>ROUND(+'Rate Base Support'!S109,0)</f>
        <v>-9873199</v>
      </c>
    </row>
    <row r="27" spans="2:6">
      <c r="B27" s="88">
        <f>1+B26</f>
        <v>20</v>
      </c>
      <c r="C27" s="86" t="s">
        <v>362</v>
      </c>
      <c r="D27" s="86"/>
      <c r="E27" s="178">
        <f>SUM(E9:E26)</f>
        <v>3723897</v>
      </c>
      <c r="F27" s="178">
        <f>SUM(F9:F26)+1</f>
        <v>-12019788</v>
      </c>
    </row>
    <row r="28" spans="2:6" ht="16.5" thickBot="1">
      <c r="B28" s="88">
        <f>1+B27</f>
        <v>21</v>
      </c>
      <c r="C28" s="86" t="s">
        <v>363</v>
      </c>
      <c r="D28" s="86"/>
      <c r="E28" s="179">
        <f>+E27+E8</f>
        <v>26083695</v>
      </c>
      <c r="F28" s="179">
        <f>+F27+F8</f>
        <v>-140589362</v>
      </c>
    </row>
    <row r="29" spans="2:6" ht="16.5" thickTop="1">
      <c r="B29" s="88"/>
      <c r="C29" s="70" t="s">
        <v>359</v>
      </c>
      <c r="E29" s="177"/>
      <c r="F29" s="177"/>
    </row>
    <row r="30" spans="2:6">
      <c r="B30" s="88">
        <f>1+B28</f>
        <v>22</v>
      </c>
      <c r="C30" s="70" t="s">
        <v>579</v>
      </c>
      <c r="E30" s="236">
        <f>+'Expense Support'!Y107</f>
        <v>-525562</v>
      </c>
      <c r="F30" s="236">
        <f>-'Rate Base Support'!R109</f>
        <v>262781</v>
      </c>
    </row>
    <row r="31" spans="2:6">
      <c r="B31" s="88">
        <f t="shared" ref="B31:B38" si="1">1+B30</f>
        <v>23</v>
      </c>
      <c r="C31" s="70" t="s">
        <v>360</v>
      </c>
      <c r="E31" s="177">
        <f>+'Expense Support'!Z107</f>
        <v>40867</v>
      </c>
      <c r="F31" s="177">
        <f>+'Rate Base Support'!AB109</f>
        <v>-20433</v>
      </c>
    </row>
    <row r="32" spans="2:6">
      <c r="B32" s="88">
        <f t="shared" si="1"/>
        <v>24</v>
      </c>
      <c r="C32" s="70" t="s">
        <v>361</v>
      </c>
      <c r="E32" s="177">
        <f>+'Expense Support'!AB107</f>
        <v>-364732</v>
      </c>
      <c r="F32" s="177">
        <f>+'Rate Base Support'!AC109</f>
        <v>-5381142</v>
      </c>
    </row>
    <row r="33" spans="2:6">
      <c r="B33" s="89">
        <f t="shared" si="1"/>
        <v>25</v>
      </c>
      <c r="C33" s="86" t="s">
        <v>529</v>
      </c>
      <c r="D33" s="86"/>
      <c r="E33" s="178">
        <f>+E32+E31</f>
        <v>-323865</v>
      </c>
      <c r="F33" s="178">
        <f>+F32+F31</f>
        <v>-5401575</v>
      </c>
    </row>
    <row r="34" spans="2:6">
      <c r="B34" s="88">
        <f t="shared" si="1"/>
        <v>26</v>
      </c>
      <c r="C34" s="70" t="s">
        <v>364</v>
      </c>
      <c r="E34" s="177"/>
      <c r="F34" s="177">
        <f>+'Rate Base Support'!AE109</f>
        <v>-14463670</v>
      </c>
    </row>
    <row r="35" spans="2:6" ht="16.5" thickBot="1">
      <c r="B35" s="88">
        <f t="shared" si="1"/>
        <v>27</v>
      </c>
      <c r="C35" s="86" t="s">
        <v>532</v>
      </c>
      <c r="D35" s="86"/>
      <c r="E35" s="179">
        <f>+E33+E30+E34+E28</f>
        <v>25234268</v>
      </c>
      <c r="F35" s="179">
        <f>+F33+F30+F34+F28-1</f>
        <v>-160191827</v>
      </c>
    </row>
    <row r="36" spans="2:6" ht="17.25" thickTop="1" thickBot="1">
      <c r="B36" s="89">
        <f t="shared" si="1"/>
        <v>28</v>
      </c>
      <c r="C36" s="86" t="s">
        <v>365</v>
      </c>
      <c r="D36" s="86"/>
      <c r="E36" s="179">
        <f>+E35-E28</f>
        <v>-849427</v>
      </c>
      <c r="F36" s="179">
        <f>+F35-F28+1</f>
        <v>-19602464</v>
      </c>
    </row>
    <row r="37" spans="2:6" ht="16.5" thickTop="1">
      <c r="B37" s="89">
        <f t="shared" si="1"/>
        <v>29</v>
      </c>
      <c r="C37" s="86" t="s">
        <v>530</v>
      </c>
      <c r="D37" s="86"/>
      <c r="E37" s="184">
        <f>+'Expense Support'!AF107</f>
        <v>25993903.874896389</v>
      </c>
      <c r="F37" s="184">
        <f>+'Rate Base Support'!AH109</f>
        <v>-139304697</v>
      </c>
    </row>
    <row r="38" spans="2:6">
      <c r="B38" s="89">
        <f t="shared" si="1"/>
        <v>30</v>
      </c>
      <c r="C38" s="86" t="s">
        <v>531</v>
      </c>
      <c r="E38" s="178">
        <f>E35-E37</f>
        <v>-759635.8748963885</v>
      </c>
      <c r="F38" s="178">
        <f>F35-F37-1</f>
        <v>-20887131</v>
      </c>
    </row>
    <row r="39" spans="2:6">
      <c r="E39" s="76"/>
      <c r="F39" s="76"/>
    </row>
    <row r="40" spans="2:6" ht="48" customHeight="1">
      <c r="B40" s="264" t="s">
        <v>578</v>
      </c>
      <c r="C40" s="265"/>
      <c r="D40" s="265"/>
      <c r="E40" s="265"/>
      <c r="F40" s="265"/>
    </row>
    <row r="41" spans="2:6">
      <c r="E41" s="76"/>
      <c r="F41" s="76"/>
    </row>
    <row r="42" spans="2:6">
      <c r="E42" s="76"/>
      <c r="F42" s="76"/>
    </row>
    <row r="43" spans="2:6">
      <c r="E43" s="76"/>
      <c r="F43" s="76"/>
    </row>
    <row r="79" spans="11:11">
      <c r="K79" s="70" t="s">
        <v>589</v>
      </c>
    </row>
  </sheetData>
  <mergeCells count="1">
    <mergeCell ref="B40:F40"/>
  </mergeCells>
  <pageMargins left="0.7" right="0.7" top="1.25" bottom="0.75" header="0.3" footer="0.3"/>
  <pageSetup scale="86" orientation="portrait" r:id="rId1"/>
</worksheet>
</file>

<file path=xl/worksheets/sheet5.xml><?xml version="1.0" encoding="utf-8"?>
<worksheet xmlns="http://schemas.openxmlformats.org/spreadsheetml/2006/main" xmlns:r="http://schemas.openxmlformats.org/officeDocument/2006/relationships">
  <dimension ref="A1:M79"/>
  <sheetViews>
    <sheetView tabSelected="1" showWhiteSpace="0" zoomScale="90" zoomScaleNormal="90" zoomScalePageLayoutView="90" workbookViewId="0">
      <selection activeCell="D29" sqref="D29"/>
    </sheetView>
  </sheetViews>
  <sheetFormatPr defaultRowHeight="15.75"/>
  <cols>
    <col min="1" max="1" width="6.28515625" style="41" customWidth="1"/>
    <col min="2" max="2" width="42.5703125" style="41" customWidth="1"/>
    <col min="3" max="3" width="14.85546875" style="41" bestFit="1" customWidth="1"/>
    <col min="4" max="4" width="13.7109375" style="41" bestFit="1" customWidth="1"/>
    <col min="5" max="5" width="15.42578125" style="41" customWidth="1"/>
    <col min="6" max="6" width="12.140625" style="41" customWidth="1"/>
    <col min="7" max="8" width="13.42578125" style="41" customWidth="1"/>
    <col min="9" max="9" width="16.42578125" style="41" customWidth="1"/>
    <col min="10" max="10" width="14.42578125" style="41" customWidth="1"/>
    <col min="11" max="11" width="14.5703125" style="41" customWidth="1"/>
    <col min="12" max="12" width="13.7109375" style="41" customWidth="1"/>
    <col min="13" max="13" width="6" style="41" customWidth="1"/>
    <col min="14" max="14" width="5.28515625" style="41" customWidth="1"/>
    <col min="15" max="15" width="6" style="41" customWidth="1"/>
    <col min="16" max="16" width="13.140625" style="41" customWidth="1"/>
    <col min="17" max="17" width="6" style="41" customWidth="1"/>
    <col min="18" max="18" width="5.28515625" style="41" customWidth="1"/>
    <col min="19" max="19" width="6" style="41" customWidth="1"/>
    <col min="20" max="20" width="5.28515625" style="41" customWidth="1"/>
    <col min="21" max="21" width="6" style="41" customWidth="1"/>
    <col min="22" max="22" width="5.28515625" style="41" customWidth="1"/>
    <col min="23" max="23" width="6" style="41" customWidth="1"/>
    <col min="24" max="24" width="5.28515625" style="41" customWidth="1"/>
    <col min="25" max="25" width="6" style="41" customWidth="1"/>
    <col min="26" max="26" width="5.28515625" style="41" customWidth="1"/>
    <col min="27" max="27" width="6" style="41" customWidth="1"/>
    <col min="28" max="28" width="5.28515625" style="41" customWidth="1"/>
    <col min="29" max="29" width="6" style="41" customWidth="1"/>
    <col min="30" max="30" width="5.28515625" style="41" customWidth="1"/>
    <col min="31" max="31" width="6" style="41" customWidth="1"/>
    <col min="32" max="32" width="5.28515625" style="41" customWidth="1"/>
    <col min="33" max="33" width="6" style="41" customWidth="1"/>
    <col min="34" max="34" width="5.28515625" style="41" customWidth="1"/>
    <col min="35" max="35" width="6" style="41" customWidth="1"/>
    <col min="36" max="36" width="5.28515625" style="41" customWidth="1"/>
    <col min="37" max="37" width="8.140625" style="41" customWidth="1"/>
    <col min="38" max="38" width="6.85546875" style="41" customWidth="1"/>
    <col min="39" max="39" width="6" style="41" customWidth="1"/>
    <col min="40" max="40" width="5.28515625" style="41" customWidth="1"/>
    <col min="41" max="41" width="6" style="41" customWidth="1"/>
    <col min="42" max="42" width="5.28515625" style="41" customWidth="1"/>
    <col min="43" max="43" width="6" style="41" customWidth="1"/>
    <col min="44" max="44" width="5.28515625" style="41" customWidth="1"/>
    <col min="45" max="45" width="6" style="41" customWidth="1"/>
    <col min="46" max="46" width="5.28515625" style="41" customWidth="1"/>
    <col min="47" max="47" width="6" style="41" customWidth="1"/>
    <col min="48" max="48" width="5.28515625" style="41" customWidth="1"/>
    <col min="49" max="49" width="6" style="41" customWidth="1"/>
    <col min="50" max="50" width="5.28515625" style="41" customWidth="1"/>
    <col min="51" max="51" width="6" style="41" customWidth="1"/>
    <col min="52" max="52" width="5.28515625" style="41" customWidth="1"/>
    <col min="53" max="16384" width="9.140625" style="41"/>
  </cols>
  <sheetData>
    <row r="1" spans="1:13">
      <c r="A1" s="40" t="s">
        <v>0</v>
      </c>
      <c r="B1" s="42"/>
      <c r="C1" s="42"/>
      <c r="D1" s="44"/>
      <c r="E1" s="44"/>
      <c r="F1" s="44"/>
      <c r="G1" s="44"/>
      <c r="H1" s="44"/>
      <c r="L1" s="175"/>
    </row>
    <row r="2" spans="1:13">
      <c r="A2" s="40" t="s">
        <v>370</v>
      </c>
      <c r="B2" s="42"/>
      <c r="C2" s="42"/>
      <c r="D2" s="44"/>
      <c r="E2" s="44"/>
      <c r="F2" s="44"/>
      <c r="G2" s="44"/>
      <c r="H2" s="44"/>
      <c r="L2" s="175"/>
    </row>
    <row r="3" spans="1:13">
      <c r="A3" s="45" t="s">
        <v>455</v>
      </c>
      <c r="B3" s="44"/>
      <c r="C3" s="42"/>
      <c r="D3" s="42"/>
      <c r="E3" s="42"/>
      <c r="F3" s="42"/>
      <c r="G3" s="42"/>
      <c r="H3" s="42"/>
      <c r="L3" s="175"/>
    </row>
    <row r="4" spans="1:13">
      <c r="A4" s="41" t="s">
        <v>13</v>
      </c>
      <c r="B4" s="42"/>
      <c r="C4" s="42"/>
      <c r="D4" s="42"/>
      <c r="E4" s="42"/>
      <c r="F4" s="42"/>
      <c r="G4" s="42"/>
      <c r="H4" s="42"/>
    </row>
    <row r="5" spans="1:13">
      <c r="B5" s="42"/>
      <c r="C5" s="42"/>
      <c r="D5" s="42"/>
      <c r="E5" s="42"/>
      <c r="F5" s="42"/>
      <c r="G5" s="42"/>
      <c r="H5" s="42"/>
    </row>
    <row r="6" spans="1:13">
      <c r="B6" s="42"/>
      <c r="C6" s="42"/>
      <c r="D6" s="42"/>
      <c r="E6" s="42"/>
      <c r="F6" s="42"/>
      <c r="G6" s="42"/>
      <c r="H6" s="42"/>
    </row>
    <row r="7" spans="1:13">
      <c r="B7" s="42"/>
      <c r="C7" s="42"/>
      <c r="D7" s="42"/>
      <c r="E7" s="42"/>
      <c r="F7" s="42"/>
      <c r="G7" s="42"/>
      <c r="H7" s="42"/>
    </row>
    <row r="8" spans="1:13">
      <c r="B8" s="42"/>
      <c r="C8" s="42"/>
      <c r="D8" s="42"/>
      <c r="E8" s="42"/>
      <c r="F8" s="42"/>
      <c r="G8" s="42"/>
      <c r="H8" s="42"/>
    </row>
    <row r="9" spans="1:13" s="40" customFormat="1" ht="99" customHeight="1">
      <c r="A9" s="49" t="s">
        <v>460</v>
      </c>
      <c r="B9" s="50" t="s">
        <v>19</v>
      </c>
      <c r="C9" s="51" t="s">
        <v>21</v>
      </c>
      <c r="D9" s="53" t="s">
        <v>501</v>
      </c>
      <c r="E9" s="53" t="s">
        <v>524</v>
      </c>
      <c r="F9" s="53" t="s">
        <v>518</v>
      </c>
      <c r="G9" s="53" t="s">
        <v>582</v>
      </c>
      <c r="H9" s="53" t="s">
        <v>571</v>
      </c>
      <c r="I9" s="53" t="s">
        <v>525</v>
      </c>
      <c r="J9" s="53" t="s">
        <v>457</v>
      </c>
      <c r="K9" s="138" t="s">
        <v>458</v>
      </c>
      <c r="L9" s="53" t="s">
        <v>526</v>
      </c>
    </row>
    <row r="10" spans="1:13" s="40" customFormat="1" ht="15.75" customHeight="1">
      <c r="A10" s="48" t="s">
        <v>461</v>
      </c>
      <c r="B10" s="135" t="s">
        <v>462</v>
      </c>
      <c r="C10" s="140" t="s">
        <v>463</v>
      </c>
      <c r="D10" s="161" t="s">
        <v>464</v>
      </c>
      <c r="E10" s="161" t="s">
        <v>520</v>
      </c>
      <c r="F10" s="161" t="s">
        <v>466</v>
      </c>
      <c r="G10" s="141" t="s">
        <v>467</v>
      </c>
      <c r="H10" s="161" t="s">
        <v>468</v>
      </c>
      <c r="I10" s="141" t="s">
        <v>572</v>
      </c>
      <c r="J10" s="141" t="s">
        <v>573</v>
      </c>
      <c r="K10" s="161" t="s">
        <v>471</v>
      </c>
      <c r="L10" s="141" t="s">
        <v>574</v>
      </c>
      <c r="M10" s="164"/>
    </row>
    <row r="11" spans="1:13" s="40" customFormat="1" ht="15.75" customHeight="1">
      <c r="A11" s="48"/>
      <c r="B11" s="185" t="s">
        <v>535</v>
      </c>
      <c r="C11" s="140">
        <f>+'KHB-6 Pg 2'!C105</f>
        <v>22359797.900000002</v>
      </c>
      <c r="D11" s="140">
        <f>+'KHB-6 Pg 2'!D105</f>
        <v>3723897.2000000011</v>
      </c>
      <c r="E11" s="140">
        <f>+'KHB-6 Pg 2'!E105</f>
        <v>26083695.100000001</v>
      </c>
      <c r="F11" s="140">
        <f>+'KHB-6 Pg 2'!F105</f>
        <v>-525562</v>
      </c>
      <c r="G11" s="140">
        <f>+'KHB-6 Pg 2'!G105</f>
        <v>-323865</v>
      </c>
      <c r="H11" s="140"/>
      <c r="I11" s="140">
        <f>+'KHB-6 Pg 2'!H105</f>
        <v>25234268.100000001</v>
      </c>
      <c r="J11" s="140">
        <f>+'KHB-6 Pg 2'!I105</f>
        <v>-849427</v>
      </c>
      <c r="K11" s="262">
        <f>+'KHB-6 Pg 2'!J105</f>
        <v>25993903.874896389</v>
      </c>
      <c r="L11" s="262">
        <f>+'KHB-6 Pg 2'!K105</f>
        <v>-759635.77489638026</v>
      </c>
      <c r="M11" s="164"/>
    </row>
    <row r="12" spans="1:13" s="40" customFormat="1" ht="15.75" customHeight="1">
      <c r="A12" s="48"/>
      <c r="B12" s="135"/>
      <c r="C12" s="140"/>
      <c r="D12" s="161"/>
      <c r="E12" s="161"/>
      <c r="F12" s="161"/>
      <c r="G12" s="141"/>
      <c r="H12" s="141"/>
      <c r="I12" s="141"/>
      <c r="J12" s="141"/>
      <c r="K12" s="141"/>
      <c r="L12" s="141"/>
      <c r="M12" s="164"/>
    </row>
    <row r="13" spans="1:13" s="40" customFormat="1" ht="15.75" customHeight="1">
      <c r="A13" s="48"/>
      <c r="B13" s="186" t="s">
        <v>536</v>
      </c>
      <c r="C13" s="140">
        <f>+'Rate Base Support'!I109</f>
        <v>-128569574</v>
      </c>
      <c r="D13" s="161">
        <f>+'Rate Base Support'!Y109</f>
        <v>-12019788</v>
      </c>
      <c r="E13" s="161">
        <f>+'Rate Base Support'!Z109</f>
        <v>-140589362</v>
      </c>
      <c r="F13" s="161">
        <f>+'Rate Base Support'!AA109</f>
        <v>262781</v>
      </c>
      <c r="G13" s="141">
        <f>+'Rate Base Support'!AD109</f>
        <v>-5401575</v>
      </c>
      <c r="H13" s="141">
        <f>+'Rate Base Support'!AG108</f>
        <v>-14463670</v>
      </c>
      <c r="I13" s="141">
        <f>+'Rate Base Support'!AF109</f>
        <v>-160191827</v>
      </c>
      <c r="J13" s="141">
        <f>+'Rate Base Support'!AG109</f>
        <v>-19602464</v>
      </c>
      <c r="K13" s="263">
        <f>+'Rate Base Support'!AH109</f>
        <v>-139304697</v>
      </c>
      <c r="L13" s="263">
        <f>+'Rate Base Support'!AI109</f>
        <v>-20887131</v>
      </c>
      <c r="M13" s="164"/>
    </row>
    <row r="15" spans="1:13">
      <c r="B15" s="188" t="s">
        <v>537</v>
      </c>
      <c r="C15" s="41" t="s">
        <v>588</v>
      </c>
    </row>
    <row r="16" spans="1:13">
      <c r="B16" s="188" t="s">
        <v>538</v>
      </c>
      <c r="C16" s="41" t="s">
        <v>587</v>
      </c>
    </row>
    <row r="17" spans="2:2">
      <c r="B17" s="175"/>
    </row>
    <row r="18" spans="2:2">
      <c r="B18" s="175"/>
    </row>
    <row r="19" spans="2:2">
      <c r="B19" s="175"/>
    </row>
    <row r="20" spans="2:2">
      <c r="B20" s="188"/>
    </row>
    <row r="21" spans="2:2">
      <c r="B21" s="188"/>
    </row>
    <row r="79" spans="11:11">
      <c r="K79" s="41" t="s">
        <v>589</v>
      </c>
    </row>
  </sheetData>
  <printOptions horizontalCentered="1"/>
  <pageMargins left="1" right="0.5" top="1.05" bottom="0.3" header="1.05" footer="0.2"/>
  <pageSetup scale="55" fitToWidth="2" fitToHeight="3" pageOrder="overThenDown" orientation="landscape" r:id="rId1"/>
  <headerFooter alignWithMargins="0">
    <oddHeader>&amp;RRevised 1-13-2011
PacifiCorp Docket UE-100749
Exhibit No.___(KHB-6)
Page &amp;P of 19]</oddHeader>
  </headerFooter>
</worksheet>
</file>

<file path=xl/worksheets/sheet6.xml><?xml version="1.0" encoding="utf-8"?>
<worksheet xmlns="http://schemas.openxmlformats.org/spreadsheetml/2006/main" xmlns:r="http://schemas.openxmlformats.org/officeDocument/2006/relationships">
  <dimension ref="A1:M110"/>
  <sheetViews>
    <sheetView showWhiteSpace="0" view="pageLayout" topLeftCell="A61" zoomScale="90" zoomScaleNormal="90" zoomScalePageLayoutView="90" workbookViewId="0">
      <selection activeCell="G79" sqref="G79"/>
    </sheetView>
  </sheetViews>
  <sheetFormatPr defaultRowHeight="15.75"/>
  <cols>
    <col min="1" max="1" width="6.28515625" style="41" customWidth="1"/>
    <col min="2" max="2" width="42.5703125" style="41" customWidth="1"/>
    <col min="3" max="3" width="14.85546875" style="41" bestFit="1" customWidth="1"/>
    <col min="4" max="4" width="13.7109375" style="41" bestFit="1" customWidth="1"/>
    <col min="5" max="5" width="15.42578125" style="41" customWidth="1"/>
    <col min="6" max="6" width="12.140625" style="41" customWidth="1"/>
    <col min="7" max="7" width="13.42578125" style="41" customWidth="1"/>
    <col min="8" max="8" width="16.42578125" style="41" customWidth="1"/>
    <col min="9" max="9" width="14.42578125" style="41" customWidth="1"/>
    <col min="10" max="10" width="14.5703125" style="41" customWidth="1"/>
    <col min="11" max="11" width="13.7109375" style="41" customWidth="1"/>
    <col min="12" max="12" width="6" style="41" customWidth="1"/>
    <col min="13" max="13" width="5.28515625" style="41" customWidth="1"/>
    <col min="14" max="14" width="6" style="41" customWidth="1"/>
    <col min="15" max="15" width="13.140625" style="41" customWidth="1"/>
    <col min="16" max="16" width="6" style="41" customWidth="1"/>
    <col min="17" max="17" width="5.28515625" style="41" customWidth="1"/>
    <col min="18" max="18" width="6" style="41" customWidth="1"/>
    <col min="19" max="19" width="5.28515625" style="41" customWidth="1"/>
    <col min="20" max="20" width="6" style="41" customWidth="1"/>
    <col min="21" max="21" width="5.28515625" style="41" customWidth="1"/>
    <col min="22" max="22" width="6" style="41" customWidth="1"/>
    <col min="23" max="23" width="5.28515625" style="41" customWidth="1"/>
    <col min="24" max="24" width="6" style="41" customWidth="1"/>
    <col min="25" max="25" width="5.28515625" style="41" customWidth="1"/>
    <col min="26" max="26" width="6" style="41" customWidth="1"/>
    <col min="27" max="27" width="5.28515625" style="41" customWidth="1"/>
    <col min="28" max="28" width="6" style="41" customWidth="1"/>
    <col min="29" max="29" width="5.28515625" style="41" customWidth="1"/>
    <col min="30" max="30" width="6" style="41" customWidth="1"/>
    <col min="31" max="31" width="5.28515625" style="41" customWidth="1"/>
    <col min="32" max="32" width="6" style="41" customWidth="1"/>
    <col min="33" max="33" width="5.28515625" style="41" customWidth="1"/>
    <col min="34" max="34" width="6" style="41" customWidth="1"/>
    <col min="35" max="35" width="5.28515625" style="41" customWidth="1"/>
    <col min="36" max="36" width="8.140625" style="41" customWidth="1"/>
    <col min="37" max="37" width="6.85546875" style="41" customWidth="1"/>
    <col min="38" max="38" width="6" style="41" customWidth="1"/>
    <col min="39" max="39" width="5.28515625" style="41" customWidth="1"/>
    <col min="40" max="40" width="6" style="41" customWidth="1"/>
    <col min="41" max="41" width="5.28515625" style="41" customWidth="1"/>
    <col min="42" max="42" width="6" style="41" customWidth="1"/>
    <col min="43" max="43" width="5.28515625" style="41" customWidth="1"/>
    <col min="44" max="44" width="6" style="41" customWidth="1"/>
    <col min="45" max="45" width="5.28515625" style="41" customWidth="1"/>
    <col min="46" max="46" width="6" style="41" customWidth="1"/>
    <col min="47" max="47" width="5.28515625" style="41" customWidth="1"/>
    <col min="48" max="48" width="6" style="41" customWidth="1"/>
    <col min="49" max="49" width="5.28515625" style="41" customWidth="1"/>
    <col min="50" max="50" width="6" style="41" customWidth="1"/>
    <col min="51" max="51" width="5.28515625" style="41" customWidth="1"/>
    <col min="52" max="16384" width="9.140625" style="41"/>
  </cols>
  <sheetData>
    <row r="1" spans="1:12">
      <c r="A1" s="40" t="s">
        <v>0</v>
      </c>
      <c r="B1" s="42"/>
      <c r="C1" s="42"/>
      <c r="D1" s="44"/>
      <c r="E1" s="44"/>
      <c r="F1" s="44"/>
      <c r="G1" s="44"/>
      <c r="K1" s="175"/>
    </row>
    <row r="2" spans="1:12">
      <c r="A2" s="40" t="s">
        <v>370</v>
      </c>
      <c r="B2" s="42"/>
      <c r="C2" s="42"/>
      <c r="D2" s="44"/>
      <c r="E2" s="44"/>
      <c r="F2" s="44"/>
      <c r="G2" s="44"/>
      <c r="K2" s="175"/>
    </row>
    <row r="3" spans="1:12">
      <c r="A3" s="45" t="s">
        <v>455</v>
      </c>
      <c r="B3" s="44"/>
      <c r="C3" s="42"/>
      <c r="D3" s="42"/>
      <c r="E3" s="42"/>
      <c r="F3" s="42"/>
      <c r="G3" s="42"/>
      <c r="K3" s="175"/>
    </row>
    <row r="4" spans="1:12">
      <c r="A4" s="41" t="s">
        <v>13</v>
      </c>
      <c r="B4" s="42"/>
      <c r="C4" s="42"/>
      <c r="D4" s="42"/>
      <c r="E4" s="42"/>
      <c r="F4" s="42"/>
      <c r="G4" s="42"/>
    </row>
    <row r="5" spans="1:12" s="40" customFormat="1" ht="99" customHeight="1">
      <c r="A5" s="49" t="s">
        <v>460</v>
      </c>
      <c r="B5" s="50" t="s">
        <v>19</v>
      </c>
      <c r="C5" s="51" t="s">
        <v>21</v>
      </c>
      <c r="D5" s="53" t="s">
        <v>501</v>
      </c>
      <c r="E5" s="53" t="s">
        <v>524</v>
      </c>
      <c r="F5" s="53" t="s">
        <v>518</v>
      </c>
      <c r="G5" s="53" t="s">
        <v>581</v>
      </c>
      <c r="H5" s="53" t="s">
        <v>525</v>
      </c>
      <c r="I5" s="53" t="s">
        <v>457</v>
      </c>
      <c r="J5" s="138" t="s">
        <v>458</v>
      </c>
      <c r="K5" s="53" t="s">
        <v>526</v>
      </c>
    </row>
    <row r="6" spans="1:12" s="40" customFormat="1" ht="15.75" customHeight="1">
      <c r="A6" s="48" t="s">
        <v>461</v>
      </c>
      <c r="B6" s="135" t="s">
        <v>462</v>
      </c>
      <c r="C6" s="140" t="s">
        <v>463</v>
      </c>
      <c r="D6" s="161" t="s">
        <v>464</v>
      </c>
      <c r="E6" s="161" t="s">
        <v>520</v>
      </c>
      <c r="F6" s="161" t="s">
        <v>466</v>
      </c>
      <c r="G6" s="141" t="s">
        <v>467</v>
      </c>
      <c r="H6" s="141" t="s">
        <v>521</v>
      </c>
      <c r="I6" s="141" t="s">
        <v>522</v>
      </c>
      <c r="J6" s="141" t="s">
        <v>470</v>
      </c>
      <c r="K6" s="141" t="s">
        <v>523</v>
      </c>
      <c r="L6" s="164"/>
    </row>
    <row r="7" spans="1:12" ht="17.25" customHeight="1">
      <c r="A7" s="131">
        <v>1</v>
      </c>
      <c r="B7" s="63" t="s">
        <v>367</v>
      </c>
      <c r="C7" s="149"/>
      <c r="D7" s="156"/>
      <c r="E7" s="152"/>
      <c r="F7" s="152"/>
      <c r="G7" s="152"/>
      <c r="H7" s="152"/>
      <c r="I7" s="152"/>
      <c r="J7" s="152"/>
      <c r="K7" s="157"/>
    </row>
    <row r="8" spans="1:12" ht="13.5" customHeight="1">
      <c r="A8" s="132">
        <f>1+A7</f>
        <v>2</v>
      </c>
      <c r="B8" s="58" t="s">
        <v>52</v>
      </c>
      <c r="C8" s="165">
        <f>+'Expense Support'!D8</f>
        <v>19880</v>
      </c>
      <c r="D8" s="166">
        <f>+'Expense Support'!W8</f>
        <v>-19880</v>
      </c>
      <c r="E8" s="167">
        <f>+D8+C8</f>
        <v>0</v>
      </c>
      <c r="F8" s="167"/>
      <c r="G8" s="158">
        <f>+'Expense Support'!AB8+'Expense Support'!Z8</f>
        <v>0</v>
      </c>
      <c r="H8" s="168">
        <f>+G8+E8+F8</f>
        <v>0</v>
      </c>
      <c r="I8" s="168">
        <f t="shared" ref="I8:I39" si="0">+H8-E8</f>
        <v>0</v>
      </c>
      <c r="J8" s="168"/>
      <c r="K8" s="169">
        <f>+H8-J8</f>
        <v>0</v>
      </c>
    </row>
    <row r="9" spans="1:12">
      <c r="A9" s="132">
        <f t="shared" ref="A9:A59" si="1">1+A8</f>
        <v>3</v>
      </c>
      <c r="B9" s="58" t="s">
        <v>53</v>
      </c>
      <c r="C9" s="144">
        <f>+'Expense Support'!D9</f>
        <v>52799.6</v>
      </c>
      <c r="D9" s="156">
        <f>+'Expense Support'!W9</f>
        <v>-52799.6</v>
      </c>
      <c r="E9" s="158">
        <f t="shared" ref="E9:E58" si="2">+D9+C9</f>
        <v>0</v>
      </c>
      <c r="F9" s="158"/>
      <c r="G9" s="158">
        <f>+'Expense Support'!AB9+'Expense Support'!Z9</f>
        <v>0</v>
      </c>
      <c r="H9" s="159">
        <f>+G9+F9+E9</f>
        <v>0</v>
      </c>
      <c r="I9" s="159">
        <f t="shared" si="0"/>
        <v>0</v>
      </c>
      <c r="J9" s="159"/>
      <c r="K9" s="157">
        <f t="shared" ref="K9:K58" si="3">+H9-J9</f>
        <v>0</v>
      </c>
    </row>
    <row r="10" spans="1:12">
      <c r="A10" s="132">
        <f t="shared" si="1"/>
        <v>4</v>
      </c>
      <c r="B10" s="58" t="s">
        <v>54</v>
      </c>
      <c r="C10" s="144">
        <f>+'Expense Support'!D10</f>
        <v>131605.6</v>
      </c>
      <c r="D10" s="156">
        <f>+'Expense Support'!W10</f>
        <v>-131606</v>
      </c>
      <c r="E10" s="158">
        <f t="shared" si="2"/>
        <v>-0.39999999999417923</v>
      </c>
      <c r="F10" s="158"/>
      <c r="G10" s="158">
        <f>+'Expense Support'!AB10+'Expense Support'!Z10</f>
        <v>0</v>
      </c>
      <c r="H10" s="159">
        <f t="shared" ref="H10:H73" si="4">+G10+F10+E10</f>
        <v>-0.39999999999417923</v>
      </c>
      <c r="I10" s="159">
        <f t="shared" si="0"/>
        <v>0</v>
      </c>
      <c r="J10" s="159"/>
      <c r="K10" s="157">
        <f t="shared" si="3"/>
        <v>-0.39999999999417923</v>
      </c>
    </row>
    <row r="11" spans="1:12">
      <c r="A11" s="132">
        <f t="shared" si="1"/>
        <v>5</v>
      </c>
      <c r="B11" s="58" t="s">
        <v>55</v>
      </c>
      <c r="C11" s="144">
        <f>+'Expense Support'!D11</f>
        <v>55534</v>
      </c>
      <c r="D11" s="156">
        <f>+'Expense Support'!W11</f>
        <v>-4318</v>
      </c>
      <c r="E11" s="158">
        <f t="shared" si="2"/>
        <v>51216</v>
      </c>
      <c r="F11" s="158"/>
      <c r="G11" s="158">
        <f>+'Expense Support'!AB11+'Expense Support'!Z11</f>
        <v>-51216</v>
      </c>
      <c r="H11" s="159">
        <f t="shared" si="4"/>
        <v>0</v>
      </c>
      <c r="I11" s="159">
        <f t="shared" si="0"/>
        <v>-51216</v>
      </c>
      <c r="J11" s="159"/>
      <c r="K11" s="157">
        <f t="shared" si="3"/>
        <v>0</v>
      </c>
    </row>
    <row r="12" spans="1:12">
      <c r="A12" s="132">
        <f t="shared" si="1"/>
        <v>6</v>
      </c>
      <c r="B12" s="58" t="s">
        <v>66</v>
      </c>
      <c r="C12" s="144">
        <f>+'Expense Support'!D12</f>
        <v>1624</v>
      </c>
      <c r="D12" s="156">
        <f>+'Expense Support'!W12</f>
        <v>-126</v>
      </c>
      <c r="E12" s="158">
        <f t="shared" si="2"/>
        <v>1498</v>
      </c>
      <c r="F12" s="158"/>
      <c r="G12" s="158">
        <f>+'Expense Support'!AB12+'Expense Support'!Z12</f>
        <v>-1498</v>
      </c>
      <c r="H12" s="159">
        <f t="shared" si="4"/>
        <v>0</v>
      </c>
      <c r="I12" s="159">
        <f t="shared" si="0"/>
        <v>-1498</v>
      </c>
      <c r="J12" s="159"/>
      <c r="K12" s="157">
        <f t="shared" si="3"/>
        <v>0</v>
      </c>
    </row>
    <row r="13" spans="1:12">
      <c r="A13" s="132">
        <f t="shared" si="1"/>
        <v>7</v>
      </c>
      <c r="B13" s="58" t="s">
        <v>68</v>
      </c>
      <c r="C13" s="144">
        <f>+'Expense Support'!D13</f>
        <v>4519</v>
      </c>
      <c r="D13" s="156">
        <f>+'Expense Support'!W13</f>
        <v>-351</v>
      </c>
      <c r="E13" s="158">
        <f t="shared" si="2"/>
        <v>4168</v>
      </c>
      <c r="F13" s="158"/>
      <c r="G13" s="158">
        <f>+'Expense Support'!AB13+'Expense Support'!Z13</f>
        <v>-4168</v>
      </c>
      <c r="H13" s="159">
        <f t="shared" si="4"/>
        <v>0</v>
      </c>
      <c r="I13" s="159">
        <f t="shared" si="0"/>
        <v>-4168</v>
      </c>
      <c r="J13" s="159"/>
      <c r="K13" s="157">
        <f t="shared" si="3"/>
        <v>0</v>
      </c>
    </row>
    <row r="14" spans="1:12">
      <c r="A14" s="132">
        <f t="shared" si="1"/>
        <v>8</v>
      </c>
      <c r="B14" s="58" t="s">
        <v>69</v>
      </c>
      <c r="C14" s="144">
        <f>+'Expense Support'!D14</f>
        <v>63273</v>
      </c>
      <c r="D14" s="156">
        <f>+'Expense Support'!W14</f>
        <v>-4920</v>
      </c>
      <c r="E14" s="158">
        <f t="shared" si="2"/>
        <v>58353</v>
      </c>
      <c r="F14" s="158"/>
      <c r="G14" s="158">
        <f>+'Expense Support'!AB14+'Expense Support'!Z14</f>
        <v>-58353</v>
      </c>
      <c r="H14" s="159">
        <f t="shared" si="4"/>
        <v>0</v>
      </c>
      <c r="I14" s="159">
        <f t="shared" si="0"/>
        <v>-58353</v>
      </c>
      <c r="J14" s="159"/>
      <c r="K14" s="157">
        <f t="shared" si="3"/>
        <v>0</v>
      </c>
    </row>
    <row r="15" spans="1:12">
      <c r="A15" s="132">
        <f t="shared" si="1"/>
        <v>9</v>
      </c>
      <c r="B15" s="58" t="s">
        <v>73</v>
      </c>
      <c r="C15" s="144">
        <f>+'Expense Support'!D15</f>
        <v>23445</v>
      </c>
      <c r="D15" s="156">
        <f>+'Expense Support'!W15</f>
        <v>-1823</v>
      </c>
      <c r="E15" s="158">
        <f t="shared" si="2"/>
        <v>21622</v>
      </c>
      <c r="F15" s="158"/>
      <c r="G15" s="158">
        <f>+'Expense Support'!AB15+'Expense Support'!Z15</f>
        <v>-21622</v>
      </c>
      <c r="H15" s="159">
        <f t="shared" si="4"/>
        <v>0</v>
      </c>
      <c r="I15" s="159">
        <f t="shared" si="0"/>
        <v>-21622</v>
      </c>
      <c r="J15" s="159"/>
      <c r="K15" s="157">
        <f t="shared" si="3"/>
        <v>0</v>
      </c>
    </row>
    <row r="16" spans="1:12">
      <c r="A16" s="132">
        <f t="shared" si="1"/>
        <v>10</v>
      </c>
      <c r="B16" s="58" t="s">
        <v>74</v>
      </c>
      <c r="C16" s="144">
        <f>+'Expense Support'!D16</f>
        <v>51898</v>
      </c>
      <c r="D16" s="156">
        <f>+'Expense Support'!W16</f>
        <v>-4035</v>
      </c>
      <c r="E16" s="158">
        <f t="shared" si="2"/>
        <v>47863</v>
      </c>
      <c r="F16" s="158"/>
      <c r="G16" s="158">
        <f>+'Expense Support'!AB16+'Expense Support'!Z16</f>
        <v>-47863</v>
      </c>
      <c r="H16" s="159">
        <f t="shared" si="4"/>
        <v>0</v>
      </c>
      <c r="I16" s="159">
        <f t="shared" si="0"/>
        <v>-47863</v>
      </c>
      <c r="J16" s="159"/>
      <c r="K16" s="157">
        <f t="shared" si="3"/>
        <v>0</v>
      </c>
    </row>
    <row r="17" spans="1:11">
      <c r="A17" s="132">
        <f t="shared" si="1"/>
        <v>11</v>
      </c>
      <c r="B17" s="58" t="s">
        <v>77</v>
      </c>
      <c r="C17" s="144">
        <f>+'Expense Support'!D17</f>
        <v>14971</v>
      </c>
      <c r="D17" s="156">
        <f>+'Expense Support'!W17</f>
        <v>-1164</v>
      </c>
      <c r="E17" s="158">
        <f t="shared" si="2"/>
        <v>13807</v>
      </c>
      <c r="F17" s="158"/>
      <c r="G17" s="158">
        <f>+'Expense Support'!AB17+'Expense Support'!Z17</f>
        <v>-13807</v>
      </c>
      <c r="H17" s="159">
        <f t="shared" si="4"/>
        <v>0</v>
      </c>
      <c r="I17" s="159">
        <f t="shared" si="0"/>
        <v>-13807</v>
      </c>
      <c r="J17" s="159"/>
      <c r="K17" s="157">
        <f t="shared" si="3"/>
        <v>0</v>
      </c>
    </row>
    <row r="18" spans="1:11">
      <c r="A18" s="132">
        <f t="shared" si="1"/>
        <v>12</v>
      </c>
      <c r="B18" s="58" t="s">
        <v>86</v>
      </c>
      <c r="C18" s="144">
        <f>+'Expense Support'!D18</f>
        <v>46102</v>
      </c>
      <c r="D18" s="156">
        <f>+'Expense Support'!W18</f>
        <v>-3585</v>
      </c>
      <c r="E18" s="158">
        <f t="shared" si="2"/>
        <v>42517</v>
      </c>
      <c r="F18" s="158"/>
      <c r="G18" s="158">
        <f>+'Expense Support'!AB18+'Expense Support'!Z18</f>
        <v>-42517</v>
      </c>
      <c r="H18" s="159">
        <f t="shared" si="4"/>
        <v>0</v>
      </c>
      <c r="I18" s="159">
        <f t="shared" si="0"/>
        <v>-42517</v>
      </c>
      <c r="J18" s="159"/>
      <c r="K18" s="157">
        <f t="shared" si="3"/>
        <v>0</v>
      </c>
    </row>
    <row r="19" spans="1:11">
      <c r="A19" s="132">
        <f t="shared" si="1"/>
        <v>13</v>
      </c>
      <c r="B19" s="58" t="s">
        <v>87</v>
      </c>
      <c r="C19" s="144">
        <f>+'Expense Support'!D19</f>
        <v>4778</v>
      </c>
      <c r="D19" s="156">
        <f>+'Expense Support'!W19</f>
        <v>-372</v>
      </c>
      <c r="E19" s="158">
        <f t="shared" si="2"/>
        <v>4406</v>
      </c>
      <c r="F19" s="158"/>
      <c r="G19" s="158">
        <f>+'Expense Support'!AB19+'Expense Support'!Z19</f>
        <v>-4406</v>
      </c>
      <c r="H19" s="159">
        <f t="shared" si="4"/>
        <v>0</v>
      </c>
      <c r="I19" s="159">
        <f t="shared" si="0"/>
        <v>-4406</v>
      </c>
      <c r="J19" s="159"/>
      <c r="K19" s="157">
        <f t="shared" si="3"/>
        <v>0</v>
      </c>
    </row>
    <row r="20" spans="1:11">
      <c r="A20" s="132">
        <f t="shared" si="1"/>
        <v>14</v>
      </c>
      <c r="B20" s="58" t="s">
        <v>89</v>
      </c>
      <c r="C20" s="144">
        <f>+'Expense Support'!D20</f>
        <v>14024</v>
      </c>
      <c r="D20" s="156">
        <f>+'Expense Support'!W20</f>
        <v>-1090</v>
      </c>
      <c r="E20" s="158">
        <f t="shared" si="2"/>
        <v>12934</v>
      </c>
      <c r="F20" s="158"/>
      <c r="G20" s="158">
        <f>+'Expense Support'!AB20+'Expense Support'!Z20</f>
        <v>-12934</v>
      </c>
      <c r="H20" s="159">
        <f t="shared" si="4"/>
        <v>0</v>
      </c>
      <c r="I20" s="159">
        <f t="shared" si="0"/>
        <v>-12934</v>
      </c>
      <c r="J20" s="159"/>
      <c r="K20" s="157">
        <f t="shared" si="3"/>
        <v>0</v>
      </c>
    </row>
    <row r="21" spans="1:11">
      <c r="A21" s="132">
        <f t="shared" si="1"/>
        <v>15</v>
      </c>
      <c r="B21" s="58" t="s">
        <v>90</v>
      </c>
      <c r="C21" s="144">
        <f>+'Expense Support'!D21</f>
        <v>6552</v>
      </c>
      <c r="D21" s="156">
        <f>+'Expense Support'!W21</f>
        <v>-509</v>
      </c>
      <c r="E21" s="158">
        <f t="shared" si="2"/>
        <v>6043</v>
      </c>
      <c r="F21" s="158"/>
      <c r="G21" s="158">
        <f>+'Expense Support'!AB21+'Expense Support'!Z21</f>
        <v>-6043</v>
      </c>
      <c r="H21" s="159">
        <f t="shared" si="4"/>
        <v>0</v>
      </c>
      <c r="I21" s="159">
        <f t="shared" si="0"/>
        <v>-6043</v>
      </c>
      <c r="J21" s="159"/>
      <c r="K21" s="157">
        <f t="shared" si="3"/>
        <v>0</v>
      </c>
    </row>
    <row r="22" spans="1:11">
      <c r="A22" s="132">
        <f t="shared" si="1"/>
        <v>16</v>
      </c>
      <c r="B22" s="58" t="s">
        <v>91</v>
      </c>
      <c r="C22" s="144">
        <f>+'Expense Support'!D22</f>
        <v>23614</v>
      </c>
      <c r="D22" s="156">
        <f>+'Expense Support'!W22</f>
        <v>-23614</v>
      </c>
      <c r="E22" s="158">
        <f t="shared" si="2"/>
        <v>0</v>
      </c>
      <c r="F22" s="158"/>
      <c r="G22" s="158">
        <f>+'Expense Support'!AB22+'Expense Support'!Z22</f>
        <v>0</v>
      </c>
      <c r="H22" s="159">
        <f t="shared" si="4"/>
        <v>0</v>
      </c>
      <c r="I22" s="159">
        <f t="shared" si="0"/>
        <v>0</v>
      </c>
      <c r="J22" s="159"/>
      <c r="K22" s="157">
        <f t="shared" si="3"/>
        <v>0</v>
      </c>
    </row>
    <row r="23" spans="1:11">
      <c r="A23" s="132">
        <f t="shared" si="1"/>
        <v>17</v>
      </c>
      <c r="B23" s="58" t="s">
        <v>93</v>
      </c>
      <c r="C23" s="144">
        <f>+'Expense Support'!D23</f>
        <v>28501</v>
      </c>
      <c r="D23" s="156">
        <f>+'Expense Support'!W23</f>
        <v>-2216</v>
      </c>
      <c r="E23" s="158">
        <f t="shared" si="2"/>
        <v>26285</v>
      </c>
      <c r="F23" s="158"/>
      <c r="G23" s="158">
        <f>+'Expense Support'!AB23+'Expense Support'!Z23</f>
        <v>-26285</v>
      </c>
      <c r="H23" s="159">
        <f t="shared" si="4"/>
        <v>0</v>
      </c>
      <c r="I23" s="159">
        <f t="shared" si="0"/>
        <v>-26285</v>
      </c>
      <c r="J23" s="159"/>
      <c r="K23" s="157">
        <f t="shared" si="3"/>
        <v>0</v>
      </c>
    </row>
    <row r="24" spans="1:11">
      <c r="A24" s="132">
        <f t="shared" si="1"/>
        <v>18</v>
      </c>
      <c r="B24" s="58" t="s">
        <v>94</v>
      </c>
      <c r="C24" s="144">
        <f>+'Expense Support'!D24</f>
        <v>7195</v>
      </c>
      <c r="D24" s="156">
        <f>+'Expense Support'!W24</f>
        <v>-559</v>
      </c>
      <c r="E24" s="158">
        <f t="shared" si="2"/>
        <v>6636</v>
      </c>
      <c r="F24" s="158"/>
      <c r="G24" s="158">
        <f>+'Expense Support'!AB24+'Expense Support'!Z24</f>
        <v>-6636</v>
      </c>
      <c r="H24" s="159">
        <f t="shared" si="4"/>
        <v>0</v>
      </c>
      <c r="I24" s="159">
        <f t="shared" si="0"/>
        <v>-6636</v>
      </c>
      <c r="J24" s="159"/>
      <c r="K24" s="157">
        <f t="shared" si="3"/>
        <v>0</v>
      </c>
    </row>
    <row r="25" spans="1:11">
      <c r="A25" s="132">
        <f t="shared" si="1"/>
        <v>19</v>
      </c>
      <c r="B25" s="58" t="s">
        <v>81</v>
      </c>
      <c r="C25" s="144">
        <f>+'Expense Support'!D25</f>
        <v>1643</v>
      </c>
      <c r="D25" s="156">
        <f>+'Expense Support'!W25</f>
        <v>-128</v>
      </c>
      <c r="E25" s="158">
        <f t="shared" si="2"/>
        <v>1515</v>
      </c>
      <c r="F25" s="158"/>
      <c r="G25" s="158">
        <f>+'Expense Support'!AB25+'Expense Support'!Z25</f>
        <v>-1515</v>
      </c>
      <c r="H25" s="159">
        <f t="shared" si="4"/>
        <v>0</v>
      </c>
      <c r="I25" s="159">
        <f t="shared" si="0"/>
        <v>-1515</v>
      </c>
      <c r="J25" s="159"/>
      <c r="K25" s="157">
        <f t="shared" si="3"/>
        <v>0</v>
      </c>
    </row>
    <row r="26" spans="1:11">
      <c r="A26" s="132">
        <f t="shared" si="1"/>
        <v>20</v>
      </c>
      <c r="B26" s="58" t="s">
        <v>38</v>
      </c>
      <c r="C26" s="144">
        <f>+'Expense Support'!D26</f>
        <v>130619</v>
      </c>
      <c r="D26" s="156">
        <f>+'Expense Support'!W26</f>
        <v>-10157</v>
      </c>
      <c r="E26" s="158">
        <f t="shared" si="2"/>
        <v>120462</v>
      </c>
      <c r="F26" s="158"/>
      <c r="G26" s="158">
        <f>+'Expense Support'!AB26+'Expense Support'!Z26</f>
        <v>-120462</v>
      </c>
      <c r="H26" s="159">
        <f t="shared" si="4"/>
        <v>0</v>
      </c>
      <c r="I26" s="159">
        <f t="shared" si="0"/>
        <v>-120462</v>
      </c>
      <c r="J26" s="159"/>
      <c r="K26" s="157">
        <f t="shared" si="3"/>
        <v>0</v>
      </c>
    </row>
    <row r="27" spans="1:11">
      <c r="A27" s="132">
        <f t="shared" si="1"/>
        <v>21</v>
      </c>
      <c r="B27" s="58" t="s">
        <v>51</v>
      </c>
      <c r="C27" s="144">
        <f>+'Expense Support'!D27</f>
        <v>24955</v>
      </c>
      <c r="D27" s="156">
        <f>+'Expense Support'!W27</f>
        <v>-1940</v>
      </c>
      <c r="E27" s="158">
        <f t="shared" si="2"/>
        <v>23015</v>
      </c>
      <c r="F27" s="158"/>
      <c r="G27" s="158">
        <f>+'Expense Support'!AB27+'Expense Support'!Z27</f>
        <v>-23015</v>
      </c>
      <c r="H27" s="159">
        <f t="shared" si="4"/>
        <v>0</v>
      </c>
      <c r="I27" s="159">
        <f t="shared" si="0"/>
        <v>-23015</v>
      </c>
      <c r="J27" s="159"/>
      <c r="K27" s="157">
        <f t="shared" si="3"/>
        <v>0</v>
      </c>
    </row>
    <row r="28" spans="1:11">
      <c r="A28" s="132">
        <f t="shared" si="1"/>
        <v>22</v>
      </c>
      <c r="B28" s="58" t="s">
        <v>45</v>
      </c>
      <c r="C28" s="144">
        <f>+'Expense Support'!D28</f>
        <v>59267</v>
      </c>
      <c r="D28" s="156">
        <f>+'Expense Support'!W28</f>
        <v>-4608</v>
      </c>
      <c r="E28" s="158">
        <f t="shared" si="2"/>
        <v>54659</v>
      </c>
      <c r="F28" s="158"/>
      <c r="G28" s="158">
        <f>+'Expense Support'!AB28+'Expense Support'!Z28</f>
        <v>-54659</v>
      </c>
      <c r="H28" s="159">
        <f t="shared" si="4"/>
        <v>0</v>
      </c>
      <c r="I28" s="159">
        <f t="shared" si="0"/>
        <v>-54659</v>
      </c>
      <c r="J28" s="159"/>
      <c r="K28" s="157">
        <f t="shared" si="3"/>
        <v>0</v>
      </c>
    </row>
    <row r="29" spans="1:11">
      <c r="A29" s="132">
        <f t="shared" si="1"/>
        <v>23</v>
      </c>
      <c r="B29" s="58" t="s">
        <v>80</v>
      </c>
      <c r="C29" s="144">
        <f>+'Expense Support'!D29</f>
        <v>284327</v>
      </c>
      <c r="D29" s="156">
        <f>+'Expense Support'!W29</f>
        <v>-22109</v>
      </c>
      <c r="E29" s="158">
        <f t="shared" si="2"/>
        <v>262218</v>
      </c>
      <c r="F29" s="158"/>
      <c r="G29" s="158">
        <f>+'Expense Support'!AB29+'Expense Support'!Z29</f>
        <v>-262218</v>
      </c>
      <c r="H29" s="159">
        <f t="shared" si="4"/>
        <v>0</v>
      </c>
      <c r="I29" s="159">
        <f t="shared" si="0"/>
        <v>-262218</v>
      </c>
      <c r="J29" s="159"/>
      <c r="K29" s="157">
        <f t="shared" si="3"/>
        <v>0</v>
      </c>
    </row>
    <row r="30" spans="1:11">
      <c r="A30" s="132">
        <f t="shared" si="1"/>
        <v>24</v>
      </c>
      <c r="B30" s="58" t="s">
        <v>82</v>
      </c>
      <c r="C30" s="144">
        <f>+'Expense Support'!D30</f>
        <v>150</v>
      </c>
      <c r="D30" s="156">
        <f>+'Expense Support'!W30</f>
        <v>-12</v>
      </c>
      <c r="E30" s="158">
        <f t="shared" si="2"/>
        <v>138</v>
      </c>
      <c r="F30" s="158"/>
      <c r="G30" s="158">
        <f>+'Expense Support'!AB30+'Expense Support'!Z30</f>
        <v>-138</v>
      </c>
      <c r="H30" s="159">
        <f t="shared" si="4"/>
        <v>0</v>
      </c>
      <c r="I30" s="159">
        <f t="shared" si="0"/>
        <v>-138</v>
      </c>
      <c r="J30" s="159"/>
      <c r="K30" s="157">
        <f t="shared" si="3"/>
        <v>0</v>
      </c>
    </row>
    <row r="31" spans="1:11">
      <c r="A31" s="132">
        <f t="shared" si="1"/>
        <v>25</v>
      </c>
      <c r="B31" s="58" t="s">
        <v>83</v>
      </c>
      <c r="C31" s="144">
        <f>+'Expense Support'!D31</f>
        <v>17925</v>
      </c>
      <c r="D31" s="156">
        <f>+'Expense Support'!W31</f>
        <v>-1394</v>
      </c>
      <c r="E31" s="158">
        <f t="shared" si="2"/>
        <v>16531</v>
      </c>
      <c r="F31" s="158"/>
      <c r="G31" s="158">
        <f>+'Expense Support'!AB31+'Expense Support'!Z31</f>
        <v>-16531</v>
      </c>
      <c r="H31" s="159">
        <f t="shared" si="4"/>
        <v>0</v>
      </c>
      <c r="I31" s="159">
        <f t="shared" si="0"/>
        <v>-16531</v>
      </c>
      <c r="J31" s="159"/>
      <c r="K31" s="157">
        <f t="shared" si="3"/>
        <v>0</v>
      </c>
    </row>
    <row r="32" spans="1:11">
      <c r="A32" s="132">
        <f t="shared" si="1"/>
        <v>26</v>
      </c>
      <c r="B32" s="58" t="s">
        <v>95</v>
      </c>
      <c r="C32" s="144">
        <f>+'Expense Support'!D32</f>
        <v>10931</v>
      </c>
      <c r="D32" s="156">
        <f>+'Expense Support'!W32</f>
        <v>-850</v>
      </c>
      <c r="E32" s="158">
        <f t="shared" si="2"/>
        <v>10081</v>
      </c>
      <c r="F32" s="158"/>
      <c r="G32" s="158">
        <f>+'Expense Support'!AB32+'Expense Support'!Z32</f>
        <v>-10081</v>
      </c>
      <c r="H32" s="159">
        <f t="shared" si="4"/>
        <v>0</v>
      </c>
      <c r="I32" s="159">
        <f t="shared" si="0"/>
        <v>-10081</v>
      </c>
      <c r="J32" s="159"/>
      <c r="K32" s="157">
        <f t="shared" si="3"/>
        <v>0</v>
      </c>
    </row>
    <row r="33" spans="1:11">
      <c r="A33" s="132">
        <f t="shared" si="1"/>
        <v>27</v>
      </c>
      <c r="B33" s="58" t="s">
        <v>96</v>
      </c>
      <c r="C33" s="144">
        <f>+'Expense Support'!D33</f>
        <v>7681</v>
      </c>
      <c r="D33" s="156">
        <f>+'Expense Support'!W33</f>
        <v>-597</v>
      </c>
      <c r="E33" s="158">
        <f t="shared" si="2"/>
        <v>7084</v>
      </c>
      <c r="F33" s="158"/>
      <c r="G33" s="158">
        <f>+'Expense Support'!AB33+'Expense Support'!Z33</f>
        <v>-7084</v>
      </c>
      <c r="H33" s="159">
        <f t="shared" si="4"/>
        <v>0</v>
      </c>
      <c r="I33" s="159">
        <f t="shared" si="0"/>
        <v>-7084</v>
      </c>
      <c r="J33" s="159"/>
      <c r="K33" s="157">
        <f t="shared" si="3"/>
        <v>0</v>
      </c>
    </row>
    <row r="34" spans="1:11">
      <c r="A34" s="132">
        <f t="shared" si="1"/>
        <v>28</v>
      </c>
      <c r="B34" s="58" t="s">
        <v>25</v>
      </c>
      <c r="C34" s="144">
        <f>+'Expense Support'!D34</f>
        <v>3900673</v>
      </c>
      <c r="D34" s="156">
        <f>+'Expense Support'!W34</f>
        <v>-303309</v>
      </c>
      <c r="E34" s="158">
        <f t="shared" si="2"/>
        <v>3597364</v>
      </c>
      <c r="F34" s="158"/>
      <c r="G34" s="158">
        <f>+'Expense Support'!AB34+'Expense Support'!Z34</f>
        <v>0</v>
      </c>
      <c r="H34" s="159">
        <f t="shared" si="4"/>
        <v>3597364</v>
      </c>
      <c r="I34" s="159">
        <f t="shared" si="0"/>
        <v>0</v>
      </c>
      <c r="J34" s="159">
        <v>3597363.84</v>
      </c>
      <c r="K34" s="157">
        <f t="shared" si="3"/>
        <v>0.16000000014901161</v>
      </c>
    </row>
    <row r="35" spans="1:11">
      <c r="A35" s="132">
        <f t="shared" si="1"/>
        <v>29</v>
      </c>
      <c r="B35" s="58" t="s">
        <v>27</v>
      </c>
      <c r="C35" s="144">
        <f>+'Expense Support'!D35</f>
        <v>-200082</v>
      </c>
      <c r="D35" s="156">
        <f>+'Expense Support'!W35</f>
        <v>15558</v>
      </c>
      <c r="E35" s="158">
        <f t="shared" si="2"/>
        <v>-184524</v>
      </c>
      <c r="F35" s="158"/>
      <c r="G35" s="158">
        <f>+'Expense Support'!AB35+'Expense Support'!Z35</f>
        <v>0</v>
      </c>
      <c r="H35" s="159">
        <f t="shared" si="4"/>
        <v>-184524</v>
      </c>
      <c r="I35" s="159">
        <f t="shared" si="0"/>
        <v>0</v>
      </c>
      <c r="J35" s="159">
        <v>-184523.861998654</v>
      </c>
      <c r="K35" s="157">
        <f t="shared" si="3"/>
        <v>-0.13800134600023739</v>
      </c>
    </row>
    <row r="36" spans="1:11">
      <c r="A36" s="132">
        <f t="shared" si="1"/>
        <v>30</v>
      </c>
      <c r="B36" s="58" t="s">
        <v>28</v>
      </c>
      <c r="C36" s="144">
        <f>+'Expense Support'!D36</f>
        <v>38857657</v>
      </c>
      <c r="D36" s="156">
        <f>+'Expense Support'!W36</f>
        <v>-3021500</v>
      </c>
      <c r="E36" s="158">
        <f t="shared" si="2"/>
        <v>35836157</v>
      </c>
      <c r="F36" s="158"/>
      <c r="G36" s="158">
        <f>+'Expense Support'!AB36+'Expense Support'!Z36</f>
        <v>0</v>
      </c>
      <c r="H36" s="159">
        <f t="shared" si="4"/>
        <v>35836157</v>
      </c>
      <c r="I36" s="159">
        <f t="shared" si="0"/>
        <v>0</v>
      </c>
      <c r="J36" s="159">
        <v>35836157.020000003</v>
      </c>
      <c r="K36" s="157">
        <f t="shared" si="3"/>
        <v>-2.0000003278255463E-2</v>
      </c>
    </row>
    <row r="37" spans="1:11">
      <c r="A37" s="132">
        <f t="shared" si="1"/>
        <v>31</v>
      </c>
      <c r="B37" s="58" t="s">
        <v>31</v>
      </c>
      <c r="C37" s="144">
        <f>+'Expense Support'!D37</f>
        <v>2039389</v>
      </c>
      <c r="D37" s="156">
        <f>+'Expense Support'!W37</f>
        <v>-158579</v>
      </c>
      <c r="E37" s="158">
        <f t="shared" si="2"/>
        <v>1880810</v>
      </c>
      <c r="F37" s="158"/>
      <c r="G37" s="158">
        <f>+'Expense Support'!AB37+'Expense Support'!Z37</f>
        <v>0</v>
      </c>
      <c r="H37" s="159">
        <f t="shared" si="4"/>
        <v>1880810</v>
      </c>
      <c r="I37" s="159">
        <f t="shared" si="0"/>
        <v>0</v>
      </c>
      <c r="J37" s="159">
        <v>1880809.8599999999</v>
      </c>
      <c r="K37" s="157">
        <f t="shared" si="3"/>
        <v>0.14000000013038516</v>
      </c>
    </row>
    <row r="38" spans="1:11">
      <c r="A38" s="132">
        <f t="shared" si="1"/>
        <v>32</v>
      </c>
      <c r="B38" s="58" t="s">
        <v>29</v>
      </c>
      <c r="C38" s="144">
        <f>+'Expense Support'!D38</f>
        <v>140296</v>
      </c>
      <c r="D38" s="156">
        <f>+'Expense Support'!W38</f>
        <v>-117150</v>
      </c>
      <c r="E38" s="158">
        <f t="shared" si="2"/>
        <v>23146</v>
      </c>
      <c r="F38" s="158">
        <f>+'Expense Support'!Y38</f>
        <v>115198</v>
      </c>
      <c r="G38" s="158">
        <f>+'Expense Support'!AB38+'Expense Support'!Z38</f>
        <v>-8958</v>
      </c>
      <c r="H38" s="159">
        <f t="shared" si="4"/>
        <v>129386</v>
      </c>
      <c r="I38" s="159">
        <f t="shared" si="0"/>
        <v>106240</v>
      </c>
      <c r="J38" s="159">
        <v>129386.84527232482</v>
      </c>
      <c r="K38" s="157">
        <f t="shared" si="3"/>
        <v>-0.8452723248192342</v>
      </c>
    </row>
    <row r="39" spans="1:11">
      <c r="A39" s="132">
        <f t="shared" si="1"/>
        <v>33</v>
      </c>
      <c r="B39" s="58" t="s">
        <v>33</v>
      </c>
      <c r="C39" s="144">
        <f>+'Expense Support'!D39</f>
        <v>2578374</v>
      </c>
      <c r="D39" s="156">
        <f>+'Expense Support'!W39</f>
        <v>462450</v>
      </c>
      <c r="E39" s="158">
        <f t="shared" si="2"/>
        <v>3040824</v>
      </c>
      <c r="F39" s="158">
        <f>+'Expense Support'!Y39</f>
        <v>-718835</v>
      </c>
      <c r="G39" s="158">
        <f>+'Expense Support'!AB39+'Expense Support'!Z39</f>
        <v>55895</v>
      </c>
      <c r="H39" s="159">
        <f t="shared" si="4"/>
        <v>2377884</v>
      </c>
      <c r="I39" s="159">
        <f t="shared" si="0"/>
        <v>-662940</v>
      </c>
      <c r="J39" s="159">
        <v>2377884.3782664486</v>
      </c>
      <c r="K39" s="157">
        <f t="shared" si="3"/>
        <v>-0.3782664486207068</v>
      </c>
    </row>
    <row r="40" spans="1:11">
      <c r="A40" s="132">
        <f t="shared" si="1"/>
        <v>34</v>
      </c>
      <c r="B40" s="58" t="s">
        <v>39</v>
      </c>
      <c r="C40" s="144">
        <f>+'Expense Support'!D40</f>
        <v>1013789</v>
      </c>
      <c r="D40" s="156">
        <f>+'Expense Support'!W40</f>
        <v>-78830</v>
      </c>
      <c r="E40" s="158">
        <f t="shared" si="2"/>
        <v>934959</v>
      </c>
      <c r="F40" s="158"/>
      <c r="G40" s="158">
        <f>+'Expense Support'!AB40+'Expense Support'!Z40</f>
        <v>0</v>
      </c>
      <c r="H40" s="159">
        <f t="shared" si="4"/>
        <v>934959</v>
      </c>
      <c r="I40" s="159">
        <f t="shared" ref="I40:I58" si="5">+H40-E40</f>
        <v>0</v>
      </c>
      <c r="J40" s="159">
        <v>934958.63</v>
      </c>
      <c r="K40" s="157">
        <f t="shared" si="3"/>
        <v>0.36999999999534339</v>
      </c>
    </row>
    <row r="41" spans="1:11">
      <c r="A41" s="132">
        <f t="shared" si="1"/>
        <v>35</v>
      </c>
      <c r="B41" s="58" t="s">
        <v>41</v>
      </c>
      <c r="C41" s="144">
        <f>+'Expense Support'!D41</f>
        <v>13132</v>
      </c>
      <c r="D41" s="156">
        <f>+'Expense Support'!W41</f>
        <v>-1021</v>
      </c>
      <c r="E41" s="158">
        <f t="shared" si="2"/>
        <v>12111</v>
      </c>
      <c r="F41" s="158"/>
      <c r="G41" s="158">
        <f>+'Expense Support'!AB41+'Expense Support'!Z41</f>
        <v>0</v>
      </c>
      <c r="H41" s="159">
        <f t="shared" si="4"/>
        <v>12111</v>
      </c>
      <c r="I41" s="159">
        <f t="shared" si="5"/>
        <v>0</v>
      </c>
      <c r="J41" s="159">
        <v>12110.33</v>
      </c>
      <c r="K41" s="157">
        <f t="shared" si="3"/>
        <v>0.67000000000007276</v>
      </c>
    </row>
    <row r="42" spans="1:11">
      <c r="A42" s="132">
        <f t="shared" si="1"/>
        <v>36</v>
      </c>
      <c r="B42" s="58" t="s">
        <v>43</v>
      </c>
      <c r="C42" s="144">
        <f>+'Expense Support'!D42</f>
        <v>78349</v>
      </c>
      <c r="D42" s="156">
        <f>+'Expense Support'!W42</f>
        <v>-6092</v>
      </c>
      <c r="E42" s="158">
        <f t="shared" si="2"/>
        <v>72257</v>
      </c>
      <c r="F42" s="158"/>
      <c r="G42" s="158">
        <f>+'Expense Support'!AB42+'Expense Support'!Z42</f>
        <v>0</v>
      </c>
      <c r="H42" s="159">
        <f t="shared" si="4"/>
        <v>72257</v>
      </c>
      <c r="I42" s="159">
        <f t="shared" si="5"/>
        <v>0</v>
      </c>
      <c r="J42" s="159">
        <v>72256.73</v>
      </c>
      <c r="K42" s="157">
        <f t="shared" si="3"/>
        <v>0.27000000000407454</v>
      </c>
    </row>
    <row r="43" spans="1:11">
      <c r="A43" s="132">
        <f t="shared" si="1"/>
        <v>37</v>
      </c>
      <c r="B43" s="58" t="s">
        <v>46</v>
      </c>
      <c r="C43" s="144">
        <f>+'Expense Support'!D43</f>
        <v>1451241</v>
      </c>
      <c r="D43" s="156">
        <f>+'Expense Support'!W43</f>
        <v>-112846</v>
      </c>
      <c r="E43" s="158">
        <f t="shared" si="2"/>
        <v>1338395</v>
      </c>
      <c r="F43" s="158"/>
      <c r="G43" s="158">
        <f>+'Expense Support'!AB43+'Expense Support'!Z43</f>
        <v>0</v>
      </c>
      <c r="H43" s="159">
        <f t="shared" si="4"/>
        <v>1338395</v>
      </c>
      <c r="I43" s="159">
        <f t="shared" si="5"/>
        <v>0</v>
      </c>
      <c r="J43" s="159">
        <v>1338395</v>
      </c>
      <c r="K43" s="157">
        <f t="shared" si="3"/>
        <v>0</v>
      </c>
    </row>
    <row r="44" spans="1:11">
      <c r="A44" s="132">
        <f t="shared" si="1"/>
        <v>38</v>
      </c>
      <c r="B44" s="58" t="s">
        <v>47</v>
      </c>
      <c r="C44" s="144">
        <f>+'Expense Support'!D44</f>
        <v>30301</v>
      </c>
      <c r="D44" s="156">
        <f>+'Expense Support'!W44</f>
        <v>-2356</v>
      </c>
      <c r="E44" s="158">
        <f t="shared" si="2"/>
        <v>27945</v>
      </c>
      <c r="F44" s="158"/>
      <c r="G44" s="158">
        <f>+'Expense Support'!AB44+'Expense Support'!Z44</f>
        <v>0</v>
      </c>
      <c r="H44" s="159">
        <f t="shared" si="4"/>
        <v>27945</v>
      </c>
      <c r="I44" s="159">
        <f t="shared" si="5"/>
        <v>0</v>
      </c>
      <c r="J44" s="159">
        <v>27944.85</v>
      </c>
      <c r="K44" s="157">
        <f t="shared" si="3"/>
        <v>0.15000000000145519</v>
      </c>
    </row>
    <row r="45" spans="1:11">
      <c r="A45" s="132">
        <f t="shared" si="1"/>
        <v>39</v>
      </c>
      <c r="B45" s="58" t="s">
        <v>61</v>
      </c>
      <c r="C45" s="144">
        <f>+'Expense Support'!D45</f>
        <v>256623</v>
      </c>
      <c r="D45" s="156">
        <f>+'Expense Support'!W45</f>
        <v>-19955</v>
      </c>
      <c r="E45" s="158">
        <f t="shared" si="2"/>
        <v>236668</v>
      </c>
      <c r="F45" s="158"/>
      <c r="G45" s="158">
        <f>+'Expense Support'!AB45+'Expense Support'!Z45</f>
        <v>0</v>
      </c>
      <c r="H45" s="159">
        <f t="shared" si="4"/>
        <v>236668</v>
      </c>
      <c r="I45" s="159">
        <f t="shared" si="5"/>
        <v>0</v>
      </c>
      <c r="J45" s="159">
        <v>236668.47</v>
      </c>
      <c r="K45" s="157">
        <f t="shared" si="3"/>
        <v>-0.47000000000116415</v>
      </c>
    </row>
    <row r="46" spans="1:11">
      <c r="A46" s="132">
        <f t="shared" si="1"/>
        <v>40</v>
      </c>
      <c r="B46" s="58" t="s">
        <v>35</v>
      </c>
      <c r="C46" s="144">
        <f>+'Expense Support'!D46</f>
        <v>329757</v>
      </c>
      <c r="D46" s="156">
        <f>+'Expense Support'!W46</f>
        <v>259359</v>
      </c>
      <c r="E46" s="158">
        <f t="shared" si="2"/>
        <v>589116</v>
      </c>
      <c r="F46" s="158">
        <f>+'Expense Support'!Y46</f>
        <v>-309030</v>
      </c>
      <c r="G46" s="158">
        <f>+'Expense Support'!AB46+'Expense Support'!Z46</f>
        <v>24030</v>
      </c>
      <c r="H46" s="159">
        <f t="shared" si="4"/>
        <v>304116</v>
      </c>
      <c r="I46" s="159">
        <f t="shared" si="5"/>
        <v>-285000</v>
      </c>
      <c r="J46" s="159">
        <v>304115.70475349796</v>
      </c>
      <c r="K46" s="157">
        <f t="shared" si="3"/>
        <v>0.29524650203529745</v>
      </c>
    </row>
    <row r="47" spans="1:11">
      <c r="A47" s="132">
        <f t="shared" si="1"/>
        <v>41</v>
      </c>
      <c r="B47" s="58" t="s">
        <v>59</v>
      </c>
      <c r="C47" s="144">
        <f>+'Expense Support'!D47</f>
        <v>1382608</v>
      </c>
      <c r="D47" s="156">
        <f>+'Expense Support'!W47</f>
        <v>-107509</v>
      </c>
      <c r="E47" s="158">
        <f t="shared" si="2"/>
        <v>1275099</v>
      </c>
      <c r="F47" s="158"/>
      <c r="G47" s="158">
        <f>+'Expense Support'!AB47+'Expense Support'!Z47</f>
        <v>-1275099</v>
      </c>
      <c r="H47" s="159">
        <f t="shared" si="4"/>
        <v>0</v>
      </c>
      <c r="I47" s="159">
        <f t="shared" si="5"/>
        <v>-1275099</v>
      </c>
      <c r="J47" s="159"/>
      <c r="K47" s="157">
        <f t="shared" si="3"/>
        <v>0</v>
      </c>
    </row>
    <row r="48" spans="1:11">
      <c r="A48" s="132">
        <f t="shared" si="1"/>
        <v>42</v>
      </c>
      <c r="B48" s="58" t="s">
        <v>60</v>
      </c>
      <c r="C48" s="144">
        <f>+'Expense Support'!D48</f>
        <v>42391</v>
      </c>
      <c r="D48" s="156">
        <f>+'Expense Support'!W48</f>
        <v>-3296</v>
      </c>
      <c r="E48" s="158">
        <f t="shared" si="2"/>
        <v>39095</v>
      </c>
      <c r="F48" s="158"/>
      <c r="G48" s="158">
        <f>+'Expense Support'!AB48+'Expense Support'!Z48</f>
        <v>-39095</v>
      </c>
      <c r="H48" s="159">
        <f t="shared" si="4"/>
        <v>0</v>
      </c>
      <c r="I48" s="159">
        <f t="shared" si="5"/>
        <v>-39095</v>
      </c>
      <c r="J48" s="159"/>
      <c r="K48" s="157">
        <f t="shared" si="3"/>
        <v>0</v>
      </c>
    </row>
    <row r="49" spans="1:11">
      <c r="A49" s="132">
        <f t="shared" si="1"/>
        <v>43</v>
      </c>
      <c r="B49" s="58" t="s">
        <v>62</v>
      </c>
      <c r="C49" s="144">
        <f>+'Expense Support'!D49</f>
        <v>51536</v>
      </c>
      <c r="D49" s="156">
        <f>+'Expense Support'!W49</f>
        <v>-4007</v>
      </c>
      <c r="E49" s="158">
        <f t="shared" si="2"/>
        <v>47529</v>
      </c>
      <c r="F49" s="158"/>
      <c r="G49" s="158">
        <f>+'Expense Support'!AB49+'Expense Support'!Z49</f>
        <v>-47529</v>
      </c>
      <c r="H49" s="159">
        <f t="shared" si="4"/>
        <v>0</v>
      </c>
      <c r="I49" s="159">
        <f t="shared" si="5"/>
        <v>-47529</v>
      </c>
      <c r="J49" s="159"/>
      <c r="K49" s="157">
        <f t="shared" si="3"/>
        <v>0</v>
      </c>
    </row>
    <row r="50" spans="1:11">
      <c r="A50" s="132">
        <f t="shared" si="1"/>
        <v>44</v>
      </c>
      <c r="B50" s="58" t="s">
        <v>63</v>
      </c>
      <c r="C50" s="144">
        <f>+'Expense Support'!D50</f>
        <v>208010</v>
      </c>
      <c r="D50" s="156">
        <f>+'Expense Support'!W50</f>
        <v>-208010</v>
      </c>
      <c r="E50" s="158">
        <f t="shared" si="2"/>
        <v>0</v>
      </c>
      <c r="F50" s="158"/>
      <c r="G50" s="158">
        <f>+'Expense Support'!AB50+'Expense Support'!Z50</f>
        <v>0</v>
      </c>
      <c r="H50" s="159">
        <f t="shared" si="4"/>
        <v>0</v>
      </c>
      <c r="I50" s="159">
        <f t="shared" si="5"/>
        <v>0</v>
      </c>
      <c r="J50" s="159"/>
      <c r="K50" s="157">
        <f t="shared" si="3"/>
        <v>0</v>
      </c>
    </row>
    <row r="51" spans="1:11">
      <c r="A51" s="132">
        <f t="shared" si="1"/>
        <v>45</v>
      </c>
      <c r="B51" s="58" t="s">
        <v>64</v>
      </c>
      <c r="C51" s="144">
        <f>+'Expense Support'!D51</f>
        <v>4457</v>
      </c>
      <c r="D51" s="156">
        <f>+'Expense Support'!W51</f>
        <v>-347</v>
      </c>
      <c r="E51" s="158">
        <f t="shared" si="2"/>
        <v>4110</v>
      </c>
      <c r="F51" s="158"/>
      <c r="G51" s="158">
        <f>+'Expense Support'!AB51+'Expense Support'!Z51</f>
        <v>-4110</v>
      </c>
      <c r="H51" s="159">
        <f t="shared" si="4"/>
        <v>0</v>
      </c>
      <c r="I51" s="159">
        <f t="shared" si="5"/>
        <v>-4110</v>
      </c>
      <c r="J51" s="159"/>
      <c r="K51" s="157">
        <f t="shared" si="3"/>
        <v>0</v>
      </c>
    </row>
    <row r="52" spans="1:11">
      <c r="A52" s="132">
        <f t="shared" si="1"/>
        <v>46</v>
      </c>
      <c r="B52" s="58" t="s">
        <v>71</v>
      </c>
      <c r="C52" s="144">
        <f>+'Expense Support'!D52</f>
        <v>525945</v>
      </c>
      <c r="D52" s="156">
        <f>+'Expense Support'!W52</f>
        <v>-525945</v>
      </c>
      <c r="E52" s="158">
        <f t="shared" si="2"/>
        <v>0</v>
      </c>
      <c r="F52" s="158"/>
      <c r="G52" s="158">
        <f>+'Expense Support'!AB52+'Expense Support'!Z52</f>
        <v>0</v>
      </c>
      <c r="H52" s="159">
        <f t="shared" si="4"/>
        <v>0</v>
      </c>
      <c r="I52" s="159">
        <f t="shared" si="5"/>
        <v>0</v>
      </c>
      <c r="J52" s="159"/>
      <c r="K52" s="157">
        <f t="shared" si="3"/>
        <v>0</v>
      </c>
    </row>
    <row r="53" spans="1:11">
      <c r="A53" s="132">
        <f t="shared" si="1"/>
        <v>47</v>
      </c>
      <c r="B53" s="58" t="s">
        <v>72</v>
      </c>
      <c r="C53" s="144">
        <f>+'Expense Support'!D53</f>
        <v>73638</v>
      </c>
      <c r="D53" s="156">
        <f>+'Expense Support'!W53</f>
        <v>-5726</v>
      </c>
      <c r="E53" s="158">
        <f t="shared" si="2"/>
        <v>67912</v>
      </c>
      <c r="F53" s="158"/>
      <c r="G53" s="158">
        <f>+'Expense Support'!AB53+'Expense Support'!Z53</f>
        <v>-67912</v>
      </c>
      <c r="H53" s="159">
        <f t="shared" si="4"/>
        <v>0</v>
      </c>
      <c r="I53" s="159">
        <f t="shared" si="5"/>
        <v>-67912</v>
      </c>
      <c r="J53" s="159"/>
      <c r="K53" s="157">
        <f t="shared" si="3"/>
        <v>0</v>
      </c>
    </row>
    <row r="54" spans="1:11">
      <c r="A54" s="132">
        <f t="shared" si="1"/>
        <v>48</v>
      </c>
      <c r="B54" s="58" t="s">
        <v>78</v>
      </c>
      <c r="C54" s="144">
        <f>+'Expense Support'!D54</f>
        <v>162776</v>
      </c>
      <c r="D54" s="156">
        <f>+'Expense Support'!W54</f>
        <v>-162776</v>
      </c>
      <c r="E54" s="158">
        <f t="shared" si="2"/>
        <v>0</v>
      </c>
      <c r="F54" s="158"/>
      <c r="G54" s="158">
        <f>+'Expense Support'!AB54+'Expense Support'!Z54</f>
        <v>0</v>
      </c>
      <c r="H54" s="159">
        <f t="shared" si="4"/>
        <v>0</v>
      </c>
      <c r="I54" s="159">
        <f t="shared" si="5"/>
        <v>0</v>
      </c>
      <c r="J54" s="159"/>
      <c r="K54" s="157">
        <f t="shared" si="3"/>
        <v>0</v>
      </c>
    </row>
    <row r="55" spans="1:11">
      <c r="A55" s="132">
        <f t="shared" si="1"/>
        <v>49</v>
      </c>
      <c r="B55" s="58" t="s">
        <v>84</v>
      </c>
      <c r="C55" s="144">
        <f>+'Expense Support'!D55</f>
        <v>130443.00000000001</v>
      </c>
      <c r="D55" s="156">
        <f>+'Expense Support'!W55</f>
        <v>-130443</v>
      </c>
      <c r="E55" s="158">
        <f t="shared" si="2"/>
        <v>0</v>
      </c>
      <c r="F55" s="158"/>
      <c r="G55" s="158">
        <f>+'Expense Support'!AB55+'Expense Support'!Z55</f>
        <v>0</v>
      </c>
      <c r="H55" s="159">
        <f t="shared" si="4"/>
        <v>0</v>
      </c>
      <c r="I55" s="159">
        <f t="shared" si="5"/>
        <v>0</v>
      </c>
      <c r="J55" s="159"/>
      <c r="K55" s="157">
        <f t="shared" si="3"/>
        <v>0</v>
      </c>
    </row>
    <row r="56" spans="1:11">
      <c r="A56" s="132">
        <f t="shared" si="1"/>
        <v>50</v>
      </c>
      <c r="B56" s="60" t="s">
        <v>97</v>
      </c>
      <c r="C56" s="144">
        <f>+'Expense Support'!D56</f>
        <v>0</v>
      </c>
      <c r="D56" s="156">
        <f>+'Expense Support'!W56</f>
        <v>187973</v>
      </c>
      <c r="E56" s="158">
        <f t="shared" si="2"/>
        <v>187973</v>
      </c>
      <c r="F56" s="158"/>
      <c r="G56" s="158">
        <f>+'Expense Support'!AB56+'Expense Support'!Z56</f>
        <v>0</v>
      </c>
      <c r="H56" s="159">
        <f t="shared" si="4"/>
        <v>187973</v>
      </c>
      <c r="I56" s="159">
        <f t="shared" si="5"/>
        <v>0</v>
      </c>
      <c r="J56" s="159">
        <v>187972.7</v>
      </c>
      <c r="K56" s="157">
        <f t="shared" si="3"/>
        <v>0.29999999998835847</v>
      </c>
    </row>
    <row r="57" spans="1:11">
      <c r="A57" s="132">
        <f t="shared" si="1"/>
        <v>51</v>
      </c>
      <c r="B57" s="60" t="s">
        <v>98</v>
      </c>
      <c r="C57" s="144">
        <f>+'Expense Support'!D57</f>
        <v>0</v>
      </c>
      <c r="D57" s="156">
        <f>+'Expense Support'!W57</f>
        <v>354799</v>
      </c>
      <c r="E57" s="158">
        <f t="shared" si="2"/>
        <v>354799</v>
      </c>
      <c r="F57" s="158"/>
      <c r="G57" s="158">
        <f>+'Expense Support'!AB57+'Expense Support'!Z57</f>
        <v>0</v>
      </c>
      <c r="H57" s="159">
        <f t="shared" si="4"/>
        <v>354799</v>
      </c>
      <c r="I57" s="159">
        <f t="shared" si="5"/>
        <v>0</v>
      </c>
      <c r="J57" s="159"/>
      <c r="K57" s="157">
        <f t="shared" si="3"/>
        <v>354799</v>
      </c>
    </row>
    <row r="58" spans="1:11">
      <c r="A58" s="132">
        <f t="shared" si="1"/>
        <v>52</v>
      </c>
      <c r="B58" s="60" t="s">
        <v>99</v>
      </c>
      <c r="C58" s="144">
        <f>+'Expense Support'!D58</f>
        <v>0</v>
      </c>
      <c r="D58" s="156">
        <f>+'Expense Support'!W58</f>
        <v>157209</v>
      </c>
      <c r="E58" s="158">
        <f t="shared" si="2"/>
        <v>157209</v>
      </c>
      <c r="F58" s="158"/>
      <c r="G58" s="158">
        <f>+'Expense Support'!AB58+'Expense Support'!Z58</f>
        <v>0</v>
      </c>
      <c r="H58" s="159">
        <f t="shared" si="4"/>
        <v>157209</v>
      </c>
      <c r="I58" s="159">
        <f t="shared" si="5"/>
        <v>0</v>
      </c>
      <c r="J58" s="159"/>
      <c r="K58" s="157">
        <f t="shared" si="3"/>
        <v>157209</v>
      </c>
    </row>
    <row r="59" spans="1:11" s="174" customFormat="1" ht="31.5">
      <c r="A59" s="171">
        <f t="shared" si="1"/>
        <v>53</v>
      </c>
      <c r="B59" s="172" t="s">
        <v>100</v>
      </c>
      <c r="C59" s="173">
        <f>SUM(C8:C58)</f>
        <v>54159116.200000003</v>
      </c>
      <c r="D59" s="173">
        <f t="shared" ref="D59:K59" si="6">SUM(D8:D58)</f>
        <v>-3827111.5999999996</v>
      </c>
      <c r="E59" s="173">
        <f t="shared" si="6"/>
        <v>50332004.600000001</v>
      </c>
      <c r="F59" s="173">
        <f t="shared" si="6"/>
        <v>-912667</v>
      </c>
      <c r="G59" s="173">
        <f t="shared" si="6"/>
        <v>-2155829</v>
      </c>
      <c r="H59" s="173">
        <f t="shared" si="6"/>
        <v>47263508.600000001</v>
      </c>
      <c r="I59" s="173">
        <f t="shared" si="6"/>
        <v>-3068496</v>
      </c>
      <c r="J59" s="173">
        <f t="shared" si="6"/>
        <v>46751500.496293619</v>
      </c>
      <c r="K59" s="173">
        <f t="shared" si="6"/>
        <v>512008.1037063796</v>
      </c>
    </row>
    <row r="60" spans="1:11">
      <c r="A60" s="132">
        <f>1+A59</f>
        <v>54</v>
      </c>
      <c r="B60" s="58" t="s">
        <v>102</v>
      </c>
      <c r="C60" s="144">
        <f>+'Expense Support'!D61</f>
        <v>-5532834</v>
      </c>
      <c r="D60" s="156">
        <f>+'Expense Support'!W61</f>
        <v>5532834</v>
      </c>
      <c r="E60" s="158">
        <f t="shared" ref="E60:E103" si="7">+D60+C60</f>
        <v>0</v>
      </c>
      <c r="F60" s="158"/>
      <c r="G60" s="248">
        <f>+'Expense Support'!AB61+'Expense Support'!Z61</f>
        <v>0</v>
      </c>
      <c r="H60" s="159">
        <f t="shared" si="4"/>
        <v>0</v>
      </c>
      <c r="I60" s="159">
        <f t="shared" ref="I60:I103" si="8">+H60-E60</f>
        <v>0</v>
      </c>
      <c r="J60" s="159"/>
      <c r="K60" s="249">
        <f t="shared" ref="K60:K103" si="9">+H60-J60</f>
        <v>0</v>
      </c>
    </row>
    <row r="61" spans="1:11">
      <c r="A61" s="247">
        <f>1+A60</f>
        <v>55</v>
      </c>
      <c r="B61" s="194" t="s">
        <v>111</v>
      </c>
      <c r="C61" s="144">
        <f>+'Expense Support'!D62</f>
        <v>-39930</v>
      </c>
      <c r="D61" s="156">
        <f>+'Expense Support'!W62</f>
        <v>3105</v>
      </c>
      <c r="E61" s="158">
        <f t="shared" si="7"/>
        <v>-36825</v>
      </c>
      <c r="F61" s="158"/>
      <c r="G61" s="176">
        <f>+'Expense Support'!AB62+'Expense Support'!Z62</f>
        <v>36825</v>
      </c>
      <c r="H61" s="159">
        <f t="shared" si="4"/>
        <v>0</v>
      </c>
      <c r="I61" s="159">
        <f t="shared" si="8"/>
        <v>36825</v>
      </c>
      <c r="J61" s="159"/>
      <c r="K61" s="157">
        <f t="shared" si="9"/>
        <v>0</v>
      </c>
    </row>
    <row r="62" spans="1:11">
      <c r="A62" s="247">
        <f t="shared" ref="A62:A104" si="10">1+A61</f>
        <v>56</v>
      </c>
      <c r="B62" s="194" t="s">
        <v>48</v>
      </c>
      <c r="C62" s="144">
        <f>+'Expense Support'!D63</f>
        <v>-17.3</v>
      </c>
      <c r="D62" s="156">
        <f>+'Expense Support'!W63</f>
        <v>1</v>
      </c>
      <c r="E62" s="158">
        <f t="shared" si="7"/>
        <v>-16.3</v>
      </c>
      <c r="F62" s="158"/>
      <c r="G62" s="176">
        <f>+'Expense Support'!AB63+'Expense Support'!Z63</f>
        <v>16</v>
      </c>
      <c r="H62" s="159">
        <f t="shared" si="4"/>
        <v>-0.30000000000000071</v>
      </c>
      <c r="I62" s="159">
        <f t="shared" si="8"/>
        <v>16</v>
      </c>
      <c r="J62" s="159"/>
      <c r="K62" s="157">
        <f t="shared" si="9"/>
        <v>-0.30000000000000071</v>
      </c>
    </row>
    <row r="63" spans="1:11">
      <c r="A63" s="132">
        <f t="shared" si="10"/>
        <v>57</v>
      </c>
      <c r="B63" s="65" t="s">
        <v>118</v>
      </c>
      <c r="C63" s="144">
        <f>+'Expense Support'!D64</f>
        <v>-302.39999999999998</v>
      </c>
      <c r="D63" s="156">
        <f>+'Expense Support'!W64</f>
        <v>302.39999999999998</v>
      </c>
      <c r="E63" s="158">
        <f t="shared" si="7"/>
        <v>0</v>
      </c>
      <c r="F63" s="158"/>
      <c r="G63" s="176">
        <f>+'Expense Support'!AB64+'Expense Support'!Z64</f>
        <v>0</v>
      </c>
      <c r="H63" s="159">
        <f t="shared" si="4"/>
        <v>0</v>
      </c>
      <c r="I63" s="159">
        <f t="shared" si="8"/>
        <v>0</v>
      </c>
      <c r="J63" s="159"/>
      <c r="K63" s="157">
        <f t="shared" si="9"/>
        <v>0</v>
      </c>
    </row>
    <row r="64" spans="1:11">
      <c r="A64" s="132">
        <f t="shared" si="10"/>
        <v>58</v>
      </c>
      <c r="B64" s="65" t="s">
        <v>119</v>
      </c>
      <c r="C64" s="144">
        <f>+'Expense Support'!D65</f>
        <v>-11516.400000000001</v>
      </c>
      <c r="D64" s="156">
        <f>+'Expense Support'!W65</f>
        <v>11516.4</v>
      </c>
      <c r="E64" s="158">
        <f t="shared" si="7"/>
        <v>0</v>
      </c>
      <c r="F64" s="158"/>
      <c r="G64" s="176">
        <f>+'Expense Support'!AB65+'Expense Support'!Z65</f>
        <v>0</v>
      </c>
      <c r="H64" s="159">
        <f t="shared" si="4"/>
        <v>0</v>
      </c>
      <c r="I64" s="159">
        <f t="shared" si="8"/>
        <v>0</v>
      </c>
      <c r="J64" s="159"/>
      <c r="K64" s="157">
        <f t="shared" si="9"/>
        <v>0</v>
      </c>
    </row>
    <row r="65" spans="1:13">
      <c r="A65" s="132">
        <f t="shared" si="10"/>
        <v>59</v>
      </c>
      <c r="B65" s="65" t="s">
        <v>120</v>
      </c>
      <c r="C65" s="144">
        <f>+'Expense Support'!D66</f>
        <v>-14392</v>
      </c>
      <c r="D65" s="156">
        <f>+'Expense Support'!W66</f>
        <v>14392</v>
      </c>
      <c r="E65" s="158">
        <f t="shared" si="7"/>
        <v>0</v>
      </c>
      <c r="F65" s="158"/>
      <c r="G65" s="176">
        <f>+'Expense Support'!AB66+'Expense Support'!Z66</f>
        <v>0</v>
      </c>
      <c r="H65" s="159">
        <f t="shared" si="4"/>
        <v>0</v>
      </c>
      <c r="I65" s="159">
        <f t="shared" si="8"/>
        <v>0</v>
      </c>
      <c r="J65" s="159"/>
      <c r="K65" s="157">
        <f t="shared" si="9"/>
        <v>0</v>
      </c>
    </row>
    <row r="66" spans="1:13" s="250" customFormat="1">
      <c r="A66" s="247">
        <f t="shared" si="10"/>
        <v>60</v>
      </c>
      <c r="B66" s="194" t="s">
        <v>75</v>
      </c>
      <c r="C66" s="144">
        <f>+'Expense Support'!D67</f>
        <v>-1079</v>
      </c>
      <c r="D66" s="156">
        <f>+'Expense Support'!W67</f>
        <v>84</v>
      </c>
      <c r="E66" s="158">
        <f t="shared" si="7"/>
        <v>-995</v>
      </c>
      <c r="F66" s="158"/>
      <c r="G66" s="176">
        <f>+'Expense Support'!AB67+'Expense Support'!Z67</f>
        <v>995</v>
      </c>
      <c r="H66" s="159">
        <f t="shared" si="4"/>
        <v>0</v>
      </c>
      <c r="I66" s="159">
        <f t="shared" si="8"/>
        <v>995</v>
      </c>
      <c r="J66" s="159"/>
      <c r="K66" s="157">
        <f t="shared" si="9"/>
        <v>0</v>
      </c>
      <c r="L66" s="41"/>
      <c r="M66" s="40"/>
    </row>
    <row r="67" spans="1:13" s="250" customFormat="1">
      <c r="A67" s="247">
        <f t="shared" si="10"/>
        <v>61</v>
      </c>
      <c r="B67" s="194" t="s">
        <v>121</v>
      </c>
      <c r="C67" s="144">
        <f>+'Expense Support'!D68</f>
        <v>-5460</v>
      </c>
      <c r="D67" s="156">
        <f>+'Expense Support'!W68</f>
        <v>425</v>
      </c>
      <c r="E67" s="158">
        <f t="shared" si="7"/>
        <v>-5035</v>
      </c>
      <c r="F67" s="158"/>
      <c r="G67" s="176">
        <f>+'Expense Support'!AB68+'Expense Support'!Z68</f>
        <v>5035</v>
      </c>
      <c r="H67" s="159">
        <f t="shared" si="4"/>
        <v>0</v>
      </c>
      <c r="I67" s="159">
        <f t="shared" si="8"/>
        <v>5035</v>
      </c>
      <c r="J67" s="159"/>
      <c r="K67" s="157">
        <f t="shared" si="9"/>
        <v>0</v>
      </c>
      <c r="L67" s="41"/>
      <c r="M67" s="40"/>
    </row>
    <row r="68" spans="1:13" s="250" customFormat="1">
      <c r="A68" s="247">
        <f t="shared" si="10"/>
        <v>62</v>
      </c>
      <c r="B68" s="194" t="s">
        <v>88</v>
      </c>
      <c r="C68" s="144">
        <f>+'Expense Support'!D69</f>
        <v>-1797</v>
      </c>
      <c r="D68" s="156">
        <f>+'Expense Support'!W69</f>
        <v>140</v>
      </c>
      <c r="E68" s="158">
        <f t="shared" si="7"/>
        <v>-1657</v>
      </c>
      <c r="F68" s="158"/>
      <c r="G68" s="176">
        <f>+'Expense Support'!AB69+'Expense Support'!Z69</f>
        <v>1657</v>
      </c>
      <c r="H68" s="159">
        <f t="shared" si="4"/>
        <v>0</v>
      </c>
      <c r="I68" s="159">
        <f t="shared" si="8"/>
        <v>1657</v>
      </c>
      <c r="J68" s="159"/>
      <c r="K68" s="157">
        <f t="shared" si="9"/>
        <v>0</v>
      </c>
      <c r="L68" s="41"/>
      <c r="M68" s="40"/>
    </row>
    <row r="69" spans="1:13" s="250" customFormat="1">
      <c r="A69" s="247">
        <f t="shared" si="10"/>
        <v>63</v>
      </c>
      <c r="B69" s="194" t="s">
        <v>85</v>
      </c>
      <c r="C69" s="144">
        <f>+'Expense Support'!D70</f>
        <v>-3081</v>
      </c>
      <c r="D69" s="156">
        <f>+'Expense Support'!W70</f>
        <v>240</v>
      </c>
      <c r="E69" s="158">
        <f t="shared" si="7"/>
        <v>-2841</v>
      </c>
      <c r="F69" s="158"/>
      <c r="G69" s="176">
        <f>+'Expense Support'!AB70+'Expense Support'!Z70</f>
        <v>2841</v>
      </c>
      <c r="H69" s="159">
        <f t="shared" si="4"/>
        <v>0</v>
      </c>
      <c r="I69" s="159">
        <f t="shared" si="8"/>
        <v>2841</v>
      </c>
      <c r="J69" s="159"/>
      <c r="K69" s="157">
        <f t="shared" si="9"/>
        <v>0</v>
      </c>
      <c r="L69" s="41"/>
      <c r="M69" s="40"/>
    </row>
    <row r="70" spans="1:13" s="250" customFormat="1">
      <c r="A70" s="247">
        <f t="shared" si="10"/>
        <v>64</v>
      </c>
      <c r="B70" s="194" t="s">
        <v>124</v>
      </c>
      <c r="C70" s="144">
        <f>+'Expense Support'!D71</f>
        <v>-14024</v>
      </c>
      <c r="D70" s="156">
        <f>+'Expense Support'!W71</f>
        <v>1090</v>
      </c>
      <c r="E70" s="158">
        <f t="shared" si="7"/>
        <v>-12934</v>
      </c>
      <c r="F70" s="158"/>
      <c r="G70" s="176">
        <f>+'Expense Support'!AB71+'Expense Support'!Z71</f>
        <v>12934</v>
      </c>
      <c r="H70" s="159">
        <f t="shared" si="4"/>
        <v>0</v>
      </c>
      <c r="I70" s="159">
        <f t="shared" si="8"/>
        <v>12934</v>
      </c>
      <c r="J70" s="159"/>
      <c r="K70" s="157">
        <f t="shared" si="9"/>
        <v>0</v>
      </c>
      <c r="L70" s="41"/>
      <c r="M70" s="40"/>
    </row>
    <row r="71" spans="1:13" s="250" customFormat="1">
      <c r="A71" s="247">
        <f t="shared" si="10"/>
        <v>65</v>
      </c>
      <c r="B71" s="194" t="s">
        <v>92</v>
      </c>
      <c r="C71" s="144">
        <f>+'Expense Support'!D72</f>
        <v>-76020</v>
      </c>
      <c r="D71" s="156">
        <f>+'Expense Support'!W72</f>
        <v>5911</v>
      </c>
      <c r="E71" s="158">
        <f t="shared" si="7"/>
        <v>-70109</v>
      </c>
      <c r="F71" s="158"/>
      <c r="G71" s="176">
        <f>+'Expense Support'!AB72+'Expense Support'!Z72</f>
        <v>70109</v>
      </c>
      <c r="H71" s="159">
        <f t="shared" si="4"/>
        <v>0</v>
      </c>
      <c r="I71" s="159">
        <f t="shared" si="8"/>
        <v>70109</v>
      </c>
      <c r="J71" s="159"/>
      <c r="K71" s="157">
        <f t="shared" si="9"/>
        <v>0</v>
      </c>
      <c r="L71" s="41"/>
      <c r="M71" s="40"/>
    </row>
    <row r="72" spans="1:13" s="250" customFormat="1">
      <c r="A72" s="247">
        <f t="shared" si="10"/>
        <v>66</v>
      </c>
      <c r="B72" s="194" t="s">
        <v>126</v>
      </c>
      <c r="C72" s="144">
        <f>+'Expense Support'!D73</f>
        <v>-50198</v>
      </c>
      <c r="D72" s="156">
        <f>+'Expense Support'!W73</f>
        <v>3903</v>
      </c>
      <c r="E72" s="158">
        <f t="shared" si="7"/>
        <v>-46295</v>
      </c>
      <c r="F72" s="158"/>
      <c r="G72" s="176">
        <f>+'Expense Support'!AB73+'Expense Support'!Z73</f>
        <v>46295</v>
      </c>
      <c r="H72" s="159">
        <f t="shared" si="4"/>
        <v>0</v>
      </c>
      <c r="I72" s="159">
        <f t="shared" si="8"/>
        <v>46295</v>
      </c>
      <c r="J72" s="159"/>
      <c r="K72" s="157">
        <f t="shared" si="9"/>
        <v>0</v>
      </c>
      <c r="L72" s="41"/>
      <c r="M72" s="40"/>
    </row>
    <row r="73" spans="1:13" s="250" customFormat="1">
      <c r="A73" s="247">
        <f t="shared" si="10"/>
        <v>67</v>
      </c>
      <c r="B73" s="194" t="s">
        <v>79</v>
      </c>
      <c r="C73" s="144">
        <f>+'Expense Support'!D74</f>
        <v>-360218</v>
      </c>
      <c r="D73" s="156">
        <f>+'Expense Support'!W74</f>
        <v>28010</v>
      </c>
      <c r="E73" s="158">
        <f t="shared" si="7"/>
        <v>-332208</v>
      </c>
      <c r="F73" s="158"/>
      <c r="G73" s="176">
        <f>+'Expense Support'!AB74+'Expense Support'!Z74</f>
        <v>332208</v>
      </c>
      <c r="H73" s="159">
        <f t="shared" si="4"/>
        <v>0</v>
      </c>
      <c r="I73" s="159">
        <f t="shared" si="8"/>
        <v>332208</v>
      </c>
      <c r="J73" s="159"/>
      <c r="K73" s="157">
        <f t="shared" si="9"/>
        <v>0</v>
      </c>
      <c r="L73" s="41"/>
      <c r="M73" s="40"/>
    </row>
    <row r="74" spans="1:13" s="250" customFormat="1">
      <c r="A74" s="247">
        <f t="shared" si="10"/>
        <v>68</v>
      </c>
      <c r="B74" s="194" t="s">
        <v>125</v>
      </c>
      <c r="C74" s="144">
        <f>+'Expense Support'!D75</f>
        <v>-42239</v>
      </c>
      <c r="D74" s="156">
        <f>+'Expense Support'!W75</f>
        <v>3284</v>
      </c>
      <c r="E74" s="158">
        <f t="shared" si="7"/>
        <v>-38955</v>
      </c>
      <c r="F74" s="158"/>
      <c r="G74" s="176">
        <f>+'Expense Support'!AB75+'Expense Support'!Z75</f>
        <v>38955</v>
      </c>
      <c r="H74" s="159">
        <f t="shared" ref="H74:H103" si="11">+G74+F74+E74</f>
        <v>0</v>
      </c>
      <c r="I74" s="159">
        <f t="shared" si="8"/>
        <v>38955</v>
      </c>
      <c r="J74" s="159"/>
      <c r="K74" s="157">
        <f t="shared" si="9"/>
        <v>0</v>
      </c>
      <c r="L74" s="41"/>
      <c r="M74" s="40"/>
    </row>
    <row r="75" spans="1:13" s="250" customFormat="1">
      <c r="A75" s="247">
        <f t="shared" si="10"/>
        <v>69</v>
      </c>
      <c r="B75" s="63" t="s">
        <v>101</v>
      </c>
      <c r="C75" s="144">
        <f>+'Expense Support'!D76</f>
        <v>-578588</v>
      </c>
      <c r="D75" s="156">
        <f>+'Expense Support'!W76</f>
        <v>-354196</v>
      </c>
      <c r="E75" s="158">
        <f t="shared" si="7"/>
        <v>-932784</v>
      </c>
      <c r="F75" s="158">
        <f>+'Expense Support'!Y76</f>
        <v>432843</v>
      </c>
      <c r="G75" s="176">
        <f>+'Expense Support'!AB76+'Expense Support'!Z76</f>
        <v>-33657</v>
      </c>
      <c r="H75" s="159">
        <f t="shared" si="11"/>
        <v>-533598</v>
      </c>
      <c r="I75" s="159">
        <f t="shared" si="8"/>
        <v>399186</v>
      </c>
      <c r="J75" s="159">
        <v>-533598.05604542699</v>
      </c>
      <c r="K75" s="157">
        <f t="shared" si="9"/>
        <v>5.6045426987111568E-2</v>
      </c>
      <c r="L75" s="41"/>
      <c r="M75" s="40"/>
    </row>
    <row r="76" spans="1:13" s="250" customFormat="1" ht="16.5" customHeight="1">
      <c r="A76" s="247">
        <f t="shared" si="10"/>
        <v>70</v>
      </c>
      <c r="B76" s="63" t="s">
        <v>103</v>
      </c>
      <c r="C76" s="144">
        <f>+'Expense Support'!D77</f>
        <v>-69888</v>
      </c>
      <c r="D76" s="156">
        <f>+'Expense Support'!W77</f>
        <v>5434</v>
      </c>
      <c r="E76" s="158">
        <f t="shared" si="7"/>
        <v>-64454</v>
      </c>
      <c r="F76" s="158"/>
      <c r="G76" s="176">
        <f>+'Expense Support'!AB77+'Expense Support'!Z77</f>
        <v>0</v>
      </c>
      <c r="H76" s="159">
        <f t="shared" si="11"/>
        <v>-64454</v>
      </c>
      <c r="I76" s="159">
        <f t="shared" si="8"/>
        <v>0</v>
      </c>
      <c r="J76" s="159">
        <v>-64453.64</v>
      </c>
      <c r="K76" s="157">
        <f t="shared" si="9"/>
        <v>-0.36000000000058208</v>
      </c>
      <c r="L76" s="41"/>
      <c r="M76" s="40"/>
    </row>
    <row r="77" spans="1:13" s="250" customFormat="1">
      <c r="A77" s="247">
        <f t="shared" si="10"/>
        <v>71</v>
      </c>
      <c r="B77" s="63" t="s">
        <v>24</v>
      </c>
      <c r="C77" s="144">
        <f>+'Expense Support'!D78</f>
        <v>-16085130</v>
      </c>
      <c r="D77" s="156">
        <f>+'Expense Support'!W78</f>
        <v>1250750</v>
      </c>
      <c r="E77" s="158">
        <f t="shared" si="7"/>
        <v>-14834380</v>
      </c>
      <c r="F77" s="158"/>
      <c r="G77" s="176">
        <f>+'Expense Support'!AB78+'Expense Support'!Z78</f>
        <v>0</v>
      </c>
      <c r="H77" s="159">
        <f t="shared" si="11"/>
        <v>-14834380</v>
      </c>
      <c r="I77" s="159">
        <f t="shared" si="8"/>
        <v>0</v>
      </c>
      <c r="J77" s="159">
        <v>-14834379.859999999</v>
      </c>
      <c r="K77" s="157">
        <f t="shared" si="9"/>
        <v>-0.14000000059604645</v>
      </c>
      <c r="L77" s="41"/>
      <c r="M77" s="40"/>
    </row>
    <row r="78" spans="1:13" s="250" customFormat="1">
      <c r="A78" s="247">
        <f t="shared" si="10"/>
        <v>72</v>
      </c>
      <c r="B78" s="63" t="s">
        <v>104</v>
      </c>
      <c r="C78" s="144">
        <f>+'Expense Support'!D79</f>
        <v>-1240063.7</v>
      </c>
      <c r="D78" s="156">
        <f>+'Expense Support'!W79</f>
        <v>96425</v>
      </c>
      <c r="E78" s="158">
        <f t="shared" si="7"/>
        <v>-1143638.7</v>
      </c>
      <c r="F78" s="158"/>
      <c r="G78" s="176">
        <f>+'Expense Support'!AB79+'Expense Support'!Z79</f>
        <v>0</v>
      </c>
      <c r="H78" s="159">
        <f t="shared" si="11"/>
        <v>-1143638.7</v>
      </c>
      <c r="I78" s="159">
        <f t="shared" si="8"/>
        <v>0</v>
      </c>
      <c r="J78" s="159">
        <v>-1143639.3999999999</v>
      </c>
      <c r="K78" s="157">
        <f>+H78-J78</f>
        <v>0.69999999995343387</v>
      </c>
      <c r="L78" s="41"/>
      <c r="M78" s="40"/>
    </row>
    <row r="79" spans="1:13" s="250" customFormat="1">
      <c r="A79" s="247">
        <f t="shared" si="10"/>
        <v>73</v>
      </c>
      <c r="B79" s="63" t="s">
        <v>27</v>
      </c>
      <c r="C79" s="144">
        <f>+'Expense Support'!D80</f>
        <v>-313358</v>
      </c>
      <c r="D79" s="156">
        <f>+'Expense Support'!W80</f>
        <v>24366</v>
      </c>
      <c r="E79" s="158">
        <f t="shared" si="7"/>
        <v>-288992</v>
      </c>
      <c r="F79" s="158"/>
      <c r="G79" s="176">
        <f>+'Expense Support'!AB80+'Expense Support'!Z80</f>
        <v>0</v>
      </c>
      <c r="H79" s="159">
        <f t="shared" si="11"/>
        <v>-288992</v>
      </c>
      <c r="I79" s="159">
        <f t="shared" si="8"/>
        <v>0</v>
      </c>
      <c r="J79" s="159">
        <v>-288992</v>
      </c>
      <c r="K79" s="157">
        <f>+H79-J79</f>
        <v>0</v>
      </c>
      <c r="L79" s="41"/>
      <c r="M79" s="40"/>
    </row>
    <row r="80" spans="1:13" s="250" customFormat="1">
      <c r="A80" s="247">
        <f t="shared" si="10"/>
        <v>74</v>
      </c>
      <c r="B80" s="63" t="s">
        <v>105</v>
      </c>
      <c r="C80" s="144">
        <f>+'Expense Support'!D81</f>
        <v>-1351601</v>
      </c>
      <c r="D80" s="156">
        <f>+'Expense Support'!W81</f>
        <v>105098</v>
      </c>
      <c r="E80" s="158">
        <f t="shared" si="7"/>
        <v>-1246503</v>
      </c>
      <c r="F80" s="158"/>
      <c r="G80" s="176">
        <f>+'Expense Support'!AB81+'Expense Support'!Z81</f>
        <v>0</v>
      </c>
      <c r="H80" s="159">
        <f t="shared" si="11"/>
        <v>-1246503</v>
      </c>
      <c r="I80" s="159">
        <f t="shared" si="8"/>
        <v>0</v>
      </c>
      <c r="J80" s="159">
        <v>-1246503.3999999999</v>
      </c>
      <c r="K80" s="157">
        <f t="shared" si="9"/>
        <v>0.39999999990686774</v>
      </c>
      <c r="L80" s="41"/>
      <c r="M80" s="40"/>
    </row>
    <row r="81" spans="1:13" s="250" customFormat="1">
      <c r="A81" s="247">
        <f t="shared" si="10"/>
        <v>75</v>
      </c>
      <c r="B81" s="63" t="s">
        <v>106</v>
      </c>
      <c r="C81" s="144">
        <f>+'Expense Support'!D82</f>
        <v>-129553</v>
      </c>
      <c r="D81" s="156">
        <f>+'Expense Support'!W82</f>
        <v>52255</v>
      </c>
      <c r="E81" s="158">
        <f t="shared" si="7"/>
        <v>-77298</v>
      </c>
      <c r="F81" s="158">
        <f>+'Expense Support'!Y82</f>
        <v>-45738</v>
      </c>
      <c r="G81" s="176">
        <f>+'Expense Support'!AB82+'Expense Support'!Z82</f>
        <v>3557</v>
      </c>
      <c r="H81" s="159">
        <f t="shared" si="11"/>
        <v>-119479</v>
      </c>
      <c r="I81" s="159">
        <f t="shared" si="8"/>
        <v>-42181</v>
      </c>
      <c r="J81" s="159">
        <v>-119480.4</v>
      </c>
      <c r="K81" s="157">
        <f t="shared" si="9"/>
        <v>1.3999999999941792</v>
      </c>
      <c r="L81" s="41"/>
      <c r="M81" s="40"/>
    </row>
    <row r="82" spans="1:13" s="250" customFormat="1">
      <c r="A82" s="247">
        <f t="shared" si="10"/>
        <v>76</v>
      </c>
      <c r="B82" s="63" t="s">
        <v>107</v>
      </c>
      <c r="C82" s="144">
        <f>+'Expense Support'!D83</f>
        <v>-2197929</v>
      </c>
      <c r="D82" s="156">
        <f>+'Expense Support'!W83</f>
        <v>170908</v>
      </c>
      <c r="E82" s="158">
        <f t="shared" si="7"/>
        <v>-2027021</v>
      </c>
      <c r="F82" s="158"/>
      <c r="G82" s="176">
        <f>+'Expense Support'!AB83+'Expense Support'!Z83</f>
        <v>0</v>
      </c>
      <c r="H82" s="159">
        <f t="shared" si="11"/>
        <v>-2027021</v>
      </c>
      <c r="I82" s="159">
        <f t="shared" si="8"/>
        <v>0</v>
      </c>
      <c r="J82" s="159">
        <v>-2027022.4</v>
      </c>
      <c r="K82" s="157">
        <f t="shared" si="9"/>
        <v>1.3999999999068677</v>
      </c>
      <c r="L82" s="41"/>
      <c r="M82" s="40"/>
    </row>
    <row r="83" spans="1:13" s="250" customFormat="1">
      <c r="A83" s="247">
        <f t="shared" si="10"/>
        <v>77</v>
      </c>
      <c r="B83" s="63" t="s">
        <v>108</v>
      </c>
      <c r="C83" s="144">
        <f>+'Expense Support'!D84</f>
        <v>-5888</v>
      </c>
      <c r="D83" s="156">
        <f>+'Expense Support'!W84</f>
        <v>458</v>
      </c>
      <c r="E83" s="158">
        <f t="shared" si="7"/>
        <v>-5430</v>
      </c>
      <c r="F83" s="158"/>
      <c r="G83" s="176">
        <f>+'Expense Support'!AB84+'Expense Support'!Z84</f>
        <v>0</v>
      </c>
      <c r="H83" s="159">
        <f t="shared" si="11"/>
        <v>-5430</v>
      </c>
      <c r="I83" s="159">
        <f t="shared" si="8"/>
        <v>0</v>
      </c>
      <c r="J83" s="159">
        <v>-5430.4</v>
      </c>
      <c r="K83" s="157">
        <f t="shared" si="9"/>
        <v>0.3999999999996362</v>
      </c>
      <c r="L83" s="41"/>
      <c r="M83" s="40"/>
    </row>
    <row r="84" spans="1:13" s="250" customFormat="1">
      <c r="A84" s="247">
        <f t="shared" si="10"/>
        <v>78</v>
      </c>
      <c r="B84" s="63" t="s">
        <v>109</v>
      </c>
      <c r="C84" s="144">
        <f>+'Expense Support'!D85</f>
        <v>-310604</v>
      </c>
      <c r="D84" s="156">
        <f>+'Expense Support'!W85</f>
        <v>24152</v>
      </c>
      <c r="E84" s="158">
        <f t="shared" si="7"/>
        <v>-286452</v>
      </c>
      <c r="F84" s="158"/>
      <c r="G84" s="176">
        <f>+'Expense Support'!AB85+'Expense Support'!Z85</f>
        <v>0</v>
      </c>
      <c r="H84" s="159">
        <f t="shared" si="11"/>
        <v>-286452</v>
      </c>
      <c r="I84" s="159">
        <f t="shared" si="8"/>
        <v>0</v>
      </c>
      <c r="J84" s="159">
        <v>-286452.40000000002</v>
      </c>
      <c r="K84" s="157">
        <f t="shared" si="9"/>
        <v>0.40000000002328306</v>
      </c>
      <c r="L84" s="41"/>
      <c r="M84" s="40"/>
    </row>
    <row r="85" spans="1:13" s="250" customFormat="1">
      <c r="A85" s="247">
        <f t="shared" si="10"/>
        <v>79</v>
      </c>
      <c r="B85" s="63" t="s">
        <v>41</v>
      </c>
      <c r="C85" s="144">
        <f>+'Expense Support'!D86</f>
        <v>-158.5</v>
      </c>
      <c r="D85" s="156">
        <f>+'Expense Support'!W86</f>
        <v>12</v>
      </c>
      <c r="E85" s="158">
        <f t="shared" si="7"/>
        <v>-146.5</v>
      </c>
      <c r="F85" s="158"/>
      <c r="G85" s="176">
        <f>+'Expense Support'!AB86+'Expense Support'!Z86</f>
        <v>0</v>
      </c>
      <c r="H85" s="159">
        <f t="shared" si="11"/>
        <v>-146.5</v>
      </c>
      <c r="I85" s="159">
        <f t="shared" si="8"/>
        <v>0</v>
      </c>
      <c r="J85" s="159">
        <v>-146.26535181396201</v>
      </c>
      <c r="K85" s="157">
        <f t="shared" si="9"/>
        <v>-0.23464818603798676</v>
      </c>
      <c r="L85" s="41"/>
      <c r="M85" s="40"/>
    </row>
    <row r="86" spans="1:13" s="250" customFormat="1">
      <c r="A86" s="247">
        <f t="shared" si="10"/>
        <v>80</v>
      </c>
      <c r="B86" s="63" t="s">
        <v>110</v>
      </c>
      <c r="C86" s="144">
        <f>+'Expense Support'!D87</f>
        <v>-29180</v>
      </c>
      <c r="D86" s="156">
        <f>+'Expense Support'!W87</f>
        <v>2269</v>
      </c>
      <c r="E86" s="158">
        <f t="shared" si="7"/>
        <v>-26911</v>
      </c>
      <c r="F86" s="158"/>
      <c r="G86" s="176">
        <f>+'Expense Support'!AB87+'Expense Support'!Z87</f>
        <v>0</v>
      </c>
      <c r="H86" s="159">
        <f t="shared" si="11"/>
        <v>-26911</v>
      </c>
      <c r="I86" s="159">
        <f t="shared" si="8"/>
        <v>0</v>
      </c>
      <c r="J86" s="159">
        <v>-26911.4</v>
      </c>
      <c r="K86" s="157">
        <f t="shared" si="9"/>
        <v>0.40000000000145519</v>
      </c>
      <c r="L86" s="41"/>
      <c r="M86" s="40"/>
    </row>
    <row r="87" spans="1:13" s="250" customFormat="1">
      <c r="A87" s="247">
        <f t="shared" si="10"/>
        <v>81</v>
      </c>
      <c r="B87" s="194" t="s">
        <v>112</v>
      </c>
      <c r="C87" s="144">
        <f>+'Expense Support'!D88</f>
        <v>-1028154</v>
      </c>
      <c r="D87" s="156">
        <f>+'Expense Support'!W88</f>
        <v>79947</v>
      </c>
      <c r="E87" s="158">
        <f t="shared" si="7"/>
        <v>-948207</v>
      </c>
      <c r="F87" s="158"/>
      <c r="G87" s="176">
        <f>+'Expense Support'!AB88+'Expense Support'!Z88</f>
        <v>948207</v>
      </c>
      <c r="H87" s="159">
        <f t="shared" si="11"/>
        <v>0</v>
      </c>
      <c r="I87" s="159">
        <f t="shared" si="8"/>
        <v>948207</v>
      </c>
      <c r="J87" s="159"/>
      <c r="K87" s="157">
        <f t="shared" si="9"/>
        <v>0</v>
      </c>
      <c r="L87" s="41"/>
      <c r="M87" s="40"/>
    </row>
    <row r="88" spans="1:13" s="250" customFormat="1">
      <c r="A88" s="247">
        <f t="shared" si="10"/>
        <v>82</v>
      </c>
      <c r="B88" s="194" t="s">
        <v>60</v>
      </c>
      <c r="C88" s="144">
        <f>+'Expense Support'!D89</f>
        <v>-396845</v>
      </c>
      <c r="D88" s="156">
        <f>+'Expense Support'!W89</f>
        <v>30858</v>
      </c>
      <c r="E88" s="158">
        <f t="shared" si="7"/>
        <v>-365987</v>
      </c>
      <c r="F88" s="158"/>
      <c r="G88" s="176">
        <f>+'Expense Support'!AB89+'Expense Support'!Z89</f>
        <v>365987</v>
      </c>
      <c r="H88" s="159">
        <f t="shared" si="11"/>
        <v>0</v>
      </c>
      <c r="I88" s="159">
        <f t="shared" si="8"/>
        <v>365987</v>
      </c>
      <c r="J88" s="159"/>
      <c r="K88" s="157">
        <f t="shared" si="9"/>
        <v>0</v>
      </c>
      <c r="L88" s="41"/>
      <c r="M88" s="40"/>
    </row>
    <row r="89" spans="1:13" s="250" customFormat="1">
      <c r="A89" s="247">
        <f t="shared" si="10"/>
        <v>83</v>
      </c>
      <c r="B89" s="194" t="s">
        <v>113</v>
      </c>
      <c r="C89" s="144">
        <f>+'Expense Support'!D90</f>
        <v>-15595</v>
      </c>
      <c r="D89" s="156">
        <f>+'Expense Support'!W90</f>
        <v>15595</v>
      </c>
      <c r="E89" s="158">
        <f t="shared" si="7"/>
        <v>0</v>
      </c>
      <c r="F89" s="158"/>
      <c r="G89" s="176">
        <f>+'Expense Support'!AB90+'Expense Support'!Z90</f>
        <v>0</v>
      </c>
      <c r="H89" s="159">
        <f t="shared" si="11"/>
        <v>0</v>
      </c>
      <c r="I89" s="159">
        <f t="shared" si="8"/>
        <v>0</v>
      </c>
      <c r="J89" s="159"/>
      <c r="K89" s="157">
        <f t="shared" si="9"/>
        <v>0</v>
      </c>
      <c r="L89" s="41"/>
      <c r="M89" s="40"/>
    </row>
    <row r="90" spans="1:13">
      <c r="A90" s="132">
        <f t="shared" si="10"/>
        <v>84</v>
      </c>
      <c r="B90" s="65" t="s">
        <v>114</v>
      </c>
      <c r="C90" s="144">
        <f>+'Expense Support'!D91</f>
        <v>-224611</v>
      </c>
      <c r="D90" s="156">
        <f>+'Expense Support'!W91</f>
        <v>224611</v>
      </c>
      <c r="E90" s="158">
        <f t="shared" si="7"/>
        <v>0</v>
      </c>
      <c r="F90" s="158"/>
      <c r="G90" s="176">
        <f>+'Expense Support'!AB91+'Expense Support'!Z91</f>
        <v>0</v>
      </c>
      <c r="H90" s="159">
        <f t="shared" si="11"/>
        <v>0</v>
      </c>
      <c r="I90" s="159">
        <f t="shared" si="8"/>
        <v>0</v>
      </c>
      <c r="J90" s="159"/>
      <c r="K90" s="157">
        <f t="shared" si="9"/>
        <v>0</v>
      </c>
    </row>
    <row r="91" spans="1:13">
      <c r="A91" s="132">
        <f t="shared" si="10"/>
        <v>85</v>
      </c>
      <c r="B91" s="65" t="s">
        <v>115</v>
      </c>
      <c r="C91" s="144">
        <f>+'Expense Support'!D92</f>
        <v>-19806</v>
      </c>
      <c r="D91" s="156">
        <f>+'Expense Support'!W92</f>
        <v>19806</v>
      </c>
      <c r="E91" s="158">
        <f t="shared" si="7"/>
        <v>0</v>
      </c>
      <c r="F91" s="158"/>
      <c r="G91" s="176">
        <f>+'Expense Support'!AB92+'Expense Support'!Z92</f>
        <v>0</v>
      </c>
      <c r="H91" s="159">
        <f t="shared" si="11"/>
        <v>0</v>
      </c>
      <c r="I91" s="159">
        <f t="shared" si="8"/>
        <v>0</v>
      </c>
      <c r="J91" s="159"/>
      <c r="K91" s="157">
        <f t="shared" si="9"/>
        <v>0</v>
      </c>
    </row>
    <row r="92" spans="1:13">
      <c r="A92" s="132">
        <f t="shared" si="10"/>
        <v>86</v>
      </c>
      <c r="B92" s="65" t="s">
        <v>116</v>
      </c>
      <c r="C92" s="144">
        <f>+'Expense Support'!D93</f>
        <v>-17815</v>
      </c>
      <c r="D92" s="156">
        <f>+'Expense Support'!W93</f>
        <v>1385</v>
      </c>
      <c r="E92" s="158">
        <f t="shared" si="7"/>
        <v>-16430</v>
      </c>
      <c r="F92" s="158"/>
      <c r="G92" s="176">
        <f>+'Expense Support'!AB93+'Expense Support'!Z93</f>
        <v>0</v>
      </c>
      <c r="H92" s="159">
        <f t="shared" si="11"/>
        <v>-16430</v>
      </c>
      <c r="I92" s="159">
        <f t="shared" si="8"/>
        <v>0</v>
      </c>
      <c r="J92" s="159"/>
      <c r="K92" s="157">
        <f t="shared" si="9"/>
        <v>-16430</v>
      </c>
    </row>
    <row r="93" spans="1:13">
      <c r="A93" s="132">
        <f t="shared" si="10"/>
        <v>87</v>
      </c>
      <c r="B93" s="65" t="s">
        <v>117</v>
      </c>
      <c r="C93" s="144">
        <f>+'Expense Support'!D94</f>
        <v>-341171</v>
      </c>
      <c r="D93" s="156">
        <f>+'Expense Support'!W94</f>
        <v>341171</v>
      </c>
      <c r="E93" s="158">
        <f t="shared" si="7"/>
        <v>0</v>
      </c>
      <c r="F93" s="158"/>
      <c r="G93" s="176">
        <f>+'Expense Support'!AB94+'Expense Support'!Z94</f>
        <v>0</v>
      </c>
      <c r="H93" s="159">
        <f t="shared" si="11"/>
        <v>0</v>
      </c>
      <c r="I93" s="159">
        <f t="shared" si="8"/>
        <v>0</v>
      </c>
      <c r="J93" s="159"/>
      <c r="K93" s="157">
        <f t="shared" si="9"/>
        <v>0</v>
      </c>
    </row>
    <row r="94" spans="1:13">
      <c r="A94" s="132">
        <f t="shared" si="10"/>
        <v>88</v>
      </c>
      <c r="B94" s="65" t="s">
        <v>65</v>
      </c>
      <c r="C94" s="144">
        <f>+'Expense Support'!D95</f>
        <v>-627345</v>
      </c>
      <c r="D94" s="156">
        <f>+'Expense Support'!W95</f>
        <v>627345</v>
      </c>
      <c r="E94" s="158">
        <f t="shared" si="7"/>
        <v>0</v>
      </c>
      <c r="F94" s="158"/>
      <c r="G94" s="176">
        <f>+'Expense Support'!AB95+'Expense Support'!Z95</f>
        <v>0</v>
      </c>
      <c r="H94" s="159">
        <f t="shared" si="11"/>
        <v>0</v>
      </c>
      <c r="I94" s="159">
        <f t="shared" si="8"/>
        <v>0</v>
      </c>
      <c r="J94" s="159"/>
      <c r="K94" s="157">
        <f t="shared" si="9"/>
        <v>0</v>
      </c>
    </row>
    <row r="95" spans="1:13">
      <c r="A95" s="132">
        <f t="shared" si="10"/>
        <v>89</v>
      </c>
      <c r="B95" s="65" t="s">
        <v>122</v>
      </c>
      <c r="C95" s="144">
        <f>+'Expense Support'!D96</f>
        <v>-294743</v>
      </c>
      <c r="D95" s="156">
        <f>+'Expense Support'!W96</f>
        <v>294743</v>
      </c>
      <c r="E95" s="158">
        <f t="shared" si="7"/>
        <v>0</v>
      </c>
      <c r="F95" s="158"/>
      <c r="G95" s="176">
        <f>+'Expense Support'!AB96+'Expense Support'!Z96</f>
        <v>0</v>
      </c>
      <c r="H95" s="159">
        <f t="shared" si="11"/>
        <v>0</v>
      </c>
      <c r="I95" s="159">
        <f t="shared" si="8"/>
        <v>0</v>
      </c>
      <c r="J95" s="159"/>
      <c r="K95" s="157">
        <f t="shared" si="9"/>
        <v>0</v>
      </c>
    </row>
    <row r="96" spans="1:13">
      <c r="A96" s="132">
        <f t="shared" si="10"/>
        <v>90</v>
      </c>
      <c r="B96" s="65" t="s">
        <v>84</v>
      </c>
      <c r="C96" s="144">
        <f>+'Expense Support'!D97</f>
        <v>-126418</v>
      </c>
      <c r="D96" s="156">
        <f>+'Expense Support'!W97</f>
        <v>126418</v>
      </c>
      <c r="E96" s="158">
        <f t="shared" si="7"/>
        <v>0</v>
      </c>
      <c r="F96" s="158"/>
      <c r="G96" s="176">
        <f>+'Expense Support'!AB97+'Expense Support'!Z97</f>
        <v>0</v>
      </c>
      <c r="H96" s="159">
        <f t="shared" si="11"/>
        <v>0</v>
      </c>
      <c r="I96" s="159">
        <f t="shared" si="8"/>
        <v>0</v>
      </c>
      <c r="J96" s="159"/>
      <c r="K96" s="157">
        <f t="shared" si="9"/>
        <v>0</v>
      </c>
    </row>
    <row r="97" spans="1:11">
      <c r="A97" s="132">
        <f t="shared" si="10"/>
        <v>91</v>
      </c>
      <c r="B97" s="65" t="s">
        <v>123</v>
      </c>
      <c r="C97" s="144">
        <f>+'Expense Support'!D98</f>
        <v>-241766</v>
      </c>
      <c r="D97" s="156">
        <f>+'Expense Support'!W98</f>
        <v>241766</v>
      </c>
      <c r="E97" s="158">
        <f t="shared" si="7"/>
        <v>0</v>
      </c>
      <c r="F97" s="158"/>
      <c r="G97" s="176">
        <f>+'Expense Support'!AB98+'Expense Support'!Z98</f>
        <v>0</v>
      </c>
      <c r="H97" s="159">
        <f t="shared" si="11"/>
        <v>0</v>
      </c>
      <c r="I97" s="159">
        <f t="shared" si="8"/>
        <v>0</v>
      </c>
      <c r="J97" s="159"/>
      <c r="K97" s="157">
        <f t="shared" si="9"/>
        <v>0</v>
      </c>
    </row>
    <row r="98" spans="1:11">
      <c r="A98" s="132">
        <f t="shared" si="10"/>
        <v>92</v>
      </c>
      <c r="B98" s="67" t="s">
        <v>127</v>
      </c>
      <c r="C98" s="144">
        <f>+'Expense Support'!D99</f>
        <v>0</v>
      </c>
      <c r="D98" s="156">
        <f>+'Expense Support'!W99</f>
        <v>-10080</v>
      </c>
      <c r="E98" s="158">
        <f t="shared" si="7"/>
        <v>-10080</v>
      </c>
      <c r="F98" s="158"/>
      <c r="G98" s="176">
        <f>+'Expense Support'!AB99+'Expense Support'!Z99</f>
        <v>0</v>
      </c>
      <c r="H98" s="159">
        <f t="shared" si="11"/>
        <v>-10080</v>
      </c>
      <c r="I98" s="159">
        <f t="shared" si="8"/>
        <v>0</v>
      </c>
      <c r="J98" s="159">
        <v>-10080</v>
      </c>
      <c r="K98" s="157">
        <f t="shared" si="9"/>
        <v>0</v>
      </c>
    </row>
    <row r="99" spans="1:11">
      <c r="A99" s="132">
        <f t="shared" si="10"/>
        <v>93</v>
      </c>
      <c r="B99" s="67" t="s">
        <v>128</v>
      </c>
      <c r="C99" s="144">
        <f>+'Expense Support'!D100</f>
        <v>0</v>
      </c>
      <c r="D99" s="156">
        <f>+'Expense Support'!W100</f>
        <v>107392</v>
      </c>
      <c r="E99" s="158">
        <f t="shared" si="7"/>
        <v>107392</v>
      </c>
      <c r="F99" s="158"/>
      <c r="G99" s="176">
        <f>+'Expense Support'!AB100+'Expense Support'!Z100</f>
        <v>0</v>
      </c>
      <c r="H99" s="159">
        <f t="shared" si="11"/>
        <v>107392</v>
      </c>
      <c r="I99" s="159">
        <f t="shared" si="8"/>
        <v>0</v>
      </c>
      <c r="J99" s="159">
        <v>107392</v>
      </c>
      <c r="K99" s="157">
        <f t="shared" si="9"/>
        <v>0</v>
      </c>
    </row>
    <row r="100" spans="1:11">
      <c r="A100" s="132">
        <f t="shared" si="10"/>
        <v>94</v>
      </c>
      <c r="B100" s="67" t="s">
        <v>129</v>
      </c>
      <c r="C100" s="144">
        <f>+'Expense Support'!D101</f>
        <v>0</v>
      </c>
      <c r="D100" s="156">
        <f>+'Expense Support'!W101</f>
        <v>-8911</v>
      </c>
      <c r="E100" s="158">
        <f t="shared" si="7"/>
        <v>-8911</v>
      </c>
      <c r="F100" s="158"/>
      <c r="G100" s="176">
        <f>+'Expense Support'!AB101+'Expense Support'!Z101</f>
        <v>0</v>
      </c>
      <c r="H100" s="159">
        <f t="shared" si="11"/>
        <v>-8911</v>
      </c>
      <c r="I100" s="159">
        <f t="shared" si="8"/>
        <v>0</v>
      </c>
      <c r="J100" s="257">
        <v>-8911</v>
      </c>
      <c r="K100" s="258">
        <f t="shared" si="9"/>
        <v>0</v>
      </c>
    </row>
    <row r="101" spans="1:11">
      <c r="A101" s="132">
        <f t="shared" si="10"/>
        <v>95</v>
      </c>
      <c r="B101" s="67" t="s">
        <v>130</v>
      </c>
      <c r="C101" s="144">
        <f>+'Expense Support'!D102</f>
        <v>0</v>
      </c>
      <c r="D101" s="156">
        <f>+'Expense Support'!W102</f>
        <v>-205218</v>
      </c>
      <c r="E101" s="158">
        <f t="shared" si="7"/>
        <v>-205218</v>
      </c>
      <c r="F101" s="158"/>
      <c r="G101" s="176">
        <f>+'Expense Support'!AB102+'Expense Support'!Z102</f>
        <v>0</v>
      </c>
      <c r="H101" s="159">
        <f t="shared" si="11"/>
        <v>-205218</v>
      </c>
      <c r="I101" s="159">
        <f t="shared" si="8"/>
        <v>0</v>
      </c>
      <c r="J101" s="159"/>
      <c r="K101" s="157">
        <f t="shared" si="9"/>
        <v>-205218</v>
      </c>
    </row>
    <row r="102" spans="1:11">
      <c r="A102" s="132">
        <f t="shared" si="10"/>
        <v>96</v>
      </c>
      <c r="B102" s="67" t="s">
        <v>131</v>
      </c>
      <c r="C102" s="144">
        <f>+'Expense Support'!D103</f>
        <v>0</v>
      </c>
      <c r="D102" s="156">
        <f>+'Expense Support'!W103</f>
        <v>-1050000</v>
      </c>
      <c r="E102" s="158">
        <f t="shared" si="7"/>
        <v>-1050000</v>
      </c>
      <c r="F102" s="158"/>
      <c r="G102" s="176">
        <f>+'Expense Support'!AB103+'Expense Support'!Z103</f>
        <v>0</v>
      </c>
      <c r="H102" s="159">
        <f t="shared" si="11"/>
        <v>-1050000</v>
      </c>
      <c r="I102" s="159">
        <f t="shared" si="8"/>
        <v>0</v>
      </c>
      <c r="J102" s="159"/>
      <c r="K102" s="157">
        <f t="shared" si="9"/>
        <v>-1050000</v>
      </c>
    </row>
    <row r="103" spans="1:11">
      <c r="A103" s="132">
        <f t="shared" si="10"/>
        <v>97</v>
      </c>
      <c r="B103" s="67" t="s">
        <v>132</v>
      </c>
      <c r="C103" s="144">
        <f>+'Expense Support'!D104</f>
        <v>0</v>
      </c>
      <c r="D103" s="156">
        <f>+'Expense Support'!W104</f>
        <v>-268988</v>
      </c>
      <c r="E103" s="158">
        <f t="shared" si="7"/>
        <v>-268988</v>
      </c>
      <c r="F103" s="158"/>
      <c r="H103" s="159">
        <f t="shared" si="11"/>
        <v>-268988</v>
      </c>
      <c r="I103" s="159">
        <f t="shared" si="8"/>
        <v>0</v>
      </c>
      <c r="J103" s="159">
        <v>-268988</v>
      </c>
      <c r="K103" s="157">
        <f t="shared" si="9"/>
        <v>0</v>
      </c>
    </row>
    <row r="104" spans="1:11" s="174" customFormat="1" ht="31.5">
      <c r="A104" s="171">
        <f t="shared" si="10"/>
        <v>98</v>
      </c>
      <c r="B104" s="172" t="s">
        <v>133</v>
      </c>
      <c r="C104" s="173">
        <f t="shared" ref="C104:K104" si="12">SUM(C60:C103)</f>
        <v>-31799318.300000001</v>
      </c>
      <c r="D104" s="173">
        <f t="shared" si="12"/>
        <v>7551008.8000000007</v>
      </c>
      <c r="E104" s="173">
        <f t="shared" si="12"/>
        <v>-24248309.5</v>
      </c>
      <c r="F104" s="173">
        <f t="shared" si="12"/>
        <v>387105</v>
      </c>
      <c r="G104" s="173">
        <f>SUM(G60:G102)</f>
        <v>1831964</v>
      </c>
      <c r="H104" s="173">
        <f t="shared" si="12"/>
        <v>-22029240.5</v>
      </c>
      <c r="I104" s="173">
        <f t="shared" si="12"/>
        <v>2219069</v>
      </c>
      <c r="J104" s="173">
        <f t="shared" si="12"/>
        <v>-20757596.621397231</v>
      </c>
      <c r="K104" s="173">
        <f t="shared" si="12"/>
        <v>-1271643.8786027599</v>
      </c>
    </row>
    <row r="105" spans="1:11" ht="31.5">
      <c r="A105" s="133">
        <f>1+A104</f>
        <v>99</v>
      </c>
      <c r="B105" s="134" t="s">
        <v>527</v>
      </c>
      <c r="C105" s="170">
        <f t="shared" ref="C105:K105" si="13">+C104+C59</f>
        <v>22359797.900000002</v>
      </c>
      <c r="D105" s="170">
        <f t="shared" si="13"/>
        <v>3723897.2000000011</v>
      </c>
      <c r="E105" s="170">
        <f t="shared" si="13"/>
        <v>26083695.100000001</v>
      </c>
      <c r="F105" s="170">
        <f t="shared" si="13"/>
        <v>-525562</v>
      </c>
      <c r="G105" s="170">
        <f t="shared" si="13"/>
        <v>-323865</v>
      </c>
      <c r="H105" s="170">
        <f t="shared" si="13"/>
        <v>25234268.100000001</v>
      </c>
      <c r="I105" s="170">
        <f t="shared" si="13"/>
        <v>-849427</v>
      </c>
      <c r="J105" s="261">
        <f t="shared" si="13"/>
        <v>25993903.874896389</v>
      </c>
      <c r="K105" s="261">
        <f t="shared" si="13"/>
        <v>-759635.77489638026</v>
      </c>
    </row>
    <row r="106" spans="1:11">
      <c r="C106" s="68"/>
      <c r="D106" s="69"/>
      <c r="E106" s="69"/>
      <c r="F106" s="68"/>
      <c r="G106" s="68"/>
    </row>
    <row r="107" spans="1:11">
      <c r="C107" s="68"/>
      <c r="D107" s="69"/>
      <c r="E107" s="69"/>
      <c r="F107" s="68"/>
      <c r="G107" s="68"/>
    </row>
    <row r="108" spans="1:11">
      <c r="C108" s="68"/>
      <c r="D108" s="68"/>
      <c r="E108" s="68"/>
      <c r="F108" s="68"/>
      <c r="G108" s="68"/>
    </row>
    <row r="109" spans="1:11">
      <c r="C109" s="68"/>
      <c r="D109" s="68"/>
      <c r="E109" s="68"/>
      <c r="F109" s="68"/>
      <c r="G109" s="68"/>
    </row>
    <row r="110" spans="1:11">
      <c r="C110" s="68"/>
      <c r="D110" s="68"/>
      <c r="E110" s="68"/>
      <c r="F110" s="68"/>
      <c r="G110" s="68"/>
    </row>
  </sheetData>
  <printOptions horizontalCentered="1"/>
  <pageMargins left="1" right="0" top="0.55000000000000004" bottom="0.3" header="0.25" footer="0.2"/>
  <pageSetup scale="55" fitToWidth="2" fitToHeight="3" pageOrder="overThenDown" orientation="landscape" r:id="rId1"/>
  <headerFooter alignWithMargins="0">
    <oddHeader>&amp;RRevised 1-13-2011
PacifiCorp Docket UE-100749
Exhibit No. ___(KHB-6)
Page &amp;P of&amp;N</oddHeader>
  </headerFooter>
  <rowBreaks count="1" manualBreakCount="1">
    <brk id="59" max="16383" man="1"/>
  </rowBreaks>
  <legacyDrawing r:id="rId2"/>
</worksheet>
</file>

<file path=xl/worksheets/sheet7.xml><?xml version="1.0" encoding="utf-8"?>
<worksheet xmlns="http://schemas.openxmlformats.org/spreadsheetml/2006/main" xmlns:r="http://schemas.openxmlformats.org/officeDocument/2006/relationships">
  <dimension ref="A1:X114"/>
  <sheetViews>
    <sheetView zoomScaleNormal="100" workbookViewId="0">
      <pane xSplit="3" ySplit="6" topLeftCell="E74" activePane="bottomRight" state="frozen"/>
      <selection activeCell="D29" sqref="D29"/>
      <selection pane="topRight" activeCell="D29" sqref="D29"/>
      <selection pane="bottomLeft" activeCell="D29" sqref="D29"/>
      <selection pane="bottomRight" activeCell="K79" sqref="K79"/>
    </sheetView>
  </sheetViews>
  <sheetFormatPr defaultRowHeight="15.75"/>
  <cols>
    <col min="1" max="1" width="8.42578125" style="41" customWidth="1"/>
    <col min="2" max="2" width="59.28515625" style="41" customWidth="1"/>
    <col min="3" max="3" width="15.5703125" style="41" customWidth="1"/>
    <col min="4" max="4" width="13.7109375" style="41" customWidth="1"/>
    <col min="5" max="5" width="11.7109375" style="41" customWidth="1"/>
    <col min="6" max="6" width="11.28515625" style="41" customWidth="1"/>
    <col min="7" max="7" width="13.140625" style="41" customWidth="1"/>
    <col min="8" max="8" width="11.42578125" style="41" customWidth="1"/>
    <col min="9" max="9" width="11.140625" style="41" bestFit="1" customWidth="1"/>
    <col min="10" max="10" width="14.42578125" style="41" customWidth="1"/>
    <col min="11" max="11" width="13.140625" style="41" customWidth="1"/>
    <col min="12" max="13" width="11.140625" style="41" customWidth="1"/>
    <col min="14" max="14" width="14.7109375" style="41" customWidth="1"/>
    <col min="15" max="15" width="11.85546875" style="68" customWidth="1"/>
    <col min="16" max="16" width="12.42578125" style="41" customWidth="1"/>
    <col min="17" max="17" width="12.5703125" style="41" customWidth="1"/>
    <col min="18" max="18" width="10.5703125" style="41" customWidth="1"/>
    <col min="19" max="19" width="10.5703125" style="41" hidden="1" customWidth="1"/>
    <col min="20" max="20" width="13.85546875" style="41" customWidth="1"/>
    <col min="21" max="22" width="13.5703125" style="41" customWidth="1"/>
    <col min="23" max="23" width="14.85546875" style="41" customWidth="1"/>
    <col min="24" max="24" width="6" style="41" customWidth="1"/>
    <col min="25" max="25" width="5.28515625" style="41" customWidth="1"/>
    <col min="26" max="26" width="6" style="41" customWidth="1"/>
    <col min="27" max="27" width="13.140625" style="41" customWidth="1"/>
    <col min="28" max="28" width="6" style="41" customWidth="1"/>
    <col min="29" max="29" width="5.28515625" style="41" customWidth="1"/>
    <col min="30" max="30" width="6" style="41" customWidth="1"/>
    <col min="31" max="31" width="5.28515625" style="41" customWidth="1"/>
    <col min="32" max="32" width="6" style="41" customWidth="1"/>
    <col min="33" max="33" width="5.28515625" style="41" customWidth="1"/>
    <col min="34" max="34" width="6" style="41" customWidth="1"/>
    <col min="35" max="35" width="5.28515625" style="41" customWidth="1"/>
    <col min="36" max="36" width="6" style="41" customWidth="1"/>
    <col min="37" max="37" width="5.28515625" style="41" customWidth="1"/>
    <col min="38" max="38" width="6" style="41" customWidth="1"/>
    <col min="39" max="39" width="5.28515625" style="41" customWidth="1"/>
    <col min="40" max="40" width="6" style="41" customWidth="1"/>
    <col min="41" max="41" width="5.28515625" style="41" customWidth="1"/>
    <col min="42" max="42" width="6" style="41" customWidth="1"/>
    <col min="43" max="43" width="5.28515625" style="41" customWidth="1"/>
    <col min="44" max="44" width="6" style="41" customWidth="1"/>
    <col min="45" max="45" width="5.28515625" style="41" customWidth="1"/>
    <col min="46" max="46" width="6" style="41" customWidth="1"/>
    <col min="47" max="47" width="5.28515625" style="41" customWidth="1"/>
    <col min="48" max="48" width="8.140625" style="41" customWidth="1"/>
    <col min="49" max="49" width="6.85546875" style="41" customWidth="1"/>
    <col min="50" max="50" width="6" style="41" customWidth="1"/>
    <col min="51" max="51" width="5.28515625" style="41" customWidth="1"/>
    <col min="52" max="52" width="6" style="41" customWidth="1"/>
    <col min="53" max="53" width="5.28515625" style="41" customWidth="1"/>
    <col min="54" max="54" width="6" style="41" customWidth="1"/>
    <col min="55" max="55" width="5.28515625" style="41" customWidth="1"/>
    <col min="56" max="56" width="6" style="41" customWidth="1"/>
    <col min="57" max="57" width="5.28515625" style="41" customWidth="1"/>
    <col min="58" max="58" width="6" style="41" customWidth="1"/>
    <col min="59" max="59" width="5.28515625" style="41" customWidth="1"/>
    <col min="60" max="60" width="6" style="41" customWidth="1"/>
    <col min="61" max="61" width="5.28515625" style="41" customWidth="1"/>
    <col min="62" max="62" width="6" style="41" customWidth="1"/>
    <col min="63" max="63" width="5.28515625" style="41" customWidth="1"/>
    <col min="64" max="16384" width="9.140625" style="41"/>
  </cols>
  <sheetData>
    <row r="1" spans="1:24">
      <c r="A1" s="40" t="s">
        <v>0</v>
      </c>
      <c r="B1" s="42"/>
      <c r="C1" s="42"/>
      <c r="D1" s="42"/>
      <c r="E1" s="42"/>
      <c r="F1" s="42"/>
      <c r="G1" s="42"/>
      <c r="H1" s="42"/>
      <c r="I1" s="42"/>
      <c r="J1" s="42"/>
      <c r="K1" s="42"/>
      <c r="L1" s="42"/>
      <c r="M1" s="42"/>
      <c r="N1" s="42"/>
      <c r="O1" s="43"/>
      <c r="P1" s="44"/>
      <c r="Q1" s="44"/>
      <c r="R1" s="44"/>
      <c r="S1" s="44"/>
      <c r="T1" s="44"/>
      <c r="U1" s="44"/>
      <c r="V1" s="44"/>
      <c r="W1" s="44"/>
    </row>
    <row r="2" spans="1:24">
      <c r="A2" s="40" t="s">
        <v>12</v>
      </c>
      <c r="B2" s="42"/>
      <c r="C2" s="42"/>
      <c r="D2" s="42"/>
      <c r="E2" s="42"/>
      <c r="F2" s="42"/>
      <c r="G2" s="42"/>
      <c r="H2" s="42"/>
      <c r="I2" s="42"/>
      <c r="J2" s="42"/>
      <c r="K2" s="42"/>
      <c r="L2" s="42"/>
      <c r="M2" s="42"/>
      <c r="N2" s="42"/>
      <c r="O2" s="43"/>
      <c r="P2" s="44"/>
      <c r="Q2" s="44"/>
      <c r="R2" s="44"/>
      <c r="S2" s="44"/>
      <c r="T2" s="44"/>
      <c r="U2" s="44"/>
      <c r="V2" s="44"/>
      <c r="W2" s="44"/>
    </row>
    <row r="3" spans="1:24">
      <c r="A3" s="45" t="s">
        <v>455</v>
      </c>
      <c r="B3" s="44"/>
      <c r="C3" s="42"/>
      <c r="E3" s="44"/>
      <c r="F3" s="44"/>
      <c r="G3" s="44"/>
      <c r="H3" s="44"/>
      <c r="I3" s="44"/>
      <c r="J3" s="44"/>
      <c r="K3" s="44"/>
      <c r="L3" s="44"/>
      <c r="M3" s="44"/>
      <c r="N3" s="44"/>
      <c r="O3" s="46"/>
      <c r="P3" s="42"/>
      <c r="Q3" s="42"/>
      <c r="R3" s="42"/>
      <c r="S3" s="42"/>
      <c r="T3" s="42"/>
      <c r="U3" s="42"/>
      <c r="V3" s="42"/>
      <c r="W3" s="42"/>
    </row>
    <row r="4" spans="1:24">
      <c r="A4" s="44" t="s">
        <v>539</v>
      </c>
      <c r="B4" s="44"/>
      <c r="C4" s="42"/>
      <c r="D4" s="44"/>
      <c r="E4" s="44"/>
      <c r="F4" s="44"/>
      <c r="G4" s="44"/>
      <c r="H4" s="44"/>
      <c r="I4" s="44"/>
      <c r="J4" s="44"/>
      <c r="K4" s="44"/>
      <c r="L4" s="44"/>
      <c r="M4" s="44"/>
      <c r="N4" s="44"/>
      <c r="O4" s="46"/>
      <c r="P4" s="42"/>
      <c r="Q4" s="42"/>
      <c r="R4" s="42"/>
      <c r="S4" s="42"/>
      <c r="T4" s="42"/>
      <c r="U4" s="42"/>
      <c r="V4" s="42"/>
      <c r="W4" s="42"/>
    </row>
    <row r="5" spans="1:24">
      <c r="A5" s="41" t="s">
        <v>13</v>
      </c>
      <c r="B5" s="42"/>
      <c r="C5" s="42"/>
      <c r="D5" s="42"/>
      <c r="E5" s="42"/>
      <c r="F5" s="42"/>
      <c r="G5" s="42"/>
      <c r="H5" s="42"/>
      <c r="I5" s="42"/>
      <c r="J5" s="42"/>
      <c r="K5" s="42"/>
      <c r="L5" s="42"/>
      <c r="M5" s="42"/>
      <c r="N5" s="42"/>
      <c r="O5" s="43"/>
      <c r="P5" s="42"/>
      <c r="Q5" s="42"/>
      <c r="R5" s="42"/>
      <c r="S5" s="42"/>
      <c r="T5" s="42"/>
      <c r="U5" s="42"/>
      <c r="V5" s="42"/>
      <c r="W5" s="42"/>
    </row>
    <row r="6" spans="1:24" s="40" customFormat="1" ht="114.75" customHeight="1">
      <c r="A6" s="49" t="s">
        <v>460</v>
      </c>
      <c r="B6" s="50" t="s">
        <v>19</v>
      </c>
      <c r="C6" s="51" t="s">
        <v>21</v>
      </c>
      <c r="D6" s="52" t="s">
        <v>492</v>
      </c>
      <c r="E6" s="52" t="s">
        <v>583</v>
      </c>
      <c r="F6" s="53" t="s">
        <v>494</v>
      </c>
      <c r="G6" s="53" t="s">
        <v>512</v>
      </c>
      <c r="H6" s="53" t="s">
        <v>511</v>
      </c>
      <c r="I6" s="53" t="s">
        <v>510</v>
      </c>
      <c r="J6" s="53" t="s">
        <v>509</v>
      </c>
      <c r="K6" s="53" t="s">
        <v>508</v>
      </c>
      <c r="L6" s="53" t="s">
        <v>507</v>
      </c>
      <c r="M6" s="53" t="s">
        <v>506</v>
      </c>
      <c r="N6" s="53" t="s">
        <v>131</v>
      </c>
      <c r="O6" s="136" t="s">
        <v>140</v>
      </c>
      <c r="P6" s="53" t="s">
        <v>505</v>
      </c>
      <c r="Q6" s="53" t="s">
        <v>504</v>
      </c>
      <c r="R6" s="53" t="s">
        <v>503</v>
      </c>
      <c r="S6" s="137"/>
      <c r="T6" s="53" t="s">
        <v>498</v>
      </c>
      <c r="U6" s="53" t="s">
        <v>502</v>
      </c>
      <c r="V6" s="53" t="s">
        <v>501</v>
      </c>
      <c r="W6" s="53" t="s">
        <v>459</v>
      </c>
    </row>
    <row r="7" spans="1:24" s="40" customFormat="1" ht="16.5" customHeight="1">
      <c r="A7" s="49"/>
      <c r="B7" s="50"/>
      <c r="C7" s="51"/>
      <c r="D7" s="52" t="s">
        <v>141</v>
      </c>
      <c r="E7" s="52" t="s">
        <v>142</v>
      </c>
      <c r="F7" s="53" t="s">
        <v>491</v>
      </c>
      <c r="G7" s="53" t="s">
        <v>495</v>
      </c>
      <c r="H7" s="53" t="s">
        <v>143</v>
      </c>
      <c r="I7" s="53" t="s">
        <v>144</v>
      </c>
      <c r="J7" s="53" t="s">
        <v>145</v>
      </c>
      <c r="K7" s="53" t="s">
        <v>146</v>
      </c>
      <c r="L7" s="53" t="s">
        <v>147</v>
      </c>
      <c r="M7" s="53" t="s">
        <v>148</v>
      </c>
      <c r="N7" s="53" t="s">
        <v>149</v>
      </c>
      <c r="O7" s="136" t="s">
        <v>150</v>
      </c>
      <c r="P7" s="53" t="s">
        <v>496</v>
      </c>
      <c r="Q7" s="53" t="s">
        <v>449</v>
      </c>
      <c r="R7" s="53" t="s">
        <v>497</v>
      </c>
      <c r="S7" s="137"/>
      <c r="T7" s="53" t="s">
        <v>499</v>
      </c>
      <c r="U7" s="53" t="s">
        <v>500</v>
      </c>
      <c r="V7" s="53"/>
      <c r="W7" s="53"/>
    </row>
    <row r="8" spans="1:24" s="40" customFormat="1" ht="15.75" customHeight="1">
      <c r="A8" s="48" t="s">
        <v>461</v>
      </c>
      <c r="B8" s="135" t="s">
        <v>462</v>
      </c>
      <c r="C8" s="140" t="s">
        <v>463</v>
      </c>
      <c r="D8" s="140" t="s">
        <v>464</v>
      </c>
      <c r="E8" s="140" t="s">
        <v>465</v>
      </c>
      <c r="F8" s="161" t="s">
        <v>466</v>
      </c>
      <c r="G8" s="161" t="s">
        <v>467</v>
      </c>
      <c r="H8" s="161" t="s">
        <v>468</v>
      </c>
      <c r="I8" s="161" t="s">
        <v>469</v>
      </c>
      <c r="J8" s="161" t="s">
        <v>470</v>
      </c>
      <c r="K8" s="161" t="s">
        <v>471</v>
      </c>
      <c r="L8" s="161" t="s">
        <v>472</v>
      </c>
      <c r="M8" s="161" t="s">
        <v>473</v>
      </c>
      <c r="N8" s="161" t="s">
        <v>474</v>
      </c>
      <c r="O8" s="162" t="s">
        <v>475</v>
      </c>
      <c r="P8" s="161" t="s">
        <v>476</v>
      </c>
      <c r="Q8" s="161" t="s">
        <v>477</v>
      </c>
      <c r="R8" s="161" t="s">
        <v>478</v>
      </c>
      <c r="S8" s="163"/>
      <c r="T8" s="161" t="s">
        <v>479</v>
      </c>
      <c r="U8" s="161" t="s">
        <v>480</v>
      </c>
      <c r="V8" s="161" t="s">
        <v>481</v>
      </c>
      <c r="W8" s="161" t="s">
        <v>482</v>
      </c>
      <c r="X8" s="164"/>
    </row>
    <row r="9" spans="1:24" ht="17.25" customHeight="1">
      <c r="A9" s="131">
        <v>1</v>
      </c>
      <c r="B9" s="63" t="s">
        <v>367</v>
      </c>
      <c r="C9" s="149"/>
      <c r="D9" s="150"/>
      <c r="E9" s="150"/>
      <c r="F9" s="151"/>
      <c r="G9" s="152"/>
      <c r="H9" s="153"/>
      <c r="I9" s="153"/>
      <c r="J9" s="153"/>
      <c r="K9" s="153"/>
      <c r="L9" s="153"/>
      <c r="M9" s="153"/>
      <c r="N9" s="153"/>
      <c r="O9" s="154"/>
      <c r="P9" s="152"/>
      <c r="Q9" s="152"/>
      <c r="R9" s="152"/>
      <c r="S9" s="155"/>
      <c r="T9" s="152"/>
      <c r="U9" s="152"/>
      <c r="V9" s="156">
        <f>+U9+T9</f>
        <v>0</v>
      </c>
      <c r="W9" s="152"/>
    </row>
    <row r="10" spans="1:24" ht="13.5" customHeight="1">
      <c r="A10" s="132">
        <f>1+A9</f>
        <v>2</v>
      </c>
      <c r="B10" s="58" t="s">
        <v>52</v>
      </c>
      <c r="C10" s="144">
        <f>+'Expense Support'!D8</f>
        <v>19880</v>
      </c>
      <c r="D10" s="144">
        <f>+'Expense Support'!E8</f>
        <v>0</v>
      </c>
      <c r="E10" s="144">
        <f>+'Expense Support'!F8</f>
        <v>0</v>
      </c>
      <c r="F10" s="144">
        <f>+'Expense Support'!G8</f>
        <v>0</v>
      </c>
      <c r="G10" s="144">
        <f>+'Expense Support'!H8</f>
        <v>0</v>
      </c>
      <c r="H10" s="144">
        <f>+'Expense Support'!I8</f>
        <v>0</v>
      </c>
      <c r="I10" s="144">
        <f>+'Expense Support'!J8</f>
        <v>0</v>
      </c>
      <c r="J10" s="144">
        <f>+'Expense Support'!K8</f>
        <v>0</v>
      </c>
      <c r="K10" s="144">
        <f>+'Expense Support'!L8</f>
        <v>-19880</v>
      </c>
      <c r="L10" s="144">
        <f>+'Expense Support'!M8</f>
        <v>0</v>
      </c>
      <c r="M10" s="144">
        <f>+'Expense Support'!N8</f>
        <v>0</v>
      </c>
      <c r="N10" s="144">
        <f>+'Expense Support'!O8</f>
        <v>0</v>
      </c>
      <c r="O10" s="144">
        <f>+'Expense Support'!P8</f>
        <v>0</v>
      </c>
      <c r="P10" s="144">
        <f>+'Expense Support'!Q8</f>
        <v>0</v>
      </c>
      <c r="Q10" s="144">
        <f>+'Expense Support'!R8</f>
        <v>0</v>
      </c>
      <c r="R10" s="144">
        <f>+'Expense Support'!S8</f>
        <v>0</v>
      </c>
      <c r="S10" s="158"/>
      <c r="T10" s="158">
        <f t="shared" ref="T10:T60" si="0">SUM(D10:R10)</f>
        <v>-19880</v>
      </c>
      <c r="U10" s="144">
        <f>+'Expense Support'!V8</f>
        <v>0</v>
      </c>
      <c r="V10" s="156">
        <f t="shared" ref="V10:V60" si="1">+U10+T10</f>
        <v>-19880</v>
      </c>
      <c r="W10" s="158">
        <f t="shared" ref="W10:W60" si="2">+T10+U10+C10</f>
        <v>0</v>
      </c>
    </row>
    <row r="11" spans="1:24">
      <c r="A11" s="132">
        <f t="shared" ref="A11:A61" si="3">1+A10</f>
        <v>3</v>
      </c>
      <c r="B11" s="58" t="s">
        <v>53</v>
      </c>
      <c r="C11" s="144">
        <f>+'Expense Support'!D9</f>
        <v>52799.6</v>
      </c>
      <c r="D11" s="144">
        <f>+'Expense Support'!E9</f>
        <v>0</v>
      </c>
      <c r="E11" s="144">
        <f>+'Expense Support'!F9</f>
        <v>0</v>
      </c>
      <c r="F11" s="144">
        <f>+'Expense Support'!G9</f>
        <v>0</v>
      </c>
      <c r="G11" s="144">
        <f>+'Expense Support'!H9</f>
        <v>0</v>
      </c>
      <c r="H11" s="144">
        <f>+'Expense Support'!I9</f>
        <v>0</v>
      </c>
      <c r="I11" s="144">
        <f>+'Expense Support'!J9</f>
        <v>0</v>
      </c>
      <c r="J11" s="144">
        <f>+'Expense Support'!K9</f>
        <v>0</v>
      </c>
      <c r="K11" s="144">
        <f>+'Expense Support'!L9</f>
        <v>-52799.6</v>
      </c>
      <c r="L11" s="144">
        <f>+'Expense Support'!M9</f>
        <v>0</v>
      </c>
      <c r="M11" s="144">
        <f>+'Expense Support'!N9</f>
        <v>0</v>
      </c>
      <c r="N11" s="144">
        <f>+'Expense Support'!O9</f>
        <v>0</v>
      </c>
      <c r="O11" s="144">
        <f>+'Expense Support'!P9</f>
        <v>0</v>
      </c>
      <c r="P11" s="144">
        <f>+'Expense Support'!Q9</f>
        <v>0</v>
      </c>
      <c r="Q11" s="144">
        <f>+'Expense Support'!R9</f>
        <v>0</v>
      </c>
      <c r="R11" s="144">
        <f>+'Expense Support'!S9</f>
        <v>0</v>
      </c>
      <c r="S11" s="158"/>
      <c r="T11" s="158">
        <f t="shared" si="0"/>
        <v>-52799.6</v>
      </c>
      <c r="U11" s="144">
        <f>+'Expense Support'!V9</f>
        <v>0</v>
      </c>
      <c r="V11" s="156">
        <f t="shared" si="1"/>
        <v>-52799.6</v>
      </c>
      <c r="W11" s="158">
        <f t="shared" si="2"/>
        <v>0</v>
      </c>
    </row>
    <row r="12" spans="1:24">
      <c r="A12" s="132">
        <f t="shared" si="3"/>
        <v>4</v>
      </c>
      <c r="B12" s="58" t="s">
        <v>54</v>
      </c>
      <c r="C12" s="144">
        <f>+'Expense Support'!D10</f>
        <v>131605.6</v>
      </c>
      <c r="D12" s="144">
        <f>+'Expense Support'!E10</f>
        <v>0</v>
      </c>
      <c r="E12" s="144">
        <f>+'Expense Support'!F10</f>
        <v>0</v>
      </c>
      <c r="F12" s="144">
        <f>+'Expense Support'!G10</f>
        <v>0</v>
      </c>
      <c r="G12" s="144">
        <f>+'Expense Support'!H10</f>
        <v>0</v>
      </c>
      <c r="H12" s="144">
        <f>+'Expense Support'!I10</f>
        <v>0</v>
      </c>
      <c r="I12" s="144">
        <f>+'Expense Support'!J10</f>
        <v>0</v>
      </c>
      <c r="J12" s="144">
        <f>+'Expense Support'!K10</f>
        <v>0</v>
      </c>
      <c r="K12" s="144">
        <f>+'Expense Support'!L10</f>
        <v>-131606</v>
      </c>
      <c r="L12" s="144">
        <f>+'Expense Support'!M10</f>
        <v>0</v>
      </c>
      <c r="M12" s="144">
        <f>+'Expense Support'!N10</f>
        <v>0</v>
      </c>
      <c r="N12" s="144">
        <f>+'Expense Support'!O10</f>
        <v>0</v>
      </c>
      <c r="O12" s="144">
        <f>+'Expense Support'!P10</f>
        <v>0</v>
      </c>
      <c r="P12" s="144">
        <f>+'Expense Support'!Q10</f>
        <v>0</v>
      </c>
      <c r="Q12" s="144">
        <f>+'Expense Support'!R10</f>
        <v>0</v>
      </c>
      <c r="R12" s="144">
        <f>+'Expense Support'!S10</f>
        <v>0</v>
      </c>
      <c r="S12" s="158"/>
      <c r="T12" s="158">
        <f t="shared" si="0"/>
        <v>-131606</v>
      </c>
      <c r="U12" s="144">
        <f>+'Expense Support'!V10</f>
        <v>0</v>
      </c>
      <c r="V12" s="156">
        <f t="shared" si="1"/>
        <v>-131606</v>
      </c>
      <c r="W12" s="158">
        <f t="shared" si="2"/>
        <v>-0.39999999999417923</v>
      </c>
    </row>
    <row r="13" spans="1:24">
      <c r="A13" s="132">
        <f t="shared" si="3"/>
        <v>5</v>
      </c>
      <c r="B13" s="58" t="s">
        <v>55</v>
      </c>
      <c r="C13" s="144">
        <f>+'Expense Support'!D11</f>
        <v>55534</v>
      </c>
      <c r="D13" s="144">
        <f>+'Expense Support'!E11</f>
        <v>0</v>
      </c>
      <c r="E13" s="144">
        <f>+'Expense Support'!F11</f>
        <v>0</v>
      </c>
      <c r="F13" s="144">
        <f>+'Expense Support'!G11</f>
        <v>0</v>
      </c>
      <c r="G13" s="144">
        <f>+'Expense Support'!H11</f>
        <v>0</v>
      </c>
      <c r="H13" s="144">
        <f>+'Expense Support'!I11</f>
        <v>0</v>
      </c>
      <c r="I13" s="144">
        <f>+'Expense Support'!J11</f>
        <v>0</v>
      </c>
      <c r="J13" s="144">
        <f>+'Expense Support'!K11</f>
        <v>0</v>
      </c>
      <c r="K13" s="144">
        <f>+'Expense Support'!L11</f>
        <v>0</v>
      </c>
      <c r="L13" s="144">
        <f>+'Expense Support'!M11</f>
        <v>0</v>
      </c>
      <c r="M13" s="144">
        <f>+'Expense Support'!N11</f>
        <v>0</v>
      </c>
      <c r="N13" s="144">
        <f>+'Expense Support'!O11</f>
        <v>0</v>
      </c>
      <c r="O13" s="144">
        <f>+'Expense Support'!P11</f>
        <v>0</v>
      </c>
      <c r="P13" s="144">
        <f>+'Expense Support'!Q11</f>
        <v>0</v>
      </c>
      <c r="Q13" s="144">
        <f>+'Expense Support'!R11</f>
        <v>0</v>
      </c>
      <c r="R13" s="144">
        <f>+'Expense Support'!S11</f>
        <v>0</v>
      </c>
      <c r="S13" s="158"/>
      <c r="T13" s="158">
        <f t="shared" si="0"/>
        <v>0</v>
      </c>
      <c r="U13" s="144">
        <f>+'Expense Support'!V11</f>
        <v>-4318</v>
      </c>
      <c r="V13" s="156">
        <f t="shared" si="1"/>
        <v>-4318</v>
      </c>
      <c r="W13" s="158">
        <f t="shared" si="2"/>
        <v>51216</v>
      </c>
    </row>
    <row r="14" spans="1:24">
      <c r="A14" s="132">
        <f t="shared" si="3"/>
        <v>6</v>
      </c>
      <c r="B14" s="58" t="s">
        <v>66</v>
      </c>
      <c r="C14" s="144">
        <f>+'Expense Support'!D12</f>
        <v>1624</v>
      </c>
      <c r="D14" s="144">
        <f>+'Expense Support'!E12</f>
        <v>0</v>
      </c>
      <c r="E14" s="144">
        <f>+'Expense Support'!F12</f>
        <v>0</v>
      </c>
      <c r="F14" s="144">
        <f>+'Expense Support'!G12</f>
        <v>0</v>
      </c>
      <c r="G14" s="144">
        <f>+'Expense Support'!H12</f>
        <v>0</v>
      </c>
      <c r="H14" s="144">
        <f>+'Expense Support'!I12</f>
        <v>0</v>
      </c>
      <c r="I14" s="144">
        <f>+'Expense Support'!J12</f>
        <v>0</v>
      </c>
      <c r="J14" s="144">
        <f>+'Expense Support'!K12</f>
        <v>0</v>
      </c>
      <c r="K14" s="144">
        <f>+'Expense Support'!L12</f>
        <v>0</v>
      </c>
      <c r="L14" s="144">
        <f>+'Expense Support'!M12</f>
        <v>0</v>
      </c>
      <c r="M14" s="144">
        <f>+'Expense Support'!N12</f>
        <v>0</v>
      </c>
      <c r="N14" s="144">
        <f>+'Expense Support'!O12</f>
        <v>0</v>
      </c>
      <c r="O14" s="144">
        <f>+'Expense Support'!P12</f>
        <v>0</v>
      </c>
      <c r="P14" s="144">
        <f>+'Expense Support'!Q12</f>
        <v>0</v>
      </c>
      <c r="Q14" s="144">
        <f>+'Expense Support'!R12</f>
        <v>0</v>
      </c>
      <c r="R14" s="144">
        <f>+'Expense Support'!S12</f>
        <v>0</v>
      </c>
      <c r="S14" s="158"/>
      <c r="T14" s="158">
        <f t="shared" si="0"/>
        <v>0</v>
      </c>
      <c r="U14" s="144">
        <f>+'Expense Support'!V12</f>
        <v>-126</v>
      </c>
      <c r="V14" s="156">
        <f t="shared" si="1"/>
        <v>-126</v>
      </c>
      <c r="W14" s="158">
        <f t="shared" si="2"/>
        <v>1498</v>
      </c>
    </row>
    <row r="15" spans="1:24">
      <c r="A15" s="132">
        <f t="shared" si="3"/>
        <v>7</v>
      </c>
      <c r="B15" s="58" t="s">
        <v>68</v>
      </c>
      <c r="C15" s="144">
        <f>+'Expense Support'!D13</f>
        <v>4519</v>
      </c>
      <c r="D15" s="144">
        <f>+'Expense Support'!E13</f>
        <v>0</v>
      </c>
      <c r="E15" s="144">
        <f>+'Expense Support'!F13</f>
        <v>0</v>
      </c>
      <c r="F15" s="144">
        <f>+'Expense Support'!G13</f>
        <v>0</v>
      </c>
      <c r="G15" s="144">
        <f>+'Expense Support'!H13</f>
        <v>0</v>
      </c>
      <c r="H15" s="144">
        <f>+'Expense Support'!I13</f>
        <v>0</v>
      </c>
      <c r="I15" s="144">
        <f>+'Expense Support'!J13</f>
        <v>0</v>
      </c>
      <c r="J15" s="144">
        <f>+'Expense Support'!K13</f>
        <v>0</v>
      </c>
      <c r="K15" s="144">
        <f>+'Expense Support'!L13</f>
        <v>0</v>
      </c>
      <c r="L15" s="144">
        <f>+'Expense Support'!M13</f>
        <v>0</v>
      </c>
      <c r="M15" s="144">
        <f>+'Expense Support'!N13</f>
        <v>0</v>
      </c>
      <c r="N15" s="144">
        <f>+'Expense Support'!O13</f>
        <v>0</v>
      </c>
      <c r="O15" s="144">
        <f>+'Expense Support'!P13</f>
        <v>0</v>
      </c>
      <c r="P15" s="144">
        <f>+'Expense Support'!Q13</f>
        <v>0</v>
      </c>
      <c r="Q15" s="144">
        <f>+'Expense Support'!R13</f>
        <v>0</v>
      </c>
      <c r="R15" s="144">
        <f>+'Expense Support'!S13</f>
        <v>0</v>
      </c>
      <c r="S15" s="158"/>
      <c r="T15" s="158">
        <f t="shared" si="0"/>
        <v>0</v>
      </c>
      <c r="U15" s="144">
        <f>+'Expense Support'!V13</f>
        <v>-351</v>
      </c>
      <c r="V15" s="156">
        <f t="shared" si="1"/>
        <v>-351</v>
      </c>
      <c r="W15" s="158">
        <f t="shared" si="2"/>
        <v>4168</v>
      </c>
    </row>
    <row r="16" spans="1:24">
      <c r="A16" s="132">
        <f t="shared" si="3"/>
        <v>8</v>
      </c>
      <c r="B16" s="58" t="s">
        <v>69</v>
      </c>
      <c r="C16" s="144">
        <f>+'Expense Support'!D14</f>
        <v>63273</v>
      </c>
      <c r="D16" s="144">
        <f>+'Expense Support'!E14</f>
        <v>0</v>
      </c>
      <c r="E16" s="144">
        <f>+'Expense Support'!F14</f>
        <v>0</v>
      </c>
      <c r="F16" s="144">
        <f>+'Expense Support'!G14</f>
        <v>0</v>
      </c>
      <c r="G16" s="144">
        <f>+'Expense Support'!H14</f>
        <v>0</v>
      </c>
      <c r="H16" s="144">
        <f>+'Expense Support'!I14</f>
        <v>0</v>
      </c>
      <c r="I16" s="144">
        <f>+'Expense Support'!J14</f>
        <v>0</v>
      </c>
      <c r="J16" s="144">
        <f>+'Expense Support'!K14</f>
        <v>0</v>
      </c>
      <c r="K16" s="144">
        <f>+'Expense Support'!L14</f>
        <v>0</v>
      </c>
      <c r="L16" s="144">
        <f>+'Expense Support'!M14</f>
        <v>0</v>
      </c>
      <c r="M16" s="144">
        <f>+'Expense Support'!N14</f>
        <v>0</v>
      </c>
      <c r="N16" s="144">
        <f>+'Expense Support'!O14</f>
        <v>0</v>
      </c>
      <c r="O16" s="144">
        <f>+'Expense Support'!P14</f>
        <v>0</v>
      </c>
      <c r="P16" s="144">
        <f>+'Expense Support'!Q14</f>
        <v>0</v>
      </c>
      <c r="Q16" s="144">
        <f>+'Expense Support'!R14</f>
        <v>0</v>
      </c>
      <c r="R16" s="144">
        <f>+'Expense Support'!S14</f>
        <v>0</v>
      </c>
      <c r="S16" s="158"/>
      <c r="T16" s="158">
        <f t="shared" si="0"/>
        <v>0</v>
      </c>
      <c r="U16" s="144">
        <f>+'Expense Support'!V14</f>
        <v>-4920</v>
      </c>
      <c r="V16" s="156">
        <f t="shared" si="1"/>
        <v>-4920</v>
      </c>
      <c r="W16" s="158">
        <f t="shared" si="2"/>
        <v>58353</v>
      </c>
    </row>
    <row r="17" spans="1:23">
      <c r="A17" s="132">
        <f t="shared" si="3"/>
        <v>9</v>
      </c>
      <c r="B17" s="58" t="s">
        <v>73</v>
      </c>
      <c r="C17" s="144">
        <f>+'Expense Support'!D15</f>
        <v>23445</v>
      </c>
      <c r="D17" s="144">
        <f>+'Expense Support'!E15</f>
        <v>0</v>
      </c>
      <c r="E17" s="144">
        <f>+'Expense Support'!F15</f>
        <v>0</v>
      </c>
      <c r="F17" s="144">
        <f>+'Expense Support'!G15</f>
        <v>0</v>
      </c>
      <c r="G17" s="144">
        <f>+'Expense Support'!H15</f>
        <v>0</v>
      </c>
      <c r="H17" s="144">
        <f>+'Expense Support'!I15</f>
        <v>0</v>
      </c>
      <c r="I17" s="144">
        <f>+'Expense Support'!J15</f>
        <v>0</v>
      </c>
      <c r="J17" s="144">
        <f>+'Expense Support'!K15</f>
        <v>0</v>
      </c>
      <c r="K17" s="144">
        <f>+'Expense Support'!L15</f>
        <v>0</v>
      </c>
      <c r="L17" s="144">
        <f>+'Expense Support'!M15</f>
        <v>0</v>
      </c>
      <c r="M17" s="144">
        <f>+'Expense Support'!N15</f>
        <v>0</v>
      </c>
      <c r="N17" s="144">
        <f>+'Expense Support'!O15</f>
        <v>0</v>
      </c>
      <c r="O17" s="144">
        <f>+'Expense Support'!P15</f>
        <v>0</v>
      </c>
      <c r="P17" s="144">
        <f>+'Expense Support'!Q15</f>
        <v>0</v>
      </c>
      <c r="Q17" s="144">
        <f>+'Expense Support'!R15</f>
        <v>0</v>
      </c>
      <c r="R17" s="144">
        <f>+'Expense Support'!S15</f>
        <v>0</v>
      </c>
      <c r="S17" s="158"/>
      <c r="T17" s="158">
        <f t="shared" si="0"/>
        <v>0</v>
      </c>
      <c r="U17" s="144">
        <f>+'Expense Support'!V15</f>
        <v>-1823</v>
      </c>
      <c r="V17" s="156">
        <f t="shared" si="1"/>
        <v>-1823</v>
      </c>
      <c r="W17" s="158">
        <f t="shared" si="2"/>
        <v>21622</v>
      </c>
    </row>
    <row r="18" spans="1:23">
      <c r="A18" s="132">
        <f t="shared" si="3"/>
        <v>10</v>
      </c>
      <c r="B18" s="58" t="s">
        <v>74</v>
      </c>
      <c r="C18" s="144">
        <f>+'Expense Support'!D16</f>
        <v>51898</v>
      </c>
      <c r="D18" s="144">
        <f>+'Expense Support'!E16</f>
        <v>0</v>
      </c>
      <c r="E18" s="144">
        <f>+'Expense Support'!F16</f>
        <v>0</v>
      </c>
      <c r="F18" s="144">
        <f>+'Expense Support'!G16</f>
        <v>0</v>
      </c>
      <c r="G18" s="144">
        <f>+'Expense Support'!H16</f>
        <v>0</v>
      </c>
      <c r="H18" s="144">
        <f>+'Expense Support'!I16</f>
        <v>0</v>
      </c>
      <c r="I18" s="144">
        <f>+'Expense Support'!J16</f>
        <v>0</v>
      </c>
      <c r="J18" s="144">
        <f>+'Expense Support'!K16</f>
        <v>0</v>
      </c>
      <c r="K18" s="144">
        <f>+'Expense Support'!L16</f>
        <v>0</v>
      </c>
      <c r="L18" s="144">
        <f>+'Expense Support'!M16</f>
        <v>0</v>
      </c>
      <c r="M18" s="144">
        <f>+'Expense Support'!N16</f>
        <v>0</v>
      </c>
      <c r="N18" s="144">
        <f>+'Expense Support'!O16</f>
        <v>0</v>
      </c>
      <c r="O18" s="144">
        <f>+'Expense Support'!P16</f>
        <v>0</v>
      </c>
      <c r="P18" s="144">
        <f>+'Expense Support'!Q16</f>
        <v>0</v>
      </c>
      <c r="Q18" s="144">
        <f>+'Expense Support'!R16</f>
        <v>0</v>
      </c>
      <c r="R18" s="144">
        <f>+'Expense Support'!S16</f>
        <v>0</v>
      </c>
      <c r="S18" s="158"/>
      <c r="T18" s="158">
        <f t="shared" si="0"/>
        <v>0</v>
      </c>
      <c r="U18" s="144">
        <f>+'Expense Support'!V16</f>
        <v>-4035</v>
      </c>
      <c r="V18" s="156">
        <f t="shared" si="1"/>
        <v>-4035</v>
      </c>
      <c r="W18" s="158">
        <f t="shared" si="2"/>
        <v>47863</v>
      </c>
    </row>
    <row r="19" spans="1:23">
      <c r="A19" s="132">
        <f t="shared" si="3"/>
        <v>11</v>
      </c>
      <c r="B19" s="58" t="s">
        <v>77</v>
      </c>
      <c r="C19" s="144">
        <f>+'Expense Support'!D17</f>
        <v>14971</v>
      </c>
      <c r="D19" s="144">
        <f>+'Expense Support'!E17</f>
        <v>0</v>
      </c>
      <c r="E19" s="144">
        <f>+'Expense Support'!F17</f>
        <v>0</v>
      </c>
      <c r="F19" s="144">
        <f>+'Expense Support'!G17</f>
        <v>0</v>
      </c>
      <c r="G19" s="144">
        <f>+'Expense Support'!H17</f>
        <v>0</v>
      </c>
      <c r="H19" s="144">
        <f>+'Expense Support'!I17</f>
        <v>0</v>
      </c>
      <c r="I19" s="144">
        <f>+'Expense Support'!J17</f>
        <v>0</v>
      </c>
      <c r="J19" s="144">
        <f>+'Expense Support'!K17</f>
        <v>0</v>
      </c>
      <c r="K19" s="144">
        <f>+'Expense Support'!L17</f>
        <v>0</v>
      </c>
      <c r="L19" s="144">
        <f>+'Expense Support'!M17</f>
        <v>0</v>
      </c>
      <c r="M19" s="144">
        <f>+'Expense Support'!N17</f>
        <v>0</v>
      </c>
      <c r="N19" s="144">
        <f>+'Expense Support'!O17</f>
        <v>0</v>
      </c>
      <c r="O19" s="144">
        <f>+'Expense Support'!P17</f>
        <v>0</v>
      </c>
      <c r="P19" s="144">
        <f>+'Expense Support'!Q17</f>
        <v>0</v>
      </c>
      <c r="Q19" s="144">
        <f>+'Expense Support'!R17</f>
        <v>0</v>
      </c>
      <c r="R19" s="144">
        <f>+'Expense Support'!S17</f>
        <v>0</v>
      </c>
      <c r="S19" s="158"/>
      <c r="T19" s="158">
        <f t="shared" si="0"/>
        <v>0</v>
      </c>
      <c r="U19" s="144">
        <f>+'Expense Support'!V17</f>
        <v>-1164</v>
      </c>
      <c r="V19" s="156">
        <f t="shared" si="1"/>
        <v>-1164</v>
      </c>
      <c r="W19" s="158">
        <f t="shared" si="2"/>
        <v>13807</v>
      </c>
    </row>
    <row r="20" spans="1:23">
      <c r="A20" s="132">
        <f t="shared" si="3"/>
        <v>12</v>
      </c>
      <c r="B20" s="58" t="s">
        <v>86</v>
      </c>
      <c r="C20" s="144">
        <f>+'Expense Support'!D18</f>
        <v>46102</v>
      </c>
      <c r="D20" s="144">
        <f>+'Expense Support'!E18</f>
        <v>0</v>
      </c>
      <c r="E20" s="144">
        <f>+'Expense Support'!F18</f>
        <v>0</v>
      </c>
      <c r="F20" s="144">
        <f>+'Expense Support'!G18</f>
        <v>0</v>
      </c>
      <c r="G20" s="144">
        <f>+'Expense Support'!H18</f>
        <v>0</v>
      </c>
      <c r="H20" s="144">
        <f>+'Expense Support'!I18</f>
        <v>0</v>
      </c>
      <c r="I20" s="144">
        <f>+'Expense Support'!J18</f>
        <v>0</v>
      </c>
      <c r="J20" s="144">
        <f>+'Expense Support'!K18</f>
        <v>0</v>
      </c>
      <c r="K20" s="144">
        <f>+'Expense Support'!L18</f>
        <v>0</v>
      </c>
      <c r="L20" s="144">
        <f>+'Expense Support'!M18</f>
        <v>0</v>
      </c>
      <c r="M20" s="144">
        <f>+'Expense Support'!N18</f>
        <v>0</v>
      </c>
      <c r="N20" s="144">
        <f>+'Expense Support'!O18</f>
        <v>0</v>
      </c>
      <c r="O20" s="144">
        <f>+'Expense Support'!P18</f>
        <v>0</v>
      </c>
      <c r="P20" s="144">
        <f>+'Expense Support'!Q18</f>
        <v>0</v>
      </c>
      <c r="Q20" s="144">
        <f>+'Expense Support'!R18</f>
        <v>0</v>
      </c>
      <c r="R20" s="144">
        <f>+'Expense Support'!S18</f>
        <v>0</v>
      </c>
      <c r="S20" s="158"/>
      <c r="T20" s="158">
        <f t="shared" si="0"/>
        <v>0</v>
      </c>
      <c r="U20" s="144">
        <f>+'Expense Support'!V18</f>
        <v>-3585</v>
      </c>
      <c r="V20" s="156">
        <f t="shared" si="1"/>
        <v>-3585</v>
      </c>
      <c r="W20" s="158">
        <f t="shared" si="2"/>
        <v>42517</v>
      </c>
    </row>
    <row r="21" spans="1:23">
      <c r="A21" s="132">
        <f t="shared" si="3"/>
        <v>13</v>
      </c>
      <c r="B21" s="58" t="s">
        <v>87</v>
      </c>
      <c r="C21" s="144">
        <f>+'Expense Support'!D19</f>
        <v>4778</v>
      </c>
      <c r="D21" s="144">
        <f>+'Expense Support'!E19</f>
        <v>0</v>
      </c>
      <c r="E21" s="144">
        <f>+'Expense Support'!F19</f>
        <v>0</v>
      </c>
      <c r="F21" s="144">
        <f>+'Expense Support'!G19</f>
        <v>0</v>
      </c>
      <c r="G21" s="144">
        <f>+'Expense Support'!H19</f>
        <v>0</v>
      </c>
      <c r="H21" s="144">
        <f>+'Expense Support'!I19</f>
        <v>0</v>
      </c>
      <c r="I21" s="144">
        <f>+'Expense Support'!J19</f>
        <v>0</v>
      </c>
      <c r="J21" s="144">
        <f>+'Expense Support'!K19</f>
        <v>0</v>
      </c>
      <c r="K21" s="144">
        <f>+'Expense Support'!L19</f>
        <v>0</v>
      </c>
      <c r="L21" s="144">
        <f>+'Expense Support'!M19</f>
        <v>0</v>
      </c>
      <c r="M21" s="144">
        <f>+'Expense Support'!N19</f>
        <v>0</v>
      </c>
      <c r="N21" s="144">
        <f>+'Expense Support'!O19</f>
        <v>0</v>
      </c>
      <c r="O21" s="144">
        <f>+'Expense Support'!P19</f>
        <v>0</v>
      </c>
      <c r="P21" s="144">
        <f>+'Expense Support'!Q19</f>
        <v>0</v>
      </c>
      <c r="Q21" s="144">
        <f>+'Expense Support'!R19</f>
        <v>0</v>
      </c>
      <c r="R21" s="144">
        <f>+'Expense Support'!S19</f>
        <v>0</v>
      </c>
      <c r="S21" s="158"/>
      <c r="T21" s="158">
        <f t="shared" si="0"/>
        <v>0</v>
      </c>
      <c r="U21" s="144">
        <f>+'Expense Support'!V19</f>
        <v>-372</v>
      </c>
      <c r="V21" s="156">
        <f t="shared" si="1"/>
        <v>-372</v>
      </c>
      <c r="W21" s="158">
        <f t="shared" si="2"/>
        <v>4406</v>
      </c>
    </row>
    <row r="22" spans="1:23">
      <c r="A22" s="132">
        <f t="shared" si="3"/>
        <v>14</v>
      </c>
      <c r="B22" s="58" t="s">
        <v>89</v>
      </c>
      <c r="C22" s="144">
        <f>+'Expense Support'!D20</f>
        <v>14024</v>
      </c>
      <c r="D22" s="144">
        <f>+'Expense Support'!E20</f>
        <v>0</v>
      </c>
      <c r="E22" s="144">
        <f>+'Expense Support'!F20</f>
        <v>0</v>
      </c>
      <c r="F22" s="144">
        <f>+'Expense Support'!G20</f>
        <v>0</v>
      </c>
      <c r="G22" s="144">
        <f>+'Expense Support'!H20</f>
        <v>0</v>
      </c>
      <c r="H22" s="144">
        <f>+'Expense Support'!I20</f>
        <v>0</v>
      </c>
      <c r="I22" s="144">
        <f>+'Expense Support'!J20</f>
        <v>0</v>
      </c>
      <c r="J22" s="144">
        <f>+'Expense Support'!K20</f>
        <v>0</v>
      </c>
      <c r="K22" s="144">
        <f>+'Expense Support'!L20</f>
        <v>0</v>
      </c>
      <c r="L22" s="144">
        <f>+'Expense Support'!M20</f>
        <v>0</v>
      </c>
      <c r="M22" s="144">
        <f>+'Expense Support'!N20</f>
        <v>0</v>
      </c>
      <c r="N22" s="144">
        <f>+'Expense Support'!O20</f>
        <v>0</v>
      </c>
      <c r="O22" s="144">
        <f>+'Expense Support'!P20</f>
        <v>0</v>
      </c>
      <c r="P22" s="144">
        <f>+'Expense Support'!Q20</f>
        <v>0</v>
      </c>
      <c r="Q22" s="144">
        <f>+'Expense Support'!R20</f>
        <v>0</v>
      </c>
      <c r="R22" s="144">
        <f>+'Expense Support'!S20</f>
        <v>0</v>
      </c>
      <c r="S22" s="158"/>
      <c r="T22" s="158">
        <f t="shared" si="0"/>
        <v>0</v>
      </c>
      <c r="U22" s="144">
        <f>+'Expense Support'!V20</f>
        <v>-1090</v>
      </c>
      <c r="V22" s="156">
        <f t="shared" si="1"/>
        <v>-1090</v>
      </c>
      <c r="W22" s="158">
        <f t="shared" si="2"/>
        <v>12934</v>
      </c>
    </row>
    <row r="23" spans="1:23">
      <c r="A23" s="132">
        <f t="shared" si="3"/>
        <v>15</v>
      </c>
      <c r="B23" s="58" t="s">
        <v>90</v>
      </c>
      <c r="C23" s="144">
        <f>+'Expense Support'!D21</f>
        <v>6552</v>
      </c>
      <c r="D23" s="144">
        <f>+'Expense Support'!E21</f>
        <v>0</v>
      </c>
      <c r="E23" s="144">
        <f>+'Expense Support'!F21</f>
        <v>0</v>
      </c>
      <c r="F23" s="144">
        <f>+'Expense Support'!G21</f>
        <v>0</v>
      </c>
      <c r="G23" s="144">
        <f>+'Expense Support'!H21</f>
        <v>0</v>
      </c>
      <c r="H23" s="144">
        <f>+'Expense Support'!I21</f>
        <v>0</v>
      </c>
      <c r="I23" s="144">
        <f>+'Expense Support'!J21</f>
        <v>0</v>
      </c>
      <c r="J23" s="144">
        <f>+'Expense Support'!K21</f>
        <v>0</v>
      </c>
      <c r="K23" s="144">
        <f>+'Expense Support'!L21</f>
        <v>0</v>
      </c>
      <c r="L23" s="144">
        <f>+'Expense Support'!M21</f>
        <v>0</v>
      </c>
      <c r="M23" s="144">
        <f>+'Expense Support'!N21</f>
        <v>0</v>
      </c>
      <c r="N23" s="144">
        <f>+'Expense Support'!O21</f>
        <v>0</v>
      </c>
      <c r="O23" s="144">
        <f>+'Expense Support'!P21</f>
        <v>0</v>
      </c>
      <c r="P23" s="144">
        <f>+'Expense Support'!Q21</f>
        <v>0</v>
      </c>
      <c r="Q23" s="144">
        <f>+'Expense Support'!R21</f>
        <v>0</v>
      </c>
      <c r="R23" s="144">
        <f>+'Expense Support'!S21</f>
        <v>0</v>
      </c>
      <c r="S23" s="158"/>
      <c r="T23" s="158">
        <f t="shared" si="0"/>
        <v>0</v>
      </c>
      <c r="U23" s="144">
        <f>+'Expense Support'!V21</f>
        <v>-509</v>
      </c>
      <c r="V23" s="156">
        <f t="shared" si="1"/>
        <v>-509</v>
      </c>
      <c r="W23" s="158">
        <f t="shared" si="2"/>
        <v>6043</v>
      </c>
    </row>
    <row r="24" spans="1:23">
      <c r="A24" s="132">
        <f t="shared" si="3"/>
        <v>16</v>
      </c>
      <c r="B24" s="58" t="s">
        <v>91</v>
      </c>
      <c r="C24" s="144">
        <f>+'Expense Support'!D22</f>
        <v>23614</v>
      </c>
      <c r="D24" s="144">
        <f>+'Expense Support'!E22</f>
        <v>0</v>
      </c>
      <c r="E24" s="144">
        <f>+'Expense Support'!F22</f>
        <v>0</v>
      </c>
      <c r="F24" s="144">
        <f>+'Expense Support'!G22</f>
        <v>0</v>
      </c>
      <c r="G24" s="144">
        <f>+'Expense Support'!H22</f>
        <v>0</v>
      </c>
      <c r="H24" s="144">
        <f>+'Expense Support'!I22</f>
        <v>-23614</v>
      </c>
      <c r="I24" s="144">
        <f>+'Expense Support'!J22</f>
        <v>0</v>
      </c>
      <c r="J24" s="144">
        <f>+'Expense Support'!K22</f>
        <v>0</v>
      </c>
      <c r="K24" s="144">
        <f>+'Expense Support'!L22</f>
        <v>0</v>
      </c>
      <c r="L24" s="144">
        <f>+'Expense Support'!M22</f>
        <v>0</v>
      </c>
      <c r="M24" s="144">
        <f>+'Expense Support'!N22</f>
        <v>0</v>
      </c>
      <c r="N24" s="144">
        <f>+'Expense Support'!O22</f>
        <v>0</v>
      </c>
      <c r="O24" s="144">
        <f>+'Expense Support'!P22</f>
        <v>0</v>
      </c>
      <c r="P24" s="144">
        <f>+'Expense Support'!Q22</f>
        <v>0</v>
      </c>
      <c r="Q24" s="144">
        <f>+'Expense Support'!R22</f>
        <v>0</v>
      </c>
      <c r="R24" s="144">
        <f>+'Expense Support'!S22</f>
        <v>0</v>
      </c>
      <c r="S24" s="158"/>
      <c r="T24" s="158">
        <f t="shared" si="0"/>
        <v>-23614</v>
      </c>
      <c r="U24" s="144">
        <f>+'Expense Support'!V22</f>
        <v>0</v>
      </c>
      <c r="V24" s="156">
        <f t="shared" si="1"/>
        <v>-23614</v>
      </c>
      <c r="W24" s="158">
        <f t="shared" si="2"/>
        <v>0</v>
      </c>
    </row>
    <row r="25" spans="1:23">
      <c r="A25" s="132">
        <f t="shared" si="3"/>
        <v>17</v>
      </c>
      <c r="B25" s="58" t="s">
        <v>93</v>
      </c>
      <c r="C25" s="144">
        <f>+'Expense Support'!D23</f>
        <v>28501</v>
      </c>
      <c r="D25" s="144">
        <f>+'Expense Support'!E23</f>
        <v>0</v>
      </c>
      <c r="E25" s="144">
        <f>+'Expense Support'!F23</f>
        <v>0</v>
      </c>
      <c r="F25" s="144">
        <f>+'Expense Support'!G23</f>
        <v>0</v>
      </c>
      <c r="G25" s="144">
        <f>+'Expense Support'!H23</f>
        <v>0</v>
      </c>
      <c r="H25" s="144">
        <f>+'Expense Support'!I23</f>
        <v>0</v>
      </c>
      <c r="I25" s="144">
        <f>+'Expense Support'!J23</f>
        <v>0</v>
      </c>
      <c r="J25" s="144">
        <f>+'Expense Support'!K23</f>
        <v>0</v>
      </c>
      <c r="K25" s="144">
        <f>+'Expense Support'!L23</f>
        <v>0</v>
      </c>
      <c r="L25" s="144">
        <f>+'Expense Support'!M23</f>
        <v>0</v>
      </c>
      <c r="M25" s="144">
        <f>+'Expense Support'!N23</f>
        <v>0</v>
      </c>
      <c r="N25" s="144">
        <f>+'Expense Support'!O23</f>
        <v>0</v>
      </c>
      <c r="O25" s="144">
        <f>+'Expense Support'!P23</f>
        <v>0</v>
      </c>
      <c r="P25" s="144">
        <f>+'Expense Support'!Q23</f>
        <v>0</v>
      </c>
      <c r="Q25" s="144">
        <f>+'Expense Support'!R23</f>
        <v>0</v>
      </c>
      <c r="R25" s="144">
        <f>+'Expense Support'!S23</f>
        <v>0</v>
      </c>
      <c r="S25" s="158"/>
      <c r="T25" s="158">
        <f t="shared" si="0"/>
        <v>0</v>
      </c>
      <c r="U25" s="144">
        <f>+'Expense Support'!V23</f>
        <v>-2216</v>
      </c>
      <c r="V25" s="156">
        <f t="shared" si="1"/>
        <v>-2216</v>
      </c>
      <c r="W25" s="158">
        <f t="shared" si="2"/>
        <v>26285</v>
      </c>
    </row>
    <row r="26" spans="1:23">
      <c r="A26" s="132">
        <f t="shared" si="3"/>
        <v>18</v>
      </c>
      <c r="B26" s="58" t="s">
        <v>94</v>
      </c>
      <c r="C26" s="144">
        <f>+'Expense Support'!D24</f>
        <v>7195</v>
      </c>
      <c r="D26" s="144">
        <f>+'Expense Support'!E24</f>
        <v>0</v>
      </c>
      <c r="E26" s="144">
        <f>+'Expense Support'!F24</f>
        <v>0</v>
      </c>
      <c r="F26" s="144">
        <f>+'Expense Support'!G24</f>
        <v>0</v>
      </c>
      <c r="G26" s="144">
        <f>+'Expense Support'!H24</f>
        <v>0</v>
      </c>
      <c r="H26" s="144">
        <f>+'Expense Support'!I24</f>
        <v>0</v>
      </c>
      <c r="I26" s="144">
        <f>+'Expense Support'!J24</f>
        <v>0</v>
      </c>
      <c r="J26" s="144">
        <f>+'Expense Support'!K24</f>
        <v>0</v>
      </c>
      <c r="K26" s="144">
        <f>+'Expense Support'!L24</f>
        <v>0</v>
      </c>
      <c r="L26" s="144">
        <f>+'Expense Support'!M24</f>
        <v>0</v>
      </c>
      <c r="M26" s="144">
        <f>+'Expense Support'!N24</f>
        <v>0</v>
      </c>
      <c r="N26" s="144">
        <f>+'Expense Support'!O24</f>
        <v>0</v>
      </c>
      <c r="O26" s="144">
        <f>+'Expense Support'!P24</f>
        <v>0</v>
      </c>
      <c r="P26" s="144">
        <f>+'Expense Support'!Q24</f>
        <v>0</v>
      </c>
      <c r="Q26" s="144">
        <f>+'Expense Support'!R24</f>
        <v>0</v>
      </c>
      <c r="R26" s="144">
        <f>+'Expense Support'!S24</f>
        <v>0</v>
      </c>
      <c r="S26" s="158"/>
      <c r="T26" s="158">
        <f t="shared" si="0"/>
        <v>0</v>
      </c>
      <c r="U26" s="144">
        <f>+'Expense Support'!V24</f>
        <v>-559</v>
      </c>
      <c r="V26" s="156">
        <f t="shared" si="1"/>
        <v>-559</v>
      </c>
      <c r="W26" s="158">
        <f t="shared" si="2"/>
        <v>6636</v>
      </c>
    </row>
    <row r="27" spans="1:23">
      <c r="A27" s="132">
        <f t="shared" si="3"/>
        <v>19</v>
      </c>
      <c r="B27" s="58" t="s">
        <v>81</v>
      </c>
      <c r="C27" s="144">
        <f>+'Expense Support'!D25</f>
        <v>1643</v>
      </c>
      <c r="D27" s="144">
        <f>+'Expense Support'!E25</f>
        <v>0</v>
      </c>
      <c r="E27" s="144">
        <f>+'Expense Support'!F25</f>
        <v>0</v>
      </c>
      <c r="F27" s="144">
        <f>+'Expense Support'!G25</f>
        <v>0</v>
      </c>
      <c r="G27" s="144">
        <f>+'Expense Support'!H25</f>
        <v>0</v>
      </c>
      <c r="H27" s="144">
        <f>+'Expense Support'!I25</f>
        <v>0</v>
      </c>
      <c r="I27" s="144">
        <f>+'Expense Support'!J25</f>
        <v>0</v>
      </c>
      <c r="J27" s="144">
        <f>+'Expense Support'!K25</f>
        <v>0</v>
      </c>
      <c r="K27" s="144">
        <f>+'Expense Support'!L25</f>
        <v>0</v>
      </c>
      <c r="L27" s="144">
        <f>+'Expense Support'!M25</f>
        <v>0</v>
      </c>
      <c r="M27" s="144">
        <f>+'Expense Support'!N25</f>
        <v>0</v>
      </c>
      <c r="N27" s="144">
        <f>+'Expense Support'!O25</f>
        <v>0</v>
      </c>
      <c r="O27" s="144">
        <f>+'Expense Support'!P25</f>
        <v>0</v>
      </c>
      <c r="P27" s="144">
        <f>+'Expense Support'!Q25</f>
        <v>0</v>
      </c>
      <c r="Q27" s="144">
        <f>+'Expense Support'!R25</f>
        <v>0</v>
      </c>
      <c r="R27" s="144">
        <f>+'Expense Support'!S25</f>
        <v>0</v>
      </c>
      <c r="S27" s="158"/>
      <c r="T27" s="158">
        <f t="shared" si="0"/>
        <v>0</v>
      </c>
      <c r="U27" s="144">
        <f>+'Expense Support'!V25</f>
        <v>-128</v>
      </c>
      <c r="V27" s="156">
        <f t="shared" si="1"/>
        <v>-128</v>
      </c>
      <c r="W27" s="158">
        <f t="shared" si="2"/>
        <v>1515</v>
      </c>
    </row>
    <row r="28" spans="1:23">
      <c r="A28" s="132">
        <f t="shared" si="3"/>
        <v>20</v>
      </c>
      <c r="B28" s="58" t="s">
        <v>38</v>
      </c>
      <c r="C28" s="144">
        <f>+'Expense Support'!D26</f>
        <v>130619</v>
      </c>
      <c r="D28" s="144">
        <f>+'Expense Support'!E26</f>
        <v>0</v>
      </c>
      <c r="E28" s="144">
        <f>+'Expense Support'!F26</f>
        <v>0</v>
      </c>
      <c r="F28" s="144">
        <f>+'Expense Support'!G26</f>
        <v>0</v>
      </c>
      <c r="G28" s="144">
        <f>+'Expense Support'!H26</f>
        <v>0</v>
      </c>
      <c r="H28" s="144">
        <f>+'Expense Support'!I26</f>
        <v>0</v>
      </c>
      <c r="I28" s="144">
        <f>+'Expense Support'!J26</f>
        <v>0</v>
      </c>
      <c r="J28" s="144">
        <f>+'Expense Support'!K26</f>
        <v>0</v>
      </c>
      <c r="K28" s="144">
        <f>+'Expense Support'!L26</f>
        <v>0</v>
      </c>
      <c r="L28" s="144">
        <f>+'Expense Support'!M26</f>
        <v>0</v>
      </c>
      <c r="M28" s="144">
        <f>+'Expense Support'!N26</f>
        <v>0</v>
      </c>
      <c r="N28" s="144">
        <f>+'Expense Support'!O26</f>
        <v>0</v>
      </c>
      <c r="O28" s="144">
        <f>+'Expense Support'!P26</f>
        <v>0</v>
      </c>
      <c r="P28" s="144">
        <f>+'Expense Support'!Q26</f>
        <v>0</v>
      </c>
      <c r="Q28" s="144">
        <f>+'Expense Support'!R26</f>
        <v>0</v>
      </c>
      <c r="R28" s="144">
        <f>+'Expense Support'!S26</f>
        <v>0</v>
      </c>
      <c r="S28" s="158"/>
      <c r="T28" s="158">
        <f t="shared" si="0"/>
        <v>0</v>
      </c>
      <c r="U28" s="144">
        <f>+'Expense Support'!V26</f>
        <v>-10157</v>
      </c>
      <c r="V28" s="156">
        <f t="shared" si="1"/>
        <v>-10157</v>
      </c>
      <c r="W28" s="158">
        <f t="shared" si="2"/>
        <v>120462</v>
      </c>
    </row>
    <row r="29" spans="1:23">
      <c r="A29" s="132">
        <f t="shared" si="3"/>
        <v>21</v>
      </c>
      <c r="B29" s="58" t="s">
        <v>51</v>
      </c>
      <c r="C29" s="144">
        <f>+'Expense Support'!D27</f>
        <v>24955</v>
      </c>
      <c r="D29" s="144">
        <f>+'Expense Support'!E27</f>
        <v>0</v>
      </c>
      <c r="E29" s="144">
        <f>+'Expense Support'!F27</f>
        <v>0</v>
      </c>
      <c r="F29" s="144">
        <f>+'Expense Support'!G27</f>
        <v>0</v>
      </c>
      <c r="G29" s="144">
        <f>+'Expense Support'!H27</f>
        <v>0</v>
      </c>
      <c r="H29" s="144">
        <f>+'Expense Support'!I27</f>
        <v>0</v>
      </c>
      <c r="I29" s="144">
        <f>+'Expense Support'!J27</f>
        <v>0</v>
      </c>
      <c r="J29" s="144">
        <f>+'Expense Support'!K27</f>
        <v>0</v>
      </c>
      <c r="K29" s="144">
        <f>+'Expense Support'!L27</f>
        <v>0</v>
      </c>
      <c r="L29" s="144">
        <f>+'Expense Support'!M27</f>
        <v>0</v>
      </c>
      <c r="M29" s="144">
        <f>+'Expense Support'!N27</f>
        <v>0</v>
      </c>
      <c r="N29" s="144">
        <f>+'Expense Support'!O27</f>
        <v>0</v>
      </c>
      <c r="O29" s="144">
        <f>+'Expense Support'!P27</f>
        <v>0</v>
      </c>
      <c r="P29" s="144">
        <f>+'Expense Support'!Q27</f>
        <v>0</v>
      </c>
      <c r="Q29" s="144">
        <f>+'Expense Support'!R27</f>
        <v>0</v>
      </c>
      <c r="R29" s="144">
        <f>+'Expense Support'!S27</f>
        <v>0</v>
      </c>
      <c r="S29" s="158"/>
      <c r="T29" s="158">
        <f t="shared" si="0"/>
        <v>0</v>
      </c>
      <c r="U29" s="144">
        <f>+'Expense Support'!V27</f>
        <v>-1940</v>
      </c>
      <c r="V29" s="156">
        <f t="shared" si="1"/>
        <v>-1940</v>
      </c>
      <c r="W29" s="158">
        <f t="shared" si="2"/>
        <v>23015</v>
      </c>
    </row>
    <row r="30" spans="1:23">
      <c r="A30" s="132">
        <f t="shared" si="3"/>
        <v>22</v>
      </c>
      <c r="B30" s="58" t="s">
        <v>45</v>
      </c>
      <c r="C30" s="144">
        <f>+'Expense Support'!D28</f>
        <v>59267</v>
      </c>
      <c r="D30" s="144">
        <f>+'Expense Support'!E28</f>
        <v>0</v>
      </c>
      <c r="E30" s="144">
        <f>+'Expense Support'!F28</f>
        <v>0</v>
      </c>
      <c r="F30" s="144">
        <f>+'Expense Support'!G28</f>
        <v>0</v>
      </c>
      <c r="G30" s="144">
        <f>+'Expense Support'!H28</f>
        <v>0</v>
      </c>
      <c r="H30" s="144">
        <f>+'Expense Support'!I28</f>
        <v>0</v>
      </c>
      <c r="I30" s="144">
        <f>+'Expense Support'!J28</f>
        <v>0</v>
      </c>
      <c r="J30" s="144">
        <f>+'Expense Support'!K28</f>
        <v>0</v>
      </c>
      <c r="K30" s="144">
        <f>+'Expense Support'!L28</f>
        <v>0</v>
      </c>
      <c r="L30" s="144">
        <f>+'Expense Support'!M28</f>
        <v>0</v>
      </c>
      <c r="M30" s="144">
        <f>+'Expense Support'!N28</f>
        <v>0</v>
      </c>
      <c r="N30" s="144">
        <f>+'Expense Support'!O28</f>
        <v>0</v>
      </c>
      <c r="O30" s="144">
        <f>+'Expense Support'!P28</f>
        <v>0</v>
      </c>
      <c r="P30" s="144">
        <f>+'Expense Support'!Q28</f>
        <v>0</v>
      </c>
      <c r="Q30" s="144">
        <f>+'Expense Support'!R28</f>
        <v>0</v>
      </c>
      <c r="R30" s="144">
        <f>+'Expense Support'!S28</f>
        <v>0</v>
      </c>
      <c r="S30" s="158"/>
      <c r="T30" s="158">
        <f t="shared" si="0"/>
        <v>0</v>
      </c>
      <c r="U30" s="144">
        <f>+'Expense Support'!V28</f>
        <v>-4608</v>
      </c>
      <c r="V30" s="156">
        <f t="shared" si="1"/>
        <v>-4608</v>
      </c>
      <c r="W30" s="158">
        <f t="shared" si="2"/>
        <v>54659</v>
      </c>
    </row>
    <row r="31" spans="1:23">
      <c r="A31" s="132">
        <f t="shared" si="3"/>
        <v>23</v>
      </c>
      <c r="B31" s="58" t="s">
        <v>80</v>
      </c>
      <c r="C31" s="144">
        <f>+'Expense Support'!D29</f>
        <v>284327</v>
      </c>
      <c r="D31" s="144">
        <f>+'Expense Support'!E29</f>
        <v>0</v>
      </c>
      <c r="E31" s="144">
        <f>+'Expense Support'!F29</f>
        <v>0</v>
      </c>
      <c r="F31" s="144">
        <f>+'Expense Support'!G29</f>
        <v>0</v>
      </c>
      <c r="G31" s="144">
        <f>+'Expense Support'!H29</f>
        <v>0</v>
      </c>
      <c r="H31" s="144">
        <f>+'Expense Support'!I29</f>
        <v>0</v>
      </c>
      <c r="I31" s="144">
        <f>+'Expense Support'!J29</f>
        <v>0</v>
      </c>
      <c r="J31" s="144">
        <f>+'Expense Support'!K29</f>
        <v>0</v>
      </c>
      <c r="K31" s="144">
        <f>+'Expense Support'!L29</f>
        <v>0</v>
      </c>
      <c r="L31" s="144">
        <f>+'Expense Support'!M29</f>
        <v>0</v>
      </c>
      <c r="M31" s="144">
        <f>+'Expense Support'!N29</f>
        <v>0</v>
      </c>
      <c r="N31" s="144">
        <f>+'Expense Support'!O29</f>
        <v>0</v>
      </c>
      <c r="O31" s="144">
        <f>+'Expense Support'!P29</f>
        <v>0</v>
      </c>
      <c r="P31" s="144">
        <f>+'Expense Support'!Q29</f>
        <v>0</v>
      </c>
      <c r="Q31" s="144">
        <f>+'Expense Support'!R29</f>
        <v>0</v>
      </c>
      <c r="R31" s="144">
        <f>+'Expense Support'!S29</f>
        <v>0</v>
      </c>
      <c r="S31" s="158"/>
      <c r="T31" s="158">
        <f t="shared" si="0"/>
        <v>0</v>
      </c>
      <c r="U31" s="144">
        <f>+'Expense Support'!V29</f>
        <v>-22109</v>
      </c>
      <c r="V31" s="156">
        <f t="shared" si="1"/>
        <v>-22109</v>
      </c>
      <c r="W31" s="158">
        <f t="shared" si="2"/>
        <v>262218</v>
      </c>
    </row>
    <row r="32" spans="1:23">
      <c r="A32" s="132">
        <f t="shared" si="3"/>
        <v>24</v>
      </c>
      <c r="B32" s="58" t="s">
        <v>82</v>
      </c>
      <c r="C32" s="144">
        <f>+'Expense Support'!D30</f>
        <v>150</v>
      </c>
      <c r="D32" s="144">
        <f>+'Expense Support'!E30</f>
        <v>0</v>
      </c>
      <c r="E32" s="144">
        <f>+'Expense Support'!F30</f>
        <v>0</v>
      </c>
      <c r="F32" s="144">
        <f>+'Expense Support'!G30</f>
        <v>0</v>
      </c>
      <c r="G32" s="144">
        <f>+'Expense Support'!H30</f>
        <v>0</v>
      </c>
      <c r="H32" s="144">
        <f>+'Expense Support'!I30</f>
        <v>0</v>
      </c>
      <c r="I32" s="144">
        <f>+'Expense Support'!J30</f>
        <v>0</v>
      </c>
      <c r="J32" s="144">
        <f>+'Expense Support'!K30</f>
        <v>0</v>
      </c>
      <c r="K32" s="144">
        <f>+'Expense Support'!L30</f>
        <v>0</v>
      </c>
      <c r="L32" s="144">
        <f>+'Expense Support'!M30</f>
        <v>0</v>
      </c>
      <c r="M32" s="144">
        <f>+'Expense Support'!N30</f>
        <v>0</v>
      </c>
      <c r="N32" s="144">
        <f>+'Expense Support'!O30</f>
        <v>0</v>
      </c>
      <c r="O32" s="144">
        <f>+'Expense Support'!P30</f>
        <v>0</v>
      </c>
      <c r="P32" s="144">
        <f>+'Expense Support'!Q30</f>
        <v>0</v>
      </c>
      <c r="Q32" s="144">
        <f>+'Expense Support'!R30</f>
        <v>0</v>
      </c>
      <c r="R32" s="144">
        <f>+'Expense Support'!S30</f>
        <v>0</v>
      </c>
      <c r="S32" s="158"/>
      <c r="T32" s="158">
        <f t="shared" si="0"/>
        <v>0</v>
      </c>
      <c r="U32" s="144">
        <f>+'Expense Support'!V30</f>
        <v>-12</v>
      </c>
      <c r="V32" s="156">
        <f t="shared" si="1"/>
        <v>-12</v>
      </c>
      <c r="W32" s="158">
        <f t="shared" si="2"/>
        <v>138</v>
      </c>
    </row>
    <row r="33" spans="1:23">
      <c r="A33" s="132">
        <f t="shared" si="3"/>
        <v>25</v>
      </c>
      <c r="B33" s="58" t="s">
        <v>83</v>
      </c>
      <c r="C33" s="144">
        <f>+'Expense Support'!D31</f>
        <v>17925</v>
      </c>
      <c r="D33" s="144">
        <f>+'Expense Support'!E31</f>
        <v>0</v>
      </c>
      <c r="E33" s="144">
        <f>+'Expense Support'!F31</f>
        <v>0</v>
      </c>
      <c r="F33" s="144">
        <f>+'Expense Support'!G31</f>
        <v>0</v>
      </c>
      <c r="G33" s="144">
        <f>+'Expense Support'!H31</f>
        <v>0</v>
      </c>
      <c r="H33" s="144">
        <f>+'Expense Support'!I31</f>
        <v>0</v>
      </c>
      <c r="I33" s="144">
        <f>+'Expense Support'!J31</f>
        <v>0</v>
      </c>
      <c r="J33" s="144">
        <f>+'Expense Support'!K31</f>
        <v>0</v>
      </c>
      <c r="K33" s="144">
        <f>+'Expense Support'!L31</f>
        <v>0</v>
      </c>
      <c r="L33" s="144">
        <f>+'Expense Support'!M31</f>
        <v>0</v>
      </c>
      <c r="M33" s="144">
        <f>+'Expense Support'!N31</f>
        <v>0</v>
      </c>
      <c r="N33" s="144">
        <f>+'Expense Support'!O31</f>
        <v>0</v>
      </c>
      <c r="O33" s="144">
        <f>+'Expense Support'!P31</f>
        <v>0</v>
      </c>
      <c r="P33" s="144">
        <f>+'Expense Support'!Q31</f>
        <v>0</v>
      </c>
      <c r="Q33" s="144">
        <f>+'Expense Support'!R31</f>
        <v>0</v>
      </c>
      <c r="R33" s="144">
        <f>+'Expense Support'!S31</f>
        <v>0</v>
      </c>
      <c r="S33" s="158"/>
      <c r="T33" s="158">
        <f t="shared" si="0"/>
        <v>0</v>
      </c>
      <c r="U33" s="144">
        <f>+'Expense Support'!V31</f>
        <v>-1394</v>
      </c>
      <c r="V33" s="156">
        <f t="shared" si="1"/>
        <v>-1394</v>
      </c>
      <c r="W33" s="158">
        <f t="shared" si="2"/>
        <v>16531</v>
      </c>
    </row>
    <row r="34" spans="1:23">
      <c r="A34" s="132">
        <f t="shared" si="3"/>
        <v>26</v>
      </c>
      <c r="B34" s="58" t="s">
        <v>95</v>
      </c>
      <c r="C34" s="144">
        <f>+'Expense Support'!D32</f>
        <v>10931</v>
      </c>
      <c r="D34" s="144">
        <f>+'Expense Support'!E32</f>
        <v>0</v>
      </c>
      <c r="E34" s="144">
        <f>+'Expense Support'!F32</f>
        <v>0</v>
      </c>
      <c r="F34" s="144">
        <f>+'Expense Support'!G32</f>
        <v>0</v>
      </c>
      <c r="G34" s="144">
        <f>+'Expense Support'!H32</f>
        <v>0</v>
      </c>
      <c r="H34" s="144">
        <f>+'Expense Support'!I32</f>
        <v>0</v>
      </c>
      <c r="I34" s="144">
        <f>+'Expense Support'!J32</f>
        <v>0</v>
      </c>
      <c r="J34" s="144">
        <f>+'Expense Support'!K32</f>
        <v>0</v>
      </c>
      <c r="K34" s="144">
        <f>+'Expense Support'!L32</f>
        <v>0</v>
      </c>
      <c r="L34" s="144">
        <f>+'Expense Support'!M32</f>
        <v>0</v>
      </c>
      <c r="M34" s="144">
        <f>+'Expense Support'!N32</f>
        <v>0</v>
      </c>
      <c r="N34" s="144">
        <f>+'Expense Support'!O32</f>
        <v>0</v>
      </c>
      <c r="O34" s="144">
        <f>+'Expense Support'!P32</f>
        <v>0</v>
      </c>
      <c r="P34" s="144">
        <f>+'Expense Support'!Q32</f>
        <v>0</v>
      </c>
      <c r="Q34" s="144">
        <f>+'Expense Support'!R32</f>
        <v>0</v>
      </c>
      <c r="R34" s="144">
        <f>+'Expense Support'!S32</f>
        <v>0</v>
      </c>
      <c r="S34" s="158"/>
      <c r="T34" s="158">
        <f t="shared" si="0"/>
        <v>0</v>
      </c>
      <c r="U34" s="144">
        <f>+'Expense Support'!V32</f>
        <v>-850</v>
      </c>
      <c r="V34" s="156">
        <f t="shared" si="1"/>
        <v>-850</v>
      </c>
      <c r="W34" s="158">
        <f t="shared" si="2"/>
        <v>10081</v>
      </c>
    </row>
    <row r="35" spans="1:23">
      <c r="A35" s="132">
        <f t="shared" si="3"/>
        <v>27</v>
      </c>
      <c r="B35" s="58" t="s">
        <v>96</v>
      </c>
      <c r="C35" s="144">
        <f>+'Expense Support'!D33</f>
        <v>7681</v>
      </c>
      <c r="D35" s="144">
        <f>+'Expense Support'!E33</f>
        <v>0</v>
      </c>
      <c r="E35" s="144">
        <f>+'Expense Support'!F33</f>
        <v>0</v>
      </c>
      <c r="F35" s="144">
        <f>+'Expense Support'!G33</f>
        <v>0</v>
      </c>
      <c r="G35" s="144">
        <f>+'Expense Support'!H33</f>
        <v>0</v>
      </c>
      <c r="H35" s="144">
        <f>+'Expense Support'!I33</f>
        <v>0</v>
      </c>
      <c r="I35" s="144">
        <f>+'Expense Support'!J33</f>
        <v>0</v>
      </c>
      <c r="J35" s="144">
        <f>+'Expense Support'!K33</f>
        <v>0</v>
      </c>
      <c r="K35" s="144">
        <f>+'Expense Support'!L33</f>
        <v>0</v>
      </c>
      <c r="L35" s="144">
        <f>+'Expense Support'!M33</f>
        <v>0</v>
      </c>
      <c r="M35" s="144">
        <f>+'Expense Support'!N33</f>
        <v>0</v>
      </c>
      <c r="N35" s="144">
        <f>+'Expense Support'!O33</f>
        <v>0</v>
      </c>
      <c r="O35" s="144">
        <f>+'Expense Support'!P33</f>
        <v>0</v>
      </c>
      <c r="P35" s="144">
        <f>+'Expense Support'!Q33</f>
        <v>0</v>
      </c>
      <c r="Q35" s="144">
        <f>+'Expense Support'!R33</f>
        <v>0</v>
      </c>
      <c r="R35" s="144">
        <f>+'Expense Support'!S33</f>
        <v>0</v>
      </c>
      <c r="S35" s="158"/>
      <c r="T35" s="158">
        <f t="shared" si="0"/>
        <v>0</v>
      </c>
      <c r="U35" s="144">
        <f>+'Expense Support'!V33</f>
        <v>-597</v>
      </c>
      <c r="V35" s="156">
        <f t="shared" si="1"/>
        <v>-597</v>
      </c>
      <c r="W35" s="158">
        <f t="shared" si="2"/>
        <v>7084</v>
      </c>
    </row>
    <row r="36" spans="1:23">
      <c r="A36" s="132">
        <f t="shared" si="3"/>
        <v>28</v>
      </c>
      <c r="B36" s="58" t="s">
        <v>25</v>
      </c>
      <c r="C36" s="144">
        <f>+'Expense Support'!D34</f>
        <v>3900673</v>
      </c>
      <c r="D36" s="144">
        <f>+'Expense Support'!E34</f>
        <v>0</v>
      </c>
      <c r="E36" s="144">
        <f>+'Expense Support'!F34</f>
        <v>0</v>
      </c>
      <c r="F36" s="144">
        <f>+'Expense Support'!G34</f>
        <v>0</v>
      </c>
      <c r="G36" s="144">
        <f>+'Expense Support'!H34</f>
        <v>0</v>
      </c>
      <c r="H36" s="144">
        <f>+'Expense Support'!I34</f>
        <v>0</v>
      </c>
      <c r="I36" s="144">
        <f>+'Expense Support'!J34</f>
        <v>0</v>
      </c>
      <c r="J36" s="144">
        <f>+'Expense Support'!K34</f>
        <v>0</v>
      </c>
      <c r="K36" s="144">
        <f>+'Expense Support'!L34</f>
        <v>0</v>
      </c>
      <c r="L36" s="144">
        <f>+'Expense Support'!M34</f>
        <v>0</v>
      </c>
      <c r="M36" s="144">
        <f>+'Expense Support'!N34</f>
        <v>0</v>
      </c>
      <c r="N36" s="144">
        <f>+'Expense Support'!O34</f>
        <v>0</v>
      </c>
      <c r="O36" s="144">
        <f>+'Expense Support'!P34</f>
        <v>0</v>
      </c>
      <c r="P36" s="144">
        <f>+'Expense Support'!Q34</f>
        <v>0</v>
      </c>
      <c r="Q36" s="144">
        <f>+'Expense Support'!R34</f>
        <v>0</v>
      </c>
      <c r="R36" s="144">
        <f>+'Expense Support'!S34</f>
        <v>0</v>
      </c>
      <c r="S36" s="158"/>
      <c r="T36" s="158">
        <f t="shared" si="0"/>
        <v>0</v>
      </c>
      <c r="U36" s="144">
        <f>+'Expense Support'!V34</f>
        <v>-303309</v>
      </c>
      <c r="V36" s="156">
        <f t="shared" si="1"/>
        <v>-303309</v>
      </c>
      <c r="W36" s="158">
        <f t="shared" si="2"/>
        <v>3597364</v>
      </c>
    </row>
    <row r="37" spans="1:23">
      <c r="A37" s="132">
        <f t="shared" si="3"/>
        <v>29</v>
      </c>
      <c r="B37" s="58" t="s">
        <v>27</v>
      </c>
      <c r="C37" s="144">
        <f>+'Expense Support'!D35</f>
        <v>-200082</v>
      </c>
      <c r="D37" s="144">
        <f>+'Expense Support'!E35</f>
        <v>0</v>
      </c>
      <c r="E37" s="144">
        <f>+'Expense Support'!F35</f>
        <v>0</v>
      </c>
      <c r="F37" s="144">
        <f>+'Expense Support'!G35</f>
        <v>0</v>
      </c>
      <c r="G37" s="144">
        <f>+'Expense Support'!H35</f>
        <v>0</v>
      </c>
      <c r="H37" s="144">
        <f>+'Expense Support'!I35</f>
        <v>0</v>
      </c>
      <c r="I37" s="144">
        <f>+'Expense Support'!J35</f>
        <v>0</v>
      </c>
      <c r="J37" s="144">
        <f>+'Expense Support'!K35</f>
        <v>0</v>
      </c>
      <c r="K37" s="144">
        <f>+'Expense Support'!L35</f>
        <v>0</v>
      </c>
      <c r="L37" s="144">
        <f>+'Expense Support'!M35</f>
        <v>0</v>
      </c>
      <c r="M37" s="144">
        <f>+'Expense Support'!N35</f>
        <v>0</v>
      </c>
      <c r="N37" s="144">
        <f>+'Expense Support'!O35</f>
        <v>0</v>
      </c>
      <c r="O37" s="144">
        <f>+'Expense Support'!P35</f>
        <v>0</v>
      </c>
      <c r="P37" s="144">
        <f>+'Expense Support'!Q35</f>
        <v>0</v>
      </c>
      <c r="Q37" s="144">
        <f>+'Expense Support'!R35</f>
        <v>0</v>
      </c>
      <c r="R37" s="144">
        <f>+'Expense Support'!S35</f>
        <v>0</v>
      </c>
      <c r="S37" s="158"/>
      <c r="T37" s="158">
        <f t="shared" si="0"/>
        <v>0</v>
      </c>
      <c r="U37" s="144">
        <f>+'Expense Support'!V35</f>
        <v>15558</v>
      </c>
      <c r="V37" s="156">
        <f t="shared" si="1"/>
        <v>15558</v>
      </c>
      <c r="W37" s="158">
        <f t="shared" si="2"/>
        <v>-184524</v>
      </c>
    </row>
    <row r="38" spans="1:23">
      <c r="A38" s="132">
        <f t="shared" si="3"/>
        <v>30</v>
      </c>
      <c r="B38" s="58" t="s">
        <v>28</v>
      </c>
      <c r="C38" s="144">
        <f>+'Expense Support'!D36</f>
        <v>38857657</v>
      </c>
      <c r="D38" s="144">
        <f>+'Expense Support'!E36</f>
        <v>0</v>
      </c>
      <c r="E38" s="144">
        <f>+'Expense Support'!F36</f>
        <v>0</v>
      </c>
      <c r="F38" s="144">
        <f>+'Expense Support'!G36</f>
        <v>0</v>
      </c>
      <c r="G38" s="144">
        <f>+'Expense Support'!H36</f>
        <v>0</v>
      </c>
      <c r="H38" s="144">
        <f>+'Expense Support'!I36</f>
        <v>0</v>
      </c>
      <c r="I38" s="144">
        <f>+'Expense Support'!J36</f>
        <v>0</v>
      </c>
      <c r="J38" s="144">
        <f>+'Expense Support'!K36</f>
        <v>0</v>
      </c>
      <c r="K38" s="144">
        <f>+'Expense Support'!L36</f>
        <v>0</v>
      </c>
      <c r="L38" s="144">
        <f>+'Expense Support'!M36</f>
        <v>0</v>
      </c>
      <c r="M38" s="144">
        <f>+'Expense Support'!N36</f>
        <v>0</v>
      </c>
      <c r="N38" s="144">
        <f>+'Expense Support'!O36</f>
        <v>0</v>
      </c>
      <c r="O38" s="144">
        <f>+'Expense Support'!P36</f>
        <v>0</v>
      </c>
      <c r="P38" s="144">
        <f>+'Expense Support'!Q36</f>
        <v>0</v>
      </c>
      <c r="Q38" s="144">
        <f>+'Expense Support'!R36</f>
        <v>0</v>
      </c>
      <c r="R38" s="144">
        <f>+'Expense Support'!S36</f>
        <v>0</v>
      </c>
      <c r="S38" s="158"/>
      <c r="T38" s="158">
        <f t="shared" si="0"/>
        <v>0</v>
      </c>
      <c r="U38" s="144">
        <f>+'Expense Support'!V36</f>
        <v>-3021500</v>
      </c>
      <c r="V38" s="156">
        <f t="shared" si="1"/>
        <v>-3021500</v>
      </c>
      <c r="W38" s="158">
        <f t="shared" si="2"/>
        <v>35836157</v>
      </c>
    </row>
    <row r="39" spans="1:23">
      <c r="A39" s="132">
        <f t="shared" si="3"/>
        <v>31</v>
      </c>
      <c r="B39" s="58" t="s">
        <v>31</v>
      </c>
      <c r="C39" s="144">
        <f>+'Expense Support'!D37</f>
        <v>2039389</v>
      </c>
      <c r="D39" s="144">
        <f>+'Expense Support'!E37</f>
        <v>0</v>
      </c>
      <c r="E39" s="144">
        <f>+'Expense Support'!F37</f>
        <v>0</v>
      </c>
      <c r="F39" s="144">
        <f>+'Expense Support'!G37</f>
        <v>0</v>
      </c>
      <c r="G39" s="144">
        <f>+'Expense Support'!H37</f>
        <v>0</v>
      </c>
      <c r="H39" s="144">
        <f>+'Expense Support'!I37</f>
        <v>0</v>
      </c>
      <c r="I39" s="144">
        <f>+'Expense Support'!J37</f>
        <v>0</v>
      </c>
      <c r="J39" s="144">
        <f>+'Expense Support'!K37</f>
        <v>0</v>
      </c>
      <c r="K39" s="144">
        <f>+'Expense Support'!L37</f>
        <v>0</v>
      </c>
      <c r="L39" s="144">
        <f>+'Expense Support'!M37</f>
        <v>0</v>
      </c>
      <c r="M39" s="144">
        <f>+'Expense Support'!N37</f>
        <v>0</v>
      </c>
      <c r="N39" s="144">
        <f>+'Expense Support'!O37</f>
        <v>0</v>
      </c>
      <c r="O39" s="144">
        <f>+'Expense Support'!P37</f>
        <v>0</v>
      </c>
      <c r="P39" s="144">
        <f>+'Expense Support'!Q37</f>
        <v>0</v>
      </c>
      <c r="Q39" s="144">
        <f>+'Expense Support'!R37</f>
        <v>0</v>
      </c>
      <c r="R39" s="144">
        <f>+'Expense Support'!S37</f>
        <v>0</v>
      </c>
      <c r="S39" s="158"/>
      <c r="T39" s="158">
        <f t="shared" si="0"/>
        <v>0</v>
      </c>
      <c r="U39" s="144">
        <f>+'Expense Support'!V37</f>
        <v>-158579</v>
      </c>
      <c r="V39" s="156">
        <f t="shared" si="1"/>
        <v>-158579</v>
      </c>
      <c r="W39" s="158">
        <f t="shared" si="2"/>
        <v>1880810</v>
      </c>
    </row>
    <row r="40" spans="1:23">
      <c r="A40" s="132">
        <f t="shared" si="3"/>
        <v>32</v>
      </c>
      <c r="B40" s="58" t="s">
        <v>29</v>
      </c>
      <c r="C40" s="144">
        <f>+'Expense Support'!D38</f>
        <v>140296</v>
      </c>
      <c r="D40" s="144">
        <f>+'Expense Support'!E38</f>
        <v>0</v>
      </c>
      <c r="E40" s="144">
        <f>+'Expense Support'!F38</f>
        <v>0</v>
      </c>
      <c r="F40" s="144">
        <f>+'Expense Support'!G38</f>
        <v>0</v>
      </c>
      <c r="G40" s="144">
        <f>+'Expense Support'!H38</f>
        <v>0</v>
      </c>
      <c r="H40" s="144">
        <f>+'Expense Support'!I38</f>
        <v>0</v>
      </c>
      <c r="I40" s="144">
        <f>+'Expense Support'!J38</f>
        <v>0</v>
      </c>
      <c r="J40" s="144">
        <f>+'Expense Support'!K38</f>
        <v>0</v>
      </c>
      <c r="K40" s="144">
        <f>+'Expense Support'!L38</f>
        <v>0</v>
      </c>
      <c r="L40" s="144">
        <f>+'Expense Support'!M38</f>
        <v>0</v>
      </c>
      <c r="M40" s="144">
        <f>+'Expense Support'!N38</f>
        <v>0</v>
      </c>
      <c r="N40" s="144">
        <f>+'Expense Support'!O38</f>
        <v>0</v>
      </c>
      <c r="O40" s="144">
        <f>+'Expense Support'!P38</f>
        <v>0</v>
      </c>
      <c r="P40" s="144">
        <f>+'Expense Support'!Q38</f>
        <v>0</v>
      </c>
      <c r="Q40" s="144">
        <f>+'Expense Support'!R38</f>
        <v>-115198</v>
      </c>
      <c r="R40" s="144">
        <f>+'Expense Support'!S38</f>
        <v>0</v>
      </c>
      <c r="S40" s="158"/>
      <c r="T40" s="158">
        <f t="shared" si="0"/>
        <v>-115198</v>
      </c>
      <c r="U40" s="144">
        <f>+'Expense Support'!V38</f>
        <v>-1952</v>
      </c>
      <c r="V40" s="156">
        <f t="shared" si="1"/>
        <v>-117150</v>
      </c>
      <c r="W40" s="158">
        <f t="shared" si="2"/>
        <v>23146</v>
      </c>
    </row>
    <row r="41" spans="1:23">
      <c r="A41" s="132">
        <f t="shared" si="3"/>
        <v>33</v>
      </c>
      <c r="B41" s="58" t="s">
        <v>33</v>
      </c>
      <c r="C41" s="144">
        <f>+'Expense Support'!D39</f>
        <v>2578374</v>
      </c>
      <c r="D41" s="144">
        <f>+'Expense Support'!E39</f>
        <v>0</v>
      </c>
      <c r="E41" s="144">
        <f>+'Expense Support'!F39</f>
        <v>0</v>
      </c>
      <c r="F41" s="144">
        <f>+'Expense Support'!G39</f>
        <v>0</v>
      </c>
      <c r="G41" s="144">
        <f>+'Expense Support'!H39</f>
        <v>0</v>
      </c>
      <c r="H41" s="144">
        <f>+'Expense Support'!I39</f>
        <v>0</v>
      </c>
      <c r="I41" s="144">
        <f>+'Expense Support'!J39</f>
        <v>0</v>
      </c>
      <c r="J41" s="144">
        <f>+'Expense Support'!K39</f>
        <v>0</v>
      </c>
      <c r="K41" s="144">
        <f>+'Expense Support'!L39</f>
        <v>0</v>
      </c>
      <c r="L41" s="144">
        <f>+'Expense Support'!M39</f>
        <v>0</v>
      </c>
      <c r="M41" s="144">
        <f>+'Expense Support'!N39</f>
        <v>0</v>
      </c>
      <c r="N41" s="144">
        <f>+'Expense Support'!O39</f>
        <v>0</v>
      </c>
      <c r="O41" s="144">
        <f>+'Expense Support'!P39</f>
        <v>0</v>
      </c>
      <c r="P41" s="144">
        <f>+'Expense Support'!Q39</f>
        <v>0</v>
      </c>
      <c r="Q41" s="144">
        <f>+'Expense Support'!R39</f>
        <v>718835</v>
      </c>
      <c r="R41" s="144">
        <f>+'Expense Support'!S39</f>
        <v>0</v>
      </c>
      <c r="S41" s="158"/>
      <c r="T41" s="158">
        <f t="shared" si="0"/>
        <v>718835</v>
      </c>
      <c r="U41" s="144">
        <f>+'Expense Support'!V39</f>
        <v>-256385</v>
      </c>
      <c r="V41" s="156">
        <f t="shared" si="1"/>
        <v>462450</v>
      </c>
      <c r="W41" s="158">
        <f t="shared" si="2"/>
        <v>3040824</v>
      </c>
    </row>
    <row r="42" spans="1:23">
      <c r="A42" s="132">
        <f t="shared" si="3"/>
        <v>34</v>
      </c>
      <c r="B42" s="58" t="s">
        <v>39</v>
      </c>
      <c r="C42" s="144">
        <f>+'Expense Support'!D40</f>
        <v>1013789</v>
      </c>
      <c r="D42" s="144">
        <f>+'Expense Support'!E40</f>
        <v>0</v>
      </c>
      <c r="E42" s="144">
        <f>+'Expense Support'!F40</f>
        <v>0</v>
      </c>
      <c r="F42" s="144">
        <f>+'Expense Support'!G40</f>
        <v>0</v>
      </c>
      <c r="G42" s="144">
        <f>+'Expense Support'!H40</f>
        <v>0</v>
      </c>
      <c r="H42" s="144">
        <f>+'Expense Support'!I40</f>
        <v>0</v>
      </c>
      <c r="I42" s="144">
        <f>+'Expense Support'!J40</f>
        <v>0</v>
      </c>
      <c r="J42" s="144">
        <f>+'Expense Support'!K40</f>
        <v>0</v>
      </c>
      <c r="K42" s="144">
        <f>+'Expense Support'!L40</f>
        <v>0</v>
      </c>
      <c r="L42" s="144">
        <f>+'Expense Support'!M40</f>
        <v>0</v>
      </c>
      <c r="M42" s="144">
        <f>+'Expense Support'!N40</f>
        <v>0</v>
      </c>
      <c r="N42" s="144">
        <f>+'Expense Support'!O40</f>
        <v>0</v>
      </c>
      <c r="O42" s="144">
        <f>+'Expense Support'!P40</f>
        <v>0</v>
      </c>
      <c r="P42" s="144">
        <f>+'Expense Support'!Q40</f>
        <v>0</v>
      </c>
      <c r="Q42" s="144">
        <f>+'Expense Support'!R40</f>
        <v>0</v>
      </c>
      <c r="R42" s="144">
        <f>+'Expense Support'!S40</f>
        <v>0</v>
      </c>
      <c r="S42" s="158"/>
      <c r="T42" s="158">
        <f t="shared" si="0"/>
        <v>0</v>
      </c>
      <c r="U42" s="144">
        <f>+'Expense Support'!V40</f>
        <v>-78830</v>
      </c>
      <c r="V42" s="156">
        <f t="shared" si="1"/>
        <v>-78830</v>
      </c>
      <c r="W42" s="158">
        <f t="shared" si="2"/>
        <v>934959</v>
      </c>
    </row>
    <row r="43" spans="1:23">
      <c r="A43" s="132">
        <f t="shared" si="3"/>
        <v>35</v>
      </c>
      <c r="B43" s="58" t="s">
        <v>41</v>
      </c>
      <c r="C43" s="144">
        <f>+'Expense Support'!D41</f>
        <v>13132</v>
      </c>
      <c r="D43" s="144">
        <f>+'Expense Support'!E41</f>
        <v>0</v>
      </c>
      <c r="E43" s="144">
        <f>+'Expense Support'!F41</f>
        <v>0</v>
      </c>
      <c r="F43" s="144">
        <f>+'Expense Support'!G41</f>
        <v>0</v>
      </c>
      <c r="G43" s="144">
        <f>+'Expense Support'!H41</f>
        <v>0</v>
      </c>
      <c r="H43" s="144">
        <f>+'Expense Support'!I41</f>
        <v>0</v>
      </c>
      <c r="I43" s="144">
        <f>+'Expense Support'!J41</f>
        <v>0</v>
      </c>
      <c r="J43" s="144">
        <f>+'Expense Support'!K41</f>
        <v>0</v>
      </c>
      <c r="K43" s="144">
        <f>+'Expense Support'!L41</f>
        <v>0</v>
      </c>
      <c r="L43" s="144">
        <f>+'Expense Support'!M41</f>
        <v>0</v>
      </c>
      <c r="M43" s="144">
        <f>+'Expense Support'!N41</f>
        <v>0</v>
      </c>
      <c r="N43" s="144">
        <f>+'Expense Support'!O41</f>
        <v>0</v>
      </c>
      <c r="O43" s="144">
        <f>+'Expense Support'!P41</f>
        <v>0</v>
      </c>
      <c r="P43" s="144">
        <f>+'Expense Support'!Q41</f>
        <v>0</v>
      </c>
      <c r="Q43" s="144">
        <f>+'Expense Support'!R41</f>
        <v>0</v>
      </c>
      <c r="R43" s="144">
        <f>+'Expense Support'!S41</f>
        <v>0</v>
      </c>
      <c r="S43" s="158"/>
      <c r="T43" s="158">
        <f t="shared" si="0"/>
        <v>0</v>
      </c>
      <c r="U43" s="144">
        <f>+'Expense Support'!V41</f>
        <v>-1021</v>
      </c>
      <c r="V43" s="156">
        <f t="shared" si="1"/>
        <v>-1021</v>
      </c>
      <c r="W43" s="158">
        <f t="shared" si="2"/>
        <v>12111</v>
      </c>
    </row>
    <row r="44" spans="1:23">
      <c r="A44" s="132">
        <f t="shared" si="3"/>
        <v>36</v>
      </c>
      <c r="B44" s="58" t="s">
        <v>43</v>
      </c>
      <c r="C44" s="144">
        <f>+'Expense Support'!D42</f>
        <v>78349</v>
      </c>
      <c r="D44" s="144">
        <f>+'Expense Support'!E42</f>
        <v>0</v>
      </c>
      <c r="E44" s="144">
        <f>+'Expense Support'!F42</f>
        <v>0</v>
      </c>
      <c r="F44" s="144">
        <f>+'Expense Support'!G42</f>
        <v>0</v>
      </c>
      <c r="G44" s="144">
        <f>+'Expense Support'!H42</f>
        <v>0</v>
      </c>
      <c r="H44" s="144">
        <f>+'Expense Support'!I42</f>
        <v>0</v>
      </c>
      <c r="I44" s="144">
        <f>+'Expense Support'!J42</f>
        <v>0</v>
      </c>
      <c r="J44" s="144">
        <f>+'Expense Support'!K42</f>
        <v>0</v>
      </c>
      <c r="K44" s="144">
        <f>+'Expense Support'!L42</f>
        <v>0</v>
      </c>
      <c r="L44" s="144">
        <f>+'Expense Support'!M42</f>
        <v>0</v>
      </c>
      <c r="M44" s="144">
        <f>+'Expense Support'!N42</f>
        <v>0</v>
      </c>
      <c r="N44" s="144">
        <f>+'Expense Support'!O42</f>
        <v>0</v>
      </c>
      <c r="O44" s="144">
        <f>+'Expense Support'!P42</f>
        <v>0</v>
      </c>
      <c r="P44" s="144">
        <f>+'Expense Support'!Q42</f>
        <v>0</v>
      </c>
      <c r="Q44" s="144">
        <f>+'Expense Support'!R42</f>
        <v>0</v>
      </c>
      <c r="R44" s="144">
        <f>+'Expense Support'!S42</f>
        <v>0</v>
      </c>
      <c r="S44" s="158"/>
      <c r="T44" s="158">
        <f t="shared" si="0"/>
        <v>0</v>
      </c>
      <c r="U44" s="144">
        <f>+'Expense Support'!V42</f>
        <v>-6092</v>
      </c>
      <c r="V44" s="156">
        <f t="shared" si="1"/>
        <v>-6092</v>
      </c>
      <c r="W44" s="158">
        <f t="shared" si="2"/>
        <v>72257</v>
      </c>
    </row>
    <row r="45" spans="1:23">
      <c r="A45" s="132">
        <f t="shared" si="3"/>
        <v>37</v>
      </c>
      <c r="B45" s="58" t="s">
        <v>46</v>
      </c>
      <c r="C45" s="144">
        <f>+'Expense Support'!D43</f>
        <v>1451241</v>
      </c>
      <c r="D45" s="144">
        <f>+'Expense Support'!E43</f>
        <v>0</v>
      </c>
      <c r="E45" s="144">
        <f>+'Expense Support'!F43</f>
        <v>0</v>
      </c>
      <c r="F45" s="144">
        <f>+'Expense Support'!G43</f>
        <v>0</v>
      </c>
      <c r="G45" s="144">
        <f>+'Expense Support'!H43</f>
        <v>0</v>
      </c>
      <c r="H45" s="144">
        <f>+'Expense Support'!I43</f>
        <v>0</v>
      </c>
      <c r="I45" s="144">
        <f>+'Expense Support'!J43</f>
        <v>0</v>
      </c>
      <c r="J45" s="144">
        <f>+'Expense Support'!K43</f>
        <v>0</v>
      </c>
      <c r="K45" s="144">
        <f>+'Expense Support'!L43</f>
        <v>0</v>
      </c>
      <c r="L45" s="144">
        <f>+'Expense Support'!M43</f>
        <v>0</v>
      </c>
      <c r="M45" s="144">
        <f>+'Expense Support'!N43</f>
        <v>0</v>
      </c>
      <c r="N45" s="144">
        <f>+'Expense Support'!O43</f>
        <v>0</v>
      </c>
      <c r="O45" s="144">
        <f>+'Expense Support'!P43</f>
        <v>0</v>
      </c>
      <c r="P45" s="144">
        <f>+'Expense Support'!Q43</f>
        <v>0</v>
      </c>
      <c r="Q45" s="144">
        <f>+'Expense Support'!R43</f>
        <v>0</v>
      </c>
      <c r="R45" s="144">
        <f>+'Expense Support'!S43</f>
        <v>0</v>
      </c>
      <c r="S45" s="158"/>
      <c r="T45" s="158">
        <f t="shared" si="0"/>
        <v>0</v>
      </c>
      <c r="U45" s="144">
        <f>+'Expense Support'!V43</f>
        <v>-112846</v>
      </c>
      <c r="V45" s="156">
        <f t="shared" si="1"/>
        <v>-112846</v>
      </c>
      <c r="W45" s="158">
        <f t="shared" si="2"/>
        <v>1338395</v>
      </c>
    </row>
    <row r="46" spans="1:23">
      <c r="A46" s="132">
        <f t="shared" si="3"/>
        <v>38</v>
      </c>
      <c r="B46" s="58" t="s">
        <v>47</v>
      </c>
      <c r="C46" s="144">
        <f>+'Expense Support'!D44</f>
        <v>30301</v>
      </c>
      <c r="D46" s="144">
        <f>+'Expense Support'!E44</f>
        <v>0</v>
      </c>
      <c r="E46" s="144">
        <f>+'Expense Support'!F44</f>
        <v>0</v>
      </c>
      <c r="F46" s="144">
        <f>+'Expense Support'!G44</f>
        <v>0</v>
      </c>
      <c r="G46" s="144">
        <f>+'Expense Support'!H44</f>
        <v>0</v>
      </c>
      <c r="H46" s="144">
        <f>+'Expense Support'!I44</f>
        <v>0</v>
      </c>
      <c r="I46" s="144">
        <f>+'Expense Support'!J44</f>
        <v>0</v>
      </c>
      <c r="J46" s="144">
        <f>+'Expense Support'!K44</f>
        <v>0</v>
      </c>
      <c r="K46" s="144">
        <f>+'Expense Support'!L44</f>
        <v>0</v>
      </c>
      <c r="L46" s="144">
        <f>+'Expense Support'!M44</f>
        <v>0</v>
      </c>
      <c r="M46" s="144">
        <f>+'Expense Support'!N44</f>
        <v>0</v>
      </c>
      <c r="N46" s="144">
        <f>+'Expense Support'!O44</f>
        <v>0</v>
      </c>
      <c r="O46" s="144">
        <f>+'Expense Support'!P44</f>
        <v>0</v>
      </c>
      <c r="P46" s="144">
        <f>+'Expense Support'!Q44</f>
        <v>0</v>
      </c>
      <c r="Q46" s="144">
        <f>+'Expense Support'!R44</f>
        <v>0</v>
      </c>
      <c r="R46" s="144">
        <f>+'Expense Support'!S44</f>
        <v>0</v>
      </c>
      <c r="S46" s="158"/>
      <c r="T46" s="158">
        <f t="shared" si="0"/>
        <v>0</v>
      </c>
      <c r="U46" s="144">
        <f>+'Expense Support'!V44</f>
        <v>-2356</v>
      </c>
      <c r="V46" s="156">
        <f t="shared" si="1"/>
        <v>-2356</v>
      </c>
      <c r="W46" s="158">
        <f t="shared" si="2"/>
        <v>27945</v>
      </c>
    </row>
    <row r="47" spans="1:23">
      <c r="A47" s="132">
        <f t="shared" si="3"/>
        <v>39</v>
      </c>
      <c r="B47" s="58" t="s">
        <v>61</v>
      </c>
      <c r="C47" s="144">
        <f>+'Expense Support'!D45</f>
        <v>256623</v>
      </c>
      <c r="D47" s="144">
        <f>+'Expense Support'!E45</f>
        <v>0</v>
      </c>
      <c r="E47" s="144">
        <f>+'Expense Support'!F45</f>
        <v>0</v>
      </c>
      <c r="F47" s="144">
        <f>+'Expense Support'!G45</f>
        <v>0</v>
      </c>
      <c r="G47" s="144">
        <f>+'Expense Support'!H45</f>
        <v>0</v>
      </c>
      <c r="H47" s="144">
        <f>+'Expense Support'!I45</f>
        <v>0</v>
      </c>
      <c r="I47" s="144">
        <f>+'Expense Support'!J45</f>
        <v>0</v>
      </c>
      <c r="J47" s="144">
        <f>+'Expense Support'!K45</f>
        <v>0</v>
      </c>
      <c r="K47" s="144">
        <f>+'Expense Support'!L45</f>
        <v>0</v>
      </c>
      <c r="L47" s="144">
        <f>+'Expense Support'!M45</f>
        <v>0</v>
      </c>
      <c r="M47" s="144">
        <f>+'Expense Support'!N45</f>
        <v>0</v>
      </c>
      <c r="N47" s="144">
        <f>+'Expense Support'!O45</f>
        <v>0</v>
      </c>
      <c r="O47" s="144">
        <f>+'Expense Support'!P45</f>
        <v>0</v>
      </c>
      <c r="P47" s="144">
        <f>+'Expense Support'!Q45</f>
        <v>0</v>
      </c>
      <c r="Q47" s="144">
        <f>+'Expense Support'!R45</f>
        <v>0</v>
      </c>
      <c r="R47" s="144">
        <f>+'Expense Support'!S45</f>
        <v>0</v>
      </c>
      <c r="S47" s="158"/>
      <c r="T47" s="158">
        <f t="shared" si="0"/>
        <v>0</v>
      </c>
      <c r="U47" s="144">
        <f>+'Expense Support'!V45</f>
        <v>-19955</v>
      </c>
      <c r="V47" s="156">
        <f t="shared" si="1"/>
        <v>-19955</v>
      </c>
      <c r="W47" s="158">
        <f t="shared" si="2"/>
        <v>236668</v>
      </c>
    </row>
    <row r="48" spans="1:23">
      <c r="A48" s="132">
        <f t="shared" si="3"/>
        <v>40</v>
      </c>
      <c r="B48" s="58" t="s">
        <v>35</v>
      </c>
      <c r="C48" s="144">
        <f>+'Expense Support'!D46</f>
        <v>329757</v>
      </c>
      <c r="D48" s="144">
        <f>+'Expense Support'!E46</f>
        <v>0</v>
      </c>
      <c r="E48" s="144">
        <f>+'Expense Support'!F46</f>
        <v>0</v>
      </c>
      <c r="F48" s="144">
        <f>+'Expense Support'!G46</f>
        <v>0</v>
      </c>
      <c r="G48" s="144">
        <f>+'Expense Support'!H46</f>
        <v>0</v>
      </c>
      <c r="H48" s="144">
        <f>+'Expense Support'!I46</f>
        <v>0</v>
      </c>
      <c r="I48" s="144">
        <f>+'Expense Support'!J46</f>
        <v>0</v>
      </c>
      <c r="J48" s="144">
        <f>+'Expense Support'!K46</f>
        <v>0</v>
      </c>
      <c r="K48" s="144">
        <f>+'Expense Support'!L46</f>
        <v>0</v>
      </c>
      <c r="L48" s="144">
        <f>+'Expense Support'!M46</f>
        <v>0</v>
      </c>
      <c r="M48" s="144">
        <f>+'Expense Support'!N46</f>
        <v>0</v>
      </c>
      <c r="N48" s="144">
        <f>+'Expense Support'!O46</f>
        <v>0</v>
      </c>
      <c r="O48" s="144">
        <f>+'Expense Support'!P46</f>
        <v>0</v>
      </c>
      <c r="P48" s="144">
        <f>+'Expense Support'!Q46</f>
        <v>0</v>
      </c>
      <c r="Q48" s="144">
        <f>+'Expense Support'!R46</f>
        <v>309030</v>
      </c>
      <c r="R48" s="144">
        <f>+'Expense Support'!S46</f>
        <v>0</v>
      </c>
      <c r="S48" s="158"/>
      <c r="T48" s="158">
        <f t="shared" si="0"/>
        <v>309030</v>
      </c>
      <c r="U48" s="144">
        <f>+'Expense Support'!V46</f>
        <v>-49671</v>
      </c>
      <c r="V48" s="156">
        <f t="shared" si="1"/>
        <v>259359</v>
      </c>
      <c r="W48" s="158">
        <f t="shared" si="2"/>
        <v>589116</v>
      </c>
    </row>
    <row r="49" spans="1:23">
      <c r="A49" s="132">
        <f t="shared" si="3"/>
        <v>41</v>
      </c>
      <c r="B49" s="58" t="s">
        <v>59</v>
      </c>
      <c r="C49" s="144">
        <f>+'Expense Support'!D47</f>
        <v>1382608</v>
      </c>
      <c r="D49" s="144">
        <f>+'Expense Support'!E47</f>
        <v>0</v>
      </c>
      <c r="E49" s="144">
        <f>+'Expense Support'!F47</f>
        <v>0</v>
      </c>
      <c r="F49" s="144">
        <f>+'Expense Support'!G47</f>
        <v>0</v>
      </c>
      <c r="G49" s="144">
        <f>+'Expense Support'!H47</f>
        <v>0</v>
      </c>
      <c r="H49" s="144">
        <f>+'Expense Support'!I47</f>
        <v>0</v>
      </c>
      <c r="I49" s="144">
        <f>+'Expense Support'!J47</f>
        <v>0</v>
      </c>
      <c r="J49" s="144">
        <f>+'Expense Support'!K47</f>
        <v>0</v>
      </c>
      <c r="K49" s="144">
        <f>+'Expense Support'!L47</f>
        <v>0</v>
      </c>
      <c r="L49" s="144">
        <f>+'Expense Support'!M47</f>
        <v>0</v>
      </c>
      <c r="M49" s="144">
        <f>+'Expense Support'!N47</f>
        <v>0</v>
      </c>
      <c r="N49" s="144">
        <f>+'Expense Support'!O47</f>
        <v>0</v>
      </c>
      <c r="O49" s="144">
        <f>+'Expense Support'!P47</f>
        <v>0</v>
      </c>
      <c r="P49" s="144">
        <f>+'Expense Support'!Q47</f>
        <v>0</v>
      </c>
      <c r="Q49" s="144">
        <f>+'Expense Support'!R47</f>
        <v>0</v>
      </c>
      <c r="R49" s="144">
        <f>+'Expense Support'!S47</f>
        <v>0</v>
      </c>
      <c r="S49" s="158"/>
      <c r="T49" s="158">
        <f t="shared" si="0"/>
        <v>0</v>
      </c>
      <c r="U49" s="144">
        <f>+'Expense Support'!V47</f>
        <v>-107509</v>
      </c>
      <c r="V49" s="156">
        <f t="shared" si="1"/>
        <v>-107509</v>
      </c>
      <c r="W49" s="158">
        <f t="shared" si="2"/>
        <v>1275099</v>
      </c>
    </row>
    <row r="50" spans="1:23">
      <c r="A50" s="132">
        <f t="shared" si="3"/>
        <v>42</v>
      </c>
      <c r="B50" s="58" t="s">
        <v>60</v>
      </c>
      <c r="C50" s="144">
        <f>+'Expense Support'!D48</f>
        <v>42391</v>
      </c>
      <c r="D50" s="144">
        <f>+'Expense Support'!E48</f>
        <v>0</v>
      </c>
      <c r="E50" s="144">
        <f>+'Expense Support'!F48</f>
        <v>0</v>
      </c>
      <c r="F50" s="144">
        <f>+'Expense Support'!G48</f>
        <v>0</v>
      </c>
      <c r="G50" s="144">
        <f>+'Expense Support'!H48</f>
        <v>0</v>
      </c>
      <c r="H50" s="144">
        <f>+'Expense Support'!I48</f>
        <v>0</v>
      </c>
      <c r="I50" s="144">
        <f>+'Expense Support'!J48</f>
        <v>0</v>
      </c>
      <c r="J50" s="144">
        <f>+'Expense Support'!K48</f>
        <v>0</v>
      </c>
      <c r="K50" s="144">
        <f>+'Expense Support'!L48</f>
        <v>0</v>
      </c>
      <c r="L50" s="144">
        <f>+'Expense Support'!M48</f>
        <v>0</v>
      </c>
      <c r="M50" s="144">
        <f>+'Expense Support'!N48</f>
        <v>0</v>
      </c>
      <c r="N50" s="144">
        <f>+'Expense Support'!O48</f>
        <v>0</v>
      </c>
      <c r="O50" s="144">
        <f>+'Expense Support'!P48</f>
        <v>0</v>
      </c>
      <c r="P50" s="144">
        <f>+'Expense Support'!Q48</f>
        <v>0</v>
      </c>
      <c r="Q50" s="144">
        <f>+'Expense Support'!R48</f>
        <v>0</v>
      </c>
      <c r="R50" s="144">
        <f>+'Expense Support'!S48</f>
        <v>0</v>
      </c>
      <c r="S50" s="158"/>
      <c r="T50" s="158">
        <f t="shared" si="0"/>
        <v>0</v>
      </c>
      <c r="U50" s="144">
        <f>+'Expense Support'!V48</f>
        <v>-3296</v>
      </c>
      <c r="V50" s="156">
        <f t="shared" si="1"/>
        <v>-3296</v>
      </c>
      <c r="W50" s="158">
        <f t="shared" si="2"/>
        <v>39095</v>
      </c>
    </row>
    <row r="51" spans="1:23">
      <c r="A51" s="132">
        <f t="shared" si="3"/>
        <v>43</v>
      </c>
      <c r="B51" s="58" t="s">
        <v>62</v>
      </c>
      <c r="C51" s="144">
        <f>+'Expense Support'!D49</f>
        <v>51536</v>
      </c>
      <c r="D51" s="144">
        <f>+'Expense Support'!E49</f>
        <v>0</v>
      </c>
      <c r="E51" s="144">
        <f>+'Expense Support'!F49</f>
        <v>0</v>
      </c>
      <c r="F51" s="144">
        <f>+'Expense Support'!G49</f>
        <v>0</v>
      </c>
      <c r="G51" s="144">
        <f>+'Expense Support'!H49</f>
        <v>0</v>
      </c>
      <c r="H51" s="144">
        <f>+'Expense Support'!I49</f>
        <v>0</v>
      </c>
      <c r="I51" s="144">
        <f>+'Expense Support'!J49</f>
        <v>0</v>
      </c>
      <c r="J51" s="144">
        <f>+'Expense Support'!K49</f>
        <v>0</v>
      </c>
      <c r="K51" s="144">
        <f>+'Expense Support'!L49</f>
        <v>0</v>
      </c>
      <c r="L51" s="144">
        <f>+'Expense Support'!M49</f>
        <v>0</v>
      </c>
      <c r="M51" s="144">
        <f>+'Expense Support'!N49</f>
        <v>0</v>
      </c>
      <c r="N51" s="144">
        <f>+'Expense Support'!O49</f>
        <v>0</v>
      </c>
      <c r="O51" s="144">
        <f>+'Expense Support'!P49</f>
        <v>0</v>
      </c>
      <c r="P51" s="144">
        <f>+'Expense Support'!Q49</f>
        <v>0</v>
      </c>
      <c r="Q51" s="144">
        <f>+'Expense Support'!R49</f>
        <v>0</v>
      </c>
      <c r="R51" s="144">
        <f>+'Expense Support'!S49</f>
        <v>0</v>
      </c>
      <c r="S51" s="158"/>
      <c r="T51" s="158">
        <f t="shared" si="0"/>
        <v>0</v>
      </c>
      <c r="U51" s="144">
        <f>+'Expense Support'!V49</f>
        <v>-4007</v>
      </c>
      <c r="V51" s="156">
        <f t="shared" si="1"/>
        <v>-4007</v>
      </c>
      <c r="W51" s="158">
        <f t="shared" si="2"/>
        <v>47529</v>
      </c>
    </row>
    <row r="52" spans="1:23">
      <c r="A52" s="132">
        <f t="shared" si="3"/>
        <v>44</v>
      </c>
      <c r="B52" s="58" t="s">
        <v>63</v>
      </c>
      <c r="C52" s="144">
        <f>+'Expense Support'!D50</f>
        <v>208010</v>
      </c>
      <c r="D52" s="144">
        <f>+'Expense Support'!E50</f>
        <v>0</v>
      </c>
      <c r="E52" s="144">
        <f>+'Expense Support'!F50</f>
        <v>0</v>
      </c>
      <c r="F52" s="144">
        <f>+'Expense Support'!G50</f>
        <v>0</v>
      </c>
      <c r="G52" s="144">
        <f>+'Expense Support'!H50</f>
        <v>0</v>
      </c>
      <c r="H52" s="144">
        <f>+'Expense Support'!I50</f>
        <v>0</v>
      </c>
      <c r="I52" s="144">
        <f>+'Expense Support'!J50</f>
        <v>0</v>
      </c>
      <c r="J52" s="144">
        <f>+'Expense Support'!K50</f>
        <v>-208010</v>
      </c>
      <c r="K52" s="144">
        <f>+'Expense Support'!L50</f>
        <v>0</v>
      </c>
      <c r="L52" s="144">
        <f>+'Expense Support'!M50</f>
        <v>0</v>
      </c>
      <c r="M52" s="144">
        <f>+'Expense Support'!N50</f>
        <v>0</v>
      </c>
      <c r="N52" s="144">
        <f>+'Expense Support'!O50</f>
        <v>0</v>
      </c>
      <c r="O52" s="144">
        <f>+'Expense Support'!P50</f>
        <v>0</v>
      </c>
      <c r="P52" s="144">
        <f>+'Expense Support'!Q50</f>
        <v>0</v>
      </c>
      <c r="Q52" s="144">
        <f>+'Expense Support'!R50</f>
        <v>0</v>
      </c>
      <c r="R52" s="144">
        <f>+'Expense Support'!S50</f>
        <v>0</v>
      </c>
      <c r="S52" s="158"/>
      <c r="T52" s="158">
        <f t="shared" si="0"/>
        <v>-208010</v>
      </c>
      <c r="U52" s="144">
        <f>+'Expense Support'!V50</f>
        <v>0</v>
      </c>
      <c r="V52" s="156">
        <f t="shared" si="1"/>
        <v>-208010</v>
      </c>
      <c r="W52" s="158">
        <f t="shared" si="2"/>
        <v>0</v>
      </c>
    </row>
    <row r="53" spans="1:23">
      <c r="A53" s="132">
        <f t="shared" si="3"/>
        <v>45</v>
      </c>
      <c r="B53" s="58" t="s">
        <v>64</v>
      </c>
      <c r="C53" s="144">
        <f>+'Expense Support'!D51</f>
        <v>4457</v>
      </c>
      <c r="D53" s="144">
        <f>+'Expense Support'!E51</f>
        <v>0</v>
      </c>
      <c r="E53" s="144">
        <f>+'Expense Support'!F51</f>
        <v>0</v>
      </c>
      <c r="F53" s="144">
        <f>+'Expense Support'!G51</f>
        <v>0</v>
      </c>
      <c r="G53" s="144">
        <f>+'Expense Support'!H51</f>
        <v>0</v>
      </c>
      <c r="H53" s="144">
        <f>+'Expense Support'!I51</f>
        <v>0</v>
      </c>
      <c r="I53" s="144">
        <f>+'Expense Support'!J51</f>
        <v>0</v>
      </c>
      <c r="J53" s="144">
        <f>+'Expense Support'!K51</f>
        <v>0</v>
      </c>
      <c r="K53" s="144">
        <f>+'Expense Support'!L51</f>
        <v>0</v>
      </c>
      <c r="L53" s="144">
        <f>+'Expense Support'!M51</f>
        <v>0</v>
      </c>
      <c r="M53" s="144">
        <f>+'Expense Support'!N51</f>
        <v>0</v>
      </c>
      <c r="N53" s="144">
        <f>+'Expense Support'!O51</f>
        <v>0</v>
      </c>
      <c r="O53" s="144">
        <f>+'Expense Support'!P51</f>
        <v>0</v>
      </c>
      <c r="P53" s="144">
        <f>+'Expense Support'!Q51</f>
        <v>0</v>
      </c>
      <c r="Q53" s="144">
        <f>+'Expense Support'!R51</f>
        <v>0</v>
      </c>
      <c r="R53" s="144">
        <f>+'Expense Support'!S51</f>
        <v>0</v>
      </c>
      <c r="S53" s="158"/>
      <c r="T53" s="158">
        <f t="shared" si="0"/>
        <v>0</v>
      </c>
      <c r="U53" s="144">
        <f>+'Expense Support'!V51</f>
        <v>-347</v>
      </c>
      <c r="V53" s="156">
        <f t="shared" si="1"/>
        <v>-347</v>
      </c>
      <c r="W53" s="158">
        <f t="shared" si="2"/>
        <v>4110</v>
      </c>
    </row>
    <row r="54" spans="1:23">
      <c r="A54" s="132">
        <f t="shared" si="3"/>
        <v>46</v>
      </c>
      <c r="B54" s="58" t="s">
        <v>71</v>
      </c>
      <c r="C54" s="144">
        <f>+'Expense Support'!D52</f>
        <v>525945</v>
      </c>
      <c r="D54" s="144">
        <f>+'Expense Support'!E52</f>
        <v>0</v>
      </c>
      <c r="E54" s="144">
        <f>+'Expense Support'!F52</f>
        <v>0</v>
      </c>
      <c r="F54" s="144">
        <f>+'Expense Support'!G52</f>
        <v>0</v>
      </c>
      <c r="G54" s="144">
        <f>+'Expense Support'!H52</f>
        <v>-525945</v>
      </c>
      <c r="H54" s="144">
        <f>+'Expense Support'!I52</f>
        <v>0</v>
      </c>
      <c r="I54" s="144">
        <f>+'Expense Support'!J52</f>
        <v>0</v>
      </c>
      <c r="J54" s="144">
        <f>+'Expense Support'!K52</f>
        <v>0</v>
      </c>
      <c r="K54" s="144">
        <f>+'Expense Support'!L52</f>
        <v>0</v>
      </c>
      <c r="L54" s="144">
        <f>+'Expense Support'!M52</f>
        <v>0</v>
      </c>
      <c r="M54" s="144">
        <f>+'Expense Support'!N52</f>
        <v>0</v>
      </c>
      <c r="N54" s="144">
        <f>+'Expense Support'!O52</f>
        <v>0</v>
      </c>
      <c r="O54" s="144">
        <f>+'Expense Support'!P52</f>
        <v>0</v>
      </c>
      <c r="P54" s="144">
        <f>+'Expense Support'!Q52</f>
        <v>0</v>
      </c>
      <c r="Q54" s="144">
        <f>+'Expense Support'!R52</f>
        <v>0</v>
      </c>
      <c r="R54" s="144">
        <f>+'Expense Support'!S52</f>
        <v>0</v>
      </c>
      <c r="S54" s="158"/>
      <c r="T54" s="158">
        <f t="shared" si="0"/>
        <v>-525945</v>
      </c>
      <c r="U54" s="144">
        <f>+'Expense Support'!V52</f>
        <v>0</v>
      </c>
      <c r="V54" s="156">
        <f t="shared" si="1"/>
        <v>-525945</v>
      </c>
      <c r="W54" s="158">
        <f t="shared" si="2"/>
        <v>0</v>
      </c>
    </row>
    <row r="55" spans="1:23">
      <c r="A55" s="132">
        <f t="shared" si="3"/>
        <v>47</v>
      </c>
      <c r="B55" s="58" t="s">
        <v>72</v>
      </c>
      <c r="C55" s="144">
        <f>+'Expense Support'!D53</f>
        <v>73638</v>
      </c>
      <c r="D55" s="144">
        <f>+'Expense Support'!E53</f>
        <v>0</v>
      </c>
      <c r="E55" s="144">
        <f>+'Expense Support'!F53</f>
        <v>0</v>
      </c>
      <c r="F55" s="144">
        <f>+'Expense Support'!G53</f>
        <v>0</v>
      </c>
      <c r="G55" s="144">
        <f>+'Expense Support'!H53</f>
        <v>0</v>
      </c>
      <c r="H55" s="144">
        <f>+'Expense Support'!I53</f>
        <v>0</v>
      </c>
      <c r="I55" s="144">
        <f>+'Expense Support'!J53</f>
        <v>0</v>
      </c>
      <c r="J55" s="144">
        <f>+'Expense Support'!K53</f>
        <v>0</v>
      </c>
      <c r="K55" s="144">
        <f>+'Expense Support'!L53</f>
        <v>0</v>
      </c>
      <c r="L55" s="144">
        <f>+'Expense Support'!M53</f>
        <v>0</v>
      </c>
      <c r="M55" s="144">
        <f>+'Expense Support'!N53</f>
        <v>0</v>
      </c>
      <c r="N55" s="144">
        <f>+'Expense Support'!O53</f>
        <v>0</v>
      </c>
      <c r="O55" s="144">
        <f>+'Expense Support'!P53</f>
        <v>0</v>
      </c>
      <c r="P55" s="144">
        <f>+'Expense Support'!Q53</f>
        <v>0</v>
      </c>
      <c r="Q55" s="144">
        <f>+'Expense Support'!R53</f>
        <v>0</v>
      </c>
      <c r="R55" s="144">
        <f>+'Expense Support'!S53</f>
        <v>0</v>
      </c>
      <c r="S55" s="158"/>
      <c r="T55" s="158">
        <f t="shared" si="0"/>
        <v>0</v>
      </c>
      <c r="U55" s="144">
        <f>+'Expense Support'!V53</f>
        <v>-5726</v>
      </c>
      <c r="V55" s="156">
        <f t="shared" si="1"/>
        <v>-5726</v>
      </c>
      <c r="W55" s="158">
        <f t="shared" si="2"/>
        <v>67912</v>
      </c>
    </row>
    <row r="56" spans="1:23">
      <c r="A56" s="132">
        <f t="shared" si="3"/>
        <v>48</v>
      </c>
      <c r="B56" s="58" t="s">
        <v>78</v>
      </c>
      <c r="C56" s="144">
        <f>+'Expense Support'!D54</f>
        <v>162776</v>
      </c>
      <c r="D56" s="144">
        <f>+'Expense Support'!E54</f>
        <v>0</v>
      </c>
      <c r="E56" s="144">
        <f>+'Expense Support'!F54</f>
        <v>0</v>
      </c>
      <c r="F56" s="144">
        <f>+'Expense Support'!G54</f>
        <v>0</v>
      </c>
      <c r="G56" s="144">
        <f>+'Expense Support'!H54</f>
        <v>0</v>
      </c>
      <c r="H56" s="144">
        <f>+'Expense Support'!I54</f>
        <v>0</v>
      </c>
      <c r="I56" s="144">
        <f>+'Expense Support'!J54</f>
        <v>0</v>
      </c>
      <c r="J56" s="144">
        <f>+'Expense Support'!K54</f>
        <v>0</v>
      </c>
      <c r="K56" s="144">
        <f>+'Expense Support'!L54</f>
        <v>0</v>
      </c>
      <c r="L56" s="144">
        <f>+'Expense Support'!M54</f>
        <v>0</v>
      </c>
      <c r="M56" s="144">
        <f>+'Expense Support'!N54</f>
        <v>-162776</v>
      </c>
      <c r="N56" s="144">
        <f>+'Expense Support'!O54</f>
        <v>0</v>
      </c>
      <c r="O56" s="144">
        <f>+'Expense Support'!P54</f>
        <v>0</v>
      </c>
      <c r="P56" s="144">
        <f>+'Expense Support'!Q54</f>
        <v>0</v>
      </c>
      <c r="Q56" s="144">
        <f>+'Expense Support'!R54</f>
        <v>0</v>
      </c>
      <c r="R56" s="144">
        <f>+'Expense Support'!S54</f>
        <v>0</v>
      </c>
      <c r="S56" s="158"/>
      <c r="T56" s="158">
        <f t="shared" si="0"/>
        <v>-162776</v>
      </c>
      <c r="U56" s="144">
        <f>+'Expense Support'!V54</f>
        <v>0</v>
      </c>
      <c r="V56" s="156">
        <f t="shared" si="1"/>
        <v>-162776</v>
      </c>
      <c r="W56" s="158">
        <f t="shared" si="2"/>
        <v>0</v>
      </c>
    </row>
    <row r="57" spans="1:23">
      <c r="A57" s="132">
        <f t="shared" si="3"/>
        <v>49</v>
      </c>
      <c r="B57" s="58" t="s">
        <v>84</v>
      </c>
      <c r="C57" s="144">
        <f>+'Expense Support'!D55</f>
        <v>130443.00000000001</v>
      </c>
      <c r="D57" s="144">
        <f>+'Expense Support'!E55</f>
        <v>-130443</v>
      </c>
      <c r="E57" s="144">
        <f>+'Expense Support'!F55</f>
        <v>0</v>
      </c>
      <c r="F57" s="144">
        <f>+'Expense Support'!G55</f>
        <v>0</v>
      </c>
      <c r="G57" s="144">
        <f>+'Expense Support'!H55</f>
        <v>0</v>
      </c>
      <c r="H57" s="144">
        <f>+'Expense Support'!I55</f>
        <v>0</v>
      </c>
      <c r="I57" s="144">
        <f>+'Expense Support'!J55</f>
        <v>0</v>
      </c>
      <c r="J57" s="144">
        <f>+'Expense Support'!K55</f>
        <v>0</v>
      </c>
      <c r="K57" s="144">
        <f>+'Expense Support'!L55</f>
        <v>0</v>
      </c>
      <c r="L57" s="144">
        <f>+'Expense Support'!M55</f>
        <v>0</v>
      </c>
      <c r="M57" s="144">
        <f>+'Expense Support'!N55</f>
        <v>0</v>
      </c>
      <c r="N57" s="144">
        <f>+'Expense Support'!O55</f>
        <v>0</v>
      </c>
      <c r="O57" s="144">
        <f>+'Expense Support'!P55</f>
        <v>0</v>
      </c>
      <c r="P57" s="144">
        <f>+'Expense Support'!Q55</f>
        <v>0</v>
      </c>
      <c r="Q57" s="144">
        <f>+'Expense Support'!R55</f>
        <v>0</v>
      </c>
      <c r="R57" s="144">
        <f>+'Expense Support'!S55</f>
        <v>0</v>
      </c>
      <c r="S57" s="158"/>
      <c r="T57" s="158">
        <f t="shared" si="0"/>
        <v>-130443</v>
      </c>
      <c r="U57" s="144">
        <f>+'Expense Support'!V55</f>
        <v>0</v>
      </c>
      <c r="V57" s="156">
        <f t="shared" si="1"/>
        <v>-130443</v>
      </c>
      <c r="W57" s="158">
        <f t="shared" si="2"/>
        <v>0</v>
      </c>
    </row>
    <row r="58" spans="1:23">
      <c r="A58" s="132">
        <f t="shared" si="3"/>
        <v>50</v>
      </c>
      <c r="B58" s="60" t="s">
        <v>97</v>
      </c>
      <c r="C58" s="144">
        <f>+'Expense Support'!D56</f>
        <v>0</v>
      </c>
      <c r="D58" s="144">
        <f>+'Expense Support'!E56</f>
        <v>0</v>
      </c>
      <c r="E58" s="144">
        <f>+'Expense Support'!F56</f>
        <v>203822</v>
      </c>
      <c r="F58" s="144">
        <f>+'Expense Support'!G56</f>
        <v>0</v>
      </c>
      <c r="G58" s="144">
        <f>+'Expense Support'!H56</f>
        <v>0</v>
      </c>
      <c r="H58" s="144">
        <f>+'Expense Support'!I56</f>
        <v>0</v>
      </c>
      <c r="I58" s="144">
        <f>+'Expense Support'!J56</f>
        <v>0</v>
      </c>
      <c r="J58" s="144">
        <f>+'Expense Support'!K56</f>
        <v>0</v>
      </c>
      <c r="K58" s="144">
        <f>+'Expense Support'!L56</f>
        <v>0</v>
      </c>
      <c r="L58" s="144">
        <f>+'Expense Support'!M56</f>
        <v>0</v>
      </c>
      <c r="M58" s="144">
        <f>+'Expense Support'!N56</f>
        <v>0</v>
      </c>
      <c r="N58" s="144">
        <f>+'Expense Support'!O56</f>
        <v>0</v>
      </c>
      <c r="O58" s="144">
        <f>+'Expense Support'!P56</f>
        <v>0</v>
      </c>
      <c r="P58" s="144">
        <f>+'Expense Support'!Q56</f>
        <v>0</v>
      </c>
      <c r="Q58" s="144">
        <f>+'Expense Support'!R56</f>
        <v>0</v>
      </c>
      <c r="R58" s="144">
        <f>+'Expense Support'!S56</f>
        <v>0</v>
      </c>
      <c r="S58" s="158"/>
      <c r="T58" s="158">
        <f t="shared" si="0"/>
        <v>203822</v>
      </c>
      <c r="U58" s="144">
        <f>+'Expense Support'!V56</f>
        <v>-15849</v>
      </c>
      <c r="V58" s="156">
        <f t="shared" si="1"/>
        <v>187973</v>
      </c>
      <c r="W58" s="158">
        <f t="shared" si="2"/>
        <v>187973</v>
      </c>
    </row>
    <row r="59" spans="1:23">
      <c r="A59" s="132">
        <f t="shared" si="3"/>
        <v>51</v>
      </c>
      <c r="B59" s="60" t="s">
        <v>98</v>
      </c>
      <c r="C59" s="144">
        <f>+'Expense Support'!D57</f>
        <v>0</v>
      </c>
      <c r="D59" s="144">
        <f>+'Expense Support'!E57</f>
        <v>0</v>
      </c>
      <c r="E59" s="144">
        <f>+'Expense Support'!F57</f>
        <v>0</v>
      </c>
      <c r="F59" s="144">
        <f>+'Expense Support'!G57</f>
        <v>384714</v>
      </c>
      <c r="G59" s="144">
        <f>+'Expense Support'!H57</f>
        <v>0</v>
      </c>
      <c r="H59" s="144">
        <f>+'Expense Support'!I57</f>
        <v>0</v>
      </c>
      <c r="I59" s="144">
        <f>+'Expense Support'!J57</f>
        <v>0</v>
      </c>
      <c r="J59" s="144">
        <f>+'Expense Support'!K57</f>
        <v>0</v>
      </c>
      <c r="K59" s="144">
        <f>+'Expense Support'!L57</f>
        <v>0</v>
      </c>
      <c r="L59" s="144">
        <f>+'Expense Support'!M57</f>
        <v>0</v>
      </c>
      <c r="M59" s="144">
        <f>+'Expense Support'!N57</f>
        <v>0</v>
      </c>
      <c r="N59" s="144">
        <f>+'Expense Support'!O57</f>
        <v>0</v>
      </c>
      <c r="O59" s="144">
        <f>+'Expense Support'!P57</f>
        <v>0</v>
      </c>
      <c r="P59" s="144">
        <f>+'Expense Support'!Q57</f>
        <v>0</v>
      </c>
      <c r="Q59" s="144">
        <f>+'Expense Support'!R57</f>
        <v>0</v>
      </c>
      <c r="R59" s="144">
        <f>+'Expense Support'!S57</f>
        <v>0</v>
      </c>
      <c r="S59" s="158"/>
      <c r="T59" s="158">
        <f t="shared" si="0"/>
        <v>384714</v>
      </c>
      <c r="U59" s="144">
        <f>+'Expense Support'!V57</f>
        <v>-29915</v>
      </c>
      <c r="V59" s="156">
        <f t="shared" si="1"/>
        <v>354799</v>
      </c>
      <c r="W59" s="158">
        <f t="shared" si="2"/>
        <v>354799</v>
      </c>
    </row>
    <row r="60" spans="1:23">
      <c r="A60" s="132">
        <f t="shared" si="3"/>
        <v>52</v>
      </c>
      <c r="B60" s="60" t="s">
        <v>99</v>
      </c>
      <c r="C60" s="144">
        <f>+'Expense Support'!D58</f>
        <v>0</v>
      </c>
      <c r="D60" s="144">
        <f>+'Expense Support'!E58</f>
        <v>0</v>
      </c>
      <c r="E60" s="144">
        <f>+'Expense Support'!F58</f>
        <v>0</v>
      </c>
      <c r="F60" s="144">
        <f>+'Expense Support'!G58</f>
        <v>0</v>
      </c>
      <c r="G60" s="144">
        <f>+'Expense Support'!H58</f>
        <v>0</v>
      </c>
      <c r="H60" s="144">
        <f>+'Expense Support'!I58</f>
        <v>0</v>
      </c>
      <c r="I60" s="144">
        <f>+'Expense Support'!J58</f>
        <v>0</v>
      </c>
      <c r="J60" s="144">
        <f>+'Expense Support'!K58</f>
        <v>0</v>
      </c>
      <c r="K60" s="144">
        <f>+'Expense Support'!L58</f>
        <v>0</v>
      </c>
      <c r="L60" s="144">
        <f>+'Expense Support'!M58</f>
        <v>0</v>
      </c>
      <c r="M60" s="144">
        <f>+'Expense Support'!N58</f>
        <v>0</v>
      </c>
      <c r="N60" s="144">
        <f>+'Expense Support'!O58</f>
        <v>0</v>
      </c>
      <c r="O60" s="144">
        <f>+'Expense Support'!P58</f>
        <v>0</v>
      </c>
      <c r="P60" s="144">
        <f>+'Expense Support'!Q58</f>
        <v>0</v>
      </c>
      <c r="Q60" s="144">
        <f>+'Expense Support'!R58</f>
        <v>0</v>
      </c>
      <c r="R60" s="144">
        <f>+'Expense Support'!S58</f>
        <v>170464</v>
      </c>
      <c r="S60" s="158"/>
      <c r="T60" s="158">
        <f t="shared" si="0"/>
        <v>170464</v>
      </c>
      <c r="U60" s="144">
        <f>+'Expense Support'!V58</f>
        <v>-13255</v>
      </c>
      <c r="V60" s="156">
        <f t="shared" si="1"/>
        <v>157209</v>
      </c>
      <c r="W60" s="158">
        <f t="shared" si="2"/>
        <v>157209</v>
      </c>
    </row>
    <row r="61" spans="1:23">
      <c r="A61" s="132">
        <f t="shared" si="3"/>
        <v>53</v>
      </c>
      <c r="B61" s="63" t="s">
        <v>100</v>
      </c>
      <c r="C61" s="146">
        <f>SUM(C10:C60)</f>
        <v>54159116.200000003</v>
      </c>
      <c r="D61" s="146">
        <f t="shared" ref="D61:W61" si="4">SUM(D10:D60)</f>
        <v>-130443</v>
      </c>
      <c r="E61" s="146">
        <f t="shared" si="4"/>
        <v>203822</v>
      </c>
      <c r="F61" s="146">
        <f t="shared" si="4"/>
        <v>384714</v>
      </c>
      <c r="G61" s="146">
        <f t="shared" si="4"/>
        <v>-525945</v>
      </c>
      <c r="H61" s="146">
        <f t="shared" si="4"/>
        <v>-23614</v>
      </c>
      <c r="I61" s="146">
        <f t="shared" si="4"/>
        <v>0</v>
      </c>
      <c r="J61" s="146">
        <f t="shared" si="4"/>
        <v>-208010</v>
      </c>
      <c r="K61" s="146">
        <f t="shared" si="4"/>
        <v>-204285.6</v>
      </c>
      <c r="L61" s="146">
        <f t="shared" si="4"/>
        <v>0</v>
      </c>
      <c r="M61" s="146">
        <f t="shared" si="4"/>
        <v>-162776</v>
      </c>
      <c r="N61" s="146">
        <f t="shared" si="4"/>
        <v>0</v>
      </c>
      <c r="O61" s="146">
        <f t="shared" si="4"/>
        <v>0</v>
      </c>
      <c r="P61" s="146">
        <f t="shared" si="4"/>
        <v>0</v>
      </c>
      <c r="Q61" s="146">
        <f t="shared" si="4"/>
        <v>912667</v>
      </c>
      <c r="R61" s="146">
        <f t="shared" si="4"/>
        <v>170464</v>
      </c>
      <c r="S61" s="146">
        <f t="shared" si="4"/>
        <v>0</v>
      </c>
      <c r="T61" s="146">
        <f t="shared" si="4"/>
        <v>416593.4</v>
      </c>
      <c r="U61" s="146">
        <f t="shared" si="4"/>
        <v>-4243705</v>
      </c>
      <c r="V61" s="146">
        <f t="shared" si="4"/>
        <v>-3827111.5999999996</v>
      </c>
      <c r="W61" s="146">
        <f t="shared" si="4"/>
        <v>50332004.600000001</v>
      </c>
    </row>
    <row r="62" spans="1:23">
      <c r="A62" s="63"/>
      <c r="B62" s="63"/>
      <c r="C62" s="146"/>
      <c r="D62" s="146"/>
      <c r="E62" s="146"/>
      <c r="F62" s="146"/>
      <c r="G62" s="146"/>
      <c r="H62" s="146"/>
      <c r="I62" s="146"/>
      <c r="J62" s="146"/>
      <c r="K62" s="146"/>
      <c r="L62" s="146"/>
      <c r="M62" s="146"/>
      <c r="N62" s="146"/>
      <c r="O62" s="146"/>
      <c r="P62" s="146"/>
      <c r="Q62" s="146"/>
      <c r="R62" s="146"/>
      <c r="S62" s="146"/>
      <c r="T62" s="146"/>
      <c r="U62" s="146"/>
      <c r="V62" s="146"/>
      <c r="W62" s="146"/>
    </row>
    <row r="63" spans="1:23">
      <c r="A63" s="132">
        <f>1+A61</f>
        <v>54</v>
      </c>
      <c r="B63" s="58" t="s">
        <v>102</v>
      </c>
      <c r="C63" s="144">
        <f>+'Expense Support'!D61</f>
        <v>-5532834</v>
      </c>
      <c r="D63" s="144">
        <f>+'Expense Support'!E61</f>
        <v>0</v>
      </c>
      <c r="E63" s="144">
        <f>+'Expense Support'!F61</f>
        <v>0</v>
      </c>
      <c r="F63" s="144">
        <f>+'Expense Support'!G61</f>
        <v>0</v>
      </c>
      <c r="G63" s="144">
        <f>+'Expense Support'!H61</f>
        <v>0</v>
      </c>
      <c r="H63" s="144">
        <f>+'Expense Support'!I61</f>
        <v>0</v>
      </c>
      <c r="I63" s="144">
        <f>+'Expense Support'!J61</f>
        <v>0</v>
      </c>
      <c r="J63" s="144">
        <f>+'Expense Support'!K61</f>
        <v>0</v>
      </c>
      <c r="K63" s="144">
        <f>+'Expense Support'!L61</f>
        <v>0</v>
      </c>
      <c r="L63" s="144">
        <f>+'Expense Support'!M61</f>
        <v>0</v>
      </c>
      <c r="M63" s="144">
        <f>+'Expense Support'!N61</f>
        <v>0</v>
      </c>
      <c r="N63" s="144">
        <f>+'Expense Support'!O61</f>
        <v>0</v>
      </c>
      <c r="O63" s="144">
        <f>+'Expense Support'!P61</f>
        <v>0</v>
      </c>
      <c r="P63" s="144">
        <f>+'Expense Support'!Q61</f>
        <v>5532834</v>
      </c>
      <c r="Q63" s="144">
        <f>+'Expense Support'!R61</f>
        <v>0</v>
      </c>
      <c r="R63" s="144">
        <f>+'Expense Support'!S61</f>
        <v>0</v>
      </c>
      <c r="S63" s="144">
        <f>+'Expense Support'!T61</f>
        <v>0</v>
      </c>
      <c r="T63" s="158">
        <f t="shared" ref="T63:T106" si="5">SUM(D63:R63)</f>
        <v>5532834</v>
      </c>
      <c r="U63" s="144">
        <f>+'Expense Support'!V61</f>
        <v>0</v>
      </c>
      <c r="V63" s="156">
        <f t="shared" ref="V63:V106" si="6">+U63+T63</f>
        <v>5532834</v>
      </c>
      <c r="W63" s="158">
        <f t="shared" ref="W63:W106" si="7">+T63+U63+C63</f>
        <v>0</v>
      </c>
    </row>
    <row r="64" spans="1:23">
      <c r="A64" s="132">
        <f>1+A63</f>
        <v>55</v>
      </c>
      <c r="B64" s="65" t="s">
        <v>111</v>
      </c>
      <c r="C64" s="144">
        <f>+'Expense Support'!D62</f>
        <v>-39930</v>
      </c>
      <c r="D64" s="144">
        <f>+'Expense Support'!E62</f>
        <v>0</v>
      </c>
      <c r="E64" s="144">
        <f>+'Expense Support'!F62</f>
        <v>0</v>
      </c>
      <c r="F64" s="144">
        <f>+'Expense Support'!G62</f>
        <v>0</v>
      </c>
      <c r="G64" s="144">
        <f>+'Expense Support'!H62</f>
        <v>0</v>
      </c>
      <c r="H64" s="144">
        <f>+'Expense Support'!I62</f>
        <v>0</v>
      </c>
      <c r="I64" s="144">
        <f>+'Expense Support'!J62</f>
        <v>0</v>
      </c>
      <c r="J64" s="144">
        <f>+'Expense Support'!K62</f>
        <v>0</v>
      </c>
      <c r="K64" s="144">
        <f>+'Expense Support'!L62</f>
        <v>0</v>
      </c>
      <c r="L64" s="144">
        <f>+'Expense Support'!M62</f>
        <v>0</v>
      </c>
      <c r="M64" s="144">
        <f>+'Expense Support'!N62</f>
        <v>0</v>
      </c>
      <c r="N64" s="144">
        <f>+'Expense Support'!O62</f>
        <v>0</v>
      </c>
      <c r="O64" s="144">
        <f>+'Expense Support'!P62</f>
        <v>0</v>
      </c>
      <c r="P64" s="144">
        <f>+'Expense Support'!Q62</f>
        <v>0</v>
      </c>
      <c r="Q64" s="144">
        <f>+'Expense Support'!R62</f>
        <v>0</v>
      </c>
      <c r="R64" s="144">
        <f>+'Expense Support'!S62</f>
        <v>0</v>
      </c>
      <c r="S64" s="144">
        <f>+'Expense Support'!T62</f>
        <v>0</v>
      </c>
      <c r="T64" s="158">
        <f t="shared" si="5"/>
        <v>0</v>
      </c>
      <c r="U64" s="144">
        <f>+'Expense Support'!V62</f>
        <v>3105</v>
      </c>
      <c r="V64" s="156">
        <f t="shared" si="6"/>
        <v>3105</v>
      </c>
      <c r="W64" s="158">
        <f t="shared" si="7"/>
        <v>-36825</v>
      </c>
    </row>
    <row r="65" spans="1:23">
      <c r="A65" s="132">
        <f t="shared" ref="A65:A107" si="8">1+A64</f>
        <v>56</v>
      </c>
      <c r="B65" s="65" t="s">
        <v>48</v>
      </c>
      <c r="C65" s="144">
        <f>+'Expense Support'!D63</f>
        <v>-17.3</v>
      </c>
      <c r="D65" s="144">
        <f>+'Expense Support'!E63</f>
        <v>0</v>
      </c>
      <c r="E65" s="144">
        <f>+'Expense Support'!F63</f>
        <v>0</v>
      </c>
      <c r="F65" s="144">
        <f>+'Expense Support'!G63</f>
        <v>0</v>
      </c>
      <c r="G65" s="144">
        <f>+'Expense Support'!H63</f>
        <v>0</v>
      </c>
      <c r="H65" s="144">
        <f>+'Expense Support'!I63</f>
        <v>0</v>
      </c>
      <c r="I65" s="144">
        <f>+'Expense Support'!J63</f>
        <v>0</v>
      </c>
      <c r="J65" s="144">
        <f>+'Expense Support'!K63</f>
        <v>0</v>
      </c>
      <c r="K65" s="144">
        <f>+'Expense Support'!L63</f>
        <v>0</v>
      </c>
      <c r="L65" s="144">
        <f>+'Expense Support'!M63</f>
        <v>0</v>
      </c>
      <c r="M65" s="144">
        <f>+'Expense Support'!N63</f>
        <v>0</v>
      </c>
      <c r="N65" s="144">
        <f>+'Expense Support'!O63</f>
        <v>0</v>
      </c>
      <c r="O65" s="144">
        <f>+'Expense Support'!P63</f>
        <v>0</v>
      </c>
      <c r="P65" s="144">
        <f>+'Expense Support'!Q63</f>
        <v>0</v>
      </c>
      <c r="Q65" s="144">
        <f>+'Expense Support'!R63</f>
        <v>0</v>
      </c>
      <c r="R65" s="144">
        <f>+'Expense Support'!S63</f>
        <v>0</v>
      </c>
      <c r="S65" s="144">
        <f>+'Expense Support'!T63</f>
        <v>0</v>
      </c>
      <c r="T65" s="158">
        <f t="shared" si="5"/>
        <v>0</v>
      </c>
      <c r="U65" s="144">
        <f>+'Expense Support'!V63</f>
        <v>1</v>
      </c>
      <c r="V65" s="156">
        <f t="shared" si="6"/>
        <v>1</v>
      </c>
      <c r="W65" s="158">
        <f t="shared" si="7"/>
        <v>-16.3</v>
      </c>
    </row>
    <row r="66" spans="1:23">
      <c r="A66" s="132">
        <f t="shared" si="8"/>
        <v>57</v>
      </c>
      <c r="B66" s="65" t="s">
        <v>118</v>
      </c>
      <c r="C66" s="144">
        <f>+'Expense Support'!D64</f>
        <v>-302.39999999999998</v>
      </c>
      <c r="D66" s="144">
        <f>+'Expense Support'!E64</f>
        <v>0</v>
      </c>
      <c r="E66" s="144">
        <f>+'Expense Support'!F64</f>
        <v>0</v>
      </c>
      <c r="F66" s="144">
        <f>+'Expense Support'!G64</f>
        <v>0</v>
      </c>
      <c r="G66" s="144">
        <f>+'Expense Support'!H64</f>
        <v>0</v>
      </c>
      <c r="H66" s="144">
        <f>+'Expense Support'!I64</f>
        <v>0</v>
      </c>
      <c r="I66" s="144">
        <f>+'Expense Support'!J64</f>
        <v>0</v>
      </c>
      <c r="J66" s="144">
        <f>+'Expense Support'!K64</f>
        <v>0</v>
      </c>
      <c r="K66" s="144">
        <f>+'Expense Support'!L64</f>
        <v>302.39999999999998</v>
      </c>
      <c r="L66" s="144">
        <f>+'Expense Support'!M64</f>
        <v>0</v>
      </c>
      <c r="M66" s="144">
        <f>+'Expense Support'!N64</f>
        <v>0</v>
      </c>
      <c r="N66" s="144">
        <f>+'Expense Support'!O64</f>
        <v>0</v>
      </c>
      <c r="O66" s="144">
        <f>+'Expense Support'!P64</f>
        <v>0</v>
      </c>
      <c r="P66" s="144">
        <f>+'Expense Support'!Q64</f>
        <v>0</v>
      </c>
      <c r="Q66" s="144">
        <f>+'Expense Support'!R64</f>
        <v>0</v>
      </c>
      <c r="R66" s="144">
        <f>+'Expense Support'!S64</f>
        <v>0</v>
      </c>
      <c r="S66" s="144">
        <f>+'Expense Support'!T64</f>
        <v>0</v>
      </c>
      <c r="T66" s="158">
        <f t="shared" si="5"/>
        <v>302.39999999999998</v>
      </c>
      <c r="U66" s="144">
        <f>+'Expense Support'!V64</f>
        <v>0</v>
      </c>
      <c r="V66" s="156">
        <f t="shared" si="6"/>
        <v>302.39999999999998</v>
      </c>
      <c r="W66" s="158">
        <f t="shared" si="7"/>
        <v>0</v>
      </c>
    </row>
    <row r="67" spans="1:23">
      <c r="A67" s="132">
        <f t="shared" si="8"/>
        <v>58</v>
      </c>
      <c r="B67" s="65" t="s">
        <v>119</v>
      </c>
      <c r="C67" s="144">
        <f>+'Expense Support'!D65</f>
        <v>-11516.400000000001</v>
      </c>
      <c r="D67" s="144">
        <f>+'Expense Support'!E65</f>
        <v>0</v>
      </c>
      <c r="E67" s="144">
        <f>+'Expense Support'!F65</f>
        <v>0</v>
      </c>
      <c r="F67" s="144">
        <f>+'Expense Support'!G65</f>
        <v>0</v>
      </c>
      <c r="G67" s="144">
        <f>+'Expense Support'!H65</f>
        <v>0</v>
      </c>
      <c r="H67" s="144">
        <f>+'Expense Support'!I65</f>
        <v>0</v>
      </c>
      <c r="I67" s="144">
        <f>+'Expense Support'!J65</f>
        <v>0</v>
      </c>
      <c r="J67" s="144">
        <f>+'Expense Support'!K65</f>
        <v>0</v>
      </c>
      <c r="K67" s="144">
        <f>+'Expense Support'!L65</f>
        <v>11516.4</v>
      </c>
      <c r="L67" s="144">
        <f>+'Expense Support'!M65</f>
        <v>0</v>
      </c>
      <c r="M67" s="144">
        <f>+'Expense Support'!N65</f>
        <v>0</v>
      </c>
      <c r="N67" s="144">
        <f>+'Expense Support'!O65</f>
        <v>0</v>
      </c>
      <c r="O67" s="144">
        <f>+'Expense Support'!P65</f>
        <v>0</v>
      </c>
      <c r="P67" s="144">
        <f>+'Expense Support'!Q65</f>
        <v>0</v>
      </c>
      <c r="Q67" s="144">
        <f>+'Expense Support'!R65</f>
        <v>0</v>
      </c>
      <c r="R67" s="144">
        <f>+'Expense Support'!S65</f>
        <v>0</v>
      </c>
      <c r="S67" s="144">
        <f>+'Expense Support'!T65</f>
        <v>0</v>
      </c>
      <c r="T67" s="158">
        <f t="shared" si="5"/>
        <v>11516.4</v>
      </c>
      <c r="U67" s="144">
        <f>+'Expense Support'!V65</f>
        <v>0</v>
      </c>
      <c r="V67" s="156">
        <f t="shared" si="6"/>
        <v>11516.4</v>
      </c>
      <c r="W67" s="158">
        <f t="shared" si="7"/>
        <v>0</v>
      </c>
    </row>
    <row r="68" spans="1:23">
      <c r="A68" s="132">
        <f t="shared" si="8"/>
        <v>59</v>
      </c>
      <c r="B68" s="65" t="s">
        <v>120</v>
      </c>
      <c r="C68" s="144">
        <f>+'Expense Support'!D66</f>
        <v>-14392</v>
      </c>
      <c r="D68" s="144">
        <f>+'Expense Support'!E66</f>
        <v>0</v>
      </c>
      <c r="E68" s="144">
        <f>+'Expense Support'!F66</f>
        <v>0</v>
      </c>
      <c r="F68" s="144">
        <f>+'Expense Support'!G66</f>
        <v>0</v>
      </c>
      <c r="G68" s="144">
        <f>+'Expense Support'!H66</f>
        <v>0</v>
      </c>
      <c r="H68" s="144">
        <f>+'Expense Support'!I66</f>
        <v>0</v>
      </c>
      <c r="I68" s="144">
        <f>+'Expense Support'!J66</f>
        <v>0</v>
      </c>
      <c r="J68" s="144">
        <f>+'Expense Support'!K66</f>
        <v>0</v>
      </c>
      <c r="K68" s="144">
        <f>+'Expense Support'!L66</f>
        <v>14392</v>
      </c>
      <c r="L68" s="144">
        <f>+'Expense Support'!M66</f>
        <v>0</v>
      </c>
      <c r="M68" s="144">
        <f>+'Expense Support'!N66</f>
        <v>0</v>
      </c>
      <c r="N68" s="144">
        <f>+'Expense Support'!O66</f>
        <v>0</v>
      </c>
      <c r="O68" s="144">
        <f>+'Expense Support'!P66</f>
        <v>0</v>
      </c>
      <c r="P68" s="144">
        <f>+'Expense Support'!Q66</f>
        <v>0</v>
      </c>
      <c r="Q68" s="144">
        <f>+'Expense Support'!R66</f>
        <v>0</v>
      </c>
      <c r="R68" s="144">
        <f>+'Expense Support'!S66</f>
        <v>0</v>
      </c>
      <c r="S68" s="144">
        <f>+'Expense Support'!T66</f>
        <v>0</v>
      </c>
      <c r="T68" s="158">
        <f t="shared" si="5"/>
        <v>14392</v>
      </c>
      <c r="U68" s="144">
        <f>+'Expense Support'!V66</f>
        <v>0</v>
      </c>
      <c r="V68" s="156">
        <f t="shared" si="6"/>
        <v>14392</v>
      </c>
      <c r="W68" s="158">
        <f t="shared" si="7"/>
        <v>0</v>
      </c>
    </row>
    <row r="69" spans="1:23">
      <c r="A69" s="132">
        <f t="shared" si="8"/>
        <v>60</v>
      </c>
      <c r="B69" s="65" t="s">
        <v>75</v>
      </c>
      <c r="C69" s="144">
        <f>+'Expense Support'!D67</f>
        <v>-1079</v>
      </c>
      <c r="D69" s="144">
        <f>+'Expense Support'!E67</f>
        <v>0</v>
      </c>
      <c r="E69" s="144">
        <f>+'Expense Support'!F67</f>
        <v>0</v>
      </c>
      <c r="F69" s="144">
        <f>+'Expense Support'!G67</f>
        <v>0</v>
      </c>
      <c r="G69" s="144">
        <f>+'Expense Support'!H67</f>
        <v>0</v>
      </c>
      <c r="H69" s="144">
        <f>+'Expense Support'!I67</f>
        <v>0</v>
      </c>
      <c r="I69" s="144">
        <f>+'Expense Support'!J67</f>
        <v>0</v>
      </c>
      <c r="J69" s="144">
        <f>+'Expense Support'!K67</f>
        <v>0</v>
      </c>
      <c r="K69" s="144">
        <f>+'Expense Support'!L67</f>
        <v>0</v>
      </c>
      <c r="L69" s="144">
        <f>+'Expense Support'!M67</f>
        <v>0</v>
      </c>
      <c r="M69" s="144">
        <f>+'Expense Support'!N67</f>
        <v>0</v>
      </c>
      <c r="N69" s="144">
        <f>+'Expense Support'!O67</f>
        <v>0</v>
      </c>
      <c r="O69" s="144">
        <f>+'Expense Support'!P67</f>
        <v>0</v>
      </c>
      <c r="P69" s="144">
        <f>+'Expense Support'!Q67</f>
        <v>0</v>
      </c>
      <c r="Q69" s="144">
        <f>+'Expense Support'!R67</f>
        <v>0</v>
      </c>
      <c r="R69" s="144">
        <f>+'Expense Support'!S67</f>
        <v>0</v>
      </c>
      <c r="S69" s="144">
        <f>+'Expense Support'!T67</f>
        <v>0</v>
      </c>
      <c r="T69" s="158">
        <f t="shared" si="5"/>
        <v>0</v>
      </c>
      <c r="U69" s="144">
        <f>+'Expense Support'!V67</f>
        <v>84</v>
      </c>
      <c r="V69" s="156">
        <f t="shared" si="6"/>
        <v>84</v>
      </c>
      <c r="W69" s="158">
        <f t="shared" si="7"/>
        <v>-995</v>
      </c>
    </row>
    <row r="70" spans="1:23">
      <c r="A70" s="132">
        <f t="shared" si="8"/>
        <v>61</v>
      </c>
      <c r="B70" s="65" t="s">
        <v>121</v>
      </c>
      <c r="C70" s="144">
        <f>+'Expense Support'!D68</f>
        <v>-5460</v>
      </c>
      <c r="D70" s="144">
        <f>+'Expense Support'!E68</f>
        <v>0</v>
      </c>
      <c r="E70" s="144">
        <f>+'Expense Support'!F68</f>
        <v>0</v>
      </c>
      <c r="F70" s="144">
        <f>+'Expense Support'!G68</f>
        <v>0</v>
      </c>
      <c r="G70" s="144">
        <f>+'Expense Support'!H68</f>
        <v>0</v>
      </c>
      <c r="H70" s="144">
        <f>+'Expense Support'!I68</f>
        <v>0</v>
      </c>
      <c r="I70" s="144">
        <f>+'Expense Support'!J68</f>
        <v>0</v>
      </c>
      <c r="J70" s="144">
        <f>+'Expense Support'!K68</f>
        <v>0</v>
      </c>
      <c r="K70" s="144">
        <f>+'Expense Support'!L68</f>
        <v>0</v>
      </c>
      <c r="L70" s="144">
        <f>+'Expense Support'!M68</f>
        <v>0</v>
      </c>
      <c r="M70" s="144">
        <f>+'Expense Support'!N68</f>
        <v>0</v>
      </c>
      <c r="N70" s="144">
        <f>+'Expense Support'!O68</f>
        <v>0</v>
      </c>
      <c r="O70" s="144">
        <f>+'Expense Support'!P68</f>
        <v>0</v>
      </c>
      <c r="P70" s="144">
        <f>+'Expense Support'!Q68</f>
        <v>0</v>
      </c>
      <c r="Q70" s="144">
        <f>+'Expense Support'!R68</f>
        <v>0</v>
      </c>
      <c r="R70" s="144">
        <f>+'Expense Support'!S68</f>
        <v>0</v>
      </c>
      <c r="S70" s="144">
        <f>+'Expense Support'!T68</f>
        <v>0</v>
      </c>
      <c r="T70" s="158">
        <f t="shared" si="5"/>
        <v>0</v>
      </c>
      <c r="U70" s="144">
        <f>+'Expense Support'!V68</f>
        <v>425</v>
      </c>
      <c r="V70" s="156">
        <f t="shared" si="6"/>
        <v>425</v>
      </c>
      <c r="W70" s="158">
        <f t="shared" si="7"/>
        <v>-5035</v>
      </c>
    </row>
    <row r="71" spans="1:23">
      <c r="A71" s="132">
        <f t="shared" si="8"/>
        <v>62</v>
      </c>
      <c r="B71" s="65" t="s">
        <v>88</v>
      </c>
      <c r="C71" s="144">
        <f>+'Expense Support'!D69</f>
        <v>-1797</v>
      </c>
      <c r="D71" s="144">
        <f>+'Expense Support'!E69</f>
        <v>0</v>
      </c>
      <c r="E71" s="144">
        <f>+'Expense Support'!F69</f>
        <v>0</v>
      </c>
      <c r="F71" s="144">
        <f>+'Expense Support'!G69</f>
        <v>0</v>
      </c>
      <c r="G71" s="144">
        <f>+'Expense Support'!H69</f>
        <v>0</v>
      </c>
      <c r="H71" s="144">
        <f>+'Expense Support'!I69</f>
        <v>0</v>
      </c>
      <c r="I71" s="144">
        <f>+'Expense Support'!J69</f>
        <v>0</v>
      </c>
      <c r="J71" s="144">
        <f>+'Expense Support'!K69</f>
        <v>0</v>
      </c>
      <c r="K71" s="144">
        <f>+'Expense Support'!L69</f>
        <v>0</v>
      </c>
      <c r="L71" s="144">
        <f>+'Expense Support'!M69</f>
        <v>0</v>
      </c>
      <c r="M71" s="144">
        <f>+'Expense Support'!N69</f>
        <v>0</v>
      </c>
      <c r="N71" s="144">
        <f>+'Expense Support'!O69</f>
        <v>0</v>
      </c>
      <c r="O71" s="144">
        <f>+'Expense Support'!P69</f>
        <v>0</v>
      </c>
      <c r="P71" s="144">
        <f>+'Expense Support'!Q69</f>
        <v>0</v>
      </c>
      <c r="Q71" s="144">
        <f>+'Expense Support'!R69</f>
        <v>0</v>
      </c>
      <c r="R71" s="144">
        <f>+'Expense Support'!S69</f>
        <v>0</v>
      </c>
      <c r="S71" s="144">
        <f>+'Expense Support'!T69</f>
        <v>0</v>
      </c>
      <c r="T71" s="158">
        <f>SUM(D71:R71)</f>
        <v>0</v>
      </c>
      <c r="U71" s="144">
        <f>+'Expense Support'!V69</f>
        <v>140</v>
      </c>
      <c r="V71" s="156">
        <f>+U71+T71</f>
        <v>140</v>
      </c>
      <c r="W71" s="158">
        <f>+T71+U71+C71</f>
        <v>-1657</v>
      </c>
    </row>
    <row r="72" spans="1:23">
      <c r="A72" s="132">
        <f t="shared" si="8"/>
        <v>63</v>
      </c>
      <c r="B72" s="65" t="s">
        <v>85</v>
      </c>
      <c r="C72" s="144">
        <f>+'Expense Support'!D70</f>
        <v>-3081</v>
      </c>
      <c r="D72" s="144">
        <f>+'Expense Support'!E70</f>
        <v>0</v>
      </c>
      <c r="E72" s="144">
        <f>+'Expense Support'!F70</f>
        <v>0</v>
      </c>
      <c r="F72" s="144">
        <f>+'Expense Support'!G70</f>
        <v>0</v>
      </c>
      <c r="G72" s="144">
        <f>+'Expense Support'!H70</f>
        <v>0</v>
      </c>
      <c r="H72" s="144">
        <f>+'Expense Support'!I70</f>
        <v>0</v>
      </c>
      <c r="I72" s="144">
        <f>+'Expense Support'!J70</f>
        <v>0</v>
      </c>
      <c r="J72" s="144">
        <f>+'Expense Support'!K70</f>
        <v>0</v>
      </c>
      <c r="K72" s="144">
        <f>+'Expense Support'!L70</f>
        <v>0</v>
      </c>
      <c r="L72" s="144">
        <f>+'Expense Support'!M70</f>
        <v>0</v>
      </c>
      <c r="M72" s="144">
        <f>+'Expense Support'!N70</f>
        <v>0</v>
      </c>
      <c r="N72" s="144">
        <f>+'Expense Support'!O70</f>
        <v>0</v>
      </c>
      <c r="O72" s="144">
        <f>+'Expense Support'!P70</f>
        <v>0</v>
      </c>
      <c r="P72" s="144">
        <f>+'Expense Support'!Q70</f>
        <v>0</v>
      </c>
      <c r="Q72" s="144">
        <f>+'Expense Support'!R70</f>
        <v>0</v>
      </c>
      <c r="R72" s="144">
        <f>+'Expense Support'!S70</f>
        <v>0</v>
      </c>
      <c r="S72" s="144">
        <f>+'Expense Support'!T70</f>
        <v>0</v>
      </c>
      <c r="T72" s="158">
        <f t="shared" si="5"/>
        <v>0</v>
      </c>
      <c r="U72" s="144">
        <f>+'Expense Support'!V70</f>
        <v>240</v>
      </c>
      <c r="V72" s="156">
        <f t="shared" si="6"/>
        <v>240</v>
      </c>
      <c r="W72" s="158">
        <f t="shared" si="7"/>
        <v>-2841</v>
      </c>
    </row>
    <row r="73" spans="1:23">
      <c r="A73" s="132">
        <f t="shared" si="8"/>
        <v>64</v>
      </c>
      <c r="B73" s="65" t="s">
        <v>124</v>
      </c>
      <c r="C73" s="144">
        <f>+'Expense Support'!D71</f>
        <v>-14024</v>
      </c>
      <c r="D73" s="144">
        <f>+'Expense Support'!E71</f>
        <v>0</v>
      </c>
      <c r="E73" s="144">
        <f>+'Expense Support'!F71</f>
        <v>0</v>
      </c>
      <c r="F73" s="144">
        <f>+'Expense Support'!G71</f>
        <v>0</v>
      </c>
      <c r="G73" s="144">
        <f>+'Expense Support'!H71</f>
        <v>0</v>
      </c>
      <c r="H73" s="144">
        <f>+'Expense Support'!I71</f>
        <v>0</v>
      </c>
      <c r="I73" s="144">
        <f>+'Expense Support'!J71</f>
        <v>0</v>
      </c>
      <c r="J73" s="144">
        <f>+'Expense Support'!K71</f>
        <v>0</v>
      </c>
      <c r="K73" s="144">
        <f>+'Expense Support'!L71</f>
        <v>0</v>
      </c>
      <c r="L73" s="144">
        <f>+'Expense Support'!M71</f>
        <v>0</v>
      </c>
      <c r="M73" s="144">
        <f>+'Expense Support'!N71</f>
        <v>0</v>
      </c>
      <c r="N73" s="144">
        <f>+'Expense Support'!O71</f>
        <v>0</v>
      </c>
      <c r="O73" s="144">
        <f>+'Expense Support'!P71</f>
        <v>0</v>
      </c>
      <c r="P73" s="144">
        <f>+'Expense Support'!Q71</f>
        <v>0</v>
      </c>
      <c r="Q73" s="144">
        <f>+'Expense Support'!R71</f>
        <v>0</v>
      </c>
      <c r="R73" s="144">
        <f>+'Expense Support'!S71</f>
        <v>0</v>
      </c>
      <c r="S73" s="144">
        <f>+'Expense Support'!T71</f>
        <v>0</v>
      </c>
      <c r="T73" s="158">
        <f t="shared" si="5"/>
        <v>0</v>
      </c>
      <c r="U73" s="144">
        <f>+'Expense Support'!V71</f>
        <v>1090</v>
      </c>
      <c r="V73" s="156">
        <f t="shared" si="6"/>
        <v>1090</v>
      </c>
      <c r="W73" s="158">
        <f t="shared" si="7"/>
        <v>-12934</v>
      </c>
    </row>
    <row r="74" spans="1:23">
      <c r="A74" s="132">
        <f t="shared" si="8"/>
        <v>65</v>
      </c>
      <c r="B74" s="65" t="s">
        <v>92</v>
      </c>
      <c r="C74" s="144">
        <f>+'Expense Support'!D72</f>
        <v>-76020</v>
      </c>
      <c r="D74" s="144">
        <f>+'Expense Support'!E72</f>
        <v>0</v>
      </c>
      <c r="E74" s="144">
        <f>+'Expense Support'!F72</f>
        <v>0</v>
      </c>
      <c r="F74" s="144">
        <f>+'Expense Support'!G72</f>
        <v>0</v>
      </c>
      <c r="G74" s="144">
        <f>+'Expense Support'!H72</f>
        <v>0</v>
      </c>
      <c r="H74" s="144">
        <f>+'Expense Support'!I72</f>
        <v>0</v>
      </c>
      <c r="I74" s="144">
        <f>+'Expense Support'!J72</f>
        <v>0</v>
      </c>
      <c r="J74" s="144">
        <f>+'Expense Support'!K72</f>
        <v>0</v>
      </c>
      <c r="K74" s="144">
        <f>+'Expense Support'!L72</f>
        <v>0</v>
      </c>
      <c r="L74" s="144">
        <f>+'Expense Support'!M72</f>
        <v>0</v>
      </c>
      <c r="M74" s="144">
        <f>+'Expense Support'!N72</f>
        <v>0</v>
      </c>
      <c r="N74" s="144">
        <f>+'Expense Support'!O72</f>
        <v>0</v>
      </c>
      <c r="O74" s="144">
        <f>+'Expense Support'!P72</f>
        <v>0</v>
      </c>
      <c r="P74" s="144">
        <f>+'Expense Support'!Q72</f>
        <v>0</v>
      </c>
      <c r="Q74" s="144">
        <f>+'Expense Support'!R72</f>
        <v>0</v>
      </c>
      <c r="R74" s="144">
        <f>+'Expense Support'!S72</f>
        <v>0</v>
      </c>
      <c r="S74" s="144">
        <f>+'Expense Support'!T72</f>
        <v>0</v>
      </c>
      <c r="T74" s="158">
        <f t="shared" si="5"/>
        <v>0</v>
      </c>
      <c r="U74" s="144">
        <f>+'Expense Support'!V72</f>
        <v>5911</v>
      </c>
      <c r="V74" s="156">
        <f t="shared" si="6"/>
        <v>5911</v>
      </c>
      <c r="W74" s="158">
        <f t="shared" si="7"/>
        <v>-70109</v>
      </c>
    </row>
    <row r="75" spans="1:23">
      <c r="A75" s="132">
        <f t="shared" si="8"/>
        <v>66</v>
      </c>
      <c r="B75" s="65" t="s">
        <v>126</v>
      </c>
      <c r="C75" s="144">
        <f>+'Expense Support'!D73</f>
        <v>-50198</v>
      </c>
      <c r="D75" s="144">
        <f>+'Expense Support'!E73</f>
        <v>0</v>
      </c>
      <c r="E75" s="144">
        <f>+'Expense Support'!F73</f>
        <v>0</v>
      </c>
      <c r="F75" s="144">
        <f>+'Expense Support'!G73</f>
        <v>0</v>
      </c>
      <c r="G75" s="144">
        <f>+'Expense Support'!H73</f>
        <v>0</v>
      </c>
      <c r="H75" s="144">
        <f>+'Expense Support'!I73</f>
        <v>0</v>
      </c>
      <c r="I75" s="144">
        <f>+'Expense Support'!J73</f>
        <v>0</v>
      </c>
      <c r="J75" s="144">
        <f>+'Expense Support'!K73</f>
        <v>0</v>
      </c>
      <c r="K75" s="144">
        <f>+'Expense Support'!L73</f>
        <v>0</v>
      </c>
      <c r="L75" s="144">
        <f>+'Expense Support'!M73</f>
        <v>0</v>
      </c>
      <c r="M75" s="144">
        <f>+'Expense Support'!N73</f>
        <v>0</v>
      </c>
      <c r="N75" s="144">
        <f>+'Expense Support'!O73</f>
        <v>0</v>
      </c>
      <c r="O75" s="144">
        <f>+'Expense Support'!P73</f>
        <v>0</v>
      </c>
      <c r="P75" s="144">
        <f>+'Expense Support'!Q73</f>
        <v>0</v>
      </c>
      <c r="Q75" s="144">
        <f>+'Expense Support'!R73</f>
        <v>0</v>
      </c>
      <c r="R75" s="144">
        <f>+'Expense Support'!S73</f>
        <v>0</v>
      </c>
      <c r="S75" s="144">
        <f>+'Expense Support'!T73</f>
        <v>0</v>
      </c>
      <c r="T75" s="158">
        <f t="shared" si="5"/>
        <v>0</v>
      </c>
      <c r="U75" s="144">
        <f>+'Expense Support'!V73</f>
        <v>3903</v>
      </c>
      <c r="V75" s="156">
        <f t="shared" si="6"/>
        <v>3903</v>
      </c>
      <c r="W75" s="158">
        <f t="shared" si="7"/>
        <v>-46295</v>
      </c>
    </row>
    <row r="76" spans="1:23">
      <c r="A76" s="132">
        <f t="shared" si="8"/>
        <v>67</v>
      </c>
      <c r="B76" s="65" t="s">
        <v>79</v>
      </c>
      <c r="C76" s="144">
        <f>+'Expense Support'!D74</f>
        <v>-360218</v>
      </c>
      <c r="D76" s="144">
        <f>+'Expense Support'!E74</f>
        <v>0</v>
      </c>
      <c r="E76" s="144">
        <f>+'Expense Support'!F74</f>
        <v>0</v>
      </c>
      <c r="F76" s="144">
        <f>+'Expense Support'!G74</f>
        <v>0</v>
      </c>
      <c r="G76" s="144">
        <f>+'Expense Support'!H74</f>
        <v>0</v>
      </c>
      <c r="H76" s="144">
        <f>+'Expense Support'!I74</f>
        <v>0</v>
      </c>
      <c r="I76" s="144">
        <f>+'Expense Support'!J74</f>
        <v>0</v>
      </c>
      <c r="J76" s="144">
        <f>+'Expense Support'!K74</f>
        <v>0</v>
      </c>
      <c r="K76" s="144">
        <f>+'Expense Support'!L74</f>
        <v>0</v>
      </c>
      <c r="L76" s="144">
        <f>+'Expense Support'!M74</f>
        <v>0</v>
      </c>
      <c r="M76" s="144">
        <f>+'Expense Support'!N74</f>
        <v>0</v>
      </c>
      <c r="N76" s="144">
        <f>+'Expense Support'!O74</f>
        <v>0</v>
      </c>
      <c r="O76" s="144">
        <f>+'Expense Support'!P74</f>
        <v>0</v>
      </c>
      <c r="P76" s="144">
        <f>+'Expense Support'!Q74</f>
        <v>0</v>
      </c>
      <c r="Q76" s="144">
        <f>+'Expense Support'!R74</f>
        <v>0</v>
      </c>
      <c r="R76" s="144">
        <f>+'Expense Support'!S74</f>
        <v>0</v>
      </c>
      <c r="S76" s="144">
        <f>+'Expense Support'!T74</f>
        <v>0</v>
      </c>
      <c r="T76" s="158">
        <f t="shared" si="5"/>
        <v>0</v>
      </c>
      <c r="U76" s="144">
        <f>+'Expense Support'!V74</f>
        <v>28010</v>
      </c>
      <c r="V76" s="156">
        <f t="shared" si="6"/>
        <v>28010</v>
      </c>
      <c r="W76" s="158">
        <f t="shared" si="7"/>
        <v>-332208</v>
      </c>
    </row>
    <row r="77" spans="1:23">
      <c r="A77" s="132">
        <f t="shared" si="8"/>
        <v>68</v>
      </c>
      <c r="B77" s="65" t="s">
        <v>125</v>
      </c>
      <c r="C77" s="144">
        <f>+'Expense Support'!D75</f>
        <v>-42239</v>
      </c>
      <c r="D77" s="144">
        <f>+'Expense Support'!E75</f>
        <v>0</v>
      </c>
      <c r="E77" s="144">
        <f>+'Expense Support'!F75</f>
        <v>0</v>
      </c>
      <c r="F77" s="144">
        <f>+'Expense Support'!G75</f>
        <v>0</v>
      </c>
      <c r="G77" s="144">
        <f>+'Expense Support'!H75</f>
        <v>0</v>
      </c>
      <c r="H77" s="144">
        <f>+'Expense Support'!I75</f>
        <v>0</v>
      </c>
      <c r="I77" s="144">
        <f>+'Expense Support'!J75</f>
        <v>0</v>
      </c>
      <c r="J77" s="144">
        <f>+'Expense Support'!K75</f>
        <v>0</v>
      </c>
      <c r="K77" s="144">
        <f>+'Expense Support'!L75</f>
        <v>0</v>
      </c>
      <c r="L77" s="144">
        <f>+'Expense Support'!M75</f>
        <v>0</v>
      </c>
      <c r="M77" s="144">
        <f>+'Expense Support'!N75</f>
        <v>0</v>
      </c>
      <c r="N77" s="144">
        <f>+'Expense Support'!O75</f>
        <v>0</v>
      </c>
      <c r="O77" s="144">
        <f>+'Expense Support'!P75</f>
        <v>0</v>
      </c>
      <c r="P77" s="144">
        <f>+'Expense Support'!Q75</f>
        <v>0</v>
      </c>
      <c r="Q77" s="144">
        <f>+'Expense Support'!R75</f>
        <v>0</v>
      </c>
      <c r="R77" s="144">
        <f>+'Expense Support'!S75</f>
        <v>0</v>
      </c>
      <c r="S77" s="144">
        <f>+'Expense Support'!T75</f>
        <v>0</v>
      </c>
      <c r="T77" s="158">
        <f t="shared" si="5"/>
        <v>0</v>
      </c>
      <c r="U77" s="144">
        <f>+'Expense Support'!V75</f>
        <v>3284</v>
      </c>
      <c r="V77" s="156">
        <f t="shared" si="6"/>
        <v>3284</v>
      </c>
      <c r="W77" s="158">
        <f t="shared" si="7"/>
        <v>-38955</v>
      </c>
    </row>
    <row r="78" spans="1:23">
      <c r="A78" s="132">
        <f t="shared" si="8"/>
        <v>69</v>
      </c>
      <c r="B78" s="58" t="s">
        <v>101</v>
      </c>
      <c r="C78" s="144">
        <f>+'Expense Support'!D76</f>
        <v>-578588</v>
      </c>
      <c r="D78" s="144">
        <f>+'Expense Support'!E76</f>
        <v>0</v>
      </c>
      <c r="E78" s="144">
        <f>+'Expense Support'!F76</f>
        <v>0</v>
      </c>
      <c r="F78" s="144">
        <f>+'Expense Support'!G76</f>
        <v>0</v>
      </c>
      <c r="G78" s="144">
        <f>+'Expense Support'!H76</f>
        <v>0</v>
      </c>
      <c r="H78" s="144">
        <f>+'Expense Support'!I76</f>
        <v>0</v>
      </c>
      <c r="I78" s="144">
        <f>+'Expense Support'!J76</f>
        <v>0</v>
      </c>
      <c r="J78" s="144">
        <f>+'Expense Support'!K76</f>
        <v>0</v>
      </c>
      <c r="K78" s="144">
        <f>+'Expense Support'!L76</f>
        <v>0</v>
      </c>
      <c r="L78" s="144">
        <f>+'Expense Support'!M76</f>
        <v>0</v>
      </c>
      <c r="M78" s="144">
        <f>+'Expense Support'!N76</f>
        <v>0</v>
      </c>
      <c r="N78" s="144">
        <f>+'Expense Support'!O76</f>
        <v>0</v>
      </c>
      <c r="O78" s="144">
        <f>+'Expense Support'!P76</f>
        <v>0</v>
      </c>
      <c r="P78" s="144">
        <f>+'Expense Support'!Q76</f>
        <v>0</v>
      </c>
      <c r="Q78" s="144">
        <f>+'Expense Support'!R76</f>
        <v>-432843</v>
      </c>
      <c r="R78" s="144">
        <f>+'Expense Support'!S76</f>
        <v>0</v>
      </c>
      <c r="S78" s="144">
        <f>+'Expense Support'!T76</f>
        <v>0</v>
      </c>
      <c r="T78" s="158">
        <f t="shared" si="5"/>
        <v>-432843</v>
      </c>
      <c r="U78" s="144">
        <f>+'Expense Support'!V76</f>
        <v>78647</v>
      </c>
      <c r="V78" s="156">
        <f t="shared" si="6"/>
        <v>-354196</v>
      </c>
      <c r="W78" s="158">
        <f t="shared" si="7"/>
        <v>-932784</v>
      </c>
    </row>
    <row r="79" spans="1:23" ht="16.5" customHeight="1">
      <c r="A79" s="132">
        <f t="shared" si="8"/>
        <v>70</v>
      </c>
      <c r="B79" s="58" t="s">
        <v>103</v>
      </c>
      <c r="C79" s="144">
        <f>+'Expense Support'!D77</f>
        <v>-69888</v>
      </c>
      <c r="D79" s="144">
        <f>+'Expense Support'!E77</f>
        <v>0</v>
      </c>
      <c r="E79" s="144">
        <f>+'Expense Support'!F77</f>
        <v>0</v>
      </c>
      <c r="F79" s="144">
        <f>+'Expense Support'!G77</f>
        <v>0</v>
      </c>
      <c r="G79" s="144">
        <f>+'Expense Support'!H77</f>
        <v>0</v>
      </c>
      <c r="H79" s="144">
        <f>+'Expense Support'!I77</f>
        <v>0</v>
      </c>
      <c r="I79" s="144">
        <f>+'Expense Support'!J77</f>
        <v>0</v>
      </c>
      <c r="J79" s="144">
        <f>+'Expense Support'!K77</f>
        <v>0</v>
      </c>
      <c r="K79" s="144">
        <f>+'Expense Support'!L77</f>
        <v>0</v>
      </c>
      <c r="L79" s="144">
        <f>+'Expense Support'!M77</f>
        <v>0</v>
      </c>
      <c r="M79" s="144">
        <f>+'Expense Support'!N77</f>
        <v>0</v>
      </c>
      <c r="N79" s="144">
        <f>+'Expense Support'!O77</f>
        <v>0</v>
      </c>
      <c r="O79" s="144">
        <f>+'Expense Support'!P77</f>
        <v>0</v>
      </c>
      <c r="P79" s="144">
        <f>+'Expense Support'!Q77</f>
        <v>0</v>
      </c>
      <c r="Q79" s="144">
        <f>+'Expense Support'!R77</f>
        <v>0</v>
      </c>
      <c r="R79" s="144">
        <f>+'Expense Support'!S77</f>
        <v>0</v>
      </c>
      <c r="S79" s="144">
        <f>+'Expense Support'!T77</f>
        <v>0</v>
      </c>
      <c r="T79" s="158">
        <f>SUM(D79:R79)</f>
        <v>0</v>
      </c>
      <c r="U79" s="144">
        <f>+'Expense Support'!V77</f>
        <v>5434</v>
      </c>
      <c r="V79" s="156">
        <f>+U79+T79</f>
        <v>5434</v>
      </c>
      <c r="W79" s="158">
        <f>+T79+U79+C79</f>
        <v>-64454</v>
      </c>
    </row>
    <row r="80" spans="1:23">
      <c r="A80" s="132">
        <f t="shared" si="8"/>
        <v>71</v>
      </c>
      <c r="B80" s="58" t="s">
        <v>24</v>
      </c>
      <c r="C80" s="144">
        <f>+'Expense Support'!D78</f>
        <v>-16085130</v>
      </c>
      <c r="D80" s="144">
        <f>+'Expense Support'!E78</f>
        <v>0</v>
      </c>
      <c r="E80" s="144">
        <f>+'Expense Support'!F78</f>
        <v>0</v>
      </c>
      <c r="F80" s="144">
        <f>+'Expense Support'!G78</f>
        <v>0</v>
      </c>
      <c r="G80" s="144">
        <f>+'Expense Support'!H78</f>
        <v>0</v>
      </c>
      <c r="H80" s="144">
        <f>+'Expense Support'!I78</f>
        <v>0</v>
      </c>
      <c r="I80" s="144">
        <f>+'Expense Support'!J78</f>
        <v>0</v>
      </c>
      <c r="J80" s="144">
        <f>+'Expense Support'!K78</f>
        <v>0</v>
      </c>
      <c r="K80" s="144">
        <f>+'Expense Support'!L78</f>
        <v>0</v>
      </c>
      <c r="L80" s="144">
        <f>+'Expense Support'!M78</f>
        <v>0</v>
      </c>
      <c r="M80" s="144">
        <f>+'Expense Support'!N78</f>
        <v>0</v>
      </c>
      <c r="N80" s="144">
        <f>+'Expense Support'!O78</f>
        <v>0</v>
      </c>
      <c r="O80" s="144">
        <f>+'Expense Support'!P78</f>
        <v>0</v>
      </c>
      <c r="P80" s="144">
        <f>+'Expense Support'!Q78</f>
        <v>0</v>
      </c>
      <c r="Q80" s="144">
        <f>+'Expense Support'!R78</f>
        <v>0</v>
      </c>
      <c r="R80" s="144">
        <f>+'Expense Support'!S78</f>
        <v>0</v>
      </c>
      <c r="S80" s="144">
        <f>+'Expense Support'!T78</f>
        <v>0</v>
      </c>
      <c r="T80" s="158">
        <f t="shared" si="5"/>
        <v>0</v>
      </c>
      <c r="U80" s="144">
        <f>+'Expense Support'!V78</f>
        <v>1250750</v>
      </c>
      <c r="V80" s="156">
        <f t="shared" si="6"/>
        <v>1250750</v>
      </c>
      <c r="W80" s="158">
        <f t="shared" si="7"/>
        <v>-14834380</v>
      </c>
    </row>
    <row r="81" spans="1:23">
      <c r="A81" s="132">
        <f t="shared" si="8"/>
        <v>72</v>
      </c>
      <c r="B81" s="58" t="s">
        <v>104</v>
      </c>
      <c r="C81" s="144">
        <f>+'Expense Support'!D79</f>
        <v>-1240063.7</v>
      </c>
      <c r="D81" s="144">
        <f>+'Expense Support'!E79</f>
        <v>0</v>
      </c>
      <c r="E81" s="144">
        <f>+'Expense Support'!F79</f>
        <v>0</v>
      </c>
      <c r="F81" s="144">
        <f>+'Expense Support'!G79</f>
        <v>0</v>
      </c>
      <c r="G81" s="144">
        <f>+'Expense Support'!H79</f>
        <v>0</v>
      </c>
      <c r="H81" s="144">
        <f>+'Expense Support'!I79</f>
        <v>0</v>
      </c>
      <c r="I81" s="144">
        <f>+'Expense Support'!J79</f>
        <v>0</v>
      </c>
      <c r="J81" s="144">
        <f>+'Expense Support'!K79</f>
        <v>0</v>
      </c>
      <c r="K81" s="144">
        <f>+'Expense Support'!L79</f>
        <v>0</v>
      </c>
      <c r="L81" s="144">
        <f>+'Expense Support'!M79</f>
        <v>0</v>
      </c>
      <c r="M81" s="144">
        <f>+'Expense Support'!N79</f>
        <v>0</v>
      </c>
      <c r="N81" s="144">
        <f>+'Expense Support'!O79</f>
        <v>0</v>
      </c>
      <c r="O81" s="144">
        <f>+'Expense Support'!P79</f>
        <v>0</v>
      </c>
      <c r="P81" s="144">
        <f>+'Expense Support'!Q79</f>
        <v>0</v>
      </c>
      <c r="Q81" s="144">
        <f>+'Expense Support'!R79</f>
        <v>0</v>
      </c>
      <c r="R81" s="144">
        <f>+'Expense Support'!S79</f>
        <v>0</v>
      </c>
      <c r="S81" s="144">
        <f>+'Expense Support'!T79</f>
        <v>0</v>
      </c>
      <c r="T81" s="158">
        <f t="shared" si="5"/>
        <v>0</v>
      </c>
      <c r="U81" s="144">
        <f>+'Expense Support'!V79</f>
        <v>96425</v>
      </c>
      <c r="V81" s="156">
        <f t="shared" si="6"/>
        <v>96425</v>
      </c>
      <c r="W81" s="158">
        <f t="shared" si="7"/>
        <v>-1143638.7</v>
      </c>
    </row>
    <row r="82" spans="1:23">
      <c r="A82" s="132">
        <f t="shared" si="8"/>
        <v>73</v>
      </c>
      <c r="B82" s="58" t="s">
        <v>27</v>
      </c>
      <c r="C82" s="144">
        <f>+'Expense Support'!D80</f>
        <v>-313358</v>
      </c>
      <c r="D82" s="144">
        <f>+'Expense Support'!E80</f>
        <v>0</v>
      </c>
      <c r="E82" s="144">
        <f>+'Expense Support'!F80</f>
        <v>0</v>
      </c>
      <c r="F82" s="144">
        <f>+'Expense Support'!G80</f>
        <v>0</v>
      </c>
      <c r="G82" s="144">
        <f>+'Expense Support'!H80</f>
        <v>0</v>
      </c>
      <c r="H82" s="144">
        <f>+'Expense Support'!I80</f>
        <v>0</v>
      </c>
      <c r="I82" s="144">
        <f>+'Expense Support'!J80</f>
        <v>0</v>
      </c>
      <c r="J82" s="144">
        <f>+'Expense Support'!K80</f>
        <v>0</v>
      </c>
      <c r="K82" s="144">
        <f>+'Expense Support'!L80</f>
        <v>0</v>
      </c>
      <c r="L82" s="144">
        <f>+'Expense Support'!M80</f>
        <v>0</v>
      </c>
      <c r="M82" s="144">
        <f>+'Expense Support'!N80</f>
        <v>0</v>
      </c>
      <c r="N82" s="144">
        <f>+'Expense Support'!O80</f>
        <v>0</v>
      </c>
      <c r="O82" s="144">
        <f>+'Expense Support'!P80</f>
        <v>0</v>
      </c>
      <c r="P82" s="144">
        <f>+'Expense Support'!Q80</f>
        <v>0</v>
      </c>
      <c r="Q82" s="144">
        <f>+'Expense Support'!R80</f>
        <v>0</v>
      </c>
      <c r="R82" s="144">
        <f>+'Expense Support'!S80</f>
        <v>0</v>
      </c>
      <c r="S82" s="144">
        <f>+'Expense Support'!T80</f>
        <v>0</v>
      </c>
      <c r="T82" s="158">
        <f t="shared" si="5"/>
        <v>0</v>
      </c>
      <c r="U82" s="144">
        <f>+'Expense Support'!V80</f>
        <v>24366</v>
      </c>
      <c r="V82" s="156">
        <f t="shared" si="6"/>
        <v>24366</v>
      </c>
      <c r="W82" s="158">
        <f t="shared" si="7"/>
        <v>-288992</v>
      </c>
    </row>
    <row r="83" spans="1:23">
      <c r="A83" s="132">
        <f t="shared" si="8"/>
        <v>74</v>
      </c>
      <c r="B83" s="58" t="s">
        <v>105</v>
      </c>
      <c r="C83" s="144">
        <f>+'Expense Support'!D81</f>
        <v>-1351601</v>
      </c>
      <c r="D83" s="144">
        <f>+'Expense Support'!E81</f>
        <v>0</v>
      </c>
      <c r="E83" s="144">
        <f>+'Expense Support'!F81</f>
        <v>0</v>
      </c>
      <c r="F83" s="144">
        <f>+'Expense Support'!G81</f>
        <v>0</v>
      </c>
      <c r="G83" s="144">
        <f>+'Expense Support'!H81</f>
        <v>0</v>
      </c>
      <c r="H83" s="144">
        <f>+'Expense Support'!I81</f>
        <v>0</v>
      </c>
      <c r="I83" s="144">
        <f>+'Expense Support'!J81</f>
        <v>0</v>
      </c>
      <c r="J83" s="144">
        <f>+'Expense Support'!K81</f>
        <v>0</v>
      </c>
      <c r="K83" s="144">
        <f>+'Expense Support'!L81</f>
        <v>0</v>
      </c>
      <c r="L83" s="144">
        <f>+'Expense Support'!M81</f>
        <v>0</v>
      </c>
      <c r="M83" s="144">
        <f>+'Expense Support'!N81</f>
        <v>0</v>
      </c>
      <c r="N83" s="144">
        <f>+'Expense Support'!O81</f>
        <v>0</v>
      </c>
      <c r="O83" s="144">
        <f>+'Expense Support'!P81</f>
        <v>0</v>
      </c>
      <c r="P83" s="144">
        <f>+'Expense Support'!Q81</f>
        <v>0</v>
      </c>
      <c r="Q83" s="144">
        <f>+'Expense Support'!R81</f>
        <v>0</v>
      </c>
      <c r="R83" s="144">
        <f>+'Expense Support'!S81</f>
        <v>0</v>
      </c>
      <c r="S83" s="144">
        <f>+'Expense Support'!T81</f>
        <v>0</v>
      </c>
      <c r="T83" s="158">
        <f t="shared" si="5"/>
        <v>0</v>
      </c>
      <c r="U83" s="144">
        <f>+'Expense Support'!V81</f>
        <v>105098</v>
      </c>
      <c r="V83" s="156">
        <f t="shared" si="6"/>
        <v>105098</v>
      </c>
      <c r="W83" s="158">
        <f t="shared" si="7"/>
        <v>-1246503</v>
      </c>
    </row>
    <row r="84" spans="1:23">
      <c r="A84" s="132">
        <f t="shared" si="8"/>
        <v>75</v>
      </c>
      <c r="B84" s="58" t="s">
        <v>106</v>
      </c>
      <c r="C84" s="144">
        <f>+'Expense Support'!D82</f>
        <v>-129553</v>
      </c>
      <c r="D84" s="144">
        <f>+'Expense Support'!E82</f>
        <v>0</v>
      </c>
      <c r="E84" s="144">
        <f>+'Expense Support'!F82</f>
        <v>0</v>
      </c>
      <c r="F84" s="144">
        <f>+'Expense Support'!G82</f>
        <v>0</v>
      </c>
      <c r="G84" s="144">
        <f>+'Expense Support'!H82</f>
        <v>0</v>
      </c>
      <c r="H84" s="144">
        <f>+'Expense Support'!I82</f>
        <v>0</v>
      </c>
      <c r="I84" s="144">
        <f>+'Expense Support'!J82</f>
        <v>0</v>
      </c>
      <c r="J84" s="144">
        <f>+'Expense Support'!K82</f>
        <v>0</v>
      </c>
      <c r="K84" s="144">
        <f>+'Expense Support'!L82</f>
        <v>0</v>
      </c>
      <c r="L84" s="144">
        <f>+'Expense Support'!M82</f>
        <v>0</v>
      </c>
      <c r="M84" s="144">
        <f>+'Expense Support'!N82</f>
        <v>0</v>
      </c>
      <c r="N84" s="144">
        <f>+'Expense Support'!O82</f>
        <v>0</v>
      </c>
      <c r="O84" s="144">
        <f>+'Expense Support'!P82</f>
        <v>0</v>
      </c>
      <c r="P84" s="144">
        <f>+'Expense Support'!Q82</f>
        <v>0</v>
      </c>
      <c r="Q84" s="144">
        <f>+'Expense Support'!R82</f>
        <v>45738</v>
      </c>
      <c r="R84" s="144">
        <f>+'Expense Support'!S82</f>
        <v>0</v>
      </c>
      <c r="S84" s="144">
        <f>+'Expense Support'!T82</f>
        <v>0</v>
      </c>
      <c r="T84" s="158">
        <f t="shared" si="5"/>
        <v>45738</v>
      </c>
      <c r="U84" s="144">
        <f>+'Expense Support'!V82</f>
        <v>6517</v>
      </c>
      <c r="V84" s="156">
        <f t="shared" si="6"/>
        <v>52255</v>
      </c>
      <c r="W84" s="158">
        <f t="shared" si="7"/>
        <v>-77298</v>
      </c>
    </row>
    <row r="85" spans="1:23">
      <c r="A85" s="132">
        <f t="shared" si="8"/>
        <v>76</v>
      </c>
      <c r="B85" s="58" t="s">
        <v>107</v>
      </c>
      <c r="C85" s="144">
        <f>+'Expense Support'!D83</f>
        <v>-2197929</v>
      </c>
      <c r="D85" s="144">
        <f>+'Expense Support'!E83</f>
        <v>0</v>
      </c>
      <c r="E85" s="144">
        <f>+'Expense Support'!F83</f>
        <v>0</v>
      </c>
      <c r="F85" s="144">
        <f>+'Expense Support'!G83</f>
        <v>0</v>
      </c>
      <c r="G85" s="144">
        <f>+'Expense Support'!H83</f>
        <v>0</v>
      </c>
      <c r="H85" s="144">
        <f>+'Expense Support'!I83</f>
        <v>0</v>
      </c>
      <c r="I85" s="144">
        <f>+'Expense Support'!J83</f>
        <v>0</v>
      </c>
      <c r="J85" s="144">
        <f>+'Expense Support'!K83</f>
        <v>0</v>
      </c>
      <c r="K85" s="144">
        <f>+'Expense Support'!L83</f>
        <v>0</v>
      </c>
      <c r="L85" s="144">
        <f>+'Expense Support'!M83</f>
        <v>0</v>
      </c>
      <c r="M85" s="144">
        <f>+'Expense Support'!N83</f>
        <v>0</v>
      </c>
      <c r="N85" s="144">
        <f>+'Expense Support'!O83</f>
        <v>0</v>
      </c>
      <c r="O85" s="144">
        <f>+'Expense Support'!P83</f>
        <v>0</v>
      </c>
      <c r="P85" s="144">
        <f>+'Expense Support'!Q83</f>
        <v>0</v>
      </c>
      <c r="Q85" s="144">
        <f>+'Expense Support'!R83</f>
        <v>0</v>
      </c>
      <c r="R85" s="144">
        <f>+'Expense Support'!S83</f>
        <v>0</v>
      </c>
      <c r="S85" s="144">
        <f>+'Expense Support'!T83</f>
        <v>0</v>
      </c>
      <c r="T85" s="158">
        <f t="shared" si="5"/>
        <v>0</v>
      </c>
      <c r="U85" s="144">
        <f>+'Expense Support'!V83</f>
        <v>170908</v>
      </c>
      <c r="V85" s="156">
        <f t="shared" si="6"/>
        <v>170908</v>
      </c>
      <c r="W85" s="158">
        <f t="shared" si="7"/>
        <v>-2027021</v>
      </c>
    </row>
    <row r="86" spans="1:23">
      <c r="A86" s="132">
        <f t="shared" si="8"/>
        <v>77</v>
      </c>
      <c r="B86" s="58" t="s">
        <v>108</v>
      </c>
      <c r="C86" s="144">
        <f>+'Expense Support'!D84</f>
        <v>-5888</v>
      </c>
      <c r="D86" s="144">
        <f>+'Expense Support'!E84</f>
        <v>0</v>
      </c>
      <c r="E86" s="144">
        <f>+'Expense Support'!F84</f>
        <v>0</v>
      </c>
      <c r="F86" s="144">
        <f>+'Expense Support'!G84</f>
        <v>0</v>
      </c>
      <c r="G86" s="144">
        <f>+'Expense Support'!H84</f>
        <v>0</v>
      </c>
      <c r="H86" s="144">
        <f>+'Expense Support'!I84</f>
        <v>0</v>
      </c>
      <c r="I86" s="144">
        <f>+'Expense Support'!J84</f>
        <v>0</v>
      </c>
      <c r="J86" s="144">
        <f>+'Expense Support'!K84</f>
        <v>0</v>
      </c>
      <c r="K86" s="144">
        <f>+'Expense Support'!L84</f>
        <v>0</v>
      </c>
      <c r="L86" s="144">
        <f>+'Expense Support'!M84</f>
        <v>0</v>
      </c>
      <c r="M86" s="144">
        <f>+'Expense Support'!N84</f>
        <v>0</v>
      </c>
      <c r="N86" s="144">
        <f>+'Expense Support'!O84</f>
        <v>0</v>
      </c>
      <c r="O86" s="144">
        <f>+'Expense Support'!P84</f>
        <v>0</v>
      </c>
      <c r="P86" s="144">
        <f>+'Expense Support'!Q84</f>
        <v>0</v>
      </c>
      <c r="Q86" s="144">
        <f>+'Expense Support'!R84</f>
        <v>0</v>
      </c>
      <c r="R86" s="144">
        <f>+'Expense Support'!S84</f>
        <v>0</v>
      </c>
      <c r="S86" s="144">
        <f>+'Expense Support'!T84</f>
        <v>0</v>
      </c>
      <c r="T86" s="158">
        <f t="shared" si="5"/>
        <v>0</v>
      </c>
      <c r="U86" s="144">
        <f>+'Expense Support'!V84</f>
        <v>458</v>
      </c>
      <c r="V86" s="156">
        <f t="shared" si="6"/>
        <v>458</v>
      </c>
      <c r="W86" s="158">
        <f t="shared" si="7"/>
        <v>-5430</v>
      </c>
    </row>
    <row r="87" spans="1:23">
      <c r="A87" s="132">
        <f t="shared" si="8"/>
        <v>78</v>
      </c>
      <c r="B87" s="58" t="s">
        <v>109</v>
      </c>
      <c r="C87" s="144">
        <f>+'Expense Support'!D85</f>
        <v>-310604</v>
      </c>
      <c r="D87" s="144">
        <f>+'Expense Support'!E85</f>
        <v>0</v>
      </c>
      <c r="E87" s="144">
        <f>+'Expense Support'!F85</f>
        <v>0</v>
      </c>
      <c r="F87" s="144">
        <f>+'Expense Support'!G85</f>
        <v>0</v>
      </c>
      <c r="G87" s="144">
        <f>+'Expense Support'!H85</f>
        <v>0</v>
      </c>
      <c r="H87" s="144">
        <f>+'Expense Support'!I85</f>
        <v>0</v>
      </c>
      <c r="I87" s="144">
        <f>+'Expense Support'!J85</f>
        <v>0</v>
      </c>
      <c r="J87" s="144">
        <f>+'Expense Support'!K85</f>
        <v>0</v>
      </c>
      <c r="K87" s="144">
        <f>+'Expense Support'!L85</f>
        <v>0</v>
      </c>
      <c r="L87" s="144">
        <f>+'Expense Support'!M85</f>
        <v>0</v>
      </c>
      <c r="M87" s="144">
        <f>+'Expense Support'!N85</f>
        <v>0</v>
      </c>
      <c r="N87" s="144">
        <f>+'Expense Support'!O85</f>
        <v>0</v>
      </c>
      <c r="O87" s="144">
        <f>+'Expense Support'!P85</f>
        <v>0</v>
      </c>
      <c r="P87" s="144">
        <f>+'Expense Support'!Q85</f>
        <v>0</v>
      </c>
      <c r="Q87" s="144">
        <f>+'Expense Support'!R85</f>
        <v>0</v>
      </c>
      <c r="R87" s="144">
        <f>+'Expense Support'!S85</f>
        <v>0</v>
      </c>
      <c r="S87" s="144">
        <f>+'Expense Support'!T85</f>
        <v>0</v>
      </c>
      <c r="T87" s="158">
        <f t="shared" si="5"/>
        <v>0</v>
      </c>
      <c r="U87" s="144">
        <f>+'Expense Support'!V85</f>
        <v>24152</v>
      </c>
      <c r="V87" s="156">
        <f t="shared" si="6"/>
        <v>24152</v>
      </c>
      <c r="W87" s="158">
        <f t="shared" si="7"/>
        <v>-286452</v>
      </c>
    </row>
    <row r="88" spans="1:23">
      <c r="A88" s="132">
        <f t="shared" si="8"/>
        <v>79</v>
      </c>
      <c r="B88" s="58" t="s">
        <v>41</v>
      </c>
      <c r="C88" s="144">
        <f>+'Expense Support'!D86</f>
        <v>-158.5</v>
      </c>
      <c r="D88" s="144">
        <f>+'Expense Support'!E86</f>
        <v>0</v>
      </c>
      <c r="E88" s="144">
        <f>+'Expense Support'!F86</f>
        <v>0</v>
      </c>
      <c r="F88" s="144">
        <f>+'Expense Support'!G86</f>
        <v>0</v>
      </c>
      <c r="G88" s="144">
        <f>+'Expense Support'!H86</f>
        <v>0</v>
      </c>
      <c r="H88" s="144">
        <f>+'Expense Support'!I86</f>
        <v>0</v>
      </c>
      <c r="I88" s="144">
        <f>+'Expense Support'!J86</f>
        <v>0</v>
      </c>
      <c r="J88" s="144">
        <f>+'Expense Support'!K86</f>
        <v>0</v>
      </c>
      <c r="K88" s="144">
        <f>+'Expense Support'!L86</f>
        <v>0</v>
      </c>
      <c r="L88" s="144">
        <f>+'Expense Support'!M86</f>
        <v>0</v>
      </c>
      <c r="M88" s="144">
        <f>+'Expense Support'!N86</f>
        <v>0</v>
      </c>
      <c r="N88" s="144">
        <f>+'Expense Support'!O86</f>
        <v>0</v>
      </c>
      <c r="O88" s="144">
        <f>+'Expense Support'!P86</f>
        <v>0</v>
      </c>
      <c r="P88" s="144">
        <f>+'Expense Support'!Q86</f>
        <v>0</v>
      </c>
      <c r="Q88" s="144">
        <f>+'Expense Support'!R86</f>
        <v>0</v>
      </c>
      <c r="R88" s="144">
        <f>+'Expense Support'!S86</f>
        <v>0</v>
      </c>
      <c r="S88" s="144">
        <f>+'Expense Support'!T86</f>
        <v>0</v>
      </c>
      <c r="T88" s="158">
        <f t="shared" si="5"/>
        <v>0</v>
      </c>
      <c r="U88" s="144">
        <f>+'Expense Support'!V86</f>
        <v>12</v>
      </c>
      <c r="V88" s="156">
        <f t="shared" si="6"/>
        <v>12</v>
      </c>
      <c r="W88" s="158">
        <f t="shared" si="7"/>
        <v>-146.5</v>
      </c>
    </row>
    <row r="89" spans="1:23">
      <c r="A89" s="132">
        <f t="shared" si="8"/>
        <v>80</v>
      </c>
      <c r="B89" s="58" t="s">
        <v>110</v>
      </c>
      <c r="C89" s="144">
        <f>+'Expense Support'!D87</f>
        <v>-29180</v>
      </c>
      <c r="D89" s="144">
        <f>+'Expense Support'!E87</f>
        <v>0</v>
      </c>
      <c r="E89" s="144">
        <f>+'Expense Support'!F87</f>
        <v>0</v>
      </c>
      <c r="F89" s="144">
        <f>+'Expense Support'!G87</f>
        <v>0</v>
      </c>
      <c r="G89" s="144">
        <f>+'Expense Support'!H87</f>
        <v>0</v>
      </c>
      <c r="H89" s="144">
        <f>+'Expense Support'!I87</f>
        <v>0</v>
      </c>
      <c r="I89" s="144">
        <f>+'Expense Support'!J87</f>
        <v>0</v>
      </c>
      <c r="J89" s="144">
        <f>+'Expense Support'!K87</f>
        <v>0</v>
      </c>
      <c r="K89" s="144">
        <f>+'Expense Support'!L87</f>
        <v>0</v>
      </c>
      <c r="L89" s="144">
        <f>+'Expense Support'!M87</f>
        <v>0</v>
      </c>
      <c r="M89" s="144">
        <f>+'Expense Support'!N87</f>
        <v>0</v>
      </c>
      <c r="N89" s="144">
        <f>+'Expense Support'!O87</f>
        <v>0</v>
      </c>
      <c r="O89" s="144">
        <f>+'Expense Support'!P87</f>
        <v>0</v>
      </c>
      <c r="P89" s="144">
        <f>+'Expense Support'!Q87</f>
        <v>0</v>
      </c>
      <c r="Q89" s="144">
        <f>+'Expense Support'!R87</f>
        <v>0</v>
      </c>
      <c r="R89" s="144">
        <f>+'Expense Support'!S87</f>
        <v>0</v>
      </c>
      <c r="S89" s="144">
        <f>+'Expense Support'!T87</f>
        <v>0</v>
      </c>
      <c r="T89" s="158">
        <f t="shared" si="5"/>
        <v>0</v>
      </c>
      <c r="U89" s="144">
        <f>+'Expense Support'!V87</f>
        <v>2269</v>
      </c>
      <c r="V89" s="156">
        <f t="shared" si="6"/>
        <v>2269</v>
      </c>
      <c r="W89" s="158">
        <f t="shared" si="7"/>
        <v>-26911</v>
      </c>
    </row>
    <row r="90" spans="1:23">
      <c r="A90" s="132">
        <f t="shared" si="8"/>
        <v>81</v>
      </c>
      <c r="B90" s="65" t="s">
        <v>112</v>
      </c>
      <c r="C90" s="144">
        <f>+'Expense Support'!D88</f>
        <v>-1028154</v>
      </c>
      <c r="D90" s="144">
        <f>+'Expense Support'!E88</f>
        <v>0</v>
      </c>
      <c r="E90" s="144">
        <f>+'Expense Support'!F88</f>
        <v>0</v>
      </c>
      <c r="F90" s="144">
        <f>+'Expense Support'!G88</f>
        <v>0</v>
      </c>
      <c r="G90" s="144">
        <f>+'Expense Support'!H88</f>
        <v>0</v>
      </c>
      <c r="H90" s="144">
        <f>+'Expense Support'!I88</f>
        <v>0</v>
      </c>
      <c r="I90" s="144">
        <f>+'Expense Support'!J88</f>
        <v>0</v>
      </c>
      <c r="J90" s="144">
        <f>+'Expense Support'!K88</f>
        <v>0</v>
      </c>
      <c r="K90" s="144">
        <f>+'Expense Support'!L88</f>
        <v>0</v>
      </c>
      <c r="L90" s="144">
        <f>+'Expense Support'!M88</f>
        <v>0</v>
      </c>
      <c r="M90" s="144">
        <f>+'Expense Support'!N88</f>
        <v>0</v>
      </c>
      <c r="N90" s="144">
        <f>+'Expense Support'!O88</f>
        <v>0</v>
      </c>
      <c r="O90" s="144">
        <f>+'Expense Support'!P88</f>
        <v>0</v>
      </c>
      <c r="P90" s="144">
        <f>+'Expense Support'!Q88</f>
        <v>0</v>
      </c>
      <c r="Q90" s="144">
        <f>+'Expense Support'!R88</f>
        <v>0</v>
      </c>
      <c r="R90" s="144">
        <f>+'Expense Support'!S88</f>
        <v>0</v>
      </c>
      <c r="S90" s="144">
        <f>+'Expense Support'!T88</f>
        <v>0</v>
      </c>
      <c r="T90" s="158">
        <f t="shared" si="5"/>
        <v>0</v>
      </c>
      <c r="U90" s="144">
        <f>+'Expense Support'!V88</f>
        <v>79947</v>
      </c>
      <c r="V90" s="156">
        <f t="shared" si="6"/>
        <v>79947</v>
      </c>
      <c r="W90" s="158">
        <f t="shared" si="7"/>
        <v>-948207</v>
      </c>
    </row>
    <row r="91" spans="1:23">
      <c r="A91" s="132">
        <f t="shared" si="8"/>
        <v>82</v>
      </c>
      <c r="B91" s="65" t="s">
        <v>60</v>
      </c>
      <c r="C91" s="144">
        <f>+'Expense Support'!D89</f>
        <v>-396845</v>
      </c>
      <c r="D91" s="144">
        <f>+'Expense Support'!E89</f>
        <v>0</v>
      </c>
      <c r="E91" s="144">
        <f>+'Expense Support'!F89</f>
        <v>0</v>
      </c>
      <c r="F91" s="144">
        <f>+'Expense Support'!G89</f>
        <v>0</v>
      </c>
      <c r="G91" s="144">
        <f>+'Expense Support'!H89</f>
        <v>0</v>
      </c>
      <c r="H91" s="144">
        <f>+'Expense Support'!I89</f>
        <v>0</v>
      </c>
      <c r="I91" s="144">
        <f>+'Expense Support'!J89</f>
        <v>0</v>
      </c>
      <c r="J91" s="144">
        <f>+'Expense Support'!K89</f>
        <v>0</v>
      </c>
      <c r="K91" s="144">
        <f>+'Expense Support'!L89</f>
        <v>0</v>
      </c>
      <c r="L91" s="144">
        <f>+'Expense Support'!M89</f>
        <v>0</v>
      </c>
      <c r="M91" s="144">
        <f>+'Expense Support'!N89</f>
        <v>0</v>
      </c>
      <c r="N91" s="144">
        <f>+'Expense Support'!O89</f>
        <v>0</v>
      </c>
      <c r="O91" s="144">
        <f>+'Expense Support'!P89</f>
        <v>0</v>
      </c>
      <c r="P91" s="144">
        <f>+'Expense Support'!Q89</f>
        <v>0</v>
      </c>
      <c r="Q91" s="144">
        <f>+'Expense Support'!R89</f>
        <v>0</v>
      </c>
      <c r="R91" s="144">
        <f>+'Expense Support'!S89</f>
        <v>0</v>
      </c>
      <c r="S91" s="144">
        <f>+'Expense Support'!T89</f>
        <v>0</v>
      </c>
      <c r="T91" s="158">
        <f t="shared" si="5"/>
        <v>0</v>
      </c>
      <c r="U91" s="144">
        <f>+'Expense Support'!V89</f>
        <v>30858</v>
      </c>
      <c r="V91" s="156">
        <f t="shared" si="6"/>
        <v>30858</v>
      </c>
      <c r="W91" s="158">
        <f t="shared" si="7"/>
        <v>-365987</v>
      </c>
    </row>
    <row r="92" spans="1:23">
      <c r="A92" s="132">
        <f t="shared" si="8"/>
        <v>83</v>
      </c>
      <c r="B92" s="65" t="s">
        <v>113</v>
      </c>
      <c r="C92" s="144">
        <f>+'Expense Support'!D90</f>
        <v>-15595</v>
      </c>
      <c r="D92" s="144">
        <f>+'Expense Support'!E90</f>
        <v>0</v>
      </c>
      <c r="E92" s="144">
        <f>+'Expense Support'!F90</f>
        <v>0</v>
      </c>
      <c r="F92" s="144">
        <f>+'Expense Support'!G90</f>
        <v>0</v>
      </c>
      <c r="G92" s="144">
        <f>+'Expense Support'!H90</f>
        <v>0</v>
      </c>
      <c r="H92" s="144">
        <f>+'Expense Support'!I90</f>
        <v>0</v>
      </c>
      <c r="I92" s="144">
        <f>+'Expense Support'!J90</f>
        <v>0</v>
      </c>
      <c r="J92" s="144">
        <f>+'Expense Support'!K90</f>
        <v>15595</v>
      </c>
      <c r="K92" s="144">
        <f>+'Expense Support'!L90</f>
        <v>0</v>
      </c>
      <c r="L92" s="144">
        <f>+'Expense Support'!M90</f>
        <v>0</v>
      </c>
      <c r="M92" s="144">
        <f>+'Expense Support'!N90</f>
        <v>0</v>
      </c>
      <c r="N92" s="144">
        <f>+'Expense Support'!O90</f>
        <v>0</v>
      </c>
      <c r="O92" s="144">
        <f>+'Expense Support'!P90</f>
        <v>0</v>
      </c>
      <c r="P92" s="144">
        <f>+'Expense Support'!Q90</f>
        <v>0</v>
      </c>
      <c r="Q92" s="144">
        <f>+'Expense Support'!R90</f>
        <v>0</v>
      </c>
      <c r="R92" s="144">
        <f>+'Expense Support'!S90</f>
        <v>0</v>
      </c>
      <c r="S92" s="144">
        <f>+'Expense Support'!T90</f>
        <v>0</v>
      </c>
      <c r="T92" s="158">
        <f t="shared" si="5"/>
        <v>15595</v>
      </c>
      <c r="U92" s="144">
        <f>+'Expense Support'!V90</f>
        <v>0</v>
      </c>
      <c r="V92" s="156">
        <f t="shared" si="6"/>
        <v>15595</v>
      </c>
      <c r="W92" s="158">
        <f t="shared" si="7"/>
        <v>0</v>
      </c>
    </row>
    <row r="93" spans="1:23">
      <c r="A93" s="132">
        <f t="shared" si="8"/>
        <v>84</v>
      </c>
      <c r="B93" s="65" t="s">
        <v>114</v>
      </c>
      <c r="C93" s="144">
        <f>+'Expense Support'!D91</f>
        <v>-224611</v>
      </c>
      <c r="D93" s="144">
        <f>+'Expense Support'!E91</f>
        <v>0</v>
      </c>
      <c r="E93" s="144">
        <f>+'Expense Support'!F91</f>
        <v>0</v>
      </c>
      <c r="F93" s="144">
        <f>+'Expense Support'!G91</f>
        <v>0</v>
      </c>
      <c r="G93" s="144">
        <f>+'Expense Support'!H91</f>
        <v>0</v>
      </c>
      <c r="H93" s="144">
        <f>+'Expense Support'!I91</f>
        <v>0</v>
      </c>
      <c r="I93" s="144">
        <f>+'Expense Support'!J91</f>
        <v>0</v>
      </c>
      <c r="J93" s="144">
        <f>+'Expense Support'!K91</f>
        <v>224611</v>
      </c>
      <c r="K93" s="144">
        <f>+'Expense Support'!L91</f>
        <v>0</v>
      </c>
      <c r="L93" s="144">
        <f>+'Expense Support'!M91</f>
        <v>0</v>
      </c>
      <c r="M93" s="144">
        <f>+'Expense Support'!N91</f>
        <v>0</v>
      </c>
      <c r="N93" s="144">
        <f>+'Expense Support'!O91</f>
        <v>0</v>
      </c>
      <c r="O93" s="144">
        <f>+'Expense Support'!P91</f>
        <v>0</v>
      </c>
      <c r="P93" s="144">
        <f>+'Expense Support'!Q91</f>
        <v>0</v>
      </c>
      <c r="Q93" s="144">
        <f>+'Expense Support'!R91</f>
        <v>0</v>
      </c>
      <c r="R93" s="144">
        <f>+'Expense Support'!S91</f>
        <v>0</v>
      </c>
      <c r="S93" s="144">
        <f>+'Expense Support'!T91</f>
        <v>0</v>
      </c>
      <c r="T93" s="158">
        <f t="shared" si="5"/>
        <v>224611</v>
      </c>
      <c r="U93" s="144">
        <f>+'Expense Support'!V91</f>
        <v>0</v>
      </c>
      <c r="V93" s="156">
        <f t="shared" si="6"/>
        <v>224611</v>
      </c>
      <c r="W93" s="158">
        <f t="shared" si="7"/>
        <v>0</v>
      </c>
    </row>
    <row r="94" spans="1:23">
      <c r="A94" s="132">
        <f t="shared" si="8"/>
        <v>85</v>
      </c>
      <c r="B94" s="65" t="s">
        <v>115</v>
      </c>
      <c r="C94" s="144">
        <f>+'Expense Support'!D92</f>
        <v>-19806</v>
      </c>
      <c r="D94" s="144">
        <f>+'Expense Support'!E92</f>
        <v>0</v>
      </c>
      <c r="E94" s="144">
        <f>+'Expense Support'!F92</f>
        <v>0</v>
      </c>
      <c r="F94" s="144">
        <f>+'Expense Support'!G92</f>
        <v>0</v>
      </c>
      <c r="G94" s="144">
        <f>+'Expense Support'!H92</f>
        <v>0</v>
      </c>
      <c r="H94" s="144">
        <f>+'Expense Support'!I92</f>
        <v>0</v>
      </c>
      <c r="I94" s="144">
        <f>+'Expense Support'!J92</f>
        <v>19806</v>
      </c>
      <c r="J94" s="144">
        <f>+'Expense Support'!K92</f>
        <v>0</v>
      </c>
      <c r="K94" s="144">
        <f>+'Expense Support'!L92</f>
        <v>0</v>
      </c>
      <c r="L94" s="144">
        <f>+'Expense Support'!M92</f>
        <v>0</v>
      </c>
      <c r="M94" s="144">
        <f>+'Expense Support'!N92</f>
        <v>0</v>
      </c>
      <c r="N94" s="144">
        <f>+'Expense Support'!O92</f>
        <v>0</v>
      </c>
      <c r="O94" s="144">
        <f>+'Expense Support'!P92</f>
        <v>0</v>
      </c>
      <c r="P94" s="144">
        <f>+'Expense Support'!Q92</f>
        <v>0</v>
      </c>
      <c r="Q94" s="144">
        <f>+'Expense Support'!R92</f>
        <v>0</v>
      </c>
      <c r="R94" s="144">
        <f>+'Expense Support'!S92</f>
        <v>0</v>
      </c>
      <c r="S94" s="144">
        <f>+'Expense Support'!T92</f>
        <v>0</v>
      </c>
      <c r="T94" s="158">
        <f t="shared" si="5"/>
        <v>19806</v>
      </c>
      <c r="U94" s="144">
        <f>+'Expense Support'!V92</f>
        <v>0</v>
      </c>
      <c r="V94" s="156">
        <f t="shared" si="6"/>
        <v>19806</v>
      </c>
      <c r="W94" s="158">
        <f t="shared" si="7"/>
        <v>0</v>
      </c>
    </row>
    <row r="95" spans="1:23">
      <c r="A95" s="132">
        <f t="shared" si="8"/>
        <v>86</v>
      </c>
      <c r="B95" s="65" t="s">
        <v>116</v>
      </c>
      <c r="C95" s="144">
        <f>+'Expense Support'!D93</f>
        <v>-17815</v>
      </c>
      <c r="D95" s="144">
        <f>+'Expense Support'!E93</f>
        <v>0</v>
      </c>
      <c r="E95" s="144">
        <f>+'Expense Support'!F93</f>
        <v>0</v>
      </c>
      <c r="F95" s="144">
        <f>+'Expense Support'!G93</f>
        <v>0</v>
      </c>
      <c r="G95" s="144">
        <f>+'Expense Support'!H93</f>
        <v>0</v>
      </c>
      <c r="H95" s="144">
        <f>+'Expense Support'!I93</f>
        <v>0</v>
      </c>
      <c r="I95" s="144">
        <f>+'Expense Support'!J93</f>
        <v>0</v>
      </c>
      <c r="J95" s="144">
        <f>+'Expense Support'!K93</f>
        <v>0</v>
      </c>
      <c r="K95" s="144">
        <f>+'Expense Support'!L93</f>
        <v>0</v>
      </c>
      <c r="L95" s="144">
        <f>+'Expense Support'!M93</f>
        <v>0</v>
      </c>
      <c r="M95" s="144">
        <f>+'Expense Support'!N93</f>
        <v>0</v>
      </c>
      <c r="N95" s="144">
        <f>+'Expense Support'!O93</f>
        <v>0</v>
      </c>
      <c r="O95" s="144">
        <f>+'Expense Support'!P93</f>
        <v>0</v>
      </c>
      <c r="P95" s="144">
        <f>+'Expense Support'!Q93</f>
        <v>0</v>
      </c>
      <c r="Q95" s="144">
        <f>+'Expense Support'!R93</f>
        <v>0</v>
      </c>
      <c r="R95" s="144">
        <f>+'Expense Support'!S93</f>
        <v>0</v>
      </c>
      <c r="S95" s="144">
        <f>+'Expense Support'!T93</f>
        <v>0</v>
      </c>
      <c r="T95" s="158">
        <f t="shared" si="5"/>
        <v>0</v>
      </c>
      <c r="U95" s="144">
        <f>+'Expense Support'!V93</f>
        <v>1385</v>
      </c>
      <c r="V95" s="156">
        <f t="shared" si="6"/>
        <v>1385</v>
      </c>
      <c r="W95" s="158">
        <f t="shared" si="7"/>
        <v>-16430</v>
      </c>
    </row>
    <row r="96" spans="1:23">
      <c r="A96" s="132">
        <f t="shared" si="8"/>
        <v>87</v>
      </c>
      <c r="B96" s="65" t="s">
        <v>117</v>
      </c>
      <c r="C96" s="144">
        <f>+'Expense Support'!D94</f>
        <v>-341171</v>
      </c>
      <c r="D96" s="144">
        <f>+'Expense Support'!E94</f>
        <v>0</v>
      </c>
      <c r="E96" s="144">
        <f>+'Expense Support'!F94</f>
        <v>0</v>
      </c>
      <c r="F96" s="144">
        <f>+'Expense Support'!G94</f>
        <v>0</v>
      </c>
      <c r="G96" s="144">
        <f>+'Expense Support'!H94</f>
        <v>0</v>
      </c>
      <c r="H96" s="144">
        <f>+'Expense Support'!I94</f>
        <v>0</v>
      </c>
      <c r="I96" s="144">
        <f>+'Expense Support'!J94</f>
        <v>0</v>
      </c>
      <c r="J96" s="144">
        <f>+'Expense Support'!K94</f>
        <v>0</v>
      </c>
      <c r="K96" s="144">
        <f>+'Expense Support'!L94</f>
        <v>0</v>
      </c>
      <c r="L96" s="144">
        <f>+'Expense Support'!M94</f>
        <v>341171</v>
      </c>
      <c r="M96" s="144">
        <f>+'Expense Support'!N94</f>
        <v>0</v>
      </c>
      <c r="N96" s="144">
        <f>+'Expense Support'!O94</f>
        <v>0</v>
      </c>
      <c r="O96" s="144">
        <f>+'Expense Support'!P94</f>
        <v>0</v>
      </c>
      <c r="P96" s="144">
        <f>+'Expense Support'!Q94</f>
        <v>0</v>
      </c>
      <c r="Q96" s="144">
        <f>+'Expense Support'!R94</f>
        <v>0</v>
      </c>
      <c r="R96" s="144">
        <f>+'Expense Support'!S94</f>
        <v>0</v>
      </c>
      <c r="S96" s="144">
        <f>+'Expense Support'!T94</f>
        <v>0</v>
      </c>
      <c r="T96" s="158">
        <f t="shared" si="5"/>
        <v>341171</v>
      </c>
      <c r="U96" s="144">
        <f>+'Expense Support'!V94</f>
        <v>0</v>
      </c>
      <c r="V96" s="156">
        <f t="shared" si="6"/>
        <v>341171</v>
      </c>
      <c r="W96" s="158">
        <f t="shared" si="7"/>
        <v>0</v>
      </c>
    </row>
    <row r="97" spans="1:23">
      <c r="A97" s="132">
        <f t="shared" si="8"/>
        <v>88</v>
      </c>
      <c r="B97" s="65" t="s">
        <v>65</v>
      </c>
      <c r="C97" s="144">
        <f>+'Expense Support'!D95</f>
        <v>-627345</v>
      </c>
      <c r="D97" s="144">
        <f>+'Expense Support'!E95</f>
        <v>627345</v>
      </c>
      <c r="E97" s="144">
        <f>+'Expense Support'!F95</f>
        <v>0</v>
      </c>
      <c r="F97" s="144">
        <f>+'Expense Support'!G95</f>
        <v>0</v>
      </c>
      <c r="G97" s="144">
        <f>+'Expense Support'!H95</f>
        <v>0</v>
      </c>
      <c r="H97" s="144">
        <f>+'Expense Support'!I95</f>
        <v>0</v>
      </c>
      <c r="I97" s="144">
        <f>+'Expense Support'!J95</f>
        <v>0</v>
      </c>
      <c r="J97" s="144">
        <f>+'Expense Support'!K95</f>
        <v>0</v>
      </c>
      <c r="K97" s="144">
        <f>+'Expense Support'!L95</f>
        <v>0</v>
      </c>
      <c r="L97" s="144">
        <f>+'Expense Support'!M95</f>
        <v>0</v>
      </c>
      <c r="M97" s="144">
        <f>+'Expense Support'!N95</f>
        <v>0</v>
      </c>
      <c r="N97" s="144">
        <f>+'Expense Support'!O95</f>
        <v>0</v>
      </c>
      <c r="O97" s="144">
        <f>+'Expense Support'!P95</f>
        <v>0</v>
      </c>
      <c r="P97" s="144">
        <f>+'Expense Support'!Q95</f>
        <v>0</v>
      </c>
      <c r="Q97" s="144">
        <f>+'Expense Support'!R95</f>
        <v>0</v>
      </c>
      <c r="R97" s="144">
        <f>+'Expense Support'!S95</f>
        <v>0</v>
      </c>
      <c r="S97" s="144">
        <f>+'Expense Support'!T95</f>
        <v>0</v>
      </c>
      <c r="T97" s="158">
        <f t="shared" si="5"/>
        <v>627345</v>
      </c>
      <c r="U97" s="144">
        <f>+'Expense Support'!V95</f>
        <v>0</v>
      </c>
      <c r="V97" s="156">
        <f t="shared" si="6"/>
        <v>627345</v>
      </c>
      <c r="W97" s="158">
        <f t="shared" si="7"/>
        <v>0</v>
      </c>
    </row>
    <row r="98" spans="1:23">
      <c r="A98" s="132">
        <f t="shared" si="8"/>
        <v>89</v>
      </c>
      <c r="B98" s="65" t="s">
        <v>122</v>
      </c>
      <c r="C98" s="144">
        <f>+'Expense Support'!D96</f>
        <v>-294743</v>
      </c>
      <c r="D98" s="144">
        <f>+'Expense Support'!E96</f>
        <v>0</v>
      </c>
      <c r="E98" s="144">
        <f>+'Expense Support'!F96</f>
        <v>0</v>
      </c>
      <c r="F98" s="144">
        <f>+'Expense Support'!G96</f>
        <v>0</v>
      </c>
      <c r="G98" s="144">
        <f>+'Expense Support'!H96</f>
        <v>0</v>
      </c>
      <c r="H98" s="144">
        <f>+'Expense Support'!I96</f>
        <v>0</v>
      </c>
      <c r="I98" s="144">
        <f>+'Expense Support'!J96</f>
        <v>0</v>
      </c>
      <c r="J98" s="144">
        <f>+'Expense Support'!K96</f>
        <v>0</v>
      </c>
      <c r="K98" s="144">
        <f>+'Expense Support'!L96</f>
        <v>0</v>
      </c>
      <c r="L98" s="144">
        <f>+'Expense Support'!M96</f>
        <v>0</v>
      </c>
      <c r="M98" s="144">
        <f>+'Expense Support'!N96</f>
        <v>294743</v>
      </c>
      <c r="N98" s="144">
        <f>+'Expense Support'!O96</f>
        <v>0</v>
      </c>
      <c r="O98" s="144">
        <f>+'Expense Support'!P96</f>
        <v>0</v>
      </c>
      <c r="P98" s="144">
        <f>+'Expense Support'!Q96</f>
        <v>0</v>
      </c>
      <c r="Q98" s="144">
        <f>+'Expense Support'!R96</f>
        <v>0</v>
      </c>
      <c r="R98" s="144">
        <f>+'Expense Support'!S96</f>
        <v>0</v>
      </c>
      <c r="S98" s="144">
        <f>+'Expense Support'!T96</f>
        <v>0</v>
      </c>
      <c r="T98" s="158">
        <f t="shared" si="5"/>
        <v>294743</v>
      </c>
      <c r="U98" s="144">
        <f>+'Expense Support'!V96</f>
        <v>0</v>
      </c>
      <c r="V98" s="156">
        <f t="shared" si="6"/>
        <v>294743</v>
      </c>
      <c r="W98" s="158">
        <f t="shared" si="7"/>
        <v>0</v>
      </c>
    </row>
    <row r="99" spans="1:23">
      <c r="A99" s="132">
        <f t="shared" si="8"/>
        <v>90</v>
      </c>
      <c r="B99" s="65" t="s">
        <v>84</v>
      </c>
      <c r="C99" s="144">
        <f>+'Expense Support'!D97</f>
        <v>-126418</v>
      </c>
      <c r="D99" s="144">
        <f>+'Expense Support'!E97</f>
        <v>126418</v>
      </c>
      <c r="E99" s="144">
        <f>+'Expense Support'!F97</f>
        <v>0</v>
      </c>
      <c r="F99" s="144">
        <f>+'Expense Support'!G97</f>
        <v>0</v>
      </c>
      <c r="G99" s="144">
        <f>+'Expense Support'!H97</f>
        <v>0</v>
      </c>
      <c r="H99" s="144">
        <f>+'Expense Support'!I97</f>
        <v>0</v>
      </c>
      <c r="I99" s="144">
        <f>+'Expense Support'!J97</f>
        <v>0</v>
      </c>
      <c r="J99" s="144">
        <f>+'Expense Support'!K97</f>
        <v>0</v>
      </c>
      <c r="K99" s="144">
        <f>+'Expense Support'!L97</f>
        <v>0</v>
      </c>
      <c r="L99" s="144">
        <f>+'Expense Support'!M97</f>
        <v>0</v>
      </c>
      <c r="M99" s="144">
        <f>+'Expense Support'!N97</f>
        <v>0</v>
      </c>
      <c r="N99" s="144">
        <f>+'Expense Support'!O97</f>
        <v>0</v>
      </c>
      <c r="O99" s="144">
        <f>+'Expense Support'!P97</f>
        <v>0</v>
      </c>
      <c r="P99" s="144">
        <f>+'Expense Support'!Q97</f>
        <v>0</v>
      </c>
      <c r="Q99" s="144">
        <f>+'Expense Support'!R97</f>
        <v>0</v>
      </c>
      <c r="R99" s="144">
        <f>+'Expense Support'!S97</f>
        <v>0</v>
      </c>
      <c r="S99" s="144">
        <f>+'Expense Support'!T97</f>
        <v>0</v>
      </c>
      <c r="T99" s="158">
        <f t="shared" si="5"/>
        <v>126418</v>
      </c>
      <c r="U99" s="144">
        <f>+'Expense Support'!V97</f>
        <v>0</v>
      </c>
      <c r="V99" s="156">
        <f t="shared" si="6"/>
        <v>126418</v>
      </c>
      <c r="W99" s="158">
        <f t="shared" si="7"/>
        <v>0</v>
      </c>
    </row>
    <row r="100" spans="1:23">
      <c r="A100" s="132">
        <f t="shared" si="8"/>
        <v>91</v>
      </c>
      <c r="B100" s="65" t="s">
        <v>123</v>
      </c>
      <c r="C100" s="144">
        <f>+'Expense Support'!D98</f>
        <v>-241766</v>
      </c>
      <c r="D100" s="144">
        <f>+'Expense Support'!E98</f>
        <v>0</v>
      </c>
      <c r="E100" s="144">
        <f>+'Expense Support'!F98</f>
        <v>0</v>
      </c>
      <c r="F100" s="144">
        <f>+'Expense Support'!G98</f>
        <v>0</v>
      </c>
      <c r="G100" s="144">
        <f>+'Expense Support'!H98</f>
        <v>0</v>
      </c>
      <c r="H100" s="144">
        <f>+'Expense Support'!I98</f>
        <v>241766</v>
      </c>
      <c r="I100" s="144">
        <f>+'Expense Support'!J98</f>
        <v>0</v>
      </c>
      <c r="J100" s="144">
        <f>+'Expense Support'!K98</f>
        <v>0</v>
      </c>
      <c r="K100" s="144">
        <f>+'Expense Support'!L98</f>
        <v>0</v>
      </c>
      <c r="L100" s="144">
        <f>+'Expense Support'!M98</f>
        <v>0</v>
      </c>
      <c r="M100" s="144">
        <f>+'Expense Support'!N98</f>
        <v>0</v>
      </c>
      <c r="N100" s="144">
        <f>+'Expense Support'!O98</f>
        <v>0</v>
      </c>
      <c r="O100" s="144">
        <f>+'Expense Support'!P98</f>
        <v>0</v>
      </c>
      <c r="P100" s="144">
        <f>+'Expense Support'!Q98</f>
        <v>0</v>
      </c>
      <c r="Q100" s="144">
        <f>+'Expense Support'!R98</f>
        <v>0</v>
      </c>
      <c r="R100" s="144">
        <f>+'Expense Support'!S98</f>
        <v>0</v>
      </c>
      <c r="S100" s="144">
        <f>+'Expense Support'!T98</f>
        <v>0</v>
      </c>
      <c r="T100" s="158">
        <f t="shared" si="5"/>
        <v>241766</v>
      </c>
      <c r="U100" s="144">
        <f>+'Expense Support'!V98</f>
        <v>0</v>
      </c>
      <c r="V100" s="156">
        <f t="shared" si="6"/>
        <v>241766</v>
      </c>
      <c r="W100" s="158">
        <f t="shared" si="7"/>
        <v>0</v>
      </c>
    </row>
    <row r="101" spans="1:23">
      <c r="A101" s="132">
        <f t="shared" si="8"/>
        <v>92</v>
      </c>
      <c r="B101" s="67" t="s">
        <v>127</v>
      </c>
      <c r="C101" s="144">
        <f>+'Expense Support'!D99</f>
        <v>0</v>
      </c>
      <c r="D101" s="144">
        <f>+'Expense Support'!E99</f>
        <v>0</v>
      </c>
      <c r="E101" s="144">
        <f>+'Expense Support'!F99</f>
        <v>-10930</v>
      </c>
      <c r="F101" s="144">
        <f>+'Expense Support'!G99</f>
        <v>0</v>
      </c>
      <c r="G101" s="144">
        <f>+'Expense Support'!H99</f>
        <v>0</v>
      </c>
      <c r="H101" s="144">
        <f>+'Expense Support'!I99</f>
        <v>0</v>
      </c>
      <c r="I101" s="144">
        <f>+'Expense Support'!J99</f>
        <v>0</v>
      </c>
      <c r="J101" s="144">
        <f>+'Expense Support'!K99</f>
        <v>0</v>
      </c>
      <c r="K101" s="144">
        <f>+'Expense Support'!L99</f>
        <v>0</v>
      </c>
      <c r="L101" s="144">
        <f>+'Expense Support'!M99</f>
        <v>0</v>
      </c>
      <c r="M101" s="144">
        <f>+'Expense Support'!N99</f>
        <v>0</v>
      </c>
      <c r="N101" s="144">
        <f>+'Expense Support'!O99</f>
        <v>0</v>
      </c>
      <c r="O101" s="144">
        <f>+'Expense Support'!P99</f>
        <v>0</v>
      </c>
      <c r="P101" s="144">
        <f>+'Expense Support'!Q99</f>
        <v>0</v>
      </c>
      <c r="Q101" s="144">
        <f>+'Expense Support'!R99</f>
        <v>0</v>
      </c>
      <c r="R101" s="144">
        <f>+'Expense Support'!S99</f>
        <v>0</v>
      </c>
      <c r="S101" s="144">
        <f>+'Expense Support'!T99</f>
        <v>0</v>
      </c>
      <c r="T101" s="158">
        <f t="shared" si="5"/>
        <v>-10930</v>
      </c>
      <c r="U101" s="144">
        <f>+'Expense Support'!V99</f>
        <v>850</v>
      </c>
      <c r="V101" s="156">
        <f t="shared" si="6"/>
        <v>-10080</v>
      </c>
      <c r="W101" s="158">
        <f t="shared" si="7"/>
        <v>-10080</v>
      </c>
    </row>
    <row r="102" spans="1:23">
      <c r="A102" s="132">
        <f t="shared" si="8"/>
        <v>93</v>
      </c>
      <c r="B102" s="67" t="s">
        <v>128</v>
      </c>
      <c r="C102" s="144">
        <f>+'Expense Support'!D100</f>
        <v>0</v>
      </c>
      <c r="D102" s="144">
        <f>+'Expense Support'!E100</f>
        <v>0</v>
      </c>
      <c r="E102" s="144">
        <f>+'Expense Support'!F100</f>
        <v>0</v>
      </c>
      <c r="F102" s="144">
        <f>+'Expense Support'!G100</f>
        <v>0</v>
      </c>
      <c r="G102" s="144">
        <f>+'Expense Support'!H100</f>
        <v>0</v>
      </c>
      <c r="H102" s="144">
        <f>+'Expense Support'!I100</f>
        <v>0</v>
      </c>
      <c r="I102" s="144">
        <f>+'Expense Support'!J100</f>
        <v>116447</v>
      </c>
      <c r="J102" s="144">
        <f>+'Expense Support'!K100</f>
        <v>0</v>
      </c>
      <c r="K102" s="144">
        <f>+'Expense Support'!L100</f>
        <v>0</v>
      </c>
      <c r="L102" s="144">
        <f>+'Expense Support'!M100</f>
        <v>0</v>
      </c>
      <c r="M102" s="144">
        <f>+'Expense Support'!N100</f>
        <v>0</v>
      </c>
      <c r="N102" s="144">
        <f>+'Expense Support'!O100</f>
        <v>0</v>
      </c>
      <c r="O102" s="144">
        <f>+'Expense Support'!P100</f>
        <v>0</v>
      </c>
      <c r="P102" s="144">
        <f>+'Expense Support'!Q100</f>
        <v>0</v>
      </c>
      <c r="Q102" s="144">
        <f>+'Expense Support'!R100</f>
        <v>0</v>
      </c>
      <c r="R102" s="144">
        <f>+'Expense Support'!S100</f>
        <v>0</v>
      </c>
      <c r="S102" s="144">
        <f>+'Expense Support'!T100</f>
        <v>0</v>
      </c>
      <c r="T102" s="158">
        <f t="shared" si="5"/>
        <v>116447</v>
      </c>
      <c r="U102" s="144">
        <f>+'Expense Support'!V100</f>
        <v>-9055</v>
      </c>
      <c r="V102" s="156">
        <f t="shared" si="6"/>
        <v>107392</v>
      </c>
      <c r="W102" s="158">
        <f t="shared" si="7"/>
        <v>107392</v>
      </c>
    </row>
    <row r="103" spans="1:23">
      <c r="A103" s="132">
        <f t="shared" si="8"/>
        <v>94</v>
      </c>
      <c r="B103" s="67" t="s">
        <v>129</v>
      </c>
      <c r="C103" s="144">
        <f>+'Expense Support'!D101</f>
        <v>0</v>
      </c>
      <c r="D103" s="144">
        <f>+'Expense Support'!E101</f>
        <v>0</v>
      </c>
      <c r="E103" s="144">
        <f>+'Expense Support'!F101</f>
        <v>0</v>
      </c>
      <c r="F103" s="144">
        <f>+'Expense Support'!G101</f>
        <v>0</v>
      </c>
      <c r="G103" s="144">
        <f>+'Expense Support'!H101</f>
        <v>0</v>
      </c>
      <c r="H103" s="144">
        <f>+'Expense Support'!I101</f>
        <v>0</v>
      </c>
      <c r="I103" s="144">
        <f>+'Expense Support'!J101</f>
        <v>0</v>
      </c>
      <c r="J103" s="144">
        <f>+'Expense Support'!K101</f>
        <v>-9662</v>
      </c>
      <c r="K103" s="144">
        <f>+'Expense Support'!L101</f>
        <v>0</v>
      </c>
      <c r="L103" s="144">
        <f>+'Expense Support'!M101</f>
        <v>0</v>
      </c>
      <c r="M103" s="144">
        <f>+'Expense Support'!N101</f>
        <v>0</v>
      </c>
      <c r="N103" s="144">
        <f>+'Expense Support'!O101</f>
        <v>0</v>
      </c>
      <c r="O103" s="144">
        <f>+'Expense Support'!P101</f>
        <v>0</v>
      </c>
      <c r="P103" s="144">
        <f>+'Expense Support'!Q101</f>
        <v>0</v>
      </c>
      <c r="Q103" s="144">
        <f>+'Expense Support'!R101</f>
        <v>0</v>
      </c>
      <c r="R103" s="144">
        <f>+'Expense Support'!S101</f>
        <v>0</v>
      </c>
      <c r="S103" s="144">
        <f>+'Expense Support'!T101</f>
        <v>0</v>
      </c>
      <c r="T103" s="158">
        <f t="shared" si="5"/>
        <v>-9662</v>
      </c>
      <c r="U103" s="144">
        <f>+'Expense Support'!V101</f>
        <v>751</v>
      </c>
      <c r="V103" s="156">
        <f t="shared" si="6"/>
        <v>-8911</v>
      </c>
      <c r="W103" s="158">
        <f t="shared" si="7"/>
        <v>-8911</v>
      </c>
    </row>
    <row r="104" spans="1:23">
      <c r="A104" s="132">
        <f t="shared" si="8"/>
        <v>95</v>
      </c>
      <c r="B104" s="67" t="s">
        <v>130</v>
      </c>
      <c r="C104" s="144">
        <f>+'Expense Support'!D102</f>
        <v>0</v>
      </c>
      <c r="D104" s="144">
        <f>+'Expense Support'!E102</f>
        <v>0</v>
      </c>
      <c r="E104" s="144">
        <f>+'Expense Support'!F102</f>
        <v>0</v>
      </c>
      <c r="F104" s="144">
        <f>+'Expense Support'!G102</f>
        <v>0</v>
      </c>
      <c r="G104" s="144">
        <f>+'Expense Support'!H102</f>
        <v>0</v>
      </c>
      <c r="H104" s="144">
        <f>+'Expense Support'!I102</f>
        <v>0</v>
      </c>
      <c r="I104" s="144">
        <f>+'Expense Support'!J102</f>
        <v>0</v>
      </c>
      <c r="J104" s="144">
        <f>+'Expense Support'!K102</f>
        <v>0</v>
      </c>
      <c r="K104" s="144">
        <f>+'Expense Support'!L102</f>
        <v>0</v>
      </c>
      <c r="L104" s="144">
        <f>+'Expense Support'!M102</f>
        <v>-222521</v>
      </c>
      <c r="M104" s="144">
        <f>+'Expense Support'!N102</f>
        <v>0</v>
      </c>
      <c r="N104" s="144">
        <f>+'Expense Support'!O102</f>
        <v>0</v>
      </c>
      <c r="O104" s="144">
        <f>+'Expense Support'!P102</f>
        <v>0</v>
      </c>
      <c r="P104" s="144">
        <f>+'Expense Support'!Q102</f>
        <v>0</v>
      </c>
      <c r="Q104" s="144">
        <f>+'Expense Support'!R102</f>
        <v>0</v>
      </c>
      <c r="R104" s="144">
        <f>+'Expense Support'!S102</f>
        <v>0</v>
      </c>
      <c r="S104" s="144">
        <f>+'Expense Support'!T102</f>
        <v>0</v>
      </c>
      <c r="T104" s="158">
        <f t="shared" si="5"/>
        <v>-222521</v>
      </c>
      <c r="U104" s="144">
        <f>+'Expense Support'!V102</f>
        <v>17303</v>
      </c>
      <c r="V104" s="156">
        <f t="shared" si="6"/>
        <v>-205218</v>
      </c>
      <c r="W104" s="158">
        <f t="shared" si="7"/>
        <v>-205218</v>
      </c>
    </row>
    <row r="105" spans="1:23">
      <c r="A105" s="132">
        <f t="shared" si="8"/>
        <v>96</v>
      </c>
      <c r="B105" s="67" t="s">
        <v>131</v>
      </c>
      <c r="C105" s="144">
        <f>+'Expense Support'!D103</f>
        <v>0</v>
      </c>
      <c r="D105" s="144">
        <f>+'Expense Support'!E103</f>
        <v>0</v>
      </c>
      <c r="E105" s="144">
        <f>+'Expense Support'!F103</f>
        <v>0</v>
      </c>
      <c r="F105" s="144">
        <f>+'Expense Support'!G103</f>
        <v>0</v>
      </c>
      <c r="G105" s="144">
        <f>+'Expense Support'!H103</f>
        <v>0</v>
      </c>
      <c r="H105" s="144">
        <f>+'Expense Support'!I103</f>
        <v>0</v>
      </c>
      <c r="I105" s="144">
        <f>+'Expense Support'!J103</f>
        <v>0</v>
      </c>
      <c r="J105" s="144">
        <f>+'Expense Support'!K103</f>
        <v>0</v>
      </c>
      <c r="K105" s="144">
        <f>+'Expense Support'!L103</f>
        <v>0</v>
      </c>
      <c r="L105" s="144">
        <f>+'Expense Support'!M103</f>
        <v>0</v>
      </c>
      <c r="M105" s="144">
        <f>+'Expense Support'!N103</f>
        <v>0</v>
      </c>
      <c r="N105" s="144">
        <f>+'Expense Support'!O103</f>
        <v>-1138530</v>
      </c>
      <c r="O105" s="144">
        <f>+'Expense Support'!P103</f>
        <v>0</v>
      </c>
      <c r="P105" s="144">
        <f>+'Expense Support'!Q103</f>
        <v>0</v>
      </c>
      <c r="Q105" s="144">
        <f>+'Expense Support'!R103</f>
        <v>0</v>
      </c>
      <c r="R105" s="144">
        <f>+'Expense Support'!S103</f>
        <v>0</v>
      </c>
      <c r="S105" s="144">
        <f>+'Expense Support'!T103</f>
        <v>0</v>
      </c>
      <c r="T105" s="158">
        <f t="shared" si="5"/>
        <v>-1138530</v>
      </c>
      <c r="U105" s="144">
        <f>+'Expense Support'!V103</f>
        <v>88530</v>
      </c>
      <c r="V105" s="156">
        <f t="shared" si="6"/>
        <v>-1050000</v>
      </c>
      <c r="W105" s="158">
        <f t="shared" si="7"/>
        <v>-1050000</v>
      </c>
    </row>
    <row r="106" spans="1:23">
      <c r="A106" s="132">
        <f t="shared" si="8"/>
        <v>97</v>
      </c>
      <c r="B106" s="67" t="s">
        <v>132</v>
      </c>
      <c r="C106" s="144">
        <f>+'Expense Support'!D104</f>
        <v>0</v>
      </c>
      <c r="D106" s="144">
        <f>+'Expense Support'!E104</f>
        <v>0</v>
      </c>
      <c r="E106" s="144">
        <f>+'Expense Support'!F104</f>
        <v>0</v>
      </c>
      <c r="F106" s="144">
        <f>+'Expense Support'!G104</f>
        <v>0</v>
      </c>
      <c r="G106" s="144">
        <f>+'Expense Support'!H104</f>
        <v>0</v>
      </c>
      <c r="H106" s="144">
        <f>+'Expense Support'!I104</f>
        <v>0</v>
      </c>
      <c r="I106" s="144">
        <f>+'Expense Support'!J104</f>
        <v>0</v>
      </c>
      <c r="J106" s="144">
        <f>+'Expense Support'!K104</f>
        <v>0</v>
      </c>
      <c r="K106" s="144">
        <f>+'Expense Support'!L104</f>
        <v>0</v>
      </c>
      <c r="L106" s="144">
        <f>+'Expense Support'!M104</f>
        <v>0</v>
      </c>
      <c r="M106" s="144">
        <f>+'Expense Support'!N104</f>
        <v>0</v>
      </c>
      <c r="N106" s="144">
        <f>+'Expense Support'!O104</f>
        <v>0</v>
      </c>
      <c r="O106" s="144">
        <f>+'Expense Support'!P104</f>
        <v>-291667</v>
      </c>
      <c r="P106" s="144">
        <f>+'Expense Support'!Q104</f>
        <v>0</v>
      </c>
      <c r="Q106" s="144">
        <f>+'Expense Support'!R104</f>
        <v>0</v>
      </c>
      <c r="R106" s="144">
        <f>+'Expense Support'!S104</f>
        <v>0</v>
      </c>
      <c r="S106" s="144">
        <f>+'Expense Support'!T104</f>
        <v>0</v>
      </c>
      <c r="T106" s="158">
        <f t="shared" si="5"/>
        <v>-291667</v>
      </c>
      <c r="U106" s="144">
        <f>+'Expense Support'!V104</f>
        <v>22679</v>
      </c>
      <c r="V106" s="156">
        <f t="shared" si="6"/>
        <v>-268988</v>
      </c>
      <c r="W106" s="158">
        <f t="shared" si="7"/>
        <v>-268988</v>
      </c>
    </row>
    <row r="107" spans="1:23">
      <c r="A107" s="132">
        <f t="shared" si="8"/>
        <v>98</v>
      </c>
      <c r="B107" s="63" t="s">
        <v>133</v>
      </c>
      <c r="C107" s="146">
        <f t="shared" ref="C107:W107" si="9">SUM(C63:C106)</f>
        <v>-31799318.300000001</v>
      </c>
      <c r="D107" s="146">
        <f t="shared" si="9"/>
        <v>753763</v>
      </c>
      <c r="E107" s="146">
        <f t="shared" si="9"/>
        <v>-10930</v>
      </c>
      <c r="F107" s="146">
        <f t="shared" si="9"/>
        <v>0</v>
      </c>
      <c r="G107" s="146">
        <f t="shared" si="9"/>
        <v>0</v>
      </c>
      <c r="H107" s="146">
        <f t="shared" si="9"/>
        <v>241766</v>
      </c>
      <c r="I107" s="146">
        <f t="shared" si="9"/>
        <v>136253</v>
      </c>
      <c r="J107" s="146">
        <f t="shared" si="9"/>
        <v>230544</v>
      </c>
      <c r="K107" s="146">
        <f t="shared" si="9"/>
        <v>26210.799999999999</v>
      </c>
      <c r="L107" s="146">
        <f t="shared" si="9"/>
        <v>118650</v>
      </c>
      <c r="M107" s="146">
        <f t="shared" si="9"/>
        <v>294743</v>
      </c>
      <c r="N107" s="146">
        <f t="shared" si="9"/>
        <v>-1138530</v>
      </c>
      <c r="O107" s="146">
        <f t="shared" si="9"/>
        <v>-291667</v>
      </c>
      <c r="P107" s="146">
        <f t="shared" si="9"/>
        <v>5532834</v>
      </c>
      <c r="Q107" s="146">
        <f t="shared" si="9"/>
        <v>-387105</v>
      </c>
      <c r="R107" s="146">
        <f t="shared" si="9"/>
        <v>0</v>
      </c>
      <c r="S107" s="146">
        <f t="shared" si="9"/>
        <v>0</v>
      </c>
      <c r="T107" s="146">
        <f t="shared" si="9"/>
        <v>5506531.8000000007</v>
      </c>
      <c r="U107" s="146">
        <f t="shared" si="9"/>
        <v>2044477</v>
      </c>
      <c r="V107" s="146">
        <f t="shared" si="9"/>
        <v>7551008.8000000007</v>
      </c>
      <c r="W107" s="146">
        <f t="shared" si="9"/>
        <v>-24248309.5</v>
      </c>
    </row>
    <row r="108" spans="1:23">
      <c r="A108" s="63"/>
      <c r="B108" s="63"/>
      <c r="C108" s="146"/>
      <c r="D108" s="144"/>
      <c r="E108" s="144"/>
      <c r="F108" s="144"/>
      <c r="G108" s="144"/>
      <c r="H108" s="144"/>
      <c r="I108" s="144"/>
      <c r="J108" s="144"/>
      <c r="K108" s="144"/>
      <c r="L108" s="144"/>
      <c r="M108" s="144"/>
      <c r="N108" s="144"/>
      <c r="O108" s="144"/>
      <c r="P108" s="144"/>
      <c r="Q108" s="144"/>
      <c r="R108" s="144"/>
      <c r="S108" s="144"/>
      <c r="T108" s="144"/>
      <c r="U108" s="144"/>
      <c r="V108" s="144"/>
      <c r="W108" s="144"/>
    </row>
    <row r="109" spans="1:23">
      <c r="A109" s="133">
        <f>1+A107</f>
        <v>99</v>
      </c>
      <c r="B109" s="130" t="s">
        <v>134</v>
      </c>
      <c r="C109" s="160">
        <f t="shared" ref="C109:W109" si="10">+C107+C61</f>
        <v>22359797.900000002</v>
      </c>
      <c r="D109" s="160">
        <f t="shared" si="10"/>
        <v>623320</v>
      </c>
      <c r="E109" s="160">
        <f t="shared" si="10"/>
        <v>192892</v>
      </c>
      <c r="F109" s="160">
        <f t="shared" si="10"/>
        <v>384714</v>
      </c>
      <c r="G109" s="160">
        <f t="shared" si="10"/>
        <v>-525945</v>
      </c>
      <c r="H109" s="160">
        <f t="shared" si="10"/>
        <v>218152</v>
      </c>
      <c r="I109" s="160">
        <f t="shared" si="10"/>
        <v>136253</v>
      </c>
      <c r="J109" s="160">
        <f t="shared" si="10"/>
        <v>22534</v>
      </c>
      <c r="K109" s="160">
        <f t="shared" si="10"/>
        <v>-178074.80000000002</v>
      </c>
      <c r="L109" s="160">
        <f t="shared" si="10"/>
        <v>118650</v>
      </c>
      <c r="M109" s="160">
        <f t="shared" si="10"/>
        <v>131967</v>
      </c>
      <c r="N109" s="160">
        <f t="shared" si="10"/>
        <v>-1138530</v>
      </c>
      <c r="O109" s="160">
        <f t="shared" si="10"/>
        <v>-291667</v>
      </c>
      <c r="P109" s="160">
        <f t="shared" si="10"/>
        <v>5532834</v>
      </c>
      <c r="Q109" s="160">
        <f t="shared" si="10"/>
        <v>525562</v>
      </c>
      <c r="R109" s="160">
        <f t="shared" si="10"/>
        <v>170464</v>
      </c>
      <c r="S109" s="160">
        <f t="shared" si="10"/>
        <v>0</v>
      </c>
      <c r="T109" s="160">
        <f t="shared" si="10"/>
        <v>5923125.2000000011</v>
      </c>
      <c r="U109" s="160">
        <f t="shared" si="10"/>
        <v>-2199228</v>
      </c>
      <c r="V109" s="160">
        <f t="shared" si="10"/>
        <v>3723897.2000000011</v>
      </c>
      <c r="W109" s="160">
        <f t="shared" si="10"/>
        <v>26083695.100000001</v>
      </c>
    </row>
    <row r="110" spans="1:23">
      <c r="C110" s="68"/>
      <c r="D110" s="68"/>
      <c r="E110" s="68"/>
      <c r="F110" s="68"/>
      <c r="G110" s="68"/>
      <c r="H110" s="68"/>
      <c r="I110" s="68"/>
      <c r="J110" s="68"/>
      <c r="K110" s="68"/>
      <c r="L110" s="68"/>
      <c r="M110" s="68"/>
      <c r="N110" s="68"/>
      <c r="P110" s="68"/>
      <c r="Q110" s="68"/>
      <c r="R110" s="68"/>
      <c r="S110" s="68"/>
      <c r="T110" s="68"/>
      <c r="U110" s="69"/>
      <c r="V110" s="69"/>
      <c r="W110" s="69"/>
    </row>
    <row r="111" spans="1:23">
      <c r="C111" s="68"/>
      <c r="D111" s="68"/>
      <c r="E111" s="68"/>
      <c r="F111" s="68"/>
      <c r="G111" s="68"/>
      <c r="H111" s="68"/>
      <c r="I111" s="68"/>
      <c r="J111" s="68"/>
      <c r="K111" s="68"/>
      <c r="L111" s="68"/>
      <c r="M111" s="68"/>
      <c r="N111" s="68"/>
      <c r="P111" s="68"/>
      <c r="Q111" s="68"/>
      <c r="R111" s="68"/>
      <c r="S111" s="68"/>
      <c r="T111" s="68"/>
      <c r="U111" s="69"/>
      <c r="V111" s="69"/>
      <c r="W111" s="69"/>
    </row>
    <row r="112" spans="1:23">
      <c r="C112" s="68"/>
      <c r="D112" s="68"/>
      <c r="E112" s="68"/>
      <c r="F112" s="68"/>
      <c r="G112" s="68"/>
      <c r="H112" s="68"/>
      <c r="I112" s="68"/>
      <c r="J112" s="68"/>
      <c r="K112" s="68"/>
      <c r="L112" s="68"/>
      <c r="M112" s="68"/>
      <c r="N112" s="68"/>
      <c r="P112" s="68"/>
      <c r="Q112" s="68"/>
      <c r="R112" s="68"/>
      <c r="S112" s="68"/>
      <c r="T112" s="68"/>
      <c r="U112" s="68"/>
      <c r="V112" s="68"/>
      <c r="W112" s="68"/>
    </row>
    <row r="113" spans="3:23">
      <c r="C113" s="68"/>
      <c r="D113" s="68"/>
      <c r="E113" s="68"/>
      <c r="F113" s="68"/>
      <c r="G113" s="68"/>
      <c r="H113" s="68"/>
      <c r="I113" s="68"/>
      <c r="J113" s="68"/>
      <c r="K113" s="68"/>
      <c r="L113" s="68"/>
      <c r="M113" s="68"/>
      <c r="N113" s="68"/>
      <c r="P113" s="68"/>
      <c r="Q113" s="68"/>
      <c r="R113" s="68"/>
      <c r="S113" s="68"/>
      <c r="T113" s="68"/>
      <c r="U113" s="68"/>
      <c r="V113" s="68"/>
      <c r="W113" s="68"/>
    </row>
    <row r="114" spans="3:23">
      <c r="C114" s="68"/>
      <c r="D114" s="68"/>
      <c r="E114" s="68"/>
      <c r="F114" s="68"/>
      <c r="G114" s="68"/>
      <c r="H114" s="68"/>
      <c r="I114" s="68"/>
      <c r="J114" s="68"/>
      <c r="K114" s="68"/>
      <c r="L114" s="68"/>
      <c r="M114" s="68"/>
      <c r="N114" s="68"/>
      <c r="P114" s="68"/>
      <c r="Q114" s="68"/>
      <c r="R114" s="68"/>
      <c r="S114" s="68"/>
      <c r="T114" s="68"/>
      <c r="U114" s="68"/>
      <c r="V114" s="68"/>
      <c r="W114" s="68"/>
    </row>
  </sheetData>
  <printOptions horizontalCentered="1"/>
  <pageMargins left="0.75" right="0.75" top="0.3" bottom="0.3" header="0.3" footer="0.2"/>
  <pageSetup scale="57" fitToWidth="2" fitToHeight="2" pageOrder="overThenDown" orientation="landscape" r:id="rId1"/>
  <headerFooter alignWithMargins="0">
    <oddHeader xml:space="preserve">&amp;RRevised 1-13-2011
PacifiCorp  Docket UE-100749
Exhibit No.___(KHB-6)
Page  &amp;P &amp;N
</oddHeader>
  </headerFooter>
  <colBreaks count="1" manualBreakCount="1">
    <brk id="12" min="8" max="108" man="1"/>
  </colBreaks>
  <legacyDrawing r:id="rId2"/>
</worksheet>
</file>

<file path=xl/worksheets/sheet8.xml><?xml version="1.0" encoding="utf-8"?>
<worksheet xmlns="http://schemas.openxmlformats.org/spreadsheetml/2006/main" xmlns:r="http://schemas.openxmlformats.org/officeDocument/2006/relationships">
  <dimension ref="A1:O113"/>
  <sheetViews>
    <sheetView zoomScale="90" zoomScaleNormal="90" workbookViewId="0">
      <pane xSplit="3" ySplit="5" topLeftCell="H60" activePane="bottomRight" state="frozen"/>
      <selection activeCell="D29" sqref="D29"/>
      <selection pane="topRight" activeCell="D29" sqref="D29"/>
      <selection pane="bottomLeft" activeCell="D29" sqref="D29"/>
      <selection pane="bottomRight" activeCell="K79" sqref="K79"/>
    </sheetView>
  </sheetViews>
  <sheetFormatPr defaultRowHeight="15.75"/>
  <cols>
    <col min="1" max="1" width="8.42578125" style="41" customWidth="1"/>
    <col min="2" max="2" width="59.28515625" style="41" customWidth="1"/>
    <col min="3" max="3" width="15.5703125" style="41" customWidth="1"/>
    <col min="4" max="4" width="13.5703125" style="41" customWidth="1"/>
    <col min="5" max="5" width="14.85546875" style="41" customWidth="1"/>
    <col min="6" max="6" width="12.5703125" style="41" customWidth="1"/>
    <col min="7" max="7" width="13.7109375" style="41" customWidth="1"/>
    <col min="8" max="8" width="12.5703125" style="41" customWidth="1"/>
    <col min="9" max="10" width="13.7109375" style="41" customWidth="1"/>
    <col min="11" max="11" width="17.140625" style="41" customWidth="1"/>
    <col min="12" max="13" width="15.42578125" style="41" customWidth="1"/>
    <col min="14" max="14" width="14" style="41" customWidth="1"/>
    <col min="15" max="15" width="6" style="41" customWidth="1"/>
    <col min="16" max="16" width="5.28515625" style="41" customWidth="1"/>
    <col min="17" max="17" width="6" style="41" customWidth="1"/>
    <col min="18" max="18" width="13.140625" style="41" customWidth="1"/>
    <col min="19" max="19" width="6" style="41" customWidth="1"/>
    <col min="20" max="20" width="5.28515625" style="41" customWidth="1"/>
    <col min="21" max="21" width="6" style="41" customWidth="1"/>
    <col min="22" max="22" width="5.28515625" style="41" customWidth="1"/>
    <col min="23" max="23" width="6" style="41" customWidth="1"/>
    <col min="24" max="24" width="5.28515625" style="41" customWidth="1"/>
    <col min="25" max="25" width="6" style="41" customWidth="1"/>
    <col min="26" max="26" width="5.28515625" style="41" customWidth="1"/>
    <col min="27" max="27" width="6" style="41" customWidth="1"/>
    <col min="28" max="28" width="5.28515625" style="41" customWidth="1"/>
    <col min="29" max="29" width="6" style="41" customWidth="1"/>
    <col min="30" max="30" width="5.28515625" style="41" customWidth="1"/>
    <col min="31" max="31" width="6" style="41" customWidth="1"/>
    <col min="32" max="32" width="5.28515625" style="41" customWidth="1"/>
    <col min="33" max="33" width="6" style="41" customWidth="1"/>
    <col min="34" max="34" width="5.28515625" style="41" customWidth="1"/>
    <col min="35" max="35" width="6" style="41" customWidth="1"/>
    <col min="36" max="36" width="5.28515625" style="41" customWidth="1"/>
    <col min="37" max="37" width="6" style="41" customWidth="1"/>
    <col min="38" max="38" width="5.28515625" style="41" customWidth="1"/>
    <col min="39" max="39" width="8.140625" style="41" customWidth="1"/>
    <col min="40" max="40" width="6.85546875" style="41" customWidth="1"/>
    <col min="41" max="41" width="6" style="41" customWidth="1"/>
    <col min="42" max="42" width="5.28515625" style="41" customWidth="1"/>
    <col min="43" max="43" width="6" style="41" customWidth="1"/>
    <col min="44" max="44" width="5.28515625" style="41" customWidth="1"/>
    <col min="45" max="45" width="6" style="41" customWidth="1"/>
    <col min="46" max="46" width="5.28515625" style="41" customWidth="1"/>
    <col min="47" max="47" width="6" style="41" customWidth="1"/>
    <col min="48" max="48" width="5.28515625" style="41" customWidth="1"/>
    <col min="49" max="49" width="6" style="41" customWidth="1"/>
    <col min="50" max="50" width="5.28515625" style="41" customWidth="1"/>
    <col min="51" max="51" width="6" style="41" customWidth="1"/>
    <col min="52" max="52" width="5.28515625" style="41" customWidth="1"/>
    <col min="53" max="53" width="6" style="41" customWidth="1"/>
    <col min="54" max="54" width="5.28515625" style="41" customWidth="1"/>
    <col min="55" max="16384" width="9.140625" style="41"/>
  </cols>
  <sheetData>
    <row r="1" spans="1:15">
      <c r="A1" s="40" t="s">
        <v>0</v>
      </c>
      <c r="B1" s="42"/>
      <c r="C1" s="42"/>
      <c r="D1" s="44"/>
      <c r="E1" s="44"/>
      <c r="F1" s="44"/>
      <c r="G1" s="44"/>
      <c r="H1" s="44"/>
      <c r="I1" s="44"/>
      <c r="J1" s="44"/>
      <c r="N1" s="175"/>
    </row>
    <row r="2" spans="1:15">
      <c r="A2" s="40" t="s">
        <v>12</v>
      </c>
      <c r="B2" s="42"/>
      <c r="C2" s="42"/>
      <c r="D2" s="44"/>
      <c r="E2" s="44"/>
      <c r="F2" s="44"/>
      <c r="G2" s="44"/>
      <c r="H2" s="44"/>
      <c r="I2" s="44"/>
      <c r="J2" s="44"/>
      <c r="N2" s="175"/>
    </row>
    <row r="3" spans="1:15">
      <c r="A3" s="45" t="s">
        <v>455</v>
      </c>
      <c r="B3" s="44"/>
      <c r="C3" s="42"/>
      <c r="D3" s="42"/>
      <c r="E3" s="42"/>
      <c r="F3" s="42"/>
      <c r="G3" s="42"/>
      <c r="H3" s="42"/>
      <c r="I3" s="42"/>
      <c r="J3" s="42"/>
      <c r="N3" s="175"/>
    </row>
    <row r="4" spans="1:15">
      <c r="A4" s="41" t="s">
        <v>13</v>
      </c>
      <c r="B4" s="42"/>
      <c r="C4" s="42"/>
      <c r="D4" s="42"/>
      <c r="E4" s="42"/>
      <c r="F4" s="42"/>
      <c r="G4" s="42"/>
      <c r="H4" s="42"/>
      <c r="I4" s="42"/>
      <c r="J4" s="42"/>
    </row>
    <row r="5" spans="1:15" s="40" customFormat="1" ht="114.75" customHeight="1">
      <c r="A5" s="49" t="s">
        <v>460</v>
      </c>
      <c r="B5" s="50" t="s">
        <v>19</v>
      </c>
      <c r="C5" s="51" t="s">
        <v>21</v>
      </c>
      <c r="D5" s="53" t="s">
        <v>501</v>
      </c>
      <c r="E5" s="53" t="s">
        <v>540</v>
      </c>
      <c r="F5" s="53" t="s">
        <v>518</v>
      </c>
      <c r="G5" s="53" t="s">
        <v>546</v>
      </c>
      <c r="H5" s="53" t="s">
        <v>542</v>
      </c>
      <c r="I5" s="53" t="s">
        <v>516</v>
      </c>
      <c r="J5" s="53" t="s">
        <v>584</v>
      </c>
      <c r="K5" s="53" t="s">
        <v>456</v>
      </c>
      <c r="L5" s="53" t="s">
        <v>457</v>
      </c>
      <c r="M5" s="138" t="s">
        <v>458</v>
      </c>
      <c r="N5" s="53" t="s">
        <v>453</v>
      </c>
    </row>
    <row r="6" spans="1:15" s="40" customFormat="1" ht="16.5" customHeight="1">
      <c r="A6" s="49"/>
      <c r="B6" s="50"/>
      <c r="C6" s="51"/>
      <c r="D6" s="53"/>
      <c r="E6" s="53"/>
      <c r="F6" s="53"/>
      <c r="G6" s="53"/>
      <c r="H6" s="53" t="s">
        <v>513</v>
      </c>
      <c r="I6" s="53" t="s">
        <v>515</v>
      </c>
      <c r="J6" s="53" t="s">
        <v>449</v>
      </c>
      <c r="K6" s="53"/>
      <c r="L6" s="53"/>
      <c r="M6" s="138"/>
      <c r="N6" s="53"/>
    </row>
    <row r="7" spans="1:15" s="40" customFormat="1" ht="15.75" customHeight="1">
      <c r="A7" s="48" t="s">
        <v>461</v>
      </c>
      <c r="B7" s="135" t="s">
        <v>462</v>
      </c>
      <c r="C7" s="140" t="s">
        <v>463</v>
      </c>
      <c r="D7" s="161" t="s">
        <v>464</v>
      </c>
      <c r="E7" s="161" t="s">
        <v>541</v>
      </c>
      <c r="F7" s="161" t="s">
        <v>466</v>
      </c>
      <c r="G7" s="161" t="s">
        <v>547</v>
      </c>
      <c r="H7" s="161" t="s">
        <v>468</v>
      </c>
      <c r="I7" s="189" t="s">
        <v>469</v>
      </c>
      <c r="J7" s="161" t="s">
        <v>544</v>
      </c>
      <c r="K7" s="161" t="s">
        <v>545</v>
      </c>
      <c r="L7" s="161" t="s">
        <v>472</v>
      </c>
      <c r="M7" s="161" t="s">
        <v>473</v>
      </c>
      <c r="N7" s="190" t="s">
        <v>474</v>
      </c>
      <c r="O7" s="164"/>
    </row>
    <row r="8" spans="1:15" ht="17.25" customHeight="1">
      <c r="A8" s="131">
        <v>1</v>
      </c>
      <c r="B8" s="63" t="s">
        <v>367</v>
      </c>
      <c r="C8" s="149"/>
      <c r="D8" s="156"/>
      <c r="E8" s="152"/>
      <c r="F8" s="152"/>
      <c r="G8" s="152"/>
      <c r="H8" s="152"/>
      <c r="I8" s="152"/>
      <c r="J8" s="152"/>
      <c r="K8" s="152"/>
      <c r="L8" s="152"/>
      <c r="M8" s="152"/>
      <c r="N8" s="157"/>
    </row>
    <row r="9" spans="1:15" ht="13.5" customHeight="1">
      <c r="A9" s="132">
        <f>1+A8</f>
        <v>2</v>
      </c>
      <c r="B9" s="58" t="s">
        <v>52</v>
      </c>
      <c r="C9" s="144">
        <f>+'Expense Support'!D8</f>
        <v>19880</v>
      </c>
      <c r="D9" s="156">
        <f>+'Expense Support'!W8</f>
        <v>-19880</v>
      </c>
      <c r="E9" s="158">
        <f>+D9+C9</f>
        <v>0</v>
      </c>
      <c r="F9" s="158"/>
      <c r="G9" s="158">
        <f>+D9+F9</f>
        <v>-19880</v>
      </c>
      <c r="H9" s="158"/>
      <c r="I9" s="158">
        <f>+'Expense Support'!AB8</f>
        <v>0</v>
      </c>
      <c r="J9" s="158">
        <f>+I9+H9</f>
        <v>0</v>
      </c>
      <c r="K9" s="159">
        <f>+J9+G9+C9</f>
        <v>0</v>
      </c>
      <c r="L9" s="159">
        <f t="shared" ref="L9:L40" si="0">+K9-E9</f>
        <v>0</v>
      </c>
      <c r="M9" s="159">
        <f>+'Expense Support'!AF8</f>
        <v>0</v>
      </c>
      <c r="N9" s="157">
        <f t="shared" ref="N9:N40" si="1">+K9-M9</f>
        <v>0</v>
      </c>
    </row>
    <row r="10" spans="1:15">
      <c r="A10" s="132">
        <f t="shared" ref="A10:A60" si="2">1+A9</f>
        <v>3</v>
      </c>
      <c r="B10" s="58" t="s">
        <v>53</v>
      </c>
      <c r="C10" s="144">
        <f>+'Expense Support'!D9</f>
        <v>52799.6</v>
      </c>
      <c r="D10" s="156">
        <f>+'Expense Support'!W9</f>
        <v>-52799.6</v>
      </c>
      <c r="E10" s="158">
        <f t="shared" ref="E10:E59" si="3">+D10+C10</f>
        <v>0</v>
      </c>
      <c r="F10" s="158"/>
      <c r="G10" s="158">
        <f t="shared" ref="G10:G59" si="4">+D10+F10</f>
        <v>-52799.6</v>
      </c>
      <c r="H10" s="158"/>
      <c r="I10" s="158">
        <f>+'Expense Support'!AB9</f>
        <v>0</v>
      </c>
      <c r="J10" s="158">
        <f t="shared" ref="J10:J59" si="5">+I10+H10</f>
        <v>0</v>
      </c>
      <c r="K10" s="159">
        <f t="shared" ref="K10:K59" si="6">+J10+G10+C10</f>
        <v>0</v>
      </c>
      <c r="L10" s="159">
        <f t="shared" si="0"/>
        <v>0</v>
      </c>
      <c r="M10" s="159">
        <f>+'Expense Support'!AF9</f>
        <v>0</v>
      </c>
      <c r="N10" s="157">
        <f t="shared" si="1"/>
        <v>0</v>
      </c>
    </row>
    <row r="11" spans="1:15">
      <c r="A11" s="132">
        <f t="shared" si="2"/>
        <v>4</v>
      </c>
      <c r="B11" s="58" t="s">
        <v>54</v>
      </c>
      <c r="C11" s="144">
        <f>+'Expense Support'!D10</f>
        <v>131605.6</v>
      </c>
      <c r="D11" s="156">
        <f>+'Expense Support'!W10</f>
        <v>-131606</v>
      </c>
      <c r="E11" s="158">
        <f t="shared" si="3"/>
        <v>-0.39999999999417923</v>
      </c>
      <c r="F11" s="158"/>
      <c r="G11" s="158">
        <f t="shared" si="4"/>
        <v>-131606</v>
      </c>
      <c r="H11" s="158"/>
      <c r="I11" s="158">
        <f>+'Expense Support'!AB10</f>
        <v>0</v>
      </c>
      <c r="J11" s="158">
        <f t="shared" si="5"/>
        <v>0</v>
      </c>
      <c r="K11" s="159">
        <f t="shared" si="6"/>
        <v>-0.39999999999417923</v>
      </c>
      <c r="L11" s="159">
        <f t="shared" si="0"/>
        <v>0</v>
      </c>
      <c r="M11" s="159">
        <f>+'Expense Support'!AF10</f>
        <v>0</v>
      </c>
      <c r="N11" s="157">
        <f t="shared" si="1"/>
        <v>-0.39999999999417923</v>
      </c>
    </row>
    <row r="12" spans="1:15">
      <c r="A12" s="132">
        <f t="shared" si="2"/>
        <v>5</v>
      </c>
      <c r="B12" s="58" t="s">
        <v>55</v>
      </c>
      <c r="C12" s="144">
        <f>+'Expense Support'!D11</f>
        <v>55534</v>
      </c>
      <c r="D12" s="156">
        <f>+'Expense Support'!W11</f>
        <v>-4318</v>
      </c>
      <c r="E12" s="158">
        <f t="shared" si="3"/>
        <v>51216</v>
      </c>
      <c r="F12" s="158"/>
      <c r="G12" s="158">
        <f t="shared" si="4"/>
        <v>-4318</v>
      </c>
      <c r="H12" s="158"/>
      <c r="I12" s="158">
        <f>+'Expense Support'!AB11</f>
        <v>-51216</v>
      </c>
      <c r="J12" s="158">
        <f t="shared" si="5"/>
        <v>-51216</v>
      </c>
      <c r="K12" s="159">
        <f t="shared" si="6"/>
        <v>0</v>
      </c>
      <c r="L12" s="159">
        <f t="shared" si="0"/>
        <v>-51216</v>
      </c>
      <c r="M12" s="159">
        <f>+'Expense Support'!AF11</f>
        <v>0</v>
      </c>
      <c r="N12" s="157">
        <f t="shared" si="1"/>
        <v>0</v>
      </c>
    </row>
    <row r="13" spans="1:15">
      <c r="A13" s="132">
        <f t="shared" si="2"/>
        <v>6</v>
      </c>
      <c r="B13" s="58" t="s">
        <v>66</v>
      </c>
      <c r="C13" s="144">
        <f>+'Expense Support'!D12</f>
        <v>1624</v>
      </c>
      <c r="D13" s="156">
        <f>+'Expense Support'!W12</f>
        <v>-126</v>
      </c>
      <c r="E13" s="158">
        <f t="shared" si="3"/>
        <v>1498</v>
      </c>
      <c r="F13" s="158"/>
      <c r="G13" s="158">
        <f t="shared" si="4"/>
        <v>-126</v>
      </c>
      <c r="H13" s="158"/>
      <c r="I13" s="158">
        <f>+'Expense Support'!AB12</f>
        <v>-1498</v>
      </c>
      <c r="J13" s="158">
        <f t="shared" si="5"/>
        <v>-1498</v>
      </c>
      <c r="K13" s="159">
        <f t="shared" si="6"/>
        <v>0</v>
      </c>
      <c r="L13" s="159">
        <f t="shared" si="0"/>
        <v>-1498</v>
      </c>
      <c r="M13" s="159">
        <f>+'Expense Support'!AF12</f>
        <v>0</v>
      </c>
      <c r="N13" s="157">
        <f t="shared" si="1"/>
        <v>0</v>
      </c>
    </row>
    <row r="14" spans="1:15">
      <c r="A14" s="132">
        <f t="shared" si="2"/>
        <v>7</v>
      </c>
      <c r="B14" s="58" t="s">
        <v>68</v>
      </c>
      <c r="C14" s="144">
        <f>+'Expense Support'!D13</f>
        <v>4519</v>
      </c>
      <c r="D14" s="156">
        <f>+'Expense Support'!W13</f>
        <v>-351</v>
      </c>
      <c r="E14" s="158">
        <f t="shared" si="3"/>
        <v>4168</v>
      </c>
      <c r="F14" s="158"/>
      <c r="G14" s="158">
        <f t="shared" si="4"/>
        <v>-351</v>
      </c>
      <c r="H14" s="158"/>
      <c r="I14" s="158">
        <f>+'Expense Support'!AB13</f>
        <v>-4168</v>
      </c>
      <c r="J14" s="158">
        <f t="shared" si="5"/>
        <v>-4168</v>
      </c>
      <c r="K14" s="159">
        <f t="shared" si="6"/>
        <v>0</v>
      </c>
      <c r="L14" s="159">
        <f t="shared" si="0"/>
        <v>-4168</v>
      </c>
      <c r="M14" s="159">
        <f>+'Expense Support'!AF13</f>
        <v>0</v>
      </c>
      <c r="N14" s="157">
        <f t="shared" si="1"/>
        <v>0</v>
      </c>
    </row>
    <row r="15" spans="1:15">
      <c r="A15" s="132">
        <f t="shared" si="2"/>
        <v>8</v>
      </c>
      <c r="B15" s="58" t="s">
        <v>69</v>
      </c>
      <c r="C15" s="144">
        <f>+'Expense Support'!D14</f>
        <v>63273</v>
      </c>
      <c r="D15" s="156">
        <f>+'Expense Support'!W14</f>
        <v>-4920</v>
      </c>
      <c r="E15" s="158">
        <f t="shared" si="3"/>
        <v>58353</v>
      </c>
      <c r="F15" s="158"/>
      <c r="G15" s="158">
        <f t="shared" si="4"/>
        <v>-4920</v>
      </c>
      <c r="H15" s="158"/>
      <c r="I15" s="158">
        <f>+'Expense Support'!AB14</f>
        <v>-58353</v>
      </c>
      <c r="J15" s="158">
        <f t="shared" si="5"/>
        <v>-58353</v>
      </c>
      <c r="K15" s="159">
        <f t="shared" si="6"/>
        <v>0</v>
      </c>
      <c r="L15" s="159">
        <f t="shared" si="0"/>
        <v>-58353</v>
      </c>
      <c r="M15" s="159">
        <f>+'Expense Support'!AF14</f>
        <v>0</v>
      </c>
      <c r="N15" s="157">
        <f t="shared" si="1"/>
        <v>0</v>
      </c>
    </row>
    <row r="16" spans="1:15">
      <c r="A16" s="132">
        <f t="shared" si="2"/>
        <v>9</v>
      </c>
      <c r="B16" s="58" t="s">
        <v>73</v>
      </c>
      <c r="C16" s="144">
        <f>+'Expense Support'!D15</f>
        <v>23445</v>
      </c>
      <c r="D16" s="156">
        <f>+'Expense Support'!W15</f>
        <v>-1823</v>
      </c>
      <c r="E16" s="158">
        <f t="shared" si="3"/>
        <v>21622</v>
      </c>
      <c r="F16" s="158"/>
      <c r="G16" s="158">
        <f t="shared" si="4"/>
        <v>-1823</v>
      </c>
      <c r="H16" s="158"/>
      <c r="I16" s="158">
        <f>+'Expense Support'!AB15</f>
        <v>-21622</v>
      </c>
      <c r="J16" s="158">
        <f t="shared" si="5"/>
        <v>-21622</v>
      </c>
      <c r="K16" s="159">
        <f t="shared" si="6"/>
        <v>0</v>
      </c>
      <c r="L16" s="159">
        <f t="shared" si="0"/>
        <v>-21622</v>
      </c>
      <c r="M16" s="159">
        <f>+'Expense Support'!AF15</f>
        <v>0</v>
      </c>
      <c r="N16" s="157">
        <f t="shared" si="1"/>
        <v>0</v>
      </c>
    </row>
    <row r="17" spans="1:14">
      <c r="A17" s="132">
        <f t="shared" si="2"/>
        <v>10</v>
      </c>
      <c r="B17" s="58" t="s">
        <v>74</v>
      </c>
      <c r="C17" s="144">
        <f>+'Expense Support'!D16</f>
        <v>51898</v>
      </c>
      <c r="D17" s="156">
        <f>+'Expense Support'!W16</f>
        <v>-4035</v>
      </c>
      <c r="E17" s="158">
        <f t="shared" si="3"/>
        <v>47863</v>
      </c>
      <c r="F17" s="158"/>
      <c r="G17" s="158">
        <f t="shared" si="4"/>
        <v>-4035</v>
      </c>
      <c r="H17" s="158"/>
      <c r="I17" s="158">
        <f>+'Expense Support'!AB16</f>
        <v>-47863</v>
      </c>
      <c r="J17" s="158">
        <f t="shared" si="5"/>
        <v>-47863</v>
      </c>
      <c r="K17" s="159">
        <f t="shared" si="6"/>
        <v>0</v>
      </c>
      <c r="L17" s="159">
        <f t="shared" si="0"/>
        <v>-47863</v>
      </c>
      <c r="M17" s="159">
        <f>+'Expense Support'!AF16</f>
        <v>0</v>
      </c>
      <c r="N17" s="157">
        <f t="shared" si="1"/>
        <v>0</v>
      </c>
    </row>
    <row r="18" spans="1:14">
      <c r="A18" s="132">
        <f t="shared" si="2"/>
        <v>11</v>
      </c>
      <c r="B18" s="58" t="s">
        <v>77</v>
      </c>
      <c r="C18" s="144">
        <f>+'Expense Support'!D17</f>
        <v>14971</v>
      </c>
      <c r="D18" s="156">
        <f>+'Expense Support'!W17</f>
        <v>-1164</v>
      </c>
      <c r="E18" s="158">
        <f t="shared" si="3"/>
        <v>13807</v>
      </c>
      <c r="F18" s="158"/>
      <c r="G18" s="158">
        <f t="shared" si="4"/>
        <v>-1164</v>
      </c>
      <c r="H18" s="158"/>
      <c r="I18" s="158">
        <f>+'Expense Support'!AB17</f>
        <v>-13807</v>
      </c>
      <c r="J18" s="158">
        <f t="shared" si="5"/>
        <v>-13807</v>
      </c>
      <c r="K18" s="159">
        <f t="shared" si="6"/>
        <v>0</v>
      </c>
      <c r="L18" s="159">
        <f t="shared" si="0"/>
        <v>-13807</v>
      </c>
      <c r="M18" s="159">
        <f>+'Expense Support'!AF17</f>
        <v>0</v>
      </c>
      <c r="N18" s="157">
        <f t="shared" si="1"/>
        <v>0</v>
      </c>
    </row>
    <row r="19" spans="1:14">
      <c r="A19" s="132">
        <f t="shared" si="2"/>
        <v>12</v>
      </c>
      <c r="B19" s="58" t="s">
        <v>86</v>
      </c>
      <c r="C19" s="144">
        <f>+'Expense Support'!D18</f>
        <v>46102</v>
      </c>
      <c r="D19" s="156">
        <f>+'Expense Support'!W18</f>
        <v>-3585</v>
      </c>
      <c r="E19" s="158">
        <f t="shared" si="3"/>
        <v>42517</v>
      </c>
      <c r="F19" s="158"/>
      <c r="G19" s="158">
        <f t="shared" si="4"/>
        <v>-3585</v>
      </c>
      <c r="H19" s="158"/>
      <c r="I19" s="158">
        <f>+'Expense Support'!AB18</f>
        <v>-42517</v>
      </c>
      <c r="J19" s="158">
        <f t="shared" si="5"/>
        <v>-42517</v>
      </c>
      <c r="K19" s="159">
        <f t="shared" si="6"/>
        <v>0</v>
      </c>
      <c r="L19" s="159">
        <f t="shared" si="0"/>
        <v>-42517</v>
      </c>
      <c r="M19" s="159">
        <f>+'Expense Support'!AF18</f>
        <v>0</v>
      </c>
      <c r="N19" s="157">
        <f t="shared" si="1"/>
        <v>0</v>
      </c>
    </row>
    <row r="20" spans="1:14">
      <c r="A20" s="132">
        <f t="shared" si="2"/>
        <v>13</v>
      </c>
      <c r="B20" s="58" t="s">
        <v>87</v>
      </c>
      <c r="C20" s="144">
        <f>+'Expense Support'!D19</f>
        <v>4778</v>
      </c>
      <c r="D20" s="156">
        <f>+'Expense Support'!W19</f>
        <v>-372</v>
      </c>
      <c r="E20" s="158">
        <f t="shared" si="3"/>
        <v>4406</v>
      </c>
      <c r="F20" s="158"/>
      <c r="G20" s="158">
        <f t="shared" si="4"/>
        <v>-372</v>
      </c>
      <c r="H20" s="158"/>
      <c r="I20" s="158">
        <f>+'Expense Support'!AB19</f>
        <v>-4406</v>
      </c>
      <c r="J20" s="158">
        <f t="shared" si="5"/>
        <v>-4406</v>
      </c>
      <c r="K20" s="159">
        <f t="shared" si="6"/>
        <v>0</v>
      </c>
      <c r="L20" s="159">
        <f t="shared" si="0"/>
        <v>-4406</v>
      </c>
      <c r="M20" s="159">
        <f>+'Expense Support'!AF19</f>
        <v>0</v>
      </c>
      <c r="N20" s="157">
        <f t="shared" si="1"/>
        <v>0</v>
      </c>
    </row>
    <row r="21" spans="1:14">
      <c r="A21" s="132">
        <f t="shared" si="2"/>
        <v>14</v>
      </c>
      <c r="B21" s="58" t="s">
        <v>89</v>
      </c>
      <c r="C21" s="144">
        <f>+'Expense Support'!D20</f>
        <v>14024</v>
      </c>
      <c r="D21" s="156">
        <f>+'Expense Support'!W20</f>
        <v>-1090</v>
      </c>
      <c r="E21" s="158">
        <f t="shared" si="3"/>
        <v>12934</v>
      </c>
      <c r="F21" s="158"/>
      <c r="G21" s="158">
        <f t="shared" si="4"/>
        <v>-1090</v>
      </c>
      <c r="H21" s="158"/>
      <c r="I21" s="158">
        <f>+'Expense Support'!AB20</f>
        <v>-12934</v>
      </c>
      <c r="J21" s="158">
        <f t="shared" si="5"/>
        <v>-12934</v>
      </c>
      <c r="K21" s="159">
        <f t="shared" si="6"/>
        <v>0</v>
      </c>
      <c r="L21" s="159">
        <f t="shared" si="0"/>
        <v>-12934</v>
      </c>
      <c r="M21" s="159">
        <f>+'Expense Support'!AF20</f>
        <v>0</v>
      </c>
      <c r="N21" s="157">
        <f t="shared" si="1"/>
        <v>0</v>
      </c>
    </row>
    <row r="22" spans="1:14">
      <c r="A22" s="132">
        <f t="shared" si="2"/>
        <v>15</v>
      </c>
      <c r="B22" s="58" t="s">
        <v>90</v>
      </c>
      <c r="C22" s="144">
        <f>+'Expense Support'!D21</f>
        <v>6552</v>
      </c>
      <c r="D22" s="156">
        <f>+'Expense Support'!W21</f>
        <v>-509</v>
      </c>
      <c r="E22" s="158">
        <f t="shared" si="3"/>
        <v>6043</v>
      </c>
      <c r="F22" s="158"/>
      <c r="G22" s="158">
        <f t="shared" si="4"/>
        <v>-509</v>
      </c>
      <c r="H22" s="158"/>
      <c r="I22" s="158">
        <f>+'Expense Support'!AB21</f>
        <v>-6043</v>
      </c>
      <c r="J22" s="158">
        <f t="shared" si="5"/>
        <v>-6043</v>
      </c>
      <c r="K22" s="159">
        <f t="shared" si="6"/>
        <v>0</v>
      </c>
      <c r="L22" s="159">
        <f t="shared" si="0"/>
        <v>-6043</v>
      </c>
      <c r="M22" s="159">
        <f>+'Expense Support'!AF21</f>
        <v>0</v>
      </c>
      <c r="N22" s="157">
        <f t="shared" si="1"/>
        <v>0</v>
      </c>
    </row>
    <row r="23" spans="1:14">
      <c r="A23" s="132">
        <f t="shared" si="2"/>
        <v>16</v>
      </c>
      <c r="B23" s="58" t="s">
        <v>91</v>
      </c>
      <c r="C23" s="144">
        <f>+'Expense Support'!D22</f>
        <v>23614</v>
      </c>
      <c r="D23" s="156">
        <f>+'Expense Support'!W22</f>
        <v>-23614</v>
      </c>
      <c r="E23" s="158">
        <f t="shared" si="3"/>
        <v>0</v>
      </c>
      <c r="F23" s="158"/>
      <c r="G23" s="158">
        <f t="shared" si="4"/>
        <v>-23614</v>
      </c>
      <c r="H23" s="158"/>
      <c r="I23" s="158">
        <f>+'Expense Support'!AB22</f>
        <v>0</v>
      </c>
      <c r="J23" s="158">
        <f t="shared" si="5"/>
        <v>0</v>
      </c>
      <c r="K23" s="159">
        <f t="shared" si="6"/>
        <v>0</v>
      </c>
      <c r="L23" s="159">
        <f t="shared" si="0"/>
        <v>0</v>
      </c>
      <c r="M23" s="159">
        <f>+'Expense Support'!AF22</f>
        <v>0</v>
      </c>
      <c r="N23" s="157">
        <f t="shared" si="1"/>
        <v>0</v>
      </c>
    </row>
    <row r="24" spans="1:14">
      <c r="A24" s="132">
        <f t="shared" si="2"/>
        <v>17</v>
      </c>
      <c r="B24" s="58" t="s">
        <v>93</v>
      </c>
      <c r="C24" s="144">
        <f>+'Expense Support'!D23</f>
        <v>28501</v>
      </c>
      <c r="D24" s="156">
        <f>+'Expense Support'!W23</f>
        <v>-2216</v>
      </c>
      <c r="E24" s="158">
        <f t="shared" si="3"/>
        <v>26285</v>
      </c>
      <c r="F24" s="158"/>
      <c r="G24" s="158">
        <f t="shared" si="4"/>
        <v>-2216</v>
      </c>
      <c r="H24" s="158"/>
      <c r="I24" s="158">
        <f>+'Expense Support'!AB23</f>
        <v>-26285</v>
      </c>
      <c r="J24" s="158">
        <f t="shared" si="5"/>
        <v>-26285</v>
      </c>
      <c r="K24" s="159">
        <f t="shared" si="6"/>
        <v>0</v>
      </c>
      <c r="L24" s="159">
        <f t="shared" si="0"/>
        <v>-26285</v>
      </c>
      <c r="M24" s="159">
        <f>+'Expense Support'!AF23</f>
        <v>0</v>
      </c>
      <c r="N24" s="157">
        <f t="shared" si="1"/>
        <v>0</v>
      </c>
    </row>
    <row r="25" spans="1:14">
      <c r="A25" s="132">
        <f t="shared" si="2"/>
        <v>18</v>
      </c>
      <c r="B25" s="58" t="s">
        <v>94</v>
      </c>
      <c r="C25" s="144">
        <f>+'Expense Support'!D24</f>
        <v>7195</v>
      </c>
      <c r="D25" s="156">
        <f>+'Expense Support'!W24</f>
        <v>-559</v>
      </c>
      <c r="E25" s="158">
        <f t="shared" si="3"/>
        <v>6636</v>
      </c>
      <c r="F25" s="158"/>
      <c r="G25" s="158">
        <f t="shared" si="4"/>
        <v>-559</v>
      </c>
      <c r="H25" s="158"/>
      <c r="I25" s="158">
        <f>+'Expense Support'!AB24</f>
        <v>-6636</v>
      </c>
      <c r="J25" s="158">
        <f t="shared" si="5"/>
        <v>-6636</v>
      </c>
      <c r="K25" s="159">
        <f t="shared" si="6"/>
        <v>0</v>
      </c>
      <c r="L25" s="159">
        <f t="shared" si="0"/>
        <v>-6636</v>
      </c>
      <c r="M25" s="159">
        <f>+'Expense Support'!AF24</f>
        <v>0</v>
      </c>
      <c r="N25" s="157">
        <f t="shared" si="1"/>
        <v>0</v>
      </c>
    </row>
    <row r="26" spans="1:14">
      <c r="A26" s="132">
        <f t="shared" si="2"/>
        <v>19</v>
      </c>
      <c r="B26" s="58" t="s">
        <v>81</v>
      </c>
      <c r="C26" s="144">
        <f>+'Expense Support'!D25</f>
        <v>1643</v>
      </c>
      <c r="D26" s="156">
        <f>+'Expense Support'!W25</f>
        <v>-128</v>
      </c>
      <c r="E26" s="158">
        <f t="shared" si="3"/>
        <v>1515</v>
      </c>
      <c r="F26" s="158"/>
      <c r="G26" s="158">
        <f t="shared" si="4"/>
        <v>-128</v>
      </c>
      <c r="H26" s="158"/>
      <c r="I26" s="158">
        <f>+'Expense Support'!AB25</f>
        <v>-1515</v>
      </c>
      <c r="J26" s="158">
        <f t="shared" si="5"/>
        <v>-1515</v>
      </c>
      <c r="K26" s="159">
        <f t="shared" si="6"/>
        <v>0</v>
      </c>
      <c r="L26" s="159">
        <f t="shared" si="0"/>
        <v>-1515</v>
      </c>
      <c r="M26" s="159">
        <f>+'Expense Support'!AF25</f>
        <v>0</v>
      </c>
      <c r="N26" s="157">
        <f t="shared" si="1"/>
        <v>0</v>
      </c>
    </row>
    <row r="27" spans="1:14">
      <c r="A27" s="132">
        <f t="shared" si="2"/>
        <v>20</v>
      </c>
      <c r="B27" s="58" t="s">
        <v>38</v>
      </c>
      <c r="C27" s="144">
        <f>+'Expense Support'!D26</f>
        <v>130619</v>
      </c>
      <c r="D27" s="156">
        <f>+'Expense Support'!W26</f>
        <v>-10157</v>
      </c>
      <c r="E27" s="158">
        <f t="shared" si="3"/>
        <v>120462</v>
      </c>
      <c r="F27" s="158"/>
      <c r="G27" s="158">
        <f t="shared" si="4"/>
        <v>-10157</v>
      </c>
      <c r="H27" s="158"/>
      <c r="I27" s="158">
        <f>+'Expense Support'!AB26</f>
        <v>-120462</v>
      </c>
      <c r="J27" s="158">
        <f t="shared" si="5"/>
        <v>-120462</v>
      </c>
      <c r="K27" s="159">
        <f t="shared" si="6"/>
        <v>0</v>
      </c>
      <c r="L27" s="159">
        <f t="shared" si="0"/>
        <v>-120462</v>
      </c>
      <c r="M27" s="159">
        <f>+'Expense Support'!AF26</f>
        <v>0</v>
      </c>
      <c r="N27" s="157">
        <f t="shared" si="1"/>
        <v>0</v>
      </c>
    </row>
    <row r="28" spans="1:14">
      <c r="A28" s="132">
        <f t="shared" si="2"/>
        <v>21</v>
      </c>
      <c r="B28" s="58" t="s">
        <v>51</v>
      </c>
      <c r="C28" s="144">
        <f>+'Expense Support'!D27</f>
        <v>24955</v>
      </c>
      <c r="D28" s="156">
        <f>+'Expense Support'!W27</f>
        <v>-1940</v>
      </c>
      <c r="E28" s="158">
        <f t="shared" si="3"/>
        <v>23015</v>
      </c>
      <c r="F28" s="158"/>
      <c r="G28" s="158">
        <f t="shared" si="4"/>
        <v>-1940</v>
      </c>
      <c r="H28" s="158"/>
      <c r="I28" s="158">
        <f>+'Expense Support'!AB27</f>
        <v>-23015</v>
      </c>
      <c r="J28" s="158">
        <f t="shared" si="5"/>
        <v>-23015</v>
      </c>
      <c r="K28" s="159">
        <f t="shared" si="6"/>
        <v>0</v>
      </c>
      <c r="L28" s="159">
        <f t="shared" si="0"/>
        <v>-23015</v>
      </c>
      <c r="M28" s="159">
        <f>+'Expense Support'!AF27</f>
        <v>0</v>
      </c>
      <c r="N28" s="157">
        <f t="shared" si="1"/>
        <v>0</v>
      </c>
    </row>
    <row r="29" spans="1:14">
      <c r="A29" s="132">
        <f t="shared" si="2"/>
        <v>22</v>
      </c>
      <c r="B29" s="58" t="s">
        <v>45</v>
      </c>
      <c r="C29" s="144">
        <f>+'Expense Support'!D28</f>
        <v>59267</v>
      </c>
      <c r="D29" s="156">
        <f>+'Expense Support'!W28</f>
        <v>-4608</v>
      </c>
      <c r="E29" s="158">
        <f t="shared" si="3"/>
        <v>54659</v>
      </c>
      <c r="F29" s="158"/>
      <c r="G29" s="158">
        <f t="shared" si="4"/>
        <v>-4608</v>
      </c>
      <c r="H29" s="158"/>
      <c r="I29" s="158">
        <f>+'Expense Support'!AB28</f>
        <v>-54659</v>
      </c>
      <c r="J29" s="158">
        <f t="shared" si="5"/>
        <v>-54659</v>
      </c>
      <c r="K29" s="159">
        <f t="shared" si="6"/>
        <v>0</v>
      </c>
      <c r="L29" s="159">
        <f t="shared" si="0"/>
        <v>-54659</v>
      </c>
      <c r="M29" s="159">
        <f>+'Expense Support'!AF28</f>
        <v>0</v>
      </c>
      <c r="N29" s="157">
        <f t="shared" si="1"/>
        <v>0</v>
      </c>
    </row>
    <row r="30" spans="1:14">
      <c r="A30" s="132">
        <f t="shared" si="2"/>
        <v>23</v>
      </c>
      <c r="B30" s="58" t="s">
        <v>80</v>
      </c>
      <c r="C30" s="144">
        <f>+'Expense Support'!D29</f>
        <v>284327</v>
      </c>
      <c r="D30" s="156">
        <f>+'Expense Support'!W29</f>
        <v>-22109</v>
      </c>
      <c r="E30" s="158">
        <f t="shared" si="3"/>
        <v>262218</v>
      </c>
      <c r="F30" s="158"/>
      <c r="G30" s="158">
        <f t="shared" si="4"/>
        <v>-22109</v>
      </c>
      <c r="H30" s="158"/>
      <c r="I30" s="158">
        <f>+'Expense Support'!AB29</f>
        <v>-262218</v>
      </c>
      <c r="J30" s="158">
        <f t="shared" si="5"/>
        <v>-262218</v>
      </c>
      <c r="K30" s="159">
        <f t="shared" si="6"/>
        <v>0</v>
      </c>
      <c r="L30" s="159">
        <f t="shared" si="0"/>
        <v>-262218</v>
      </c>
      <c r="M30" s="159">
        <f>+'Expense Support'!AF29</f>
        <v>0</v>
      </c>
      <c r="N30" s="157">
        <f t="shared" si="1"/>
        <v>0</v>
      </c>
    </row>
    <row r="31" spans="1:14">
      <c r="A31" s="132">
        <f t="shared" si="2"/>
        <v>24</v>
      </c>
      <c r="B31" s="58" t="s">
        <v>82</v>
      </c>
      <c r="C31" s="144">
        <f>+'Expense Support'!D30</f>
        <v>150</v>
      </c>
      <c r="D31" s="156">
        <f>+'Expense Support'!W30</f>
        <v>-12</v>
      </c>
      <c r="E31" s="158">
        <f t="shared" si="3"/>
        <v>138</v>
      </c>
      <c r="F31" s="158"/>
      <c r="G31" s="158">
        <f t="shared" si="4"/>
        <v>-12</v>
      </c>
      <c r="H31" s="158"/>
      <c r="I31" s="158">
        <f>+'Expense Support'!AB30</f>
        <v>-138</v>
      </c>
      <c r="J31" s="158">
        <f t="shared" si="5"/>
        <v>-138</v>
      </c>
      <c r="K31" s="159">
        <f t="shared" si="6"/>
        <v>0</v>
      </c>
      <c r="L31" s="159">
        <f t="shared" si="0"/>
        <v>-138</v>
      </c>
      <c r="M31" s="159">
        <f>+'Expense Support'!AF30</f>
        <v>0</v>
      </c>
      <c r="N31" s="157">
        <f t="shared" si="1"/>
        <v>0</v>
      </c>
    </row>
    <row r="32" spans="1:14">
      <c r="A32" s="132">
        <f t="shared" si="2"/>
        <v>25</v>
      </c>
      <c r="B32" s="58" t="s">
        <v>83</v>
      </c>
      <c r="C32" s="144">
        <f>+'Expense Support'!D31</f>
        <v>17925</v>
      </c>
      <c r="D32" s="156">
        <f>+'Expense Support'!W31</f>
        <v>-1394</v>
      </c>
      <c r="E32" s="158">
        <f t="shared" si="3"/>
        <v>16531</v>
      </c>
      <c r="F32" s="158"/>
      <c r="G32" s="158">
        <f t="shared" si="4"/>
        <v>-1394</v>
      </c>
      <c r="H32" s="158"/>
      <c r="I32" s="158">
        <f>+'Expense Support'!AB31</f>
        <v>-16531</v>
      </c>
      <c r="J32" s="158">
        <f t="shared" si="5"/>
        <v>-16531</v>
      </c>
      <c r="K32" s="159">
        <f t="shared" si="6"/>
        <v>0</v>
      </c>
      <c r="L32" s="159">
        <f t="shared" si="0"/>
        <v>-16531</v>
      </c>
      <c r="M32" s="159">
        <f>+'Expense Support'!AF31</f>
        <v>0</v>
      </c>
      <c r="N32" s="157">
        <f t="shared" si="1"/>
        <v>0</v>
      </c>
    </row>
    <row r="33" spans="1:14">
      <c r="A33" s="132">
        <f t="shared" si="2"/>
        <v>26</v>
      </c>
      <c r="B33" s="58" t="s">
        <v>95</v>
      </c>
      <c r="C33" s="144">
        <f>+'Expense Support'!D32</f>
        <v>10931</v>
      </c>
      <c r="D33" s="156">
        <f>+'Expense Support'!W32</f>
        <v>-850</v>
      </c>
      <c r="E33" s="158">
        <f t="shared" si="3"/>
        <v>10081</v>
      </c>
      <c r="F33" s="158"/>
      <c r="G33" s="158">
        <f t="shared" si="4"/>
        <v>-850</v>
      </c>
      <c r="H33" s="158"/>
      <c r="I33" s="158">
        <f>+'Expense Support'!AB32</f>
        <v>-10081</v>
      </c>
      <c r="J33" s="158">
        <f t="shared" si="5"/>
        <v>-10081</v>
      </c>
      <c r="K33" s="159">
        <f t="shared" si="6"/>
        <v>0</v>
      </c>
      <c r="L33" s="159">
        <f t="shared" si="0"/>
        <v>-10081</v>
      </c>
      <c r="M33" s="159">
        <f>+'Expense Support'!AF32</f>
        <v>0</v>
      </c>
      <c r="N33" s="157">
        <f t="shared" si="1"/>
        <v>0</v>
      </c>
    </row>
    <row r="34" spans="1:14">
      <c r="A34" s="132">
        <f t="shared" si="2"/>
        <v>27</v>
      </c>
      <c r="B34" s="58" t="s">
        <v>96</v>
      </c>
      <c r="C34" s="144">
        <f>+'Expense Support'!D33</f>
        <v>7681</v>
      </c>
      <c r="D34" s="156">
        <f>+'Expense Support'!W33</f>
        <v>-597</v>
      </c>
      <c r="E34" s="158">
        <f t="shared" si="3"/>
        <v>7084</v>
      </c>
      <c r="F34" s="158"/>
      <c r="G34" s="158">
        <f t="shared" si="4"/>
        <v>-597</v>
      </c>
      <c r="H34" s="158"/>
      <c r="I34" s="158">
        <f>+'Expense Support'!AB33</f>
        <v>-7084</v>
      </c>
      <c r="J34" s="158">
        <f t="shared" si="5"/>
        <v>-7084</v>
      </c>
      <c r="K34" s="159">
        <f t="shared" si="6"/>
        <v>0</v>
      </c>
      <c r="L34" s="159">
        <f t="shared" si="0"/>
        <v>-7084</v>
      </c>
      <c r="M34" s="159">
        <f>+'Expense Support'!AF33</f>
        <v>0</v>
      </c>
      <c r="N34" s="157">
        <f t="shared" si="1"/>
        <v>0</v>
      </c>
    </row>
    <row r="35" spans="1:14">
      <c r="A35" s="132">
        <f t="shared" si="2"/>
        <v>28</v>
      </c>
      <c r="B35" s="58" t="s">
        <v>25</v>
      </c>
      <c r="C35" s="144">
        <f>+'Expense Support'!D34</f>
        <v>3900673</v>
      </c>
      <c r="D35" s="156">
        <f>+'Expense Support'!W34</f>
        <v>-303309</v>
      </c>
      <c r="E35" s="158">
        <f t="shared" si="3"/>
        <v>3597364</v>
      </c>
      <c r="F35" s="158"/>
      <c r="G35" s="158">
        <f t="shared" si="4"/>
        <v>-303309</v>
      </c>
      <c r="H35" s="158"/>
      <c r="I35" s="158">
        <f>+'Expense Support'!AB34</f>
        <v>0</v>
      </c>
      <c r="J35" s="158">
        <f t="shared" si="5"/>
        <v>0</v>
      </c>
      <c r="K35" s="159">
        <f t="shared" si="6"/>
        <v>3597364</v>
      </c>
      <c r="L35" s="159">
        <f t="shared" si="0"/>
        <v>0</v>
      </c>
      <c r="M35" s="159">
        <f>+'Expense Support'!AF34</f>
        <v>3597363.84</v>
      </c>
      <c r="N35" s="157">
        <f t="shared" si="1"/>
        <v>0.16000000014901161</v>
      </c>
    </row>
    <row r="36" spans="1:14">
      <c r="A36" s="132">
        <f t="shared" si="2"/>
        <v>29</v>
      </c>
      <c r="B36" s="58" t="s">
        <v>27</v>
      </c>
      <c r="C36" s="144">
        <f>+'Expense Support'!D35</f>
        <v>-200082</v>
      </c>
      <c r="D36" s="156">
        <f>+'Expense Support'!W35</f>
        <v>15558</v>
      </c>
      <c r="E36" s="158">
        <f t="shared" si="3"/>
        <v>-184524</v>
      </c>
      <c r="F36" s="158"/>
      <c r="G36" s="158">
        <f t="shared" si="4"/>
        <v>15558</v>
      </c>
      <c r="H36" s="158"/>
      <c r="I36" s="158">
        <f>+'Expense Support'!AB35</f>
        <v>0</v>
      </c>
      <c r="J36" s="158">
        <f t="shared" si="5"/>
        <v>0</v>
      </c>
      <c r="K36" s="159">
        <f t="shared" si="6"/>
        <v>-184524</v>
      </c>
      <c r="L36" s="159">
        <f t="shared" si="0"/>
        <v>0</v>
      </c>
      <c r="M36" s="159">
        <f>+'Expense Support'!AF35</f>
        <v>-184523.861998654</v>
      </c>
      <c r="N36" s="157">
        <f t="shared" si="1"/>
        <v>-0.13800134600023739</v>
      </c>
    </row>
    <row r="37" spans="1:14">
      <c r="A37" s="132">
        <f t="shared" si="2"/>
        <v>30</v>
      </c>
      <c r="B37" s="58" t="s">
        <v>28</v>
      </c>
      <c r="C37" s="144">
        <f>+'Expense Support'!D36</f>
        <v>38857657</v>
      </c>
      <c r="D37" s="156">
        <f>+'Expense Support'!W36</f>
        <v>-3021500</v>
      </c>
      <c r="E37" s="158">
        <f t="shared" si="3"/>
        <v>35836157</v>
      </c>
      <c r="F37" s="158"/>
      <c r="G37" s="158">
        <f t="shared" si="4"/>
        <v>-3021500</v>
      </c>
      <c r="H37" s="158"/>
      <c r="I37" s="158">
        <f>+'Expense Support'!AB36</f>
        <v>0</v>
      </c>
      <c r="J37" s="158">
        <f t="shared" si="5"/>
        <v>0</v>
      </c>
      <c r="K37" s="159">
        <f t="shared" si="6"/>
        <v>35836157</v>
      </c>
      <c r="L37" s="159">
        <f t="shared" si="0"/>
        <v>0</v>
      </c>
      <c r="M37" s="159">
        <f>+'Expense Support'!AF36</f>
        <v>35836157.020000003</v>
      </c>
      <c r="N37" s="157">
        <f t="shared" si="1"/>
        <v>-2.0000003278255463E-2</v>
      </c>
    </row>
    <row r="38" spans="1:14">
      <c r="A38" s="132">
        <f t="shared" si="2"/>
        <v>31</v>
      </c>
      <c r="B38" s="58" t="s">
        <v>31</v>
      </c>
      <c r="C38" s="144">
        <f>+'Expense Support'!D37</f>
        <v>2039389</v>
      </c>
      <c r="D38" s="156">
        <f>+'Expense Support'!W37</f>
        <v>-158579</v>
      </c>
      <c r="E38" s="158">
        <f t="shared" si="3"/>
        <v>1880810</v>
      </c>
      <c r="F38" s="158"/>
      <c r="G38" s="158">
        <f t="shared" si="4"/>
        <v>-158579</v>
      </c>
      <c r="H38" s="158"/>
      <c r="I38" s="158">
        <f>+'Expense Support'!AB37</f>
        <v>0</v>
      </c>
      <c r="J38" s="158">
        <f t="shared" si="5"/>
        <v>0</v>
      </c>
      <c r="K38" s="159">
        <f t="shared" si="6"/>
        <v>1880810</v>
      </c>
      <c r="L38" s="159">
        <f t="shared" si="0"/>
        <v>0</v>
      </c>
      <c r="M38" s="159">
        <f>+'Expense Support'!AF37</f>
        <v>1880809.8599999999</v>
      </c>
      <c r="N38" s="157">
        <f t="shared" si="1"/>
        <v>0.14000000013038516</v>
      </c>
    </row>
    <row r="39" spans="1:14">
      <c r="A39" s="132">
        <f t="shared" si="2"/>
        <v>32</v>
      </c>
      <c r="B39" s="58" t="s">
        <v>29</v>
      </c>
      <c r="C39" s="144">
        <f>+'Expense Support'!D38</f>
        <v>140296</v>
      </c>
      <c r="D39" s="156">
        <f>+'Expense Support'!W38</f>
        <v>-117150</v>
      </c>
      <c r="E39" s="158">
        <f t="shared" si="3"/>
        <v>23146</v>
      </c>
      <c r="F39" s="158">
        <f>+'Expense Support'!Y38</f>
        <v>115198</v>
      </c>
      <c r="G39" s="158">
        <f t="shared" si="4"/>
        <v>-1952</v>
      </c>
      <c r="H39" s="158">
        <f>+'Expense Support'!Z38</f>
        <v>-8958</v>
      </c>
      <c r="I39" s="158">
        <f>+'Expense Support'!AB38</f>
        <v>0</v>
      </c>
      <c r="J39" s="158">
        <f t="shared" si="5"/>
        <v>-8958</v>
      </c>
      <c r="K39" s="159">
        <f t="shared" si="6"/>
        <v>129386</v>
      </c>
      <c r="L39" s="159">
        <f t="shared" si="0"/>
        <v>106240</v>
      </c>
      <c r="M39" s="159">
        <f>+'Expense Support'!AF38</f>
        <v>129386.84527232482</v>
      </c>
      <c r="N39" s="157">
        <f t="shared" si="1"/>
        <v>-0.8452723248192342</v>
      </c>
    </row>
    <row r="40" spans="1:14">
      <c r="A40" s="132">
        <f t="shared" si="2"/>
        <v>33</v>
      </c>
      <c r="B40" s="58" t="s">
        <v>33</v>
      </c>
      <c r="C40" s="144">
        <f>+'Expense Support'!D39</f>
        <v>2578374</v>
      </c>
      <c r="D40" s="156">
        <f>+'Expense Support'!W39</f>
        <v>462450</v>
      </c>
      <c r="E40" s="158">
        <f t="shared" si="3"/>
        <v>3040824</v>
      </c>
      <c r="F40" s="158">
        <f>+'Expense Support'!Y39</f>
        <v>-718835</v>
      </c>
      <c r="G40" s="158">
        <f t="shared" si="4"/>
        <v>-256385</v>
      </c>
      <c r="H40" s="158">
        <f>+'Expense Support'!Z39</f>
        <v>55895</v>
      </c>
      <c r="I40" s="158">
        <f>+'Expense Support'!AB39</f>
        <v>0</v>
      </c>
      <c r="J40" s="158">
        <f t="shared" si="5"/>
        <v>55895</v>
      </c>
      <c r="K40" s="159">
        <f t="shared" si="6"/>
        <v>2377884</v>
      </c>
      <c r="L40" s="159">
        <f t="shared" si="0"/>
        <v>-662940</v>
      </c>
      <c r="M40" s="159">
        <f>+'Expense Support'!AF39</f>
        <v>2377884.3782664486</v>
      </c>
      <c r="N40" s="157">
        <f t="shared" si="1"/>
        <v>-0.3782664486207068</v>
      </c>
    </row>
    <row r="41" spans="1:14">
      <c r="A41" s="132">
        <f t="shared" si="2"/>
        <v>34</v>
      </c>
      <c r="B41" s="58" t="s">
        <v>39</v>
      </c>
      <c r="C41" s="144">
        <f>+'Expense Support'!D40</f>
        <v>1013789</v>
      </c>
      <c r="D41" s="156">
        <f>+'Expense Support'!W40</f>
        <v>-78830</v>
      </c>
      <c r="E41" s="158">
        <f t="shared" si="3"/>
        <v>934959</v>
      </c>
      <c r="F41" s="158"/>
      <c r="G41" s="158">
        <f t="shared" si="4"/>
        <v>-78830</v>
      </c>
      <c r="H41" s="158"/>
      <c r="I41" s="158">
        <f>+'Expense Support'!AB40</f>
        <v>0</v>
      </c>
      <c r="J41" s="158">
        <f t="shared" si="5"/>
        <v>0</v>
      </c>
      <c r="K41" s="159">
        <f t="shared" si="6"/>
        <v>934959</v>
      </c>
      <c r="L41" s="159">
        <f t="shared" ref="L41:L59" si="7">+K41-E41</f>
        <v>0</v>
      </c>
      <c r="M41" s="159">
        <f>+'Expense Support'!AF40</f>
        <v>934958.63</v>
      </c>
      <c r="N41" s="157">
        <f t="shared" ref="N41:N59" si="8">+K41-M41</f>
        <v>0.36999999999534339</v>
      </c>
    </row>
    <row r="42" spans="1:14">
      <c r="A42" s="132">
        <f t="shared" si="2"/>
        <v>35</v>
      </c>
      <c r="B42" s="58" t="s">
        <v>41</v>
      </c>
      <c r="C42" s="144">
        <f>+'Expense Support'!D41</f>
        <v>13132</v>
      </c>
      <c r="D42" s="156">
        <f>+'Expense Support'!W41</f>
        <v>-1021</v>
      </c>
      <c r="E42" s="158">
        <f t="shared" si="3"/>
        <v>12111</v>
      </c>
      <c r="F42" s="158"/>
      <c r="G42" s="158">
        <f t="shared" si="4"/>
        <v>-1021</v>
      </c>
      <c r="H42" s="158"/>
      <c r="I42" s="158">
        <f>+'Expense Support'!AB41</f>
        <v>0</v>
      </c>
      <c r="J42" s="158">
        <f t="shared" si="5"/>
        <v>0</v>
      </c>
      <c r="K42" s="159">
        <f t="shared" si="6"/>
        <v>12111</v>
      </c>
      <c r="L42" s="159">
        <f t="shared" si="7"/>
        <v>0</v>
      </c>
      <c r="M42" s="159">
        <f>+'Expense Support'!AF41</f>
        <v>12110.33</v>
      </c>
      <c r="N42" s="157">
        <f t="shared" si="8"/>
        <v>0.67000000000007276</v>
      </c>
    </row>
    <row r="43" spans="1:14">
      <c r="A43" s="132">
        <f t="shared" si="2"/>
        <v>36</v>
      </c>
      <c r="B43" s="58" t="s">
        <v>43</v>
      </c>
      <c r="C43" s="144">
        <f>+'Expense Support'!D42</f>
        <v>78349</v>
      </c>
      <c r="D43" s="156">
        <f>+'Expense Support'!W42</f>
        <v>-6092</v>
      </c>
      <c r="E43" s="158">
        <f t="shared" si="3"/>
        <v>72257</v>
      </c>
      <c r="F43" s="158"/>
      <c r="G43" s="158">
        <f t="shared" si="4"/>
        <v>-6092</v>
      </c>
      <c r="H43" s="158"/>
      <c r="I43" s="158">
        <f>+'Expense Support'!AB42</f>
        <v>0</v>
      </c>
      <c r="J43" s="158">
        <f t="shared" si="5"/>
        <v>0</v>
      </c>
      <c r="K43" s="159">
        <f t="shared" si="6"/>
        <v>72257</v>
      </c>
      <c r="L43" s="159">
        <f t="shared" si="7"/>
        <v>0</v>
      </c>
      <c r="M43" s="159">
        <f>+'Expense Support'!AF42</f>
        <v>72256.73</v>
      </c>
      <c r="N43" s="157">
        <f t="shared" si="8"/>
        <v>0.27000000000407454</v>
      </c>
    </row>
    <row r="44" spans="1:14">
      <c r="A44" s="132">
        <f t="shared" si="2"/>
        <v>37</v>
      </c>
      <c r="B44" s="58" t="s">
        <v>46</v>
      </c>
      <c r="C44" s="144">
        <f>+'Expense Support'!D43</f>
        <v>1451241</v>
      </c>
      <c r="D44" s="156">
        <f>+'Expense Support'!W43</f>
        <v>-112846</v>
      </c>
      <c r="E44" s="158">
        <f t="shared" si="3"/>
        <v>1338395</v>
      </c>
      <c r="F44" s="158"/>
      <c r="G44" s="158">
        <f t="shared" si="4"/>
        <v>-112846</v>
      </c>
      <c r="H44" s="158"/>
      <c r="I44" s="158">
        <f>+'Expense Support'!AB43</f>
        <v>0</v>
      </c>
      <c r="J44" s="158">
        <f t="shared" si="5"/>
        <v>0</v>
      </c>
      <c r="K44" s="159">
        <f t="shared" si="6"/>
        <v>1338395</v>
      </c>
      <c r="L44" s="159">
        <f t="shared" si="7"/>
        <v>0</v>
      </c>
      <c r="M44" s="159">
        <f>+'Expense Support'!AF43</f>
        <v>1338395</v>
      </c>
      <c r="N44" s="157">
        <f t="shared" si="8"/>
        <v>0</v>
      </c>
    </row>
    <row r="45" spans="1:14">
      <c r="A45" s="132">
        <f t="shared" si="2"/>
        <v>38</v>
      </c>
      <c r="B45" s="58" t="s">
        <v>47</v>
      </c>
      <c r="C45" s="144">
        <f>+'Expense Support'!D44</f>
        <v>30301</v>
      </c>
      <c r="D45" s="156">
        <f>+'Expense Support'!W44</f>
        <v>-2356</v>
      </c>
      <c r="E45" s="158">
        <f t="shared" si="3"/>
        <v>27945</v>
      </c>
      <c r="F45" s="158"/>
      <c r="G45" s="158">
        <f t="shared" si="4"/>
        <v>-2356</v>
      </c>
      <c r="H45" s="158"/>
      <c r="I45" s="158">
        <f>+'Expense Support'!AB44</f>
        <v>0</v>
      </c>
      <c r="J45" s="158">
        <f t="shared" si="5"/>
        <v>0</v>
      </c>
      <c r="K45" s="159">
        <f t="shared" si="6"/>
        <v>27945</v>
      </c>
      <c r="L45" s="159">
        <f t="shared" si="7"/>
        <v>0</v>
      </c>
      <c r="M45" s="159">
        <f>+'Expense Support'!AF44</f>
        <v>27944.85</v>
      </c>
      <c r="N45" s="157">
        <f t="shared" si="8"/>
        <v>0.15000000000145519</v>
      </c>
    </row>
    <row r="46" spans="1:14">
      <c r="A46" s="132">
        <f t="shared" si="2"/>
        <v>39</v>
      </c>
      <c r="B46" s="58" t="s">
        <v>61</v>
      </c>
      <c r="C46" s="144">
        <f>+'Expense Support'!D45</f>
        <v>256623</v>
      </c>
      <c r="D46" s="156">
        <f>+'Expense Support'!W45</f>
        <v>-19955</v>
      </c>
      <c r="E46" s="158">
        <f t="shared" si="3"/>
        <v>236668</v>
      </c>
      <c r="F46" s="158"/>
      <c r="G46" s="158">
        <f t="shared" si="4"/>
        <v>-19955</v>
      </c>
      <c r="H46" s="158"/>
      <c r="I46" s="158">
        <f>+'Expense Support'!AB45</f>
        <v>0</v>
      </c>
      <c r="J46" s="158">
        <f t="shared" si="5"/>
        <v>0</v>
      </c>
      <c r="K46" s="159">
        <f t="shared" si="6"/>
        <v>236668</v>
      </c>
      <c r="L46" s="159">
        <f t="shared" si="7"/>
        <v>0</v>
      </c>
      <c r="M46" s="159">
        <f>+'Expense Support'!AF45</f>
        <v>236668.47</v>
      </c>
      <c r="N46" s="157">
        <f t="shared" si="8"/>
        <v>-0.47000000000116415</v>
      </c>
    </row>
    <row r="47" spans="1:14">
      <c r="A47" s="132">
        <f t="shared" si="2"/>
        <v>40</v>
      </c>
      <c r="B47" s="58" t="s">
        <v>35</v>
      </c>
      <c r="C47" s="144">
        <f>+'Expense Support'!D46</f>
        <v>329757</v>
      </c>
      <c r="D47" s="156">
        <f>+'Expense Support'!W46</f>
        <v>259359</v>
      </c>
      <c r="E47" s="158">
        <f t="shared" si="3"/>
        <v>589116</v>
      </c>
      <c r="F47" s="158">
        <f>+'Expense Support'!Y46</f>
        <v>-309030</v>
      </c>
      <c r="G47" s="158">
        <f t="shared" si="4"/>
        <v>-49671</v>
      </c>
      <c r="H47" s="158">
        <f>+'Expense Support'!Z46</f>
        <v>24030</v>
      </c>
      <c r="I47" s="158">
        <f>+'Expense Support'!AB46</f>
        <v>0</v>
      </c>
      <c r="J47" s="158">
        <f t="shared" si="5"/>
        <v>24030</v>
      </c>
      <c r="K47" s="159">
        <f t="shared" si="6"/>
        <v>304116</v>
      </c>
      <c r="L47" s="159">
        <f t="shared" si="7"/>
        <v>-285000</v>
      </c>
      <c r="M47" s="159">
        <f>+'Expense Support'!AF46</f>
        <v>304115.70475349796</v>
      </c>
      <c r="N47" s="157">
        <f t="shared" si="8"/>
        <v>0.29524650203529745</v>
      </c>
    </row>
    <row r="48" spans="1:14">
      <c r="A48" s="132">
        <f t="shared" si="2"/>
        <v>41</v>
      </c>
      <c r="B48" s="58" t="s">
        <v>59</v>
      </c>
      <c r="C48" s="144">
        <f>+'Expense Support'!D47</f>
        <v>1382608</v>
      </c>
      <c r="D48" s="156">
        <f>+'Expense Support'!W47</f>
        <v>-107509</v>
      </c>
      <c r="E48" s="158">
        <f t="shared" si="3"/>
        <v>1275099</v>
      </c>
      <c r="F48" s="158"/>
      <c r="G48" s="158">
        <f t="shared" si="4"/>
        <v>-107509</v>
      </c>
      <c r="H48" s="158"/>
      <c r="I48" s="158">
        <f>+'Expense Support'!AB47</f>
        <v>-1275099</v>
      </c>
      <c r="J48" s="158">
        <f t="shared" si="5"/>
        <v>-1275099</v>
      </c>
      <c r="K48" s="159">
        <f t="shared" si="6"/>
        <v>0</v>
      </c>
      <c r="L48" s="159">
        <f t="shared" si="7"/>
        <v>-1275099</v>
      </c>
      <c r="M48" s="159">
        <f>+'Expense Support'!AF47</f>
        <v>0</v>
      </c>
      <c r="N48" s="157">
        <f t="shared" si="8"/>
        <v>0</v>
      </c>
    </row>
    <row r="49" spans="1:14">
      <c r="A49" s="132">
        <f t="shared" si="2"/>
        <v>42</v>
      </c>
      <c r="B49" s="58" t="s">
        <v>60</v>
      </c>
      <c r="C49" s="144">
        <f>+'Expense Support'!D48</f>
        <v>42391</v>
      </c>
      <c r="D49" s="156">
        <f>+'Expense Support'!W48</f>
        <v>-3296</v>
      </c>
      <c r="E49" s="158">
        <f t="shared" si="3"/>
        <v>39095</v>
      </c>
      <c r="F49" s="158"/>
      <c r="G49" s="158">
        <f t="shared" si="4"/>
        <v>-3296</v>
      </c>
      <c r="H49" s="158"/>
      <c r="I49" s="158">
        <f>+'Expense Support'!AB48</f>
        <v>-39095</v>
      </c>
      <c r="J49" s="158">
        <f t="shared" si="5"/>
        <v>-39095</v>
      </c>
      <c r="K49" s="159">
        <f t="shared" si="6"/>
        <v>0</v>
      </c>
      <c r="L49" s="159">
        <f t="shared" si="7"/>
        <v>-39095</v>
      </c>
      <c r="M49" s="159">
        <f>+'Expense Support'!AF48</f>
        <v>0</v>
      </c>
      <c r="N49" s="157">
        <f t="shared" si="8"/>
        <v>0</v>
      </c>
    </row>
    <row r="50" spans="1:14">
      <c r="A50" s="132">
        <f t="shared" si="2"/>
        <v>43</v>
      </c>
      <c r="B50" s="58" t="s">
        <v>62</v>
      </c>
      <c r="C50" s="144">
        <f>+'Expense Support'!D49</f>
        <v>51536</v>
      </c>
      <c r="D50" s="156">
        <f>+'Expense Support'!W49</f>
        <v>-4007</v>
      </c>
      <c r="E50" s="158">
        <f t="shared" si="3"/>
        <v>47529</v>
      </c>
      <c r="F50" s="158"/>
      <c r="G50" s="158">
        <f t="shared" si="4"/>
        <v>-4007</v>
      </c>
      <c r="H50" s="158"/>
      <c r="I50" s="158">
        <f>+'Expense Support'!AB49</f>
        <v>-47529</v>
      </c>
      <c r="J50" s="158">
        <f t="shared" si="5"/>
        <v>-47529</v>
      </c>
      <c r="K50" s="159">
        <f t="shared" si="6"/>
        <v>0</v>
      </c>
      <c r="L50" s="159">
        <f t="shared" si="7"/>
        <v>-47529</v>
      </c>
      <c r="M50" s="159">
        <f>+'Expense Support'!AF49</f>
        <v>0</v>
      </c>
      <c r="N50" s="157">
        <f t="shared" si="8"/>
        <v>0</v>
      </c>
    </row>
    <row r="51" spans="1:14">
      <c r="A51" s="132">
        <f t="shared" si="2"/>
        <v>44</v>
      </c>
      <c r="B51" s="58" t="s">
        <v>63</v>
      </c>
      <c r="C51" s="144">
        <f>+'Expense Support'!D50</f>
        <v>208010</v>
      </c>
      <c r="D51" s="156">
        <f>+'Expense Support'!W50</f>
        <v>-208010</v>
      </c>
      <c r="E51" s="158">
        <f t="shared" si="3"/>
        <v>0</v>
      </c>
      <c r="F51" s="158"/>
      <c r="G51" s="158">
        <f t="shared" si="4"/>
        <v>-208010</v>
      </c>
      <c r="H51" s="158"/>
      <c r="I51" s="158">
        <f>+'Expense Support'!AB50</f>
        <v>0</v>
      </c>
      <c r="J51" s="158">
        <f t="shared" si="5"/>
        <v>0</v>
      </c>
      <c r="K51" s="159">
        <f t="shared" si="6"/>
        <v>0</v>
      </c>
      <c r="L51" s="159">
        <f t="shared" si="7"/>
        <v>0</v>
      </c>
      <c r="M51" s="159">
        <f>+'Expense Support'!AF50</f>
        <v>0</v>
      </c>
      <c r="N51" s="157">
        <f t="shared" si="8"/>
        <v>0</v>
      </c>
    </row>
    <row r="52" spans="1:14">
      <c r="A52" s="132">
        <f t="shared" si="2"/>
        <v>45</v>
      </c>
      <c r="B52" s="58" t="s">
        <v>64</v>
      </c>
      <c r="C52" s="144">
        <f>+'Expense Support'!D51</f>
        <v>4457</v>
      </c>
      <c r="D52" s="156">
        <f>+'Expense Support'!W51</f>
        <v>-347</v>
      </c>
      <c r="E52" s="158">
        <f t="shared" si="3"/>
        <v>4110</v>
      </c>
      <c r="F52" s="158"/>
      <c r="G52" s="158">
        <f t="shared" si="4"/>
        <v>-347</v>
      </c>
      <c r="H52" s="158"/>
      <c r="I52" s="158">
        <f>+'Expense Support'!AB51</f>
        <v>-4110</v>
      </c>
      <c r="J52" s="158">
        <f t="shared" si="5"/>
        <v>-4110</v>
      </c>
      <c r="K52" s="159">
        <f t="shared" si="6"/>
        <v>0</v>
      </c>
      <c r="L52" s="159">
        <f t="shared" si="7"/>
        <v>-4110</v>
      </c>
      <c r="M52" s="159">
        <f>+'Expense Support'!AF51</f>
        <v>0</v>
      </c>
      <c r="N52" s="157">
        <f t="shared" si="8"/>
        <v>0</v>
      </c>
    </row>
    <row r="53" spans="1:14">
      <c r="A53" s="132">
        <f t="shared" si="2"/>
        <v>46</v>
      </c>
      <c r="B53" s="58" t="s">
        <v>71</v>
      </c>
      <c r="C53" s="144">
        <f>+'Expense Support'!D52</f>
        <v>525945</v>
      </c>
      <c r="D53" s="156">
        <f>+'Expense Support'!W52</f>
        <v>-525945</v>
      </c>
      <c r="E53" s="158">
        <f t="shared" si="3"/>
        <v>0</v>
      </c>
      <c r="F53" s="158"/>
      <c r="G53" s="158">
        <f t="shared" si="4"/>
        <v>-525945</v>
      </c>
      <c r="H53" s="158"/>
      <c r="I53" s="158">
        <f>+'Expense Support'!AB52</f>
        <v>0</v>
      </c>
      <c r="J53" s="158">
        <f t="shared" si="5"/>
        <v>0</v>
      </c>
      <c r="K53" s="159">
        <f t="shared" si="6"/>
        <v>0</v>
      </c>
      <c r="L53" s="159">
        <f t="shared" si="7"/>
        <v>0</v>
      </c>
      <c r="M53" s="159">
        <f>+'Expense Support'!AF52</f>
        <v>0</v>
      </c>
      <c r="N53" s="157">
        <f t="shared" si="8"/>
        <v>0</v>
      </c>
    </row>
    <row r="54" spans="1:14">
      <c r="A54" s="132">
        <f t="shared" si="2"/>
        <v>47</v>
      </c>
      <c r="B54" s="58" t="s">
        <v>72</v>
      </c>
      <c r="C54" s="144">
        <f>+'Expense Support'!D53</f>
        <v>73638</v>
      </c>
      <c r="D54" s="156">
        <f>+'Expense Support'!W53</f>
        <v>-5726</v>
      </c>
      <c r="E54" s="158">
        <f t="shared" si="3"/>
        <v>67912</v>
      </c>
      <c r="F54" s="158"/>
      <c r="G54" s="158">
        <f t="shared" si="4"/>
        <v>-5726</v>
      </c>
      <c r="H54" s="158"/>
      <c r="I54" s="158">
        <f>+'Expense Support'!AB53</f>
        <v>-67912</v>
      </c>
      <c r="J54" s="158">
        <f t="shared" si="5"/>
        <v>-67912</v>
      </c>
      <c r="K54" s="159">
        <f t="shared" si="6"/>
        <v>0</v>
      </c>
      <c r="L54" s="159">
        <f t="shared" si="7"/>
        <v>-67912</v>
      </c>
      <c r="M54" s="159">
        <f>+'Expense Support'!AF53</f>
        <v>0</v>
      </c>
      <c r="N54" s="157">
        <f t="shared" si="8"/>
        <v>0</v>
      </c>
    </row>
    <row r="55" spans="1:14">
      <c r="A55" s="132">
        <f t="shared" si="2"/>
        <v>48</v>
      </c>
      <c r="B55" s="58" t="s">
        <v>78</v>
      </c>
      <c r="C55" s="144">
        <f>+'Expense Support'!D54</f>
        <v>162776</v>
      </c>
      <c r="D55" s="156">
        <f>+'Expense Support'!W54</f>
        <v>-162776</v>
      </c>
      <c r="E55" s="158">
        <f t="shared" si="3"/>
        <v>0</v>
      </c>
      <c r="F55" s="158"/>
      <c r="G55" s="158">
        <f t="shared" si="4"/>
        <v>-162776</v>
      </c>
      <c r="H55" s="158"/>
      <c r="I55" s="158">
        <f>+'Expense Support'!AB54</f>
        <v>0</v>
      </c>
      <c r="J55" s="158">
        <f t="shared" si="5"/>
        <v>0</v>
      </c>
      <c r="K55" s="159">
        <f t="shared" si="6"/>
        <v>0</v>
      </c>
      <c r="L55" s="159">
        <f t="shared" si="7"/>
        <v>0</v>
      </c>
      <c r="M55" s="159">
        <f>+'Expense Support'!AF54</f>
        <v>0</v>
      </c>
      <c r="N55" s="157">
        <f t="shared" si="8"/>
        <v>0</v>
      </c>
    </row>
    <row r="56" spans="1:14">
      <c r="A56" s="132">
        <f t="shared" si="2"/>
        <v>49</v>
      </c>
      <c r="B56" s="58" t="s">
        <v>84</v>
      </c>
      <c r="C56" s="144">
        <f>+'Expense Support'!D55</f>
        <v>130443.00000000001</v>
      </c>
      <c r="D56" s="156">
        <f>+'Expense Support'!W55</f>
        <v>-130443</v>
      </c>
      <c r="E56" s="158">
        <f t="shared" si="3"/>
        <v>0</v>
      </c>
      <c r="F56" s="158"/>
      <c r="G56" s="158">
        <f t="shared" si="4"/>
        <v>-130443</v>
      </c>
      <c r="H56" s="158"/>
      <c r="I56" s="158">
        <f>+'Expense Support'!AB55</f>
        <v>0</v>
      </c>
      <c r="J56" s="158">
        <f t="shared" si="5"/>
        <v>0</v>
      </c>
      <c r="K56" s="159">
        <f t="shared" si="6"/>
        <v>0</v>
      </c>
      <c r="L56" s="159">
        <f t="shared" si="7"/>
        <v>0</v>
      </c>
      <c r="M56" s="159">
        <f>+'Expense Support'!AF55</f>
        <v>0</v>
      </c>
      <c r="N56" s="157">
        <f t="shared" si="8"/>
        <v>0</v>
      </c>
    </row>
    <row r="57" spans="1:14">
      <c r="A57" s="132">
        <f t="shared" si="2"/>
        <v>50</v>
      </c>
      <c r="B57" s="60" t="s">
        <v>97</v>
      </c>
      <c r="C57" s="144">
        <f>+'Expense Support'!D56</f>
        <v>0</v>
      </c>
      <c r="D57" s="156">
        <f>+'Expense Support'!W56</f>
        <v>187973</v>
      </c>
      <c r="E57" s="158">
        <f t="shared" si="3"/>
        <v>187973</v>
      </c>
      <c r="F57" s="158"/>
      <c r="G57" s="158">
        <f t="shared" si="4"/>
        <v>187973</v>
      </c>
      <c r="H57" s="158"/>
      <c r="I57" s="158">
        <f>+'Expense Support'!AB56</f>
        <v>0</v>
      </c>
      <c r="J57" s="158">
        <f t="shared" si="5"/>
        <v>0</v>
      </c>
      <c r="K57" s="159">
        <f t="shared" si="6"/>
        <v>187973</v>
      </c>
      <c r="L57" s="159">
        <f t="shared" si="7"/>
        <v>0</v>
      </c>
      <c r="M57" s="159">
        <f>+'Expense Support'!AF56</f>
        <v>187972.7</v>
      </c>
      <c r="N57" s="157">
        <f t="shared" si="8"/>
        <v>0.29999999998835847</v>
      </c>
    </row>
    <row r="58" spans="1:14">
      <c r="A58" s="132">
        <f t="shared" si="2"/>
        <v>51</v>
      </c>
      <c r="B58" s="60" t="s">
        <v>98</v>
      </c>
      <c r="C58" s="144">
        <f>+'Expense Support'!D57</f>
        <v>0</v>
      </c>
      <c r="D58" s="156">
        <f>+'Expense Support'!W57</f>
        <v>354799</v>
      </c>
      <c r="E58" s="158">
        <f t="shared" si="3"/>
        <v>354799</v>
      </c>
      <c r="F58" s="158"/>
      <c r="G58" s="158">
        <f t="shared" si="4"/>
        <v>354799</v>
      </c>
      <c r="H58" s="158"/>
      <c r="I58" s="158">
        <f>+'Expense Support'!AB57</f>
        <v>0</v>
      </c>
      <c r="J58" s="158">
        <f t="shared" si="5"/>
        <v>0</v>
      </c>
      <c r="K58" s="159">
        <f t="shared" si="6"/>
        <v>354799</v>
      </c>
      <c r="L58" s="159">
        <f t="shared" si="7"/>
        <v>0</v>
      </c>
      <c r="M58" s="159">
        <f>+'Expense Support'!AF57</f>
        <v>0</v>
      </c>
      <c r="N58" s="157">
        <f t="shared" si="8"/>
        <v>354799</v>
      </c>
    </row>
    <row r="59" spans="1:14">
      <c r="A59" s="132">
        <f t="shared" si="2"/>
        <v>52</v>
      </c>
      <c r="B59" s="60" t="s">
        <v>99</v>
      </c>
      <c r="C59" s="144">
        <f>+'Expense Support'!D58</f>
        <v>0</v>
      </c>
      <c r="D59" s="156">
        <f>+'Expense Support'!W58</f>
        <v>157209</v>
      </c>
      <c r="E59" s="158">
        <f t="shared" si="3"/>
        <v>157209</v>
      </c>
      <c r="F59" s="158"/>
      <c r="G59" s="158">
        <f t="shared" si="4"/>
        <v>157209</v>
      </c>
      <c r="H59" s="158"/>
      <c r="I59" s="158">
        <f>+'Expense Support'!AB58</f>
        <v>0</v>
      </c>
      <c r="J59" s="158">
        <f t="shared" si="5"/>
        <v>0</v>
      </c>
      <c r="K59" s="159">
        <f t="shared" si="6"/>
        <v>157209</v>
      </c>
      <c r="L59" s="159">
        <f t="shared" si="7"/>
        <v>0</v>
      </c>
      <c r="M59" s="159">
        <f>+'Expense Support'!AF58</f>
        <v>0</v>
      </c>
      <c r="N59" s="157">
        <f t="shared" si="8"/>
        <v>157209</v>
      </c>
    </row>
    <row r="60" spans="1:14">
      <c r="A60" s="132">
        <f t="shared" si="2"/>
        <v>53</v>
      </c>
      <c r="B60" s="63" t="s">
        <v>100</v>
      </c>
      <c r="C60" s="146">
        <f>SUM(C9:C59)</f>
        <v>54159116.200000003</v>
      </c>
      <c r="D60" s="146">
        <f t="shared" ref="D60:N60" si="9">SUM(D9:D59)</f>
        <v>-3827111.5999999996</v>
      </c>
      <c r="E60" s="146">
        <f t="shared" si="9"/>
        <v>50332004.600000001</v>
      </c>
      <c r="F60" s="146">
        <f t="shared" si="9"/>
        <v>-912667</v>
      </c>
      <c r="G60" s="146">
        <f t="shared" si="9"/>
        <v>-4739778.5999999996</v>
      </c>
      <c r="H60" s="146">
        <f t="shared" si="9"/>
        <v>70967</v>
      </c>
      <c r="I60" s="146">
        <f t="shared" si="9"/>
        <v>-2226796</v>
      </c>
      <c r="J60" s="146">
        <f t="shared" si="9"/>
        <v>-2155829</v>
      </c>
      <c r="K60" s="146">
        <f t="shared" si="9"/>
        <v>47263508.600000001</v>
      </c>
      <c r="L60" s="146">
        <f t="shared" si="9"/>
        <v>-3068496</v>
      </c>
      <c r="M60" s="146">
        <f t="shared" si="9"/>
        <v>46751500.496293619</v>
      </c>
      <c r="N60" s="146">
        <f t="shared" si="9"/>
        <v>512008.1037063796</v>
      </c>
    </row>
    <row r="61" spans="1:14">
      <c r="A61" s="63"/>
      <c r="B61" s="63"/>
      <c r="C61" s="146"/>
      <c r="D61" s="146"/>
      <c r="E61" s="146"/>
      <c r="F61" s="146"/>
      <c r="G61" s="146"/>
      <c r="H61" s="146"/>
      <c r="I61" s="146"/>
      <c r="J61" s="146"/>
      <c r="K61" s="146"/>
      <c r="L61" s="146"/>
      <c r="M61" s="146"/>
      <c r="N61" s="157"/>
    </row>
    <row r="62" spans="1:14">
      <c r="A62" s="132">
        <f>1+A60</f>
        <v>54</v>
      </c>
      <c r="B62" s="58" t="s">
        <v>102</v>
      </c>
      <c r="C62" s="144">
        <f>+'Expense Support'!D61</f>
        <v>-5532834</v>
      </c>
      <c r="D62" s="156">
        <f>+'Expense Support'!W61</f>
        <v>5532834</v>
      </c>
      <c r="E62" s="158">
        <f t="shared" ref="E62:E105" si="10">+D62+C62</f>
        <v>0</v>
      </c>
      <c r="F62" s="158"/>
      <c r="G62" s="158">
        <f t="shared" ref="G62:G105" si="11">+D62+F62</f>
        <v>5532834</v>
      </c>
      <c r="H62" s="158"/>
      <c r="I62" s="158">
        <f>+'Expense Support'!AB61</f>
        <v>0</v>
      </c>
      <c r="J62" s="158">
        <f t="shared" ref="J62:J105" si="12">+I62+H62</f>
        <v>0</v>
      </c>
      <c r="K62" s="159">
        <f t="shared" ref="K62:K105" si="13">+J62+G62+C62</f>
        <v>0</v>
      </c>
      <c r="L62" s="159">
        <f t="shared" ref="L62:L105" si="14">+K62-E62</f>
        <v>0</v>
      </c>
      <c r="M62" s="159"/>
      <c r="N62" s="157">
        <f t="shared" ref="N62:N82" si="15">+K62-M62</f>
        <v>0</v>
      </c>
    </row>
    <row r="63" spans="1:14">
      <c r="A63" s="132">
        <f>1+A62</f>
        <v>55</v>
      </c>
      <c r="B63" s="65" t="s">
        <v>111</v>
      </c>
      <c r="C63" s="144">
        <f>+'Expense Support'!D62</f>
        <v>-39930</v>
      </c>
      <c r="D63" s="156">
        <f>+'Expense Support'!W62</f>
        <v>3105</v>
      </c>
      <c r="E63" s="158">
        <f t="shared" si="10"/>
        <v>-36825</v>
      </c>
      <c r="F63" s="158"/>
      <c r="G63" s="158">
        <f t="shared" si="11"/>
        <v>3105</v>
      </c>
      <c r="H63" s="158"/>
      <c r="I63" s="158">
        <f>+'Expense Support'!AB62</f>
        <v>36825</v>
      </c>
      <c r="J63" s="158">
        <f t="shared" si="12"/>
        <v>36825</v>
      </c>
      <c r="K63" s="159">
        <f t="shared" si="13"/>
        <v>0</v>
      </c>
      <c r="L63" s="159">
        <f t="shared" si="14"/>
        <v>36825</v>
      </c>
      <c r="M63" s="159">
        <f>+'Expense Support'!AF62</f>
        <v>0</v>
      </c>
      <c r="N63" s="157">
        <f t="shared" si="15"/>
        <v>0</v>
      </c>
    </row>
    <row r="64" spans="1:14">
      <c r="A64" s="132">
        <f t="shared" ref="A64:A106" si="16">1+A63</f>
        <v>56</v>
      </c>
      <c r="B64" s="65" t="s">
        <v>48</v>
      </c>
      <c r="C64" s="144">
        <f>+'Expense Support'!D63</f>
        <v>-17.3</v>
      </c>
      <c r="D64" s="156">
        <f>+'Expense Support'!W63</f>
        <v>1</v>
      </c>
      <c r="E64" s="158">
        <f t="shared" si="10"/>
        <v>-16.3</v>
      </c>
      <c r="F64" s="158"/>
      <c r="G64" s="158">
        <f t="shared" si="11"/>
        <v>1</v>
      </c>
      <c r="H64" s="158"/>
      <c r="I64" s="158">
        <f>+'Expense Support'!AB63</f>
        <v>16</v>
      </c>
      <c r="J64" s="158">
        <f t="shared" si="12"/>
        <v>16</v>
      </c>
      <c r="K64" s="159">
        <f t="shared" si="13"/>
        <v>-0.30000000000000071</v>
      </c>
      <c r="L64" s="159">
        <f t="shared" si="14"/>
        <v>16</v>
      </c>
      <c r="M64" s="159">
        <f>+'Expense Support'!AF63</f>
        <v>0</v>
      </c>
      <c r="N64" s="157">
        <f t="shared" si="15"/>
        <v>-0.30000000000000071</v>
      </c>
    </row>
    <row r="65" spans="1:14">
      <c r="A65" s="132">
        <f t="shared" si="16"/>
        <v>57</v>
      </c>
      <c r="B65" s="65" t="s">
        <v>118</v>
      </c>
      <c r="C65" s="144">
        <f>+'Expense Support'!D64</f>
        <v>-302.39999999999998</v>
      </c>
      <c r="D65" s="156">
        <f>+'Expense Support'!W64</f>
        <v>302.39999999999998</v>
      </c>
      <c r="E65" s="158">
        <f t="shared" si="10"/>
        <v>0</v>
      </c>
      <c r="F65" s="158"/>
      <c r="G65" s="158">
        <f t="shared" si="11"/>
        <v>302.39999999999998</v>
      </c>
      <c r="H65" s="158"/>
      <c r="I65" s="158">
        <f>+'Expense Support'!AB64</f>
        <v>0</v>
      </c>
      <c r="J65" s="158">
        <f t="shared" si="12"/>
        <v>0</v>
      </c>
      <c r="K65" s="159">
        <f t="shared" si="13"/>
        <v>0</v>
      </c>
      <c r="L65" s="159">
        <f t="shared" si="14"/>
        <v>0</v>
      </c>
      <c r="M65" s="159">
        <f>+'Expense Support'!AF64</f>
        <v>0</v>
      </c>
      <c r="N65" s="157">
        <f t="shared" si="15"/>
        <v>0</v>
      </c>
    </row>
    <row r="66" spans="1:14">
      <c r="A66" s="132">
        <f t="shared" si="16"/>
        <v>58</v>
      </c>
      <c r="B66" s="65" t="s">
        <v>119</v>
      </c>
      <c r="C66" s="144">
        <f>+'Expense Support'!D65</f>
        <v>-11516.400000000001</v>
      </c>
      <c r="D66" s="156">
        <f>+'Expense Support'!W65</f>
        <v>11516.4</v>
      </c>
      <c r="E66" s="158">
        <f t="shared" si="10"/>
        <v>0</v>
      </c>
      <c r="F66" s="158"/>
      <c r="G66" s="158">
        <f t="shared" si="11"/>
        <v>11516.4</v>
      </c>
      <c r="H66" s="158"/>
      <c r="I66" s="158">
        <f>+'Expense Support'!AB65</f>
        <v>0</v>
      </c>
      <c r="J66" s="158">
        <f t="shared" si="12"/>
        <v>0</v>
      </c>
      <c r="K66" s="159">
        <f t="shared" si="13"/>
        <v>0</v>
      </c>
      <c r="L66" s="159">
        <f t="shared" si="14"/>
        <v>0</v>
      </c>
      <c r="M66" s="159">
        <f>+'Expense Support'!AF65</f>
        <v>0</v>
      </c>
      <c r="N66" s="157">
        <f t="shared" si="15"/>
        <v>0</v>
      </c>
    </row>
    <row r="67" spans="1:14">
      <c r="A67" s="132">
        <f t="shared" si="16"/>
        <v>59</v>
      </c>
      <c r="B67" s="65" t="s">
        <v>120</v>
      </c>
      <c r="C67" s="144">
        <f>+'Expense Support'!D66</f>
        <v>-14392</v>
      </c>
      <c r="D67" s="156">
        <f>+'Expense Support'!W66</f>
        <v>14392</v>
      </c>
      <c r="E67" s="158">
        <f t="shared" si="10"/>
        <v>0</v>
      </c>
      <c r="F67" s="158"/>
      <c r="G67" s="158">
        <f t="shared" si="11"/>
        <v>14392</v>
      </c>
      <c r="H67" s="158"/>
      <c r="I67" s="158">
        <f>+'Expense Support'!AB66</f>
        <v>0</v>
      </c>
      <c r="J67" s="158">
        <f t="shared" si="12"/>
        <v>0</v>
      </c>
      <c r="K67" s="159">
        <f t="shared" si="13"/>
        <v>0</v>
      </c>
      <c r="L67" s="159">
        <f t="shared" si="14"/>
        <v>0</v>
      </c>
      <c r="M67" s="159">
        <f>+'Expense Support'!AF66</f>
        <v>0</v>
      </c>
      <c r="N67" s="157">
        <f t="shared" si="15"/>
        <v>0</v>
      </c>
    </row>
    <row r="68" spans="1:14">
      <c r="A68" s="132">
        <f t="shared" si="16"/>
        <v>60</v>
      </c>
      <c r="B68" s="65" t="s">
        <v>75</v>
      </c>
      <c r="C68" s="144">
        <f>+'Expense Support'!D67</f>
        <v>-1079</v>
      </c>
      <c r="D68" s="156">
        <f>+'Expense Support'!W67</f>
        <v>84</v>
      </c>
      <c r="E68" s="158">
        <f t="shared" si="10"/>
        <v>-995</v>
      </c>
      <c r="F68" s="158"/>
      <c r="G68" s="158">
        <f t="shared" si="11"/>
        <v>84</v>
      </c>
      <c r="H68" s="158"/>
      <c r="I68" s="158">
        <f>+'Expense Support'!AB67</f>
        <v>995</v>
      </c>
      <c r="J68" s="158">
        <f t="shared" si="12"/>
        <v>995</v>
      </c>
      <c r="K68" s="159">
        <f t="shared" si="13"/>
        <v>0</v>
      </c>
      <c r="L68" s="159">
        <f t="shared" si="14"/>
        <v>995</v>
      </c>
      <c r="M68" s="159">
        <f>+'Expense Support'!AF67</f>
        <v>0</v>
      </c>
      <c r="N68" s="157">
        <f t="shared" si="15"/>
        <v>0</v>
      </c>
    </row>
    <row r="69" spans="1:14">
      <c r="A69" s="132">
        <f t="shared" si="16"/>
        <v>61</v>
      </c>
      <c r="B69" s="65" t="s">
        <v>121</v>
      </c>
      <c r="C69" s="144">
        <f>+'Expense Support'!D68</f>
        <v>-5460</v>
      </c>
      <c r="D69" s="156">
        <f>+'Expense Support'!W68</f>
        <v>425</v>
      </c>
      <c r="E69" s="158">
        <f t="shared" si="10"/>
        <v>-5035</v>
      </c>
      <c r="F69" s="158"/>
      <c r="G69" s="158">
        <f t="shared" si="11"/>
        <v>425</v>
      </c>
      <c r="H69" s="158"/>
      <c r="I69" s="158">
        <f>+'Expense Support'!AB68</f>
        <v>5035</v>
      </c>
      <c r="J69" s="158">
        <f t="shared" si="12"/>
        <v>5035</v>
      </c>
      <c r="K69" s="159">
        <f t="shared" si="13"/>
        <v>0</v>
      </c>
      <c r="L69" s="159">
        <f t="shared" si="14"/>
        <v>5035</v>
      </c>
      <c r="M69" s="159">
        <f>+'Expense Support'!AF68</f>
        <v>0</v>
      </c>
      <c r="N69" s="157">
        <f t="shared" si="15"/>
        <v>0</v>
      </c>
    </row>
    <row r="70" spans="1:14">
      <c r="A70" s="132">
        <f t="shared" si="16"/>
        <v>62</v>
      </c>
      <c r="B70" s="65" t="s">
        <v>88</v>
      </c>
      <c r="C70" s="144">
        <f>+'Expense Support'!D69</f>
        <v>-1797</v>
      </c>
      <c r="D70" s="156">
        <f>+'Expense Support'!W69</f>
        <v>140</v>
      </c>
      <c r="E70" s="158">
        <f t="shared" si="10"/>
        <v>-1657</v>
      </c>
      <c r="F70" s="158"/>
      <c r="G70" s="158">
        <f t="shared" si="11"/>
        <v>140</v>
      </c>
      <c r="H70" s="158"/>
      <c r="I70" s="158">
        <f>+'Expense Support'!AB69</f>
        <v>1657</v>
      </c>
      <c r="J70" s="158">
        <f t="shared" si="12"/>
        <v>1657</v>
      </c>
      <c r="K70" s="159">
        <f t="shared" si="13"/>
        <v>0</v>
      </c>
      <c r="L70" s="159">
        <f t="shared" si="14"/>
        <v>1657</v>
      </c>
      <c r="M70" s="159">
        <f>+'Expense Support'!AF69</f>
        <v>0</v>
      </c>
      <c r="N70" s="157">
        <f t="shared" si="15"/>
        <v>0</v>
      </c>
    </row>
    <row r="71" spans="1:14">
      <c r="A71" s="132">
        <f t="shared" si="16"/>
        <v>63</v>
      </c>
      <c r="B71" s="65" t="s">
        <v>85</v>
      </c>
      <c r="C71" s="144">
        <f>+'Expense Support'!D70</f>
        <v>-3081</v>
      </c>
      <c r="D71" s="156">
        <f>+'Expense Support'!W70</f>
        <v>240</v>
      </c>
      <c r="E71" s="158">
        <f t="shared" si="10"/>
        <v>-2841</v>
      </c>
      <c r="F71" s="158"/>
      <c r="G71" s="158">
        <f t="shared" si="11"/>
        <v>240</v>
      </c>
      <c r="H71" s="158"/>
      <c r="I71" s="158">
        <f>+'Expense Support'!AB70</f>
        <v>2841</v>
      </c>
      <c r="J71" s="158">
        <f t="shared" si="12"/>
        <v>2841</v>
      </c>
      <c r="K71" s="159">
        <f t="shared" si="13"/>
        <v>0</v>
      </c>
      <c r="L71" s="159">
        <f t="shared" si="14"/>
        <v>2841</v>
      </c>
      <c r="M71" s="159">
        <f>+'Expense Support'!AF70</f>
        <v>0</v>
      </c>
      <c r="N71" s="157">
        <f t="shared" si="15"/>
        <v>0</v>
      </c>
    </row>
    <row r="72" spans="1:14">
      <c r="A72" s="132">
        <f t="shared" si="16"/>
        <v>64</v>
      </c>
      <c r="B72" s="65" t="s">
        <v>124</v>
      </c>
      <c r="C72" s="144">
        <f>+'Expense Support'!D71</f>
        <v>-14024</v>
      </c>
      <c r="D72" s="156">
        <f>+'Expense Support'!W71</f>
        <v>1090</v>
      </c>
      <c r="E72" s="158">
        <f t="shared" si="10"/>
        <v>-12934</v>
      </c>
      <c r="F72" s="158"/>
      <c r="G72" s="158">
        <f t="shared" si="11"/>
        <v>1090</v>
      </c>
      <c r="H72" s="158"/>
      <c r="I72" s="158">
        <f>+'Expense Support'!AB71</f>
        <v>12934</v>
      </c>
      <c r="J72" s="158">
        <f t="shared" si="12"/>
        <v>12934</v>
      </c>
      <c r="K72" s="159">
        <f t="shared" si="13"/>
        <v>0</v>
      </c>
      <c r="L72" s="159">
        <f t="shared" si="14"/>
        <v>12934</v>
      </c>
      <c r="M72" s="159">
        <f>+'Expense Support'!AF71</f>
        <v>0</v>
      </c>
      <c r="N72" s="157">
        <f t="shared" si="15"/>
        <v>0</v>
      </c>
    </row>
    <row r="73" spans="1:14">
      <c r="A73" s="132">
        <f t="shared" si="16"/>
        <v>65</v>
      </c>
      <c r="B73" s="65" t="s">
        <v>92</v>
      </c>
      <c r="C73" s="144">
        <f>+'Expense Support'!D72</f>
        <v>-76020</v>
      </c>
      <c r="D73" s="156">
        <f>+'Expense Support'!W72</f>
        <v>5911</v>
      </c>
      <c r="E73" s="158">
        <f t="shared" si="10"/>
        <v>-70109</v>
      </c>
      <c r="F73" s="158"/>
      <c r="G73" s="158">
        <f t="shared" si="11"/>
        <v>5911</v>
      </c>
      <c r="H73" s="158"/>
      <c r="I73" s="158">
        <f>+'Expense Support'!AB72</f>
        <v>70109</v>
      </c>
      <c r="J73" s="158">
        <f t="shared" si="12"/>
        <v>70109</v>
      </c>
      <c r="K73" s="159">
        <f t="shared" si="13"/>
        <v>0</v>
      </c>
      <c r="L73" s="159">
        <f t="shared" si="14"/>
        <v>70109</v>
      </c>
      <c r="M73" s="159">
        <f>+'Expense Support'!AF72</f>
        <v>0</v>
      </c>
      <c r="N73" s="157">
        <f t="shared" si="15"/>
        <v>0</v>
      </c>
    </row>
    <row r="74" spans="1:14">
      <c r="A74" s="132">
        <f t="shared" si="16"/>
        <v>66</v>
      </c>
      <c r="B74" s="65" t="s">
        <v>126</v>
      </c>
      <c r="C74" s="144">
        <f>+'Expense Support'!D73</f>
        <v>-50198</v>
      </c>
      <c r="D74" s="156">
        <f>+'Expense Support'!W73</f>
        <v>3903</v>
      </c>
      <c r="E74" s="158">
        <f t="shared" si="10"/>
        <v>-46295</v>
      </c>
      <c r="F74" s="158"/>
      <c r="G74" s="158">
        <f t="shared" si="11"/>
        <v>3903</v>
      </c>
      <c r="H74" s="158"/>
      <c r="I74" s="158">
        <f>+'Expense Support'!AB73</f>
        <v>46295</v>
      </c>
      <c r="J74" s="158">
        <f t="shared" si="12"/>
        <v>46295</v>
      </c>
      <c r="K74" s="159">
        <f t="shared" si="13"/>
        <v>0</v>
      </c>
      <c r="L74" s="159">
        <f t="shared" si="14"/>
        <v>46295</v>
      </c>
      <c r="M74" s="159">
        <f>+'Expense Support'!AF73</f>
        <v>0</v>
      </c>
      <c r="N74" s="157">
        <f t="shared" si="15"/>
        <v>0</v>
      </c>
    </row>
    <row r="75" spans="1:14">
      <c r="A75" s="132">
        <f t="shared" si="16"/>
        <v>67</v>
      </c>
      <c r="B75" s="65" t="s">
        <v>79</v>
      </c>
      <c r="C75" s="144">
        <f>+'Expense Support'!D74</f>
        <v>-360218</v>
      </c>
      <c r="D75" s="156">
        <f>+'Expense Support'!W74</f>
        <v>28010</v>
      </c>
      <c r="E75" s="158">
        <f t="shared" si="10"/>
        <v>-332208</v>
      </c>
      <c r="F75" s="158"/>
      <c r="G75" s="158">
        <f t="shared" si="11"/>
        <v>28010</v>
      </c>
      <c r="H75" s="158"/>
      <c r="I75" s="158">
        <f>+'Expense Support'!AB74</f>
        <v>332208</v>
      </c>
      <c r="J75" s="158">
        <f t="shared" si="12"/>
        <v>332208</v>
      </c>
      <c r="K75" s="159">
        <f t="shared" si="13"/>
        <v>0</v>
      </c>
      <c r="L75" s="159">
        <f t="shared" si="14"/>
        <v>332208</v>
      </c>
      <c r="M75" s="159">
        <f>+'Expense Support'!AF74</f>
        <v>0</v>
      </c>
      <c r="N75" s="157">
        <f t="shared" si="15"/>
        <v>0</v>
      </c>
    </row>
    <row r="76" spans="1:14">
      <c r="A76" s="132">
        <f t="shared" si="16"/>
        <v>68</v>
      </c>
      <c r="B76" s="65" t="s">
        <v>125</v>
      </c>
      <c r="C76" s="144">
        <f>+'Expense Support'!D75</f>
        <v>-42239</v>
      </c>
      <c r="D76" s="156">
        <f>+'Expense Support'!W75</f>
        <v>3284</v>
      </c>
      <c r="E76" s="158">
        <f t="shared" si="10"/>
        <v>-38955</v>
      </c>
      <c r="F76" s="158"/>
      <c r="G76" s="158">
        <f t="shared" si="11"/>
        <v>3284</v>
      </c>
      <c r="H76" s="158"/>
      <c r="I76" s="158">
        <f>+'Expense Support'!AB75</f>
        <v>38955</v>
      </c>
      <c r="J76" s="158">
        <f t="shared" si="12"/>
        <v>38955</v>
      </c>
      <c r="K76" s="159">
        <f t="shared" si="13"/>
        <v>0</v>
      </c>
      <c r="L76" s="159">
        <f t="shared" si="14"/>
        <v>38955</v>
      </c>
      <c r="M76" s="159">
        <f>+'Expense Support'!AF75</f>
        <v>0</v>
      </c>
      <c r="N76" s="157">
        <f t="shared" si="15"/>
        <v>0</v>
      </c>
    </row>
    <row r="77" spans="1:14">
      <c r="A77" s="132">
        <f t="shared" si="16"/>
        <v>69</v>
      </c>
      <c r="B77" s="58" t="s">
        <v>101</v>
      </c>
      <c r="C77" s="144">
        <f>+'Expense Support'!D76</f>
        <v>-578588</v>
      </c>
      <c r="D77" s="156">
        <f>+'Expense Support'!W76</f>
        <v>-354196</v>
      </c>
      <c r="E77" s="158">
        <f t="shared" si="10"/>
        <v>-932784</v>
      </c>
      <c r="F77" s="158">
        <f>+'Expense Support'!Y76</f>
        <v>432843</v>
      </c>
      <c r="G77" s="158">
        <f t="shared" si="11"/>
        <v>78647</v>
      </c>
      <c r="H77" s="158">
        <f>+'Expense Support'!Z76</f>
        <v>-33657</v>
      </c>
      <c r="I77" s="158">
        <f>+'Expense Support'!AB76</f>
        <v>0</v>
      </c>
      <c r="J77" s="158">
        <f t="shared" si="12"/>
        <v>-33657</v>
      </c>
      <c r="K77" s="159">
        <f t="shared" si="13"/>
        <v>-533598</v>
      </c>
      <c r="L77" s="159">
        <f t="shared" si="14"/>
        <v>399186</v>
      </c>
      <c r="M77" s="159">
        <f>+'Expense Support'!AF76</f>
        <v>-533598.05604542699</v>
      </c>
      <c r="N77" s="157">
        <f t="shared" si="15"/>
        <v>5.6045426987111568E-2</v>
      </c>
    </row>
    <row r="78" spans="1:14" ht="16.5" customHeight="1">
      <c r="A78" s="132">
        <f t="shared" si="16"/>
        <v>70</v>
      </c>
      <c r="B78" s="58" t="s">
        <v>103</v>
      </c>
      <c r="C78" s="144">
        <f>+'Expense Support'!D77</f>
        <v>-69888</v>
      </c>
      <c r="D78" s="156">
        <f>+'Expense Support'!W77</f>
        <v>5434</v>
      </c>
      <c r="E78" s="158">
        <f t="shared" si="10"/>
        <v>-64454</v>
      </c>
      <c r="F78" s="158"/>
      <c r="G78" s="158">
        <f t="shared" si="11"/>
        <v>5434</v>
      </c>
      <c r="H78" s="158"/>
      <c r="I78" s="158">
        <f>+'Expense Support'!AB77</f>
        <v>0</v>
      </c>
      <c r="J78" s="158">
        <f t="shared" si="12"/>
        <v>0</v>
      </c>
      <c r="K78" s="159">
        <f t="shared" si="13"/>
        <v>-64454</v>
      </c>
      <c r="L78" s="159">
        <f t="shared" si="14"/>
        <v>0</v>
      </c>
      <c r="M78" s="159">
        <f>+'Expense Support'!AF77</f>
        <v>-64453.64</v>
      </c>
      <c r="N78" s="157">
        <f t="shared" si="15"/>
        <v>-0.36000000000058208</v>
      </c>
    </row>
    <row r="79" spans="1:14">
      <c r="A79" s="132">
        <f t="shared" si="16"/>
        <v>71</v>
      </c>
      <c r="B79" s="58" t="s">
        <v>24</v>
      </c>
      <c r="C79" s="144">
        <f>+'Expense Support'!D78</f>
        <v>-16085130</v>
      </c>
      <c r="D79" s="156">
        <f>+'Expense Support'!W78</f>
        <v>1250750</v>
      </c>
      <c r="E79" s="158">
        <f t="shared" si="10"/>
        <v>-14834380</v>
      </c>
      <c r="F79" s="158"/>
      <c r="G79" s="158">
        <f t="shared" si="11"/>
        <v>1250750</v>
      </c>
      <c r="H79" s="158"/>
      <c r="I79" s="158">
        <f>+'Expense Support'!AB78</f>
        <v>0</v>
      </c>
      <c r="J79" s="158">
        <f t="shared" si="12"/>
        <v>0</v>
      </c>
      <c r="K79" s="159">
        <f t="shared" si="13"/>
        <v>-14834380</v>
      </c>
      <c r="L79" s="159">
        <f t="shared" si="14"/>
        <v>0</v>
      </c>
      <c r="M79" s="159">
        <f>+'Expense Support'!AF78</f>
        <v>-14834379.859999999</v>
      </c>
      <c r="N79" s="157">
        <f t="shared" si="15"/>
        <v>-0.14000000059604645</v>
      </c>
    </row>
    <row r="80" spans="1:14">
      <c r="A80" s="132">
        <f t="shared" si="16"/>
        <v>72</v>
      </c>
      <c r="B80" s="58" t="s">
        <v>104</v>
      </c>
      <c r="C80" s="144">
        <f>+'Expense Support'!D79</f>
        <v>-1240063.7</v>
      </c>
      <c r="D80" s="156">
        <f>+'Expense Support'!W79</f>
        <v>96425</v>
      </c>
      <c r="E80" s="158">
        <f t="shared" si="10"/>
        <v>-1143638.7</v>
      </c>
      <c r="F80" s="158"/>
      <c r="G80" s="158">
        <f t="shared" si="11"/>
        <v>96425</v>
      </c>
      <c r="H80" s="158"/>
      <c r="I80" s="158">
        <f>+'Expense Support'!AB79</f>
        <v>0</v>
      </c>
      <c r="J80" s="158">
        <f t="shared" si="12"/>
        <v>0</v>
      </c>
      <c r="K80" s="159">
        <f t="shared" si="13"/>
        <v>-1143638.7</v>
      </c>
      <c r="L80" s="159">
        <f t="shared" si="14"/>
        <v>0</v>
      </c>
      <c r="M80" s="159">
        <f>+'Expense Support'!AF79</f>
        <v>-1143639.3999999999</v>
      </c>
      <c r="N80" s="157">
        <f>+K80-M80</f>
        <v>0.69999999995343387</v>
      </c>
    </row>
    <row r="81" spans="1:14">
      <c r="A81" s="132">
        <f t="shared" si="16"/>
        <v>73</v>
      </c>
      <c r="B81" s="58" t="s">
        <v>27</v>
      </c>
      <c r="C81" s="144">
        <f>+'Expense Support'!D80</f>
        <v>-313358</v>
      </c>
      <c r="D81" s="156">
        <f>+'Expense Support'!W80</f>
        <v>24366</v>
      </c>
      <c r="E81" s="158">
        <f t="shared" si="10"/>
        <v>-288992</v>
      </c>
      <c r="F81" s="158"/>
      <c r="G81" s="158">
        <f t="shared" si="11"/>
        <v>24366</v>
      </c>
      <c r="H81" s="158"/>
      <c r="I81" s="158">
        <f>+'Expense Support'!AB80</f>
        <v>0</v>
      </c>
      <c r="J81" s="158">
        <f t="shared" si="12"/>
        <v>0</v>
      </c>
      <c r="K81" s="159">
        <f t="shared" si="13"/>
        <v>-288992</v>
      </c>
      <c r="L81" s="159">
        <f t="shared" si="14"/>
        <v>0</v>
      </c>
      <c r="M81" s="159">
        <f>+'Expense Support'!AF80</f>
        <v>-288992</v>
      </c>
      <c r="N81" s="157">
        <f t="shared" si="15"/>
        <v>0</v>
      </c>
    </row>
    <row r="82" spans="1:14">
      <c r="A82" s="132">
        <f t="shared" si="16"/>
        <v>74</v>
      </c>
      <c r="B82" s="58" t="s">
        <v>105</v>
      </c>
      <c r="C82" s="144">
        <f>+'Expense Support'!D81</f>
        <v>-1351601</v>
      </c>
      <c r="D82" s="156">
        <f>+'Expense Support'!W81</f>
        <v>105098</v>
      </c>
      <c r="E82" s="158">
        <f t="shared" si="10"/>
        <v>-1246503</v>
      </c>
      <c r="F82" s="158"/>
      <c r="G82" s="158">
        <f t="shared" si="11"/>
        <v>105098</v>
      </c>
      <c r="H82" s="158"/>
      <c r="I82" s="158">
        <f>+'Expense Support'!AB81</f>
        <v>0</v>
      </c>
      <c r="J82" s="158">
        <f t="shared" si="12"/>
        <v>0</v>
      </c>
      <c r="K82" s="159">
        <f t="shared" si="13"/>
        <v>-1246503</v>
      </c>
      <c r="L82" s="159">
        <f t="shared" si="14"/>
        <v>0</v>
      </c>
      <c r="M82" s="159">
        <f>+'Expense Support'!AF81</f>
        <v>-1246503.3999999999</v>
      </c>
      <c r="N82" s="157">
        <f t="shared" si="15"/>
        <v>0.39999999990686774</v>
      </c>
    </row>
    <row r="83" spans="1:14">
      <c r="A83" s="132">
        <f t="shared" si="16"/>
        <v>75</v>
      </c>
      <c r="B83" s="58" t="s">
        <v>106</v>
      </c>
      <c r="C83" s="144">
        <f>+'Expense Support'!D82</f>
        <v>-129553</v>
      </c>
      <c r="D83" s="156">
        <f>+'Expense Support'!W82</f>
        <v>52255</v>
      </c>
      <c r="E83" s="158">
        <f t="shared" si="10"/>
        <v>-77298</v>
      </c>
      <c r="F83" s="158">
        <f>+'Expense Support'!Y82</f>
        <v>-45738</v>
      </c>
      <c r="G83" s="158">
        <f t="shared" si="11"/>
        <v>6517</v>
      </c>
      <c r="H83" s="158">
        <f>+'Expense Support'!Z82</f>
        <v>3557</v>
      </c>
      <c r="I83" s="158">
        <f>+'Expense Support'!AB82</f>
        <v>0</v>
      </c>
      <c r="J83" s="158">
        <f t="shared" si="12"/>
        <v>3557</v>
      </c>
      <c r="K83" s="159">
        <f t="shared" si="13"/>
        <v>-119479</v>
      </c>
      <c r="L83" s="159">
        <f t="shared" si="14"/>
        <v>-42181</v>
      </c>
      <c r="M83" s="159">
        <f>+'Expense Support'!AF82</f>
        <v>-119480.4</v>
      </c>
      <c r="N83" s="157">
        <f>+K83-M83</f>
        <v>1.3999999999941792</v>
      </c>
    </row>
    <row r="84" spans="1:14">
      <c r="A84" s="132">
        <f t="shared" si="16"/>
        <v>76</v>
      </c>
      <c r="B84" s="58" t="s">
        <v>107</v>
      </c>
      <c r="C84" s="144">
        <f>+'Expense Support'!D83</f>
        <v>-2197929</v>
      </c>
      <c r="D84" s="156">
        <f>+'Expense Support'!W83</f>
        <v>170908</v>
      </c>
      <c r="E84" s="158">
        <f t="shared" si="10"/>
        <v>-2027021</v>
      </c>
      <c r="F84" s="158"/>
      <c r="G84" s="158">
        <f t="shared" si="11"/>
        <v>170908</v>
      </c>
      <c r="H84" s="158"/>
      <c r="I84" s="158">
        <f>+'Expense Support'!AB83</f>
        <v>0</v>
      </c>
      <c r="J84" s="158">
        <f t="shared" si="12"/>
        <v>0</v>
      </c>
      <c r="K84" s="159">
        <f t="shared" si="13"/>
        <v>-2027021</v>
      </c>
      <c r="L84" s="159">
        <f t="shared" si="14"/>
        <v>0</v>
      </c>
      <c r="M84" s="159">
        <f>+'Expense Support'!AF83</f>
        <v>-2027022.4</v>
      </c>
      <c r="N84" s="157">
        <f>+K84-M84</f>
        <v>1.3999999999068677</v>
      </c>
    </row>
    <row r="85" spans="1:14">
      <c r="A85" s="132">
        <f t="shared" si="16"/>
        <v>77</v>
      </c>
      <c r="B85" s="58" t="s">
        <v>108</v>
      </c>
      <c r="C85" s="144">
        <f>+'Expense Support'!D84</f>
        <v>-5888</v>
      </c>
      <c r="D85" s="156">
        <f>+'Expense Support'!W84</f>
        <v>458</v>
      </c>
      <c r="E85" s="158">
        <f t="shared" si="10"/>
        <v>-5430</v>
      </c>
      <c r="F85" s="158"/>
      <c r="G85" s="158">
        <f t="shared" si="11"/>
        <v>458</v>
      </c>
      <c r="H85" s="158"/>
      <c r="I85" s="158">
        <f>+'Expense Support'!AB84</f>
        <v>0</v>
      </c>
      <c r="J85" s="158">
        <f t="shared" si="12"/>
        <v>0</v>
      </c>
      <c r="K85" s="159">
        <f t="shared" si="13"/>
        <v>-5430</v>
      </c>
      <c r="L85" s="159">
        <f t="shared" si="14"/>
        <v>0</v>
      </c>
      <c r="M85" s="159">
        <f>+'Expense Support'!AF84</f>
        <v>-5430.4</v>
      </c>
      <c r="N85" s="157">
        <v>0</v>
      </c>
    </row>
    <row r="86" spans="1:14">
      <c r="A86" s="132">
        <f t="shared" si="16"/>
        <v>78</v>
      </c>
      <c r="B86" s="58" t="s">
        <v>109</v>
      </c>
      <c r="C86" s="144">
        <f>+'Expense Support'!D85</f>
        <v>-310604</v>
      </c>
      <c r="D86" s="156">
        <f>+'Expense Support'!W85</f>
        <v>24152</v>
      </c>
      <c r="E86" s="158">
        <f t="shared" si="10"/>
        <v>-286452</v>
      </c>
      <c r="F86" s="158"/>
      <c r="G86" s="158">
        <f t="shared" si="11"/>
        <v>24152</v>
      </c>
      <c r="H86" s="158"/>
      <c r="I86" s="158">
        <f>+'Expense Support'!AB85</f>
        <v>0</v>
      </c>
      <c r="J86" s="158">
        <f t="shared" si="12"/>
        <v>0</v>
      </c>
      <c r="K86" s="159">
        <f t="shared" si="13"/>
        <v>-286452</v>
      </c>
      <c r="L86" s="159">
        <f t="shared" si="14"/>
        <v>0</v>
      </c>
      <c r="M86" s="159">
        <f>+'Expense Support'!AF85</f>
        <v>-286452.40000000002</v>
      </c>
      <c r="N86" s="157">
        <f>+K86-M86</f>
        <v>0.40000000002328306</v>
      </c>
    </row>
    <row r="87" spans="1:14">
      <c r="A87" s="132">
        <f t="shared" si="16"/>
        <v>79</v>
      </c>
      <c r="B87" s="58" t="s">
        <v>41</v>
      </c>
      <c r="C87" s="144">
        <f>+'Expense Support'!D86</f>
        <v>-158.5</v>
      </c>
      <c r="D87" s="156">
        <f>+'Expense Support'!W86</f>
        <v>12</v>
      </c>
      <c r="E87" s="158">
        <f t="shared" si="10"/>
        <v>-146.5</v>
      </c>
      <c r="F87" s="158"/>
      <c r="G87" s="158">
        <f t="shared" si="11"/>
        <v>12</v>
      </c>
      <c r="H87" s="158"/>
      <c r="I87" s="158">
        <f>+'Expense Support'!AB86</f>
        <v>0</v>
      </c>
      <c r="J87" s="158">
        <f t="shared" si="12"/>
        <v>0</v>
      </c>
      <c r="K87" s="159">
        <f t="shared" si="13"/>
        <v>-146.5</v>
      </c>
      <c r="L87" s="159">
        <f t="shared" si="14"/>
        <v>0</v>
      </c>
      <c r="M87" s="159">
        <f>+'Expense Support'!AF86</f>
        <v>-146.26535181396201</v>
      </c>
      <c r="N87" s="157">
        <f t="shared" ref="N87:N105" si="17">+K87-M87</f>
        <v>-0.23464818603798676</v>
      </c>
    </row>
    <row r="88" spans="1:14">
      <c r="A88" s="132">
        <f t="shared" si="16"/>
        <v>80</v>
      </c>
      <c r="B88" s="58" t="s">
        <v>110</v>
      </c>
      <c r="C88" s="144">
        <f>+'Expense Support'!D87</f>
        <v>-29180</v>
      </c>
      <c r="D88" s="156">
        <f>+'Expense Support'!W87</f>
        <v>2269</v>
      </c>
      <c r="E88" s="158">
        <f t="shared" si="10"/>
        <v>-26911</v>
      </c>
      <c r="F88" s="158"/>
      <c r="G88" s="158">
        <f t="shared" si="11"/>
        <v>2269</v>
      </c>
      <c r="H88" s="158"/>
      <c r="I88" s="158">
        <f>+'Expense Support'!AB87</f>
        <v>0</v>
      </c>
      <c r="J88" s="158">
        <f t="shared" si="12"/>
        <v>0</v>
      </c>
      <c r="K88" s="159">
        <f t="shared" si="13"/>
        <v>-26911</v>
      </c>
      <c r="L88" s="159">
        <f t="shared" si="14"/>
        <v>0</v>
      </c>
      <c r="M88" s="159">
        <f>+'Expense Support'!AF87</f>
        <v>-26911.4</v>
      </c>
      <c r="N88" s="157">
        <f t="shared" si="17"/>
        <v>0.40000000000145519</v>
      </c>
    </row>
    <row r="89" spans="1:14">
      <c r="A89" s="132">
        <f t="shared" si="16"/>
        <v>81</v>
      </c>
      <c r="B89" s="65" t="s">
        <v>112</v>
      </c>
      <c r="C89" s="144">
        <f>+'Expense Support'!D88</f>
        <v>-1028154</v>
      </c>
      <c r="D89" s="156">
        <f>+'Expense Support'!W88</f>
        <v>79947</v>
      </c>
      <c r="E89" s="158">
        <f t="shared" si="10"/>
        <v>-948207</v>
      </c>
      <c r="F89" s="158"/>
      <c r="G89" s="158">
        <f t="shared" si="11"/>
        <v>79947</v>
      </c>
      <c r="H89" s="158"/>
      <c r="I89" s="158">
        <f>+'Expense Support'!AB88</f>
        <v>948207</v>
      </c>
      <c r="J89" s="158">
        <f t="shared" si="12"/>
        <v>948207</v>
      </c>
      <c r="K89" s="159">
        <f t="shared" si="13"/>
        <v>0</v>
      </c>
      <c r="L89" s="159">
        <f t="shared" si="14"/>
        <v>948207</v>
      </c>
      <c r="M89" s="159">
        <f>+'Expense Support'!AF88</f>
        <v>0</v>
      </c>
      <c r="N89" s="157">
        <f t="shared" si="17"/>
        <v>0</v>
      </c>
    </row>
    <row r="90" spans="1:14">
      <c r="A90" s="132">
        <f t="shared" si="16"/>
        <v>82</v>
      </c>
      <c r="B90" s="65" t="s">
        <v>60</v>
      </c>
      <c r="C90" s="144">
        <f>+'Expense Support'!D89</f>
        <v>-396845</v>
      </c>
      <c r="D90" s="156">
        <f>+'Expense Support'!W89</f>
        <v>30858</v>
      </c>
      <c r="E90" s="158">
        <f t="shared" si="10"/>
        <v>-365987</v>
      </c>
      <c r="F90" s="158"/>
      <c r="G90" s="158">
        <f t="shared" si="11"/>
        <v>30858</v>
      </c>
      <c r="H90" s="158"/>
      <c r="I90" s="158">
        <f>+'Expense Support'!AB89</f>
        <v>365987</v>
      </c>
      <c r="J90" s="158">
        <f t="shared" si="12"/>
        <v>365987</v>
      </c>
      <c r="K90" s="159">
        <f t="shared" si="13"/>
        <v>0</v>
      </c>
      <c r="L90" s="159">
        <f t="shared" si="14"/>
        <v>365987</v>
      </c>
      <c r="M90" s="159">
        <f>+'Expense Support'!AF89</f>
        <v>0</v>
      </c>
      <c r="N90" s="157">
        <f t="shared" si="17"/>
        <v>0</v>
      </c>
    </row>
    <row r="91" spans="1:14">
      <c r="A91" s="132">
        <f t="shared" si="16"/>
        <v>83</v>
      </c>
      <c r="B91" s="65" t="s">
        <v>113</v>
      </c>
      <c r="C91" s="144">
        <f>+'Expense Support'!D90</f>
        <v>-15595</v>
      </c>
      <c r="D91" s="156">
        <f>+'Expense Support'!W90</f>
        <v>15595</v>
      </c>
      <c r="E91" s="158">
        <f t="shared" si="10"/>
        <v>0</v>
      </c>
      <c r="F91" s="158"/>
      <c r="G91" s="158">
        <f t="shared" si="11"/>
        <v>15595</v>
      </c>
      <c r="H91" s="158"/>
      <c r="I91" s="158">
        <f>+'Expense Support'!AB90</f>
        <v>0</v>
      </c>
      <c r="J91" s="158">
        <f t="shared" si="12"/>
        <v>0</v>
      </c>
      <c r="K91" s="159">
        <f t="shared" si="13"/>
        <v>0</v>
      </c>
      <c r="L91" s="159">
        <f t="shared" si="14"/>
        <v>0</v>
      </c>
      <c r="M91" s="159">
        <f>+'Expense Support'!AF90</f>
        <v>0</v>
      </c>
      <c r="N91" s="157">
        <f t="shared" si="17"/>
        <v>0</v>
      </c>
    </row>
    <row r="92" spans="1:14">
      <c r="A92" s="132">
        <f t="shared" si="16"/>
        <v>84</v>
      </c>
      <c r="B92" s="65" t="s">
        <v>114</v>
      </c>
      <c r="C92" s="144">
        <f>+'Expense Support'!D91</f>
        <v>-224611</v>
      </c>
      <c r="D92" s="156">
        <f>+'Expense Support'!W91</f>
        <v>224611</v>
      </c>
      <c r="E92" s="158">
        <f t="shared" si="10"/>
        <v>0</v>
      </c>
      <c r="F92" s="158"/>
      <c r="G92" s="158">
        <f t="shared" si="11"/>
        <v>224611</v>
      </c>
      <c r="H92" s="158"/>
      <c r="I92" s="158">
        <f>+'Expense Support'!AB91</f>
        <v>0</v>
      </c>
      <c r="J92" s="158">
        <f t="shared" si="12"/>
        <v>0</v>
      </c>
      <c r="K92" s="159">
        <f t="shared" si="13"/>
        <v>0</v>
      </c>
      <c r="L92" s="159">
        <f t="shared" si="14"/>
        <v>0</v>
      </c>
      <c r="M92" s="159">
        <f>+'Expense Support'!AF91</f>
        <v>0</v>
      </c>
      <c r="N92" s="157">
        <f t="shared" si="17"/>
        <v>0</v>
      </c>
    </row>
    <row r="93" spans="1:14">
      <c r="A93" s="132">
        <f t="shared" si="16"/>
        <v>85</v>
      </c>
      <c r="B93" s="65" t="s">
        <v>115</v>
      </c>
      <c r="C93" s="144">
        <f>+'Expense Support'!D92</f>
        <v>-19806</v>
      </c>
      <c r="D93" s="156">
        <f>+'Expense Support'!W92</f>
        <v>19806</v>
      </c>
      <c r="E93" s="158">
        <f t="shared" si="10"/>
        <v>0</v>
      </c>
      <c r="F93" s="158"/>
      <c r="G93" s="158">
        <f t="shared" si="11"/>
        <v>19806</v>
      </c>
      <c r="H93" s="158"/>
      <c r="I93" s="158">
        <f>+'Expense Support'!AB92</f>
        <v>0</v>
      </c>
      <c r="J93" s="158">
        <f t="shared" si="12"/>
        <v>0</v>
      </c>
      <c r="K93" s="159">
        <f t="shared" si="13"/>
        <v>0</v>
      </c>
      <c r="L93" s="159">
        <f t="shared" si="14"/>
        <v>0</v>
      </c>
      <c r="M93" s="159">
        <f>+'Expense Support'!AF92</f>
        <v>0</v>
      </c>
      <c r="N93" s="157">
        <f t="shared" si="17"/>
        <v>0</v>
      </c>
    </row>
    <row r="94" spans="1:14">
      <c r="A94" s="132">
        <f t="shared" si="16"/>
        <v>86</v>
      </c>
      <c r="B94" s="65" t="s">
        <v>116</v>
      </c>
      <c r="C94" s="144">
        <f>+'Expense Support'!D93</f>
        <v>-17815</v>
      </c>
      <c r="D94" s="156">
        <f>+'Expense Support'!W93</f>
        <v>1385</v>
      </c>
      <c r="E94" s="158">
        <f t="shared" si="10"/>
        <v>-16430</v>
      </c>
      <c r="F94" s="158"/>
      <c r="G94" s="158">
        <f t="shared" si="11"/>
        <v>1385</v>
      </c>
      <c r="H94" s="158"/>
      <c r="I94" s="158">
        <f>+'Expense Support'!AB93</f>
        <v>0</v>
      </c>
      <c r="J94" s="158">
        <f t="shared" si="12"/>
        <v>0</v>
      </c>
      <c r="K94" s="159">
        <f t="shared" si="13"/>
        <v>-16430</v>
      </c>
      <c r="L94" s="159">
        <f t="shared" si="14"/>
        <v>0</v>
      </c>
      <c r="M94" s="159">
        <f>+'Expense Support'!AF93</f>
        <v>0</v>
      </c>
      <c r="N94" s="157">
        <f t="shared" si="17"/>
        <v>-16430</v>
      </c>
    </row>
    <row r="95" spans="1:14">
      <c r="A95" s="132">
        <f t="shared" si="16"/>
        <v>87</v>
      </c>
      <c r="B95" s="65" t="s">
        <v>117</v>
      </c>
      <c r="C95" s="144">
        <f>+'Expense Support'!D94</f>
        <v>-341171</v>
      </c>
      <c r="D95" s="156">
        <f>+'Expense Support'!W94</f>
        <v>341171</v>
      </c>
      <c r="E95" s="158">
        <f t="shared" si="10"/>
        <v>0</v>
      </c>
      <c r="F95" s="158"/>
      <c r="G95" s="158">
        <f t="shared" si="11"/>
        <v>341171</v>
      </c>
      <c r="H95" s="158"/>
      <c r="I95" s="158">
        <f>+'Expense Support'!AB94</f>
        <v>0</v>
      </c>
      <c r="J95" s="158">
        <f t="shared" si="12"/>
        <v>0</v>
      </c>
      <c r="K95" s="159">
        <f t="shared" si="13"/>
        <v>0</v>
      </c>
      <c r="L95" s="159">
        <f t="shared" si="14"/>
        <v>0</v>
      </c>
      <c r="M95" s="159">
        <f>+'Expense Support'!AF94</f>
        <v>0</v>
      </c>
      <c r="N95" s="157">
        <f t="shared" si="17"/>
        <v>0</v>
      </c>
    </row>
    <row r="96" spans="1:14">
      <c r="A96" s="132">
        <f t="shared" si="16"/>
        <v>88</v>
      </c>
      <c r="B96" s="65" t="s">
        <v>65</v>
      </c>
      <c r="C96" s="144">
        <f>+'Expense Support'!D95</f>
        <v>-627345</v>
      </c>
      <c r="D96" s="156">
        <f>+'Expense Support'!W95</f>
        <v>627345</v>
      </c>
      <c r="E96" s="158">
        <f t="shared" si="10"/>
        <v>0</v>
      </c>
      <c r="F96" s="158"/>
      <c r="G96" s="158">
        <f t="shared" si="11"/>
        <v>627345</v>
      </c>
      <c r="H96" s="158"/>
      <c r="I96" s="158">
        <f>+'Expense Support'!AB95</f>
        <v>0</v>
      </c>
      <c r="J96" s="158">
        <f t="shared" si="12"/>
        <v>0</v>
      </c>
      <c r="K96" s="159">
        <f t="shared" si="13"/>
        <v>0</v>
      </c>
      <c r="L96" s="159">
        <f t="shared" si="14"/>
        <v>0</v>
      </c>
      <c r="M96" s="159">
        <f>+'Expense Support'!AF95</f>
        <v>0</v>
      </c>
      <c r="N96" s="157">
        <f t="shared" si="17"/>
        <v>0</v>
      </c>
    </row>
    <row r="97" spans="1:14">
      <c r="A97" s="132">
        <f t="shared" si="16"/>
        <v>89</v>
      </c>
      <c r="B97" s="65" t="s">
        <v>122</v>
      </c>
      <c r="C97" s="144">
        <f>+'Expense Support'!D96</f>
        <v>-294743</v>
      </c>
      <c r="D97" s="156">
        <f>+'Expense Support'!W96</f>
        <v>294743</v>
      </c>
      <c r="E97" s="158">
        <f t="shared" si="10"/>
        <v>0</v>
      </c>
      <c r="F97" s="158"/>
      <c r="G97" s="158">
        <f t="shared" si="11"/>
        <v>294743</v>
      </c>
      <c r="H97" s="158"/>
      <c r="I97" s="158">
        <f>+'Expense Support'!AB96</f>
        <v>0</v>
      </c>
      <c r="J97" s="158">
        <f t="shared" si="12"/>
        <v>0</v>
      </c>
      <c r="K97" s="159">
        <f t="shared" si="13"/>
        <v>0</v>
      </c>
      <c r="L97" s="159">
        <f t="shared" si="14"/>
        <v>0</v>
      </c>
      <c r="M97" s="159">
        <f>+'Expense Support'!AF96</f>
        <v>0</v>
      </c>
      <c r="N97" s="157">
        <f t="shared" si="17"/>
        <v>0</v>
      </c>
    </row>
    <row r="98" spans="1:14">
      <c r="A98" s="132">
        <f t="shared" si="16"/>
        <v>90</v>
      </c>
      <c r="B98" s="65" t="s">
        <v>84</v>
      </c>
      <c r="C98" s="144">
        <f>+'Expense Support'!D97</f>
        <v>-126418</v>
      </c>
      <c r="D98" s="156">
        <f>+'Expense Support'!W97</f>
        <v>126418</v>
      </c>
      <c r="E98" s="158">
        <f t="shared" si="10"/>
        <v>0</v>
      </c>
      <c r="F98" s="158"/>
      <c r="G98" s="158">
        <f t="shared" si="11"/>
        <v>126418</v>
      </c>
      <c r="H98" s="158"/>
      <c r="I98" s="158">
        <f>+'Expense Support'!AB97</f>
        <v>0</v>
      </c>
      <c r="J98" s="158">
        <f t="shared" si="12"/>
        <v>0</v>
      </c>
      <c r="K98" s="159">
        <f t="shared" si="13"/>
        <v>0</v>
      </c>
      <c r="L98" s="159">
        <f t="shared" si="14"/>
        <v>0</v>
      </c>
      <c r="M98" s="159">
        <f>+'Expense Support'!AF97</f>
        <v>0</v>
      </c>
      <c r="N98" s="157">
        <f t="shared" si="17"/>
        <v>0</v>
      </c>
    </row>
    <row r="99" spans="1:14">
      <c r="A99" s="132">
        <f t="shared" si="16"/>
        <v>91</v>
      </c>
      <c r="B99" s="65" t="s">
        <v>123</v>
      </c>
      <c r="C99" s="144">
        <f>+'Expense Support'!D98</f>
        <v>-241766</v>
      </c>
      <c r="D99" s="156">
        <f>+'Expense Support'!W98</f>
        <v>241766</v>
      </c>
      <c r="E99" s="158">
        <f t="shared" si="10"/>
        <v>0</v>
      </c>
      <c r="F99" s="158"/>
      <c r="G99" s="158">
        <f t="shared" si="11"/>
        <v>241766</v>
      </c>
      <c r="H99" s="158"/>
      <c r="I99" s="158">
        <f>+'Expense Support'!AB98</f>
        <v>0</v>
      </c>
      <c r="J99" s="158">
        <f t="shared" si="12"/>
        <v>0</v>
      </c>
      <c r="K99" s="159">
        <f t="shared" si="13"/>
        <v>0</v>
      </c>
      <c r="L99" s="159">
        <f t="shared" si="14"/>
        <v>0</v>
      </c>
      <c r="M99" s="159">
        <f>+'Expense Support'!AF98</f>
        <v>0</v>
      </c>
      <c r="N99" s="157">
        <f t="shared" si="17"/>
        <v>0</v>
      </c>
    </row>
    <row r="100" spans="1:14">
      <c r="A100" s="132">
        <f t="shared" si="16"/>
        <v>92</v>
      </c>
      <c r="B100" s="67" t="s">
        <v>127</v>
      </c>
      <c r="C100" s="144">
        <f>+'Expense Support'!D99</f>
        <v>0</v>
      </c>
      <c r="D100" s="156">
        <f>+'Expense Support'!W99</f>
        <v>-10080</v>
      </c>
      <c r="E100" s="158">
        <f t="shared" si="10"/>
        <v>-10080</v>
      </c>
      <c r="F100" s="158"/>
      <c r="G100" s="158">
        <f t="shared" si="11"/>
        <v>-10080</v>
      </c>
      <c r="H100" s="158"/>
      <c r="I100" s="158">
        <f>+'Expense Support'!AB99</f>
        <v>0</v>
      </c>
      <c r="J100" s="158">
        <f t="shared" si="12"/>
        <v>0</v>
      </c>
      <c r="K100" s="159">
        <f t="shared" si="13"/>
        <v>-10080</v>
      </c>
      <c r="L100" s="159">
        <f t="shared" si="14"/>
        <v>0</v>
      </c>
      <c r="M100" s="159">
        <f>+'Expense Support'!AF99</f>
        <v>-10080</v>
      </c>
      <c r="N100" s="157">
        <f t="shared" si="17"/>
        <v>0</v>
      </c>
    </row>
    <row r="101" spans="1:14">
      <c r="A101" s="132">
        <f t="shared" si="16"/>
        <v>93</v>
      </c>
      <c r="B101" s="67" t="s">
        <v>128</v>
      </c>
      <c r="C101" s="144">
        <f>+'Expense Support'!D100</f>
        <v>0</v>
      </c>
      <c r="D101" s="156">
        <f>+'Expense Support'!W100</f>
        <v>107392</v>
      </c>
      <c r="E101" s="158">
        <f t="shared" si="10"/>
        <v>107392</v>
      </c>
      <c r="F101" s="158"/>
      <c r="G101" s="158">
        <f t="shared" si="11"/>
        <v>107392</v>
      </c>
      <c r="H101" s="158"/>
      <c r="I101" s="158">
        <f>+'Expense Support'!AB100</f>
        <v>0</v>
      </c>
      <c r="J101" s="158">
        <f t="shared" si="12"/>
        <v>0</v>
      </c>
      <c r="K101" s="159">
        <f t="shared" si="13"/>
        <v>107392</v>
      </c>
      <c r="L101" s="159">
        <f t="shared" si="14"/>
        <v>0</v>
      </c>
      <c r="M101" s="159">
        <f>+'Expense Support'!AF100</f>
        <v>107392</v>
      </c>
      <c r="N101" s="157">
        <f t="shared" si="17"/>
        <v>0</v>
      </c>
    </row>
    <row r="102" spans="1:14">
      <c r="A102" s="132">
        <f t="shared" si="16"/>
        <v>94</v>
      </c>
      <c r="B102" s="67" t="s">
        <v>129</v>
      </c>
      <c r="C102" s="144">
        <f>+'Expense Support'!D101</f>
        <v>0</v>
      </c>
      <c r="D102" s="156">
        <f>+'Expense Support'!W101</f>
        <v>-8911</v>
      </c>
      <c r="E102" s="158">
        <f t="shared" si="10"/>
        <v>-8911</v>
      </c>
      <c r="F102" s="158"/>
      <c r="G102" s="158">
        <f t="shared" si="11"/>
        <v>-8911</v>
      </c>
      <c r="H102" s="158"/>
      <c r="I102" s="158">
        <f>+'Expense Support'!AB101</f>
        <v>0</v>
      </c>
      <c r="J102" s="158">
        <f t="shared" si="12"/>
        <v>0</v>
      </c>
      <c r="K102" s="159">
        <f t="shared" si="13"/>
        <v>-8911</v>
      </c>
      <c r="L102" s="159">
        <f t="shared" si="14"/>
        <v>0</v>
      </c>
      <c r="M102" s="257">
        <f>+'Expense Support'!AF101</f>
        <v>-8911</v>
      </c>
      <c r="N102" s="258">
        <f t="shared" si="17"/>
        <v>0</v>
      </c>
    </row>
    <row r="103" spans="1:14">
      <c r="A103" s="132">
        <f t="shared" si="16"/>
        <v>95</v>
      </c>
      <c r="B103" s="67" t="s">
        <v>130</v>
      </c>
      <c r="C103" s="144">
        <f>+'Expense Support'!D102</f>
        <v>0</v>
      </c>
      <c r="D103" s="156">
        <f>+'Expense Support'!W102</f>
        <v>-205218</v>
      </c>
      <c r="E103" s="158">
        <f t="shared" si="10"/>
        <v>-205218</v>
      </c>
      <c r="F103" s="158"/>
      <c r="G103" s="158">
        <f t="shared" si="11"/>
        <v>-205218</v>
      </c>
      <c r="H103" s="158"/>
      <c r="I103" s="158">
        <f>+'Expense Support'!AB102</f>
        <v>0</v>
      </c>
      <c r="J103" s="158">
        <f t="shared" si="12"/>
        <v>0</v>
      </c>
      <c r="K103" s="159">
        <f t="shared" si="13"/>
        <v>-205218</v>
      </c>
      <c r="L103" s="159">
        <f t="shared" si="14"/>
        <v>0</v>
      </c>
      <c r="M103" s="159">
        <f>+'Expense Support'!AF102</f>
        <v>0</v>
      </c>
      <c r="N103" s="157">
        <f t="shared" si="17"/>
        <v>-205218</v>
      </c>
    </row>
    <row r="104" spans="1:14">
      <c r="A104" s="132">
        <f t="shared" si="16"/>
        <v>96</v>
      </c>
      <c r="B104" s="67" t="s">
        <v>131</v>
      </c>
      <c r="C104" s="144">
        <f>+'Expense Support'!D103</f>
        <v>0</v>
      </c>
      <c r="D104" s="156">
        <f>+'Expense Support'!W103</f>
        <v>-1050000</v>
      </c>
      <c r="E104" s="158">
        <f t="shared" si="10"/>
        <v>-1050000</v>
      </c>
      <c r="F104" s="158"/>
      <c r="G104" s="158">
        <f t="shared" si="11"/>
        <v>-1050000</v>
      </c>
      <c r="H104" s="158"/>
      <c r="I104" s="158">
        <f>+'Expense Support'!AB103</f>
        <v>0</v>
      </c>
      <c r="J104" s="158">
        <f t="shared" si="12"/>
        <v>0</v>
      </c>
      <c r="K104" s="159">
        <f t="shared" si="13"/>
        <v>-1050000</v>
      </c>
      <c r="L104" s="159">
        <f t="shared" si="14"/>
        <v>0</v>
      </c>
      <c r="M104" s="159">
        <f>+'Expense Support'!AF103</f>
        <v>0</v>
      </c>
      <c r="N104" s="157">
        <f t="shared" si="17"/>
        <v>-1050000</v>
      </c>
    </row>
    <row r="105" spans="1:14">
      <c r="A105" s="132">
        <f t="shared" si="16"/>
        <v>97</v>
      </c>
      <c r="B105" s="67" t="s">
        <v>132</v>
      </c>
      <c r="C105" s="144">
        <f>+'Expense Support'!D104</f>
        <v>0</v>
      </c>
      <c r="D105" s="156">
        <f>+'Expense Support'!W104</f>
        <v>-268988</v>
      </c>
      <c r="E105" s="158">
        <f t="shared" si="10"/>
        <v>-268988</v>
      </c>
      <c r="F105" s="158"/>
      <c r="G105" s="158">
        <f t="shared" si="11"/>
        <v>-268988</v>
      </c>
      <c r="H105" s="158"/>
      <c r="I105" s="158">
        <f>+'Expense Support'!AB104</f>
        <v>0</v>
      </c>
      <c r="J105" s="158">
        <f t="shared" si="12"/>
        <v>0</v>
      </c>
      <c r="K105" s="159">
        <f t="shared" si="13"/>
        <v>-268988</v>
      </c>
      <c r="L105" s="159">
        <f t="shared" si="14"/>
        <v>0</v>
      </c>
      <c r="M105" s="159">
        <f>+'Expense Support'!AF104</f>
        <v>-268988</v>
      </c>
      <c r="N105" s="157">
        <f t="shared" si="17"/>
        <v>0</v>
      </c>
    </row>
    <row r="106" spans="1:14">
      <c r="A106" s="132">
        <f t="shared" si="16"/>
        <v>98</v>
      </c>
      <c r="B106" s="63" t="s">
        <v>133</v>
      </c>
      <c r="C106" s="146">
        <f t="shared" ref="C106:N106" si="18">SUM(C62:C105)</f>
        <v>-31799318.300000001</v>
      </c>
      <c r="D106" s="146">
        <f t="shared" si="18"/>
        <v>7551008.8000000007</v>
      </c>
      <c r="E106" s="146">
        <f t="shared" si="18"/>
        <v>-24248309.5</v>
      </c>
      <c r="F106" s="146">
        <f t="shared" si="18"/>
        <v>387105</v>
      </c>
      <c r="G106" s="146">
        <f t="shared" ref="G106" si="19">SUM(G62:G105)</f>
        <v>7938113.8000000007</v>
      </c>
      <c r="H106" s="146">
        <f t="shared" si="18"/>
        <v>-30100</v>
      </c>
      <c r="I106" s="146">
        <f t="shared" si="18"/>
        <v>1862064</v>
      </c>
      <c r="J106" s="146">
        <f t="shared" si="18"/>
        <v>1831964</v>
      </c>
      <c r="K106" s="146">
        <f t="shared" si="18"/>
        <v>-22029240.5</v>
      </c>
      <c r="L106" s="146">
        <f t="shared" si="18"/>
        <v>2219069</v>
      </c>
      <c r="M106" s="259">
        <f t="shared" si="18"/>
        <v>-20757596.621397231</v>
      </c>
      <c r="N106" s="259">
        <f t="shared" si="18"/>
        <v>-1271644.2786027598</v>
      </c>
    </row>
    <row r="107" spans="1:14">
      <c r="A107" s="63"/>
      <c r="B107" s="63"/>
      <c r="C107" s="146"/>
      <c r="D107" s="144"/>
      <c r="E107" s="144"/>
      <c r="F107" s="144"/>
      <c r="G107" s="144"/>
      <c r="H107" s="144"/>
      <c r="I107" s="144"/>
      <c r="J107" s="144"/>
      <c r="K107" s="157"/>
      <c r="L107" s="157"/>
      <c r="M107" s="157"/>
      <c r="N107" s="157"/>
    </row>
    <row r="108" spans="1:14">
      <c r="A108" s="133">
        <f>1+A106</f>
        <v>99</v>
      </c>
      <c r="B108" s="57" t="s">
        <v>134</v>
      </c>
      <c r="C108" s="160">
        <f t="shared" ref="C108:N108" si="20">+C106+C60</f>
        <v>22359797.900000002</v>
      </c>
      <c r="D108" s="160">
        <f t="shared" si="20"/>
        <v>3723897.2000000011</v>
      </c>
      <c r="E108" s="160">
        <f t="shared" si="20"/>
        <v>26083695.100000001</v>
      </c>
      <c r="F108" s="160">
        <f t="shared" si="20"/>
        <v>-525562</v>
      </c>
      <c r="G108" s="160">
        <f t="shared" ref="G108" si="21">+G106+G60</f>
        <v>3198335.2000000011</v>
      </c>
      <c r="H108" s="160">
        <f t="shared" si="20"/>
        <v>40867</v>
      </c>
      <c r="I108" s="160">
        <f t="shared" si="20"/>
        <v>-364732</v>
      </c>
      <c r="J108" s="160">
        <f t="shared" si="20"/>
        <v>-323865</v>
      </c>
      <c r="K108" s="160">
        <f t="shared" si="20"/>
        <v>25234268.100000001</v>
      </c>
      <c r="L108" s="160">
        <f t="shared" si="20"/>
        <v>-849427</v>
      </c>
      <c r="M108" s="260">
        <f t="shared" si="20"/>
        <v>25993903.874896389</v>
      </c>
      <c r="N108" s="260">
        <f t="shared" si="20"/>
        <v>-759636.17489638017</v>
      </c>
    </row>
    <row r="109" spans="1:14">
      <c r="C109" s="68"/>
      <c r="D109" s="69"/>
      <c r="E109" s="69"/>
      <c r="F109" s="68"/>
      <c r="G109" s="68"/>
      <c r="H109" s="68"/>
      <c r="I109" s="68"/>
      <c r="J109" s="68"/>
    </row>
    <row r="110" spans="1:14">
      <c r="B110" s="187" t="s">
        <v>543</v>
      </c>
      <c r="C110" s="68"/>
      <c r="D110" s="69"/>
      <c r="E110" s="69"/>
      <c r="F110" s="68"/>
      <c r="G110" s="68"/>
      <c r="H110" s="68"/>
      <c r="I110" s="68"/>
      <c r="J110" s="68"/>
    </row>
    <row r="111" spans="1:14">
      <c r="C111" s="68"/>
      <c r="D111" s="68"/>
      <c r="E111" s="68"/>
      <c r="F111" s="68"/>
      <c r="G111" s="68"/>
      <c r="H111" s="68"/>
      <c r="I111" s="68"/>
      <c r="J111" s="68"/>
    </row>
    <row r="112" spans="1:14">
      <c r="C112" s="68"/>
      <c r="D112" s="68"/>
      <c r="E112" s="68"/>
      <c r="F112" s="68"/>
      <c r="G112" s="68"/>
      <c r="H112" s="68"/>
      <c r="I112" s="68"/>
      <c r="J112" s="68"/>
    </row>
    <row r="113" spans="3:10">
      <c r="C113" s="68"/>
      <c r="D113" s="68"/>
      <c r="E113" s="68"/>
      <c r="F113" s="68"/>
      <c r="G113" s="68"/>
      <c r="H113" s="68"/>
      <c r="I113" s="68"/>
      <c r="J113" s="68"/>
    </row>
  </sheetData>
  <printOptions horizontalCentered="1"/>
  <pageMargins left="0.75" right="0.25" top="0.8" bottom="0.3" header="0.8" footer="0.2"/>
  <pageSetup scale="49" fitToWidth="2" fitToHeight="3" pageOrder="overThenDown" orientation="landscape" r:id="rId1"/>
  <headerFooter alignWithMargins="0">
    <oddHeader>&amp;RRevised 1-13-2011
PacifiCorp Docket UE-100749
Exhibit  No.___(KHB-6)
Page &amp;P of &amp;N</oddHeader>
  </headerFooter>
  <rowBreaks count="1" manualBreakCount="1">
    <brk id="60" max="16383" man="1"/>
  </rowBreaks>
  <legacyDrawing r:id="rId2"/>
</worksheet>
</file>

<file path=xl/worksheets/sheet9.xml><?xml version="1.0" encoding="utf-8"?>
<worksheet xmlns="http://schemas.openxmlformats.org/spreadsheetml/2006/main" xmlns:r="http://schemas.openxmlformats.org/officeDocument/2006/relationships">
  <dimension ref="A1:S110"/>
  <sheetViews>
    <sheetView zoomScale="80" zoomScaleNormal="80" zoomScaleSheetLayoutView="90" workbookViewId="0">
      <pane xSplit="9" ySplit="6" topLeftCell="J56" activePane="bottomRight" state="frozen"/>
      <selection activeCell="D29" sqref="D29"/>
      <selection pane="topRight" activeCell="D29" sqref="D29"/>
      <selection pane="bottomLeft" activeCell="D29" sqref="D29"/>
      <selection pane="bottomRight" activeCell="K79" sqref="K79"/>
    </sheetView>
  </sheetViews>
  <sheetFormatPr defaultRowHeight="15.75"/>
  <cols>
    <col min="1" max="1" width="13.28515625" style="41" hidden="1" customWidth="1"/>
    <col min="2" max="2" width="24.28515625" style="41" hidden="1" customWidth="1"/>
    <col min="3" max="3" width="13.85546875" style="41" hidden="1" customWidth="1"/>
    <col min="4" max="4" width="6" style="41" customWidth="1"/>
    <col min="5" max="5" width="16.7109375" style="41" hidden="1" customWidth="1"/>
    <col min="6" max="6" width="48.5703125" style="41" customWidth="1"/>
    <col min="7" max="8" width="21.85546875" style="41" hidden="1" customWidth="1"/>
    <col min="9" max="9" width="18.28515625" style="41" customWidth="1"/>
    <col min="10" max="10" width="16" style="41" customWidth="1"/>
    <col min="11" max="11" width="21.28515625" style="41" customWidth="1"/>
    <col min="12" max="12" width="16.85546875" style="41" customWidth="1"/>
    <col min="13" max="13" width="19.42578125" style="41" customWidth="1"/>
    <col min="14" max="14" width="20.140625" style="41" customWidth="1"/>
    <col min="15" max="15" width="24.28515625" style="41" customWidth="1"/>
    <col min="16" max="16" width="20.28515625" style="41" customWidth="1"/>
    <col min="17" max="17" width="21.28515625" style="41" customWidth="1"/>
    <col min="18" max="18" width="20.5703125" style="41" customWidth="1"/>
    <col min="19" max="19" width="5.28515625" style="41" customWidth="1"/>
    <col min="20" max="20" width="6" style="41" customWidth="1"/>
    <col min="21" max="21" width="5.28515625" style="41" customWidth="1"/>
    <col min="22" max="22" width="6" style="41" customWidth="1"/>
    <col min="23" max="23" width="5.28515625" style="41" customWidth="1"/>
    <col min="24" max="24" width="6" style="41" customWidth="1"/>
    <col min="25" max="25" width="5.28515625" style="41" customWidth="1"/>
    <col min="26" max="26" width="6" style="41" customWidth="1"/>
    <col min="27" max="27" width="5.28515625" style="41" customWidth="1"/>
    <col min="28" max="28" width="6" style="41" customWidth="1"/>
    <col min="29" max="29" width="5.28515625" style="41" customWidth="1"/>
    <col min="30" max="30" width="6" style="41" customWidth="1"/>
    <col min="31" max="31" width="5.28515625" style="41" customWidth="1"/>
    <col min="32" max="32" width="6" style="41" customWidth="1"/>
    <col min="33" max="33" width="5.28515625" style="41" customWidth="1"/>
    <col min="34" max="34" width="6" style="41" customWidth="1"/>
    <col min="35" max="35" width="5.28515625" style="41" customWidth="1"/>
    <col min="36" max="36" width="6" style="41" customWidth="1"/>
    <col min="37" max="37" width="5.28515625" style="41" customWidth="1"/>
    <col min="38" max="38" width="6" style="41" customWidth="1"/>
    <col min="39" max="39" width="5.28515625" style="41" customWidth="1"/>
    <col min="40" max="40" width="6" style="41" customWidth="1"/>
    <col min="41" max="41" width="5.28515625" style="41" customWidth="1"/>
    <col min="42" max="42" width="6" style="41" customWidth="1"/>
    <col min="43" max="43" width="5.28515625" style="41" customWidth="1"/>
    <col min="44" max="44" width="6" style="41" customWidth="1"/>
    <col min="45" max="45" width="5.28515625" style="41" customWidth="1"/>
    <col min="46" max="46" width="6" style="41" customWidth="1"/>
    <col min="47" max="47" width="5.28515625" style="41" customWidth="1"/>
    <col min="48" max="48" width="6" style="41" customWidth="1"/>
    <col min="49" max="49" width="5.28515625" style="41" customWidth="1"/>
    <col min="50" max="50" width="6" style="41" customWidth="1"/>
    <col min="51" max="51" width="5.28515625" style="41" customWidth="1"/>
    <col min="52" max="52" width="8.140625" style="41" customWidth="1"/>
    <col min="53" max="53" width="6.85546875" style="41" customWidth="1"/>
    <col min="54" max="54" width="6" style="41" customWidth="1"/>
    <col min="55" max="55" width="5.28515625" style="41" customWidth="1"/>
    <col min="56" max="56" width="6" style="41" customWidth="1"/>
    <col min="57" max="57" width="5.28515625" style="41" customWidth="1"/>
    <col min="58" max="58" width="6" style="41" customWidth="1"/>
    <col min="59" max="59" width="5.28515625" style="41" customWidth="1"/>
    <col min="60" max="60" width="6" style="41" customWidth="1"/>
    <col min="61" max="61" width="5.28515625" style="41" customWidth="1"/>
    <col min="62" max="62" width="6" style="41" customWidth="1"/>
    <col min="63" max="63" width="5.28515625" style="41" customWidth="1"/>
    <col min="64" max="64" width="6" style="41" customWidth="1"/>
    <col min="65" max="65" width="5.28515625" style="41" customWidth="1"/>
    <col min="66" max="66" width="6" style="41" customWidth="1"/>
    <col min="67" max="67" width="5.28515625" style="41" customWidth="1"/>
    <col min="68" max="16384" width="9.140625" style="41"/>
  </cols>
  <sheetData>
    <row r="1" spans="1:19">
      <c r="C1" s="42"/>
      <c r="D1" s="40" t="s">
        <v>0</v>
      </c>
      <c r="F1" s="42"/>
      <c r="G1" s="42"/>
      <c r="H1" s="42"/>
      <c r="I1" s="42"/>
      <c r="J1" s="44"/>
      <c r="K1" s="44"/>
      <c r="L1" s="44"/>
      <c r="M1" s="42"/>
      <c r="N1" s="42"/>
      <c r="O1" s="42"/>
      <c r="R1" s="175"/>
    </row>
    <row r="2" spans="1:19">
      <c r="C2" s="42"/>
      <c r="D2" s="40" t="s">
        <v>135</v>
      </c>
      <c r="F2" s="42"/>
      <c r="G2" s="42"/>
      <c r="H2" s="42"/>
      <c r="I2" s="42"/>
      <c r="J2" s="44"/>
      <c r="K2" s="44"/>
      <c r="L2" s="44"/>
      <c r="M2" s="42"/>
      <c r="N2" s="42"/>
      <c r="O2" s="42"/>
      <c r="R2" s="175"/>
    </row>
    <row r="3" spans="1:19">
      <c r="B3" s="45"/>
      <c r="C3" s="44"/>
      <c r="D3" s="191" t="s">
        <v>136</v>
      </c>
      <c r="F3" s="42"/>
      <c r="G3" s="44"/>
      <c r="H3" s="42"/>
      <c r="I3" s="44"/>
      <c r="J3" s="42"/>
      <c r="K3" s="42"/>
      <c r="L3" s="42"/>
      <c r="M3" s="44"/>
      <c r="N3" s="44"/>
      <c r="O3" s="44"/>
      <c r="R3" s="175"/>
    </row>
    <row r="4" spans="1:19">
      <c r="C4" s="42"/>
      <c r="D4" s="41" t="s">
        <v>137</v>
      </c>
      <c r="F4" s="42"/>
      <c r="G4" s="42"/>
      <c r="H4" s="42"/>
      <c r="I4" s="42"/>
      <c r="J4" s="42"/>
      <c r="K4" s="42"/>
      <c r="L4" s="42"/>
      <c r="M4" s="42"/>
      <c r="N4" s="42"/>
      <c r="O4" s="42"/>
    </row>
    <row r="5" spans="1:19">
      <c r="C5" s="42"/>
      <c r="F5" s="42"/>
      <c r="G5" s="42"/>
      <c r="H5" s="42"/>
      <c r="I5" s="42"/>
      <c r="J5" s="42"/>
      <c r="K5" s="42"/>
      <c r="L5" s="42"/>
      <c r="M5" s="42"/>
      <c r="N5" s="42"/>
      <c r="O5" s="42"/>
    </row>
    <row r="6" spans="1:19" s="40" customFormat="1" ht="63">
      <c r="A6" s="48" t="s">
        <v>15</v>
      </c>
      <c r="B6" s="48" t="s">
        <v>16</v>
      </c>
      <c r="C6" s="48" t="s">
        <v>16</v>
      </c>
      <c r="D6" s="49" t="s">
        <v>460</v>
      </c>
      <c r="E6" s="49" t="s">
        <v>18</v>
      </c>
      <c r="F6" s="50" t="s">
        <v>19</v>
      </c>
      <c r="G6" s="48" t="s">
        <v>17</v>
      </c>
      <c r="H6" s="51" t="s">
        <v>138</v>
      </c>
      <c r="I6" s="51" t="s">
        <v>21</v>
      </c>
      <c r="J6" s="138" t="s">
        <v>552</v>
      </c>
      <c r="K6" s="138" t="s">
        <v>139</v>
      </c>
      <c r="L6" s="138" t="s">
        <v>528</v>
      </c>
      <c r="M6" s="53" t="s">
        <v>553</v>
      </c>
      <c r="N6" s="138" t="s">
        <v>567</v>
      </c>
      <c r="O6" s="138" t="s">
        <v>454</v>
      </c>
      <c r="P6" s="53" t="s">
        <v>452</v>
      </c>
      <c r="Q6" s="138" t="s">
        <v>451</v>
      </c>
      <c r="R6" s="53" t="s">
        <v>453</v>
      </c>
    </row>
    <row r="7" spans="1:19" s="40" customFormat="1">
      <c r="A7" s="49" t="s">
        <v>554</v>
      </c>
      <c r="B7" s="48"/>
      <c r="C7" s="48"/>
      <c r="D7" s="49"/>
      <c r="E7" s="49"/>
      <c r="F7" s="50"/>
      <c r="G7" s="48"/>
      <c r="H7" s="51"/>
      <c r="I7" s="51"/>
      <c r="J7" s="138"/>
      <c r="K7" s="138"/>
      <c r="L7" s="138"/>
      <c r="M7" s="53" t="s">
        <v>449</v>
      </c>
      <c r="N7" s="138" t="s">
        <v>566</v>
      </c>
      <c r="O7" s="138"/>
      <c r="P7" s="53"/>
      <c r="Q7" s="138"/>
      <c r="R7" s="53"/>
    </row>
    <row r="8" spans="1:19" s="40" customFormat="1" ht="16.5" customHeight="1">
      <c r="A8" s="48"/>
      <c r="B8" s="48"/>
      <c r="C8" s="48"/>
      <c r="D8" s="48" t="s">
        <v>461</v>
      </c>
      <c r="E8" s="48" t="s">
        <v>462</v>
      </c>
      <c r="F8" s="135" t="s">
        <v>462</v>
      </c>
      <c r="G8" s="48"/>
      <c r="H8" s="51" t="s">
        <v>464</v>
      </c>
      <c r="I8" s="51" t="s">
        <v>463</v>
      </c>
      <c r="J8" s="207" t="s">
        <v>464</v>
      </c>
      <c r="K8" s="207" t="s">
        <v>465</v>
      </c>
      <c r="L8" s="207" t="s">
        <v>466</v>
      </c>
      <c r="M8" s="206" t="s">
        <v>486</v>
      </c>
      <c r="N8" s="138" t="s">
        <v>487</v>
      </c>
      <c r="O8" s="138" t="s">
        <v>488</v>
      </c>
      <c r="P8" s="53" t="s">
        <v>489</v>
      </c>
      <c r="Q8" s="138" t="s">
        <v>490</v>
      </c>
      <c r="R8" s="53" t="s">
        <v>568</v>
      </c>
    </row>
    <row r="9" spans="1:19" hidden="1">
      <c r="A9" s="48"/>
      <c r="B9" s="48"/>
      <c r="C9" s="48"/>
      <c r="D9" s="48"/>
      <c r="E9" s="129" t="s">
        <v>450</v>
      </c>
      <c r="F9" s="50"/>
      <c r="G9" s="48"/>
      <c r="H9" s="208"/>
      <c r="I9" s="208"/>
      <c r="J9" s="211"/>
      <c r="K9" s="211"/>
      <c r="L9" s="211"/>
      <c r="M9" s="210"/>
      <c r="N9" s="211"/>
      <c r="O9" s="211"/>
      <c r="P9" s="210"/>
      <c r="Q9" s="213"/>
      <c r="R9" s="213"/>
    </row>
    <row r="10" spans="1:19">
      <c r="A10" s="58" t="s">
        <v>151</v>
      </c>
      <c r="B10" s="58" t="s">
        <v>152</v>
      </c>
      <c r="C10" s="58" t="s">
        <v>153</v>
      </c>
      <c r="D10" s="58">
        <f>1</f>
        <v>1</v>
      </c>
      <c r="E10" s="132" t="s">
        <v>22</v>
      </c>
      <c r="F10" s="58" t="s">
        <v>154</v>
      </c>
      <c r="G10" s="58" t="s">
        <v>30</v>
      </c>
      <c r="H10" s="214">
        <f>1000*4716.31375</f>
        <v>4716313.75</v>
      </c>
      <c r="I10" s="214">
        <f>1000*349.401958812</f>
        <v>349401.958812</v>
      </c>
      <c r="J10" s="213">
        <f>+'Rate Base Support'!Y10</f>
        <v>-349401.96</v>
      </c>
      <c r="K10" s="213">
        <f t="shared" ref="K10:K57" si="0">+J10+I10</f>
        <v>-1.188000023830682E-3</v>
      </c>
      <c r="L10" s="213"/>
      <c r="M10" s="213">
        <f>+'Rate Base Support'!AD10</f>
        <v>1.188000023830682E-3</v>
      </c>
      <c r="N10" s="213"/>
      <c r="O10" s="213">
        <f>+'Rate Base Support'!AF10</f>
        <v>0</v>
      </c>
      <c r="P10" s="213">
        <f>+'Rate Base Support'!AG10</f>
        <v>1.188000023830682E-3</v>
      </c>
      <c r="Q10" s="213">
        <f>+'Rate Base Support'!AH10</f>
        <v>0</v>
      </c>
      <c r="R10" s="213">
        <f>+'Rate Base Support'!AI10</f>
        <v>0</v>
      </c>
      <c r="S10" s="68"/>
    </row>
    <row r="11" spans="1:19">
      <c r="A11" s="58" t="s">
        <v>151</v>
      </c>
      <c r="B11" s="58" t="s">
        <v>152</v>
      </c>
      <c r="C11" s="58" t="s">
        <v>155</v>
      </c>
      <c r="D11" s="58">
        <f>1+D10</f>
        <v>2</v>
      </c>
      <c r="E11" s="132" t="s">
        <v>22</v>
      </c>
      <c r="F11" s="58" t="s">
        <v>156</v>
      </c>
      <c r="G11" s="58" t="s">
        <v>57</v>
      </c>
      <c r="H11" s="214">
        <f>1000*7.981083333</f>
        <v>7981.0833329999996</v>
      </c>
      <c r="I11" s="214">
        <f>1000*1.76278838</f>
        <v>1762.78838</v>
      </c>
      <c r="J11" s="213">
        <f>+'Rate Base Support'!Y11</f>
        <v>0</v>
      </c>
      <c r="K11" s="213">
        <f t="shared" si="0"/>
        <v>1762.78838</v>
      </c>
      <c r="L11" s="213"/>
      <c r="M11" s="213">
        <f>+'Rate Base Support'!AD11</f>
        <v>-1762.78838</v>
      </c>
      <c r="N11" s="213"/>
      <c r="O11" s="213">
        <f>+'Rate Base Support'!AF11</f>
        <v>0</v>
      </c>
      <c r="P11" s="213">
        <f>+'Rate Base Support'!AG11</f>
        <v>-1762.78838</v>
      </c>
      <c r="Q11" s="213">
        <f>+'Rate Base Support'!AH11</f>
        <v>0</v>
      </c>
      <c r="R11" s="213">
        <f>+'Rate Base Support'!AI11</f>
        <v>0</v>
      </c>
      <c r="S11" s="68"/>
    </row>
    <row r="12" spans="1:19">
      <c r="A12" s="58" t="s">
        <v>151</v>
      </c>
      <c r="B12" s="58" t="s">
        <v>152</v>
      </c>
      <c r="C12" s="58" t="s">
        <v>157</v>
      </c>
      <c r="D12" s="58">
        <f t="shared" ref="D12:D75" si="1">1+D11</f>
        <v>3</v>
      </c>
      <c r="E12" s="132" t="s">
        <v>22</v>
      </c>
      <c r="F12" s="58" t="s">
        <v>158</v>
      </c>
      <c r="G12" s="58" t="s">
        <v>57</v>
      </c>
      <c r="H12" s="214">
        <f>1000*55.611041667</f>
        <v>55611.041667000005</v>
      </c>
      <c r="I12" s="214">
        <f>1000*12.282856096</f>
        <v>12282.856096</v>
      </c>
      <c r="J12" s="213">
        <f>+'Rate Base Support'!Y12</f>
        <v>0</v>
      </c>
      <c r="K12" s="213">
        <f t="shared" si="0"/>
        <v>12282.856096</v>
      </c>
      <c r="L12" s="213"/>
      <c r="M12" s="213">
        <f>+'Rate Base Support'!AD12</f>
        <v>-12282.856096</v>
      </c>
      <c r="N12" s="213"/>
      <c r="O12" s="213">
        <f>+'Rate Base Support'!AF12</f>
        <v>0</v>
      </c>
      <c r="P12" s="213">
        <f>+'Rate Base Support'!AG12</f>
        <v>-12282.856096</v>
      </c>
      <c r="Q12" s="213">
        <f>+'Rate Base Support'!AH12</f>
        <v>0</v>
      </c>
      <c r="R12" s="213">
        <f>+'Rate Base Support'!AI12</f>
        <v>0</v>
      </c>
      <c r="S12" s="68"/>
    </row>
    <row r="13" spans="1:19">
      <c r="A13" s="58" t="s">
        <v>151</v>
      </c>
      <c r="B13" s="58" t="s">
        <v>152</v>
      </c>
      <c r="C13" s="58" t="s">
        <v>159</v>
      </c>
      <c r="D13" s="58">
        <f t="shared" si="1"/>
        <v>4</v>
      </c>
      <c r="E13" s="132" t="s">
        <v>22</v>
      </c>
      <c r="F13" s="58" t="s">
        <v>162</v>
      </c>
      <c r="G13" s="58" t="s">
        <v>30</v>
      </c>
      <c r="H13" s="214">
        <f>1000*1.73254375</f>
        <v>1732.54375</v>
      </c>
      <c r="I13" s="214">
        <f>1000*0.128353246</f>
        <v>128.35324600000001</v>
      </c>
      <c r="J13" s="213">
        <f>+'Rate Base Support'!Y13</f>
        <v>0</v>
      </c>
      <c r="K13" s="213">
        <f t="shared" si="0"/>
        <v>128.35324600000001</v>
      </c>
      <c r="L13" s="213"/>
      <c r="M13" s="213">
        <f>+'Rate Base Support'!AD13</f>
        <v>-128.35324600000001</v>
      </c>
      <c r="N13" s="213"/>
      <c r="O13" s="213">
        <f>+'Rate Base Support'!AF13</f>
        <v>0</v>
      </c>
      <c r="P13" s="213">
        <f>+'Rate Base Support'!AG13</f>
        <v>-128.35324600000001</v>
      </c>
      <c r="Q13" s="213">
        <f>+'Rate Base Support'!AH13</f>
        <v>0</v>
      </c>
      <c r="R13" s="213">
        <f>+'Rate Base Support'!AI13</f>
        <v>0</v>
      </c>
      <c r="S13" s="68"/>
    </row>
    <row r="14" spans="1:19">
      <c r="A14" s="58" t="s">
        <v>151</v>
      </c>
      <c r="B14" s="58" t="s">
        <v>152</v>
      </c>
      <c r="C14" s="58" t="s">
        <v>161</v>
      </c>
      <c r="D14" s="58">
        <f t="shared" si="1"/>
        <v>5</v>
      </c>
      <c r="E14" s="132" t="s">
        <v>22</v>
      </c>
      <c r="F14" s="58" t="s">
        <v>164</v>
      </c>
      <c r="G14" s="58" t="s">
        <v>30</v>
      </c>
      <c r="H14" s="214">
        <f>1000*1555.628904167</f>
        <v>1555628.904167</v>
      </c>
      <c r="I14" s="214">
        <f>1000*115.246740381</f>
        <v>115246.740381</v>
      </c>
      <c r="J14" s="213">
        <f>+'Rate Base Support'!Y14</f>
        <v>0</v>
      </c>
      <c r="K14" s="213">
        <f t="shared" si="0"/>
        <v>115246.740381</v>
      </c>
      <c r="L14" s="213"/>
      <c r="M14" s="213">
        <f>+'Rate Base Support'!AD14</f>
        <v>-115246.740381</v>
      </c>
      <c r="N14" s="213"/>
      <c r="O14" s="213">
        <f>+'Rate Base Support'!AF14</f>
        <v>0</v>
      </c>
      <c r="P14" s="213">
        <f>+'Rate Base Support'!AG14</f>
        <v>-115246.740381</v>
      </c>
      <c r="Q14" s="213">
        <f>+'Rate Base Support'!AH14</f>
        <v>0</v>
      </c>
      <c r="R14" s="213">
        <f>+'Rate Base Support'!AI14</f>
        <v>0</v>
      </c>
      <c r="S14" s="68"/>
    </row>
    <row r="15" spans="1:19">
      <c r="A15" s="58" t="s">
        <v>151</v>
      </c>
      <c r="B15" s="58" t="s">
        <v>152</v>
      </c>
      <c r="C15" s="58" t="s">
        <v>163</v>
      </c>
      <c r="D15" s="58">
        <f t="shared" si="1"/>
        <v>6</v>
      </c>
      <c r="E15" s="132" t="s">
        <v>22</v>
      </c>
      <c r="F15" s="58" t="s">
        <v>166</v>
      </c>
      <c r="G15" s="58" t="s">
        <v>30</v>
      </c>
      <c r="H15" s="214">
        <f>1000*4431.598264583</f>
        <v>4431598.264583</v>
      </c>
      <c r="I15" s="214">
        <f>1000*328.309183059</f>
        <v>328309.183059</v>
      </c>
      <c r="J15" s="213">
        <f>+'Rate Base Support'!Y15</f>
        <v>0</v>
      </c>
      <c r="K15" s="213">
        <f t="shared" si="0"/>
        <v>328309.183059</v>
      </c>
      <c r="L15" s="213"/>
      <c r="M15" s="213">
        <f>+'Rate Base Support'!AD15</f>
        <v>-328309.183059</v>
      </c>
      <c r="N15" s="213"/>
      <c r="O15" s="213">
        <f>+'Rate Base Support'!AF15</f>
        <v>0</v>
      </c>
      <c r="P15" s="213">
        <f>+'Rate Base Support'!AG15</f>
        <v>-328309.183059</v>
      </c>
      <c r="Q15" s="213">
        <f>+'Rate Base Support'!AH15</f>
        <v>0</v>
      </c>
      <c r="R15" s="213">
        <f>+'Rate Base Support'!AI15</f>
        <v>0</v>
      </c>
      <c r="S15" s="68"/>
    </row>
    <row r="16" spans="1:19">
      <c r="A16" s="58" t="s">
        <v>151</v>
      </c>
      <c r="B16" s="58" t="s">
        <v>152</v>
      </c>
      <c r="C16" s="58" t="s">
        <v>165</v>
      </c>
      <c r="D16" s="58">
        <f t="shared" si="1"/>
        <v>7</v>
      </c>
      <c r="E16" s="132" t="s">
        <v>22</v>
      </c>
      <c r="F16" s="58" t="s">
        <v>168</v>
      </c>
      <c r="G16" s="58" t="s">
        <v>30</v>
      </c>
      <c r="H16" s="214">
        <f>1000*293.8414</f>
        <v>293841.40000000002</v>
      </c>
      <c r="I16" s="214">
        <f>1000*21.768857244</f>
        <v>21768.857243999999</v>
      </c>
      <c r="J16" s="213">
        <f>+'Rate Base Support'!Y16</f>
        <v>0</v>
      </c>
      <c r="K16" s="213">
        <f t="shared" si="0"/>
        <v>21768.857243999999</v>
      </c>
      <c r="L16" s="213"/>
      <c r="M16" s="213">
        <f>+'Rate Base Support'!AD16</f>
        <v>-21768.857243999999</v>
      </c>
      <c r="N16" s="213"/>
      <c r="O16" s="213">
        <f>+'Rate Base Support'!AF16</f>
        <v>0</v>
      </c>
      <c r="P16" s="213">
        <f>+'Rate Base Support'!AG16</f>
        <v>-21768.857243999999</v>
      </c>
      <c r="Q16" s="213">
        <f>+'Rate Base Support'!AH16</f>
        <v>0</v>
      </c>
      <c r="R16" s="213">
        <f>+'Rate Base Support'!AI16</f>
        <v>0</v>
      </c>
      <c r="S16" s="68"/>
    </row>
    <row r="17" spans="1:19">
      <c r="A17" s="58" t="s">
        <v>151</v>
      </c>
      <c r="B17" s="58" t="s">
        <v>152</v>
      </c>
      <c r="C17" s="58" t="s">
        <v>167</v>
      </c>
      <c r="D17" s="58">
        <f t="shared" si="1"/>
        <v>8</v>
      </c>
      <c r="E17" s="132" t="s">
        <v>22</v>
      </c>
      <c r="F17" s="58" t="s">
        <v>172</v>
      </c>
      <c r="G17" s="58" t="s">
        <v>30</v>
      </c>
      <c r="H17" s="214">
        <f>1000*-90.264458333</f>
        <v>-90264.458332999988</v>
      </c>
      <c r="I17" s="214">
        <f>1000*-6.687124781</f>
        <v>-6687.1247809999995</v>
      </c>
      <c r="J17" s="213">
        <f>+'Rate Base Support'!Y17</f>
        <v>0</v>
      </c>
      <c r="K17" s="213">
        <f t="shared" si="0"/>
        <v>-6687.1247809999995</v>
      </c>
      <c r="L17" s="213"/>
      <c r="M17" s="213">
        <f>+'Rate Base Support'!AD17</f>
        <v>6687.1247809999995</v>
      </c>
      <c r="N17" s="213"/>
      <c r="O17" s="213">
        <f>+'Rate Base Support'!AF17</f>
        <v>0</v>
      </c>
      <c r="P17" s="213">
        <f>+'Rate Base Support'!AG17</f>
        <v>6687.1247809999995</v>
      </c>
      <c r="Q17" s="213">
        <f>+'Rate Base Support'!AH17</f>
        <v>0</v>
      </c>
      <c r="R17" s="213">
        <f>+'Rate Base Support'!AI17</f>
        <v>0</v>
      </c>
      <c r="S17" s="68"/>
    </row>
    <row r="18" spans="1:19">
      <c r="A18" s="58" t="s">
        <v>151</v>
      </c>
      <c r="B18" s="58" t="s">
        <v>152</v>
      </c>
      <c r="C18" s="58" t="s">
        <v>169</v>
      </c>
      <c r="D18" s="58">
        <f t="shared" si="1"/>
        <v>9</v>
      </c>
      <c r="E18" s="132" t="s">
        <v>22</v>
      </c>
      <c r="F18" s="58" t="s">
        <v>174</v>
      </c>
      <c r="G18" s="58" t="s">
        <v>30</v>
      </c>
      <c r="H18" s="214">
        <f>1000*13913.1677</f>
        <v>13913167.699999999</v>
      </c>
      <c r="I18" s="214">
        <f>1000*1030.738900197</f>
        <v>1030738.900197</v>
      </c>
      <c r="J18" s="213">
        <f>+'Rate Base Support'!Y18</f>
        <v>0</v>
      </c>
      <c r="K18" s="213">
        <f t="shared" si="0"/>
        <v>1030738.900197</v>
      </c>
      <c r="L18" s="213"/>
      <c r="M18" s="213">
        <f>+'Rate Base Support'!AD18</f>
        <v>-1030738.900197</v>
      </c>
      <c r="N18" s="213"/>
      <c r="O18" s="213">
        <f>+'Rate Base Support'!AF18</f>
        <v>0</v>
      </c>
      <c r="P18" s="213">
        <f>+'Rate Base Support'!AG18</f>
        <v>-1030738.900197</v>
      </c>
      <c r="Q18" s="213">
        <f>+'Rate Base Support'!AH18</f>
        <v>0</v>
      </c>
      <c r="R18" s="213">
        <f>+'Rate Base Support'!AI18</f>
        <v>0</v>
      </c>
      <c r="S18" s="68"/>
    </row>
    <row r="19" spans="1:19">
      <c r="A19" s="58" t="s">
        <v>151</v>
      </c>
      <c r="B19" s="58" t="s">
        <v>152</v>
      </c>
      <c r="C19" s="58" t="s">
        <v>171</v>
      </c>
      <c r="D19" s="58">
        <f t="shared" si="1"/>
        <v>10</v>
      </c>
      <c r="E19" s="132" t="s">
        <v>22</v>
      </c>
      <c r="F19" s="58" t="s">
        <v>176</v>
      </c>
      <c r="G19" s="58" t="s">
        <v>26</v>
      </c>
      <c r="H19" s="214">
        <f>1000*211.798120833</f>
        <v>211798.12083300002</v>
      </c>
      <c r="I19" s="214">
        <f>1000*17.561547449</f>
        <v>17561.547448999998</v>
      </c>
      <c r="J19" s="213">
        <f>+'Rate Base Support'!Y19</f>
        <v>0</v>
      </c>
      <c r="K19" s="213">
        <f t="shared" si="0"/>
        <v>17561.547448999998</v>
      </c>
      <c r="L19" s="213"/>
      <c r="M19" s="213">
        <f>+'Rate Base Support'!AD19</f>
        <v>-17561.547448999998</v>
      </c>
      <c r="N19" s="213"/>
      <c r="O19" s="213">
        <f>+'Rate Base Support'!AF19</f>
        <v>0</v>
      </c>
      <c r="P19" s="213">
        <f>+'Rate Base Support'!AG19</f>
        <v>-17561.547448999998</v>
      </c>
      <c r="Q19" s="213">
        <f>+'Rate Base Support'!AH19</f>
        <v>0</v>
      </c>
      <c r="R19" s="213">
        <f>+'Rate Base Support'!AI19</f>
        <v>0</v>
      </c>
      <c r="S19" s="68"/>
    </row>
    <row r="20" spans="1:19">
      <c r="A20" s="58" t="s">
        <v>151</v>
      </c>
      <c r="B20" s="58" t="s">
        <v>152</v>
      </c>
      <c r="C20" s="58" t="s">
        <v>173</v>
      </c>
      <c r="D20" s="58">
        <f t="shared" si="1"/>
        <v>11</v>
      </c>
      <c r="E20" s="132" t="s">
        <v>22</v>
      </c>
      <c r="F20" s="58" t="s">
        <v>180</v>
      </c>
      <c r="G20" s="58" t="s">
        <v>56</v>
      </c>
      <c r="H20" s="214">
        <f>1000*3181.384529167</f>
        <v>3181384.5291670002</v>
      </c>
      <c r="I20" s="214">
        <f>1000*398.515309067</f>
        <v>398515.30906699999</v>
      </c>
      <c r="J20" s="213">
        <f>+'Rate Base Support'!Y20</f>
        <v>0</v>
      </c>
      <c r="K20" s="213">
        <f t="shared" si="0"/>
        <v>398515.30906699999</v>
      </c>
      <c r="L20" s="213"/>
      <c r="M20" s="213">
        <f>+'Rate Base Support'!AD20</f>
        <v>-398515.30906699999</v>
      </c>
      <c r="N20" s="213"/>
      <c r="O20" s="213">
        <f>+'Rate Base Support'!AF20</f>
        <v>0</v>
      </c>
      <c r="P20" s="213">
        <f>+'Rate Base Support'!AG20</f>
        <v>-398515.30906699999</v>
      </c>
      <c r="Q20" s="213">
        <f>+'Rate Base Support'!AH20</f>
        <v>0</v>
      </c>
      <c r="R20" s="213">
        <f>+'Rate Base Support'!AI20</f>
        <v>0</v>
      </c>
      <c r="S20" s="68"/>
    </row>
    <row r="21" spans="1:19">
      <c r="A21" s="58" t="s">
        <v>151</v>
      </c>
      <c r="B21" s="58" t="s">
        <v>152</v>
      </c>
      <c r="C21" s="58" t="s">
        <v>175</v>
      </c>
      <c r="D21" s="58">
        <f t="shared" si="1"/>
        <v>12</v>
      </c>
      <c r="E21" s="132" t="s">
        <v>22</v>
      </c>
      <c r="F21" s="58" t="s">
        <v>182</v>
      </c>
      <c r="G21" s="58" t="s">
        <v>30</v>
      </c>
      <c r="H21" s="214">
        <f>1000*3210.520077083</f>
        <v>3210520.077083</v>
      </c>
      <c r="I21" s="214">
        <f>1000*237.847196603</f>
        <v>237847.19660299999</v>
      </c>
      <c r="J21" s="213">
        <f>+'Rate Base Support'!Y21</f>
        <v>0</v>
      </c>
      <c r="K21" s="213">
        <f t="shared" si="0"/>
        <v>237847.19660299999</v>
      </c>
      <c r="L21" s="213"/>
      <c r="M21" s="213">
        <f>+'Rate Base Support'!AD21</f>
        <v>-237847.19660299999</v>
      </c>
      <c r="N21" s="213"/>
      <c r="O21" s="213">
        <f>+'Rate Base Support'!AF21</f>
        <v>0</v>
      </c>
      <c r="P21" s="213">
        <f>+'Rate Base Support'!AG21</f>
        <v>-237847.19660299999</v>
      </c>
      <c r="Q21" s="213">
        <f>+'Rate Base Support'!AH21</f>
        <v>0</v>
      </c>
      <c r="R21" s="213">
        <f>+'Rate Base Support'!AI21</f>
        <v>0</v>
      </c>
      <c r="S21" s="68"/>
    </row>
    <row r="22" spans="1:19">
      <c r="A22" s="58" t="s">
        <v>151</v>
      </c>
      <c r="B22" s="58" t="s">
        <v>152</v>
      </c>
      <c r="C22" s="58" t="s">
        <v>177</v>
      </c>
      <c r="D22" s="58">
        <f t="shared" si="1"/>
        <v>13</v>
      </c>
      <c r="E22" s="132" t="s">
        <v>22</v>
      </c>
      <c r="F22" s="58" t="s">
        <v>184</v>
      </c>
      <c r="G22" s="58" t="s">
        <v>57</v>
      </c>
      <c r="H22" s="214">
        <f>1000*1452.44391875</f>
        <v>1452443.91875</v>
      </c>
      <c r="I22" s="214">
        <f>1000*320.802472076</f>
        <v>320802.47207600001</v>
      </c>
      <c r="J22" s="213">
        <f>+'Rate Base Support'!Y22</f>
        <v>0</v>
      </c>
      <c r="K22" s="213">
        <f t="shared" si="0"/>
        <v>320802.47207600001</v>
      </c>
      <c r="L22" s="213"/>
      <c r="M22" s="213">
        <f>+'Rate Base Support'!AD22</f>
        <v>-320802.47207600001</v>
      </c>
      <c r="N22" s="213"/>
      <c r="O22" s="213">
        <f>+'Rate Base Support'!AF22</f>
        <v>0</v>
      </c>
      <c r="P22" s="213">
        <f>+'Rate Base Support'!AG22</f>
        <v>-320802.47207600001</v>
      </c>
      <c r="Q22" s="213">
        <f>+'Rate Base Support'!AH22</f>
        <v>0</v>
      </c>
      <c r="R22" s="213">
        <f>+'Rate Base Support'!AI22</f>
        <v>0</v>
      </c>
      <c r="S22" s="68"/>
    </row>
    <row r="23" spans="1:19">
      <c r="A23" s="58" t="s">
        <v>151</v>
      </c>
      <c r="B23" s="58" t="s">
        <v>152</v>
      </c>
      <c r="C23" s="58" t="s">
        <v>179</v>
      </c>
      <c r="D23" s="58">
        <f t="shared" si="1"/>
        <v>14</v>
      </c>
      <c r="E23" s="132" t="s">
        <v>22</v>
      </c>
      <c r="F23" s="58" t="s">
        <v>186</v>
      </c>
      <c r="G23" s="58" t="s">
        <v>49</v>
      </c>
      <c r="H23" s="214">
        <f>1000*703.24293612</f>
        <v>703242.93611999997</v>
      </c>
      <c r="I23" s="214">
        <f>1000*46.748143753</f>
        <v>46748.143753000004</v>
      </c>
      <c r="J23" s="213">
        <f>+'Rate Base Support'!Y23</f>
        <v>0</v>
      </c>
      <c r="K23" s="213">
        <f t="shared" si="0"/>
        <v>46748.143753000004</v>
      </c>
      <c r="L23" s="213"/>
      <c r="M23" s="213">
        <f>+'Rate Base Support'!AD23</f>
        <v>-46748.143753000004</v>
      </c>
      <c r="N23" s="213"/>
      <c r="O23" s="213">
        <f>+'Rate Base Support'!AF23</f>
        <v>0</v>
      </c>
      <c r="P23" s="213">
        <f>+'Rate Base Support'!AG23</f>
        <v>-46748.143753000004</v>
      </c>
      <c r="Q23" s="213">
        <f>+'Rate Base Support'!AH23</f>
        <v>0</v>
      </c>
      <c r="R23" s="213">
        <f>+'Rate Base Support'!AI23</f>
        <v>0</v>
      </c>
      <c r="S23" s="68"/>
    </row>
    <row r="24" spans="1:19">
      <c r="A24" s="58" t="s">
        <v>151</v>
      </c>
      <c r="B24" s="58" t="s">
        <v>152</v>
      </c>
      <c r="C24" s="58" t="s">
        <v>181</v>
      </c>
      <c r="D24" s="58">
        <f t="shared" si="1"/>
        <v>15</v>
      </c>
      <c r="E24" s="132" t="s">
        <v>22</v>
      </c>
      <c r="F24" s="58" t="s">
        <v>188</v>
      </c>
      <c r="G24" s="58" t="s">
        <v>30</v>
      </c>
      <c r="H24" s="214">
        <f>1000*7495.623477083</f>
        <v>7495623.4770829994</v>
      </c>
      <c r="I24" s="214">
        <f>1000*555.303498502</f>
        <v>555303.498502</v>
      </c>
      <c r="J24" s="213">
        <f>+'Rate Base Support'!Y24</f>
        <v>0</v>
      </c>
      <c r="K24" s="213">
        <f t="shared" si="0"/>
        <v>555303.498502</v>
      </c>
      <c r="L24" s="213"/>
      <c r="M24" s="213">
        <f>+'Rate Base Support'!AD24</f>
        <v>-555303.498502</v>
      </c>
      <c r="N24" s="213"/>
      <c r="O24" s="213">
        <f>+'Rate Base Support'!AF24</f>
        <v>0</v>
      </c>
      <c r="P24" s="213">
        <f>+'Rate Base Support'!AG24</f>
        <v>-555303.498502</v>
      </c>
      <c r="Q24" s="213">
        <f>+'Rate Base Support'!AH24</f>
        <v>0</v>
      </c>
      <c r="R24" s="213">
        <f>+'Rate Base Support'!AI24</f>
        <v>0</v>
      </c>
      <c r="S24" s="68"/>
    </row>
    <row r="25" spans="1:19">
      <c r="A25" s="58" t="s">
        <v>151</v>
      </c>
      <c r="B25" s="58" t="s">
        <v>152</v>
      </c>
      <c r="C25" s="58" t="s">
        <v>183</v>
      </c>
      <c r="D25" s="58">
        <f t="shared" si="1"/>
        <v>16</v>
      </c>
      <c r="E25" s="132" t="s">
        <v>22</v>
      </c>
      <c r="F25" s="58" t="s">
        <v>192</v>
      </c>
      <c r="G25" s="58" t="s">
        <v>70</v>
      </c>
      <c r="H25" s="214">
        <f>1000*0.02848125</f>
        <v>28.481249999999999</v>
      </c>
      <c r="I25" s="214">
        <f>1000*0.006300017</f>
        <v>6.3000169999999995</v>
      </c>
      <c r="J25" s="213">
        <f>+'Rate Base Support'!Y25</f>
        <v>0</v>
      </c>
      <c r="K25" s="213">
        <f t="shared" si="0"/>
        <v>6.3000169999999995</v>
      </c>
      <c r="L25" s="213"/>
      <c r="M25" s="213">
        <f>+'Rate Base Support'!AD25</f>
        <v>-6.3000169999999995</v>
      </c>
      <c r="N25" s="213"/>
      <c r="O25" s="213">
        <f>+'Rate Base Support'!AF25</f>
        <v>0</v>
      </c>
      <c r="P25" s="213">
        <f>+'Rate Base Support'!AG25</f>
        <v>-6.3000169999999995</v>
      </c>
      <c r="Q25" s="213">
        <f>+'Rate Base Support'!AH25</f>
        <v>0</v>
      </c>
      <c r="R25" s="213">
        <f>+'Rate Base Support'!AI25</f>
        <v>0</v>
      </c>
      <c r="S25" s="68"/>
    </row>
    <row r="26" spans="1:19">
      <c r="A26" s="58" t="s">
        <v>151</v>
      </c>
      <c r="B26" s="58" t="s">
        <v>152</v>
      </c>
      <c r="C26" s="58" t="s">
        <v>185</v>
      </c>
      <c r="D26" s="58">
        <f t="shared" si="1"/>
        <v>17</v>
      </c>
      <c r="E26" s="132" t="s">
        <v>22</v>
      </c>
      <c r="F26" s="58" t="s">
        <v>196</v>
      </c>
      <c r="G26" s="58" t="s">
        <v>30</v>
      </c>
      <c r="H26" s="214">
        <f>1000*1719.411539583</f>
        <v>1719411.5395829999</v>
      </c>
      <c r="I26" s="214">
        <f>1000*127.380363517</f>
        <v>127380.36351700001</v>
      </c>
      <c r="J26" s="213">
        <f>+'Rate Base Support'!Y26</f>
        <v>0</v>
      </c>
      <c r="K26" s="213">
        <f t="shared" si="0"/>
        <v>127380.36351700001</v>
      </c>
      <c r="L26" s="213"/>
      <c r="M26" s="213">
        <f>+'Rate Base Support'!AD26</f>
        <v>-127380.36351700001</v>
      </c>
      <c r="N26" s="213"/>
      <c r="O26" s="213">
        <f>+'Rate Base Support'!AF26</f>
        <v>0</v>
      </c>
      <c r="P26" s="213">
        <f>+'Rate Base Support'!AG26</f>
        <v>-127380.36351700001</v>
      </c>
      <c r="Q26" s="213">
        <f>+'Rate Base Support'!AH26</f>
        <v>0</v>
      </c>
      <c r="R26" s="213">
        <f>+'Rate Base Support'!AI26</f>
        <v>0</v>
      </c>
      <c r="S26" s="68"/>
    </row>
    <row r="27" spans="1:19">
      <c r="A27" s="58" t="s">
        <v>151</v>
      </c>
      <c r="B27" s="58" t="s">
        <v>152</v>
      </c>
      <c r="C27" s="58" t="s">
        <v>187</v>
      </c>
      <c r="D27" s="58">
        <f t="shared" si="1"/>
        <v>18</v>
      </c>
      <c r="E27" s="132" t="s">
        <v>22</v>
      </c>
      <c r="F27" s="58" t="s">
        <v>198</v>
      </c>
      <c r="G27" s="58" t="s">
        <v>67</v>
      </c>
      <c r="H27" s="214">
        <f>1000*87.42705625</f>
        <v>87427.056250000009</v>
      </c>
      <c r="I27" s="214">
        <f>1000*6.201427886</f>
        <v>6201.4278860000004</v>
      </c>
      <c r="J27" s="213">
        <f>+'Rate Base Support'!Y27</f>
        <v>0</v>
      </c>
      <c r="K27" s="213">
        <f t="shared" si="0"/>
        <v>6201.4278860000004</v>
      </c>
      <c r="L27" s="213"/>
      <c r="M27" s="213">
        <f>+'Rate Base Support'!AD27</f>
        <v>-6201.4278860000004</v>
      </c>
      <c r="N27" s="213"/>
      <c r="O27" s="213">
        <f>+'Rate Base Support'!AF27</f>
        <v>0</v>
      </c>
      <c r="P27" s="213">
        <f>+'Rate Base Support'!AG27</f>
        <v>-6201.4278860000004</v>
      </c>
      <c r="Q27" s="213">
        <f>+'Rate Base Support'!AH27</f>
        <v>0</v>
      </c>
      <c r="R27" s="213">
        <f>+'Rate Base Support'!AI27</f>
        <v>0</v>
      </c>
      <c r="S27" s="68"/>
    </row>
    <row r="28" spans="1:19">
      <c r="A28" s="58" t="s">
        <v>151</v>
      </c>
      <c r="B28" s="58" t="s">
        <v>152</v>
      </c>
      <c r="C28" s="58" t="s">
        <v>189</v>
      </c>
      <c r="D28" s="58">
        <f t="shared" si="1"/>
        <v>19</v>
      </c>
      <c r="E28" s="132" t="s">
        <v>22</v>
      </c>
      <c r="F28" s="58" t="s">
        <v>200</v>
      </c>
      <c r="G28" s="58" t="s">
        <v>30</v>
      </c>
      <c r="H28" s="214">
        <f>1000*-1038.7985</f>
        <v>-1038798.5000000001</v>
      </c>
      <c r="I28" s="214">
        <f>1000*-76.958033318</f>
        <v>-76958.033318000002</v>
      </c>
      <c r="J28" s="213">
        <f>+'Rate Base Support'!Y28</f>
        <v>76958.03</v>
      </c>
      <c r="K28" s="213">
        <f t="shared" si="0"/>
        <v>-3.3180000027641654E-3</v>
      </c>
      <c r="L28" s="213"/>
      <c r="M28" s="213">
        <f>+'Rate Base Support'!AD28</f>
        <v>3.3180000027641654E-3</v>
      </c>
      <c r="N28" s="213"/>
      <c r="O28" s="213">
        <f>+'Rate Base Support'!AF28</f>
        <v>0</v>
      </c>
      <c r="P28" s="213">
        <f>+'Rate Base Support'!AG28</f>
        <v>3.3180000027641654E-3</v>
      </c>
      <c r="Q28" s="213">
        <f>+'Rate Base Support'!AH28</f>
        <v>0</v>
      </c>
      <c r="R28" s="213">
        <f>+'Rate Base Support'!AI28</f>
        <v>0</v>
      </c>
      <c r="S28" s="68"/>
    </row>
    <row r="29" spans="1:19">
      <c r="A29" s="58" t="s">
        <v>151</v>
      </c>
      <c r="B29" s="58" t="s">
        <v>152</v>
      </c>
      <c r="C29" s="58" t="s">
        <v>191</v>
      </c>
      <c r="D29" s="58">
        <f t="shared" si="1"/>
        <v>20</v>
      </c>
      <c r="E29" s="132" t="s">
        <v>22</v>
      </c>
      <c r="F29" s="58" t="s">
        <v>202</v>
      </c>
      <c r="G29" s="58" t="s">
        <v>30</v>
      </c>
      <c r="H29" s="214">
        <f>1000*3571.939402083</f>
        <v>3571939.4020830002</v>
      </c>
      <c r="I29" s="214">
        <f>1000*264.622476366</f>
        <v>264622.47636600002</v>
      </c>
      <c r="J29" s="213">
        <f>+'Rate Base Support'!Y29</f>
        <v>0</v>
      </c>
      <c r="K29" s="213">
        <f t="shared" si="0"/>
        <v>264622.47636600002</v>
      </c>
      <c r="L29" s="213"/>
      <c r="M29" s="213">
        <f>+'Rate Base Support'!AD29</f>
        <v>-264622.47636600002</v>
      </c>
      <c r="N29" s="213"/>
      <c r="O29" s="213">
        <f>+'Rate Base Support'!AF29</f>
        <v>0</v>
      </c>
      <c r="P29" s="213">
        <f>+'Rate Base Support'!AG29</f>
        <v>-264622.47636600002</v>
      </c>
      <c r="Q29" s="213">
        <f>+'Rate Base Support'!AH29</f>
        <v>0</v>
      </c>
      <c r="R29" s="213">
        <f>+'Rate Base Support'!AI29</f>
        <v>0</v>
      </c>
      <c r="S29" s="68"/>
    </row>
    <row r="30" spans="1:19">
      <c r="A30" s="58" t="s">
        <v>151</v>
      </c>
      <c r="B30" s="58" t="s">
        <v>152</v>
      </c>
      <c r="C30" s="58" t="s">
        <v>233</v>
      </c>
      <c r="D30" s="58">
        <f t="shared" si="1"/>
        <v>21</v>
      </c>
      <c r="E30" s="132" t="s">
        <v>22</v>
      </c>
      <c r="F30" s="58" t="s">
        <v>170</v>
      </c>
      <c r="G30" s="58" t="s">
        <v>30</v>
      </c>
      <c r="H30" s="214">
        <f>1000*913.088954167</f>
        <v>913088.95416700002</v>
      </c>
      <c r="I30" s="214">
        <f>1000*67.645</f>
        <v>67645</v>
      </c>
      <c r="J30" s="213">
        <f>+'Rate Base Support'!Y30</f>
        <v>0</v>
      </c>
      <c r="K30" s="213">
        <f t="shared" si="0"/>
        <v>67645</v>
      </c>
      <c r="L30" s="213"/>
      <c r="M30" s="213">
        <f>+'Rate Base Support'!AD30</f>
        <v>-67645</v>
      </c>
      <c r="N30" s="213"/>
      <c r="O30" s="213">
        <f>+'Rate Base Support'!AF30</f>
        <v>0</v>
      </c>
      <c r="P30" s="213">
        <f>+'Rate Base Support'!AG30</f>
        <v>-67645</v>
      </c>
      <c r="Q30" s="213">
        <f>+'Rate Base Support'!AH30</f>
        <v>0</v>
      </c>
      <c r="R30" s="213">
        <f>+'Rate Base Support'!AI30</f>
        <v>0</v>
      </c>
      <c r="S30" s="68"/>
    </row>
    <row r="31" spans="1:19">
      <c r="A31" s="58" t="s">
        <v>151</v>
      </c>
      <c r="B31" s="58" t="s">
        <v>152</v>
      </c>
      <c r="C31" s="58" t="s">
        <v>193</v>
      </c>
      <c r="D31" s="58">
        <f t="shared" si="1"/>
        <v>22</v>
      </c>
      <c r="E31" s="132" t="s">
        <v>22</v>
      </c>
      <c r="F31" s="58" t="s">
        <v>206</v>
      </c>
      <c r="G31" s="58" t="s">
        <v>30</v>
      </c>
      <c r="H31" s="214">
        <f>1000*295.6664375</f>
        <v>295666.4375</v>
      </c>
      <c r="I31" s="214">
        <f>1000*21.904062769</f>
        <v>21904.062769</v>
      </c>
      <c r="J31" s="213">
        <f>+'Rate Base Support'!Y31</f>
        <v>-21904</v>
      </c>
      <c r="K31" s="213">
        <f t="shared" si="0"/>
        <v>6.2769000000116648E-2</v>
      </c>
      <c r="L31" s="213"/>
      <c r="M31" s="213">
        <f>+'Rate Base Support'!AD31</f>
        <v>-6.2769000000116648E-2</v>
      </c>
      <c r="N31" s="213"/>
      <c r="O31" s="213">
        <f>+'Rate Base Support'!AF31</f>
        <v>0</v>
      </c>
      <c r="P31" s="213">
        <f>+'Rate Base Support'!AG31</f>
        <v>-6.2769000000116648E-2</v>
      </c>
      <c r="Q31" s="213">
        <f>+'Rate Base Support'!AH31</f>
        <v>0</v>
      </c>
      <c r="R31" s="213">
        <f>+'Rate Base Support'!AI31</f>
        <v>0</v>
      </c>
      <c r="S31" s="68"/>
    </row>
    <row r="32" spans="1:19">
      <c r="A32" s="58" t="s">
        <v>151</v>
      </c>
      <c r="B32" s="58" t="s">
        <v>152</v>
      </c>
      <c r="C32" s="58" t="s">
        <v>195</v>
      </c>
      <c r="D32" s="58">
        <f t="shared" si="1"/>
        <v>23</v>
      </c>
      <c r="E32" s="132" t="s">
        <v>22</v>
      </c>
      <c r="F32" s="58" t="s">
        <v>208</v>
      </c>
      <c r="G32" s="58" t="s">
        <v>42</v>
      </c>
      <c r="H32" s="214">
        <f>1000*3571.843470833</f>
        <v>3571843.4708330003</v>
      </c>
      <c r="I32" s="214">
        <f>1000*281.829736874</f>
        <v>281829.73687399999</v>
      </c>
      <c r="J32" s="213">
        <f>+'Rate Base Support'!Y32</f>
        <v>0</v>
      </c>
      <c r="K32" s="213">
        <f t="shared" si="0"/>
        <v>281829.73687399999</v>
      </c>
      <c r="L32" s="213"/>
      <c r="M32" s="213">
        <f>+'Rate Base Support'!AD32</f>
        <v>-281829.73687399999</v>
      </c>
      <c r="N32" s="213"/>
      <c r="O32" s="213">
        <f>+'Rate Base Support'!AF32</f>
        <v>0</v>
      </c>
      <c r="P32" s="213">
        <f>+'Rate Base Support'!AG32</f>
        <v>-281829.73687399999</v>
      </c>
      <c r="Q32" s="213">
        <f>+'Rate Base Support'!AH32</f>
        <v>0</v>
      </c>
      <c r="R32" s="213">
        <f>+'Rate Base Support'!AI32</f>
        <v>0</v>
      </c>
      <c r="S32" s="68"/>
    </row>
    <row r="33" spans="1:19">
      <c r="A33" s="58" t="s">
        <v>151</v>
      </c>
      <c r="B33" s="58" t="s">
        <v>152</v>
      </c>
      <c r="C33" s="58" t="s">
        <v>197</v>
      </c>
      <c r="D33" s="58">
        <f t="shared" si="1"/>
        <v>24</v>
      </c>
      <c r="E33" s="132" t="s">
        <v>22</v>
      </c>
      <c r="F33" s="58" t="s">
        <v>210</v>
      </c>
      <c r="G33" s="58" t="s">
        <v>57</v>
      </c>
      <c r="H33" s="214">
        <f>1000*716.171833333</f>
        <v>716171.83333299996</v>
      </c>
      <c r="I33" s="214">
        <f>1000*158.181456508</f>
        <v>158181.456508</v>
      </c>
      <c r="J33" s="213">
        <f>+'Rate Base Support'!Y33</f>
        <v>0</v>
      </c>
      <c r="K33" s="213">
        <f t="shared" si="0"/>
        <v>158181.456508</v>
      </c>
      <c r="L33" s="213"/>
      <c r="M33" s="213">
        <f>+'Rate Base Support'!AD33</f>
        <v>-158181.456508</v>
      </c>
      <c r="N33" s="213"/>
      <c r="O33" s="213">
        <f>+'Rate Base Support'!AF33</f>
        <v>0</v>
      </c>
      <c r="P33" s="213">
        <f>+'Rate Base Support'!AG33</f>
        <v>-158181.456508</v>
      </c>
      <c r="Q33" s="213">
        <f>+'Rate Base Support'!AH33</f>
        <v>0</v>
      </c>
      <c r="R33" s="213">
        <f>+'Rate Base Support'!AI33</f>
        <v>0</v>
      </c>
      <c r="S33" s="68"/>
    </row>
    <row r="34" spans="1:19">
      <c r="A34" s="58" t="s">
        <v>151</v>
      </c>
      <c r="B34" s="58" t="s">
        <v>152</v>
      </c>
      <c r="C34" s="58" t="s">
        <v>199</v>
      </c>
      <c r="D34" s="58">
        <f t="shared" si="1"/>
        <v>25</v>
      </c>
      <c r="E34" s="132" t="s">
        <v>22</v>
      </c>
      <c r="F34" s="58" t="s">
        <v>212</v>
      </c>
      <c r="G34" s="58" t="s">
        <v>76</v>
      </c>
      <c r="H34" s="214">
        <f>1000*262.658954167</f>
        <v>262658.95416700002</v>
      </c>
      <c r="I34" s="214">
        <f>1000*58.495592141</f>
        <v>58495.592141000001</v>
      </c>
      <c r="J34" s="213">
        <f>+'Rate Base Support'!Y34</f>
        <v>0</v>
      </c>
      <c r="K34" s="213">
        <f t="shared" si="0"/>
        <v>58495.592141000001</v>
      </c>
      <c r="L34" s="213"/>
      <c r="M34" s="213">
        <f>+'Rate Base Support'!AD34</f>
        <v>-58495.592141000001</v>
      </c>
      <c r="N34" s="213"/>
      <c r="O34" s="213">
        <f>+'Rate Base Support'!AF34</f>
        <v>0</v>
      </c>
      <c r="P34" s="213">
        <f>+'Rate Base Support'!AG34</f>
        <v>-58495.592141000001</v>
      </c>
      <c r="Q34" s="213">
        <f>+'Rate Base Support'!AH34</f>
        <v>0</v>
      </c>
      <c r="R34" s="213">
        <f>+'Rate Base Support'!AI34</f>
        <v>0</v>
      </c>
      <c r="S34" s="68"/>
    </row>
    <row r="35" spans="1:19">
      <c r="A35" s="58" t="s">
        <v>151</v>
      </c>
      <c r="B35" s="58" t="s">
        <v>152</v>
      </c>
      <c r="C35" s="58" t="s">
        <v>201</v>
      </c>
      <c r="D35" s="58">
        <f t="shared" si="1"/>
        <v>26</v>
      </c>
      <c r="E35" s="132" t="s">
        <v>22</v>
      </c>
      <c r="F35" s="58" t="s">
        <v>218</v>
      </c>
      <c r="G35" s="58" t="s">
        <v>30</v>
      </c>
      <c r="H35" s="214">
        <f>1000*1013.777</f>
        <v>1013777</v>
      </c>
      <c r="I35" s="214">
        <f>1000*75.104348094</f>
        <v>75104.348094000001</v>
      </c>
      <c r="J35" s="213">
        <f>+'Rate Base Support'!Y35</f>
        <v>0</v>
      </c>
      <c r="K35" s="213">
        <f t="shared" si="0"/>
        <v>75104.348094000001</v>
      </c>
      <c r="L35" s="213"/>
      <c r="M35" s="213">
        <f>+'Rate Base Support'!AD35</f>
        <v>-75104.348094000001</v>
      </c>
      <c r="N35" s="213"/>
      <c r="O35" s="213">
        <f>+'Rate Base Support'!AF35</f>
        <v>0</v>
      </c>
      <c r="P35" s="213">
        <f>+'Rate Base Support'!AG35</f>
        <v>-75104.348094000001</v>
      </c>
      <c r="Q35" s="213">
        <f>+'Rate Base Support'!AH35</f>
        <v>0</v>
      </c>
      <c r="R35" s="213">
        <f>+'Rate Base Support'!AI35</f>
        <v>0</v>
      </c>
      <c r="S35" s="68"/>
    </row>
    <row r="36" spans="1:19">
      <c r="A36" s="58" t="s">
        <v>151</v>
      </c>
      <c r="B36" s="58" t="s">
        <v>152</v>
      </c>
      <c r="C36" s="58" t="s">
        <v>203</v>
      </c>
      <c r="D36" s="58">
        <f t="shared" si="1"/>
        <v>27</v>
      </c>
      <c r="E36" s="132" t="s">
        <v>22</v>
      </c>
      <c r="F36" s="58" t="s">
        <v>220</v>
      </c>
      <c r="G36" s="58" t="s">
        <v>30</v>
      </c>
      <c r="H36" s="214">
        <f>1000*706.205458333</f>
        <v>706205.45833300008</v>
      </c>
      <c r="I36" s="214">
        <f>1000*52.318311195</f>
        <v>52318.311195000002</v>
      </c>
      <c r="J36" s="213">
        <f>+'Rate Base Support'!Y36</f>
        <v>0</v>
      </c>
      <c r="K36" s="213">
        <f t="shared" si="0"/>
        <v>52318.311195000002</v>
      </c>
      <c r="L36" s="213"/>
      <c r="M36" s="213">
        <f>+'Rate Base Support'!AD36</f>
        <v>-52318.311195000002</v>
      </c>
      <c r="N36" s="213"/>
      <c r="O36" s="213">
        <f>+'Rate Base Support'!AF36</f>
        <v>0</v>
      </c>
      <c r="P36" s="213">
        <f>+'Rate Base Support'!AG36</f>
        <v>-52318.311195000002</v>
      </c>
      <c r="Q36" s="213">
        <f>+'Rate Base Support'!AH36</f>
        <v>0</v>
      </c>
      <c r="R36" s="213">
        <f>+'Rate Base Support'!AI36</f>
        <v>0</v>
      </c>
      <c r="S36" s="68"/>
    </row>
    <row r="37" spans="1:19">
      <c r="A37" s="58" t="s">
        <v>151</v>
      </c>
      <c r="B37" s="58" t="s">
        <v>152</v>
      </c>
      <c r="C37" s="58" t="s">
        <v>205</v>
      </c>
      <c r="D37" s="58">
        <f t="shared" si="1"/>
        <v>28</v>
      </c>
      <c r="E37" s="132" t="s">
        <v>22</v>
      </c>
      <c r="F37" s="58" t="s">
        <v>222</v>
      </c>
      <c r="G37" s="58" t="s">
        <v>30</v>
      </c>
      <c r="H37" s="214">
        <f>1000*257.159266667</f>
        <v>257159.26666699999</v>
      </c>
      <c r="I37" s="214">
        <f>1000*19.051309192</f>
        <v>19051.309192000001</v>
      </c>
      <c r="J37" s="213">
        <f>+'Rate Base Support'!Y37</f>
        <v>-19051</v>
      </c>
      <c r="K37" s="213">
        <f t="shared" si="0"/>
        <v>0.30919200000062119</v>
      </c>
      <c r="L37" s="213"/>
      <c r="M37" s="213">
        <f>+'Rate Base Support'!AD37</f>
        <v>-0.30919200000062119</v>
      </c>
      <c r="N37" s="213"/>
      <c r="O37" s="213">
        <f>+'Rate Base Support'!AF37</f>
        <v>0</v>
      </c>
      <c r="P37" s="213">
        <f>+'Rate Base Support'!AG37</f>
        <v>-0.30919200000062119</v>
      </c>
      <c r="Q37" s="213">
        <f>+'Rate Base Support'!AH37</f>
        <v>0</v>
      </c>
      <c r="R37" s="213">
        <f>+'Rate Base Support'!AI37</f>
        <v>0</v>
      </c>
      <c r="S37" s="68"/>
    </row>
    <row r="38" spans="1:19">
      <c r="A38" s="58" t="s">
        <v>151</v>
      </c>
      <c r="B38" s="58" t="s">
        <v>152</v>
      </c>
      <c r="C38" s="58" t="s">
        <v>207</v>
      </c>
      <c r="D38" s="58">
        <f t="shared" si="1"/>
        <v>29</v>
      </c>
      <c r="E38" s="132" t="s">
        <v>22</v>
      </c>
      <c r="F38" s="58" t="s">
        <v>224</v>
      </c>
      <c r="G38" s="58" t="s">
        <v>36</v>
      </c>
      <c r="H38" s="214">
        <f>1000*1.66375</f>
        <v>1663.75</v>
      </c>
      <c r="I38" s="214">
        <f>1000*1.66375</f>
        <v>1663.75</v>
      </c>
      <c r="J38" s="213">
        <f>+'Rate Base Support'!Y38</f>
        <v>0</v>
      </c>
      <c r="K38" s="213">
        <f t="shared" si="0"/>
        <v>1663.75</v>
      </c>
      <c r="L38" s="213"/>
      <c r="M38" s="213">
        <f>+'Rate Base Support'!AD38</f>
        <v>-1663.75</v>
      </c>
      <c r="N38" s="213"/>
      <c r="O38" s="213">
        <f>+'Rate Base Support'!AF38</f>
        <v>0</v>
      </c>
      <c r="P38" s="213">
        <f>+'Rate Base Support'!AG38</f>
        <v>-1663.75</v>
      </c>
      <c r="Q38" s="213">
        <f>+'Rate Base Support'!AH38</f>
        <v>0</v>
      </c>
      <c r="R38" s="213">
        <f>+'Rate Base Support'!AI38</f>
        <v>0</v>
      </c>
      <c r="S38" s="68"/>
    </row>
    <row r="39" spans="1:19">
      <c r="A39" s="58" t="s">
        <v>151</v>
      </c>
      <c r="B39" s="58" t="s">
        <v>152</v>
      </c>
      <c r="C39" s="58" t="s">
        <v>235</v>
      </c>
      <c r="D39" s="58">
        <f t="shared" si="1"/>
        <v>30</v>
      </c>
      <c r="E39" s="132" t="s">
        <v>22</v>
      </c>
      <c r="F39" s="58" t="s">
        <v>178</v>
      </c>
      <c r="G39" s="58" t="s">
        <v>26</v>
      </c>
      <c r="H39" s="214">
        <f>1000*1314.199325</f>
        <v>1314199.325</v>
      </c>
      <c r="I39" s="214">
        <f>1000*108.968737365</f>
        <v>108968.73736499999</v>
      </c>
      <c r="J39" s="213">
        <f>+'Rate Base Support'!Y39</f>
        <v>0</v>
      </c>
      <c r="K39" s="213">
        <f t="shared" si="0"/>
        <v>108968.73736499999</v>
      </c>
      <c r="L39" s="213"/>
      <c r="M39" s="213">
        <f>+'Rate Base Support'!AD39</f>
        <v>-108968.73736499999</v>
      </c>
      <c r="N39" s="213"/>
      <c r="O39" s="213">
        <f>+'Rate Base Support'!AF39</f>
        <v>0</v>
      </c>
      <c r="P39" s="213">
        <f>+'Rate Base Support'!AG39</f>
        <v>-108968.73736499999</v>
      </c>
      <c r="Q39" s="213">
        <f>+'Rate Base Support'!AH39</f>
        <v>0</v>
      </c>
      <c r="R39" s="213">
        <f>+'Rate Base Support'!AI39</f>
        <v>0</v>
      </c>
      <c r="S39" s="68"/>
    </row>
    <row r="40" spans="1:19">
      <c r="A40" s="58" t="s">
        <v>151</v>
      </c>
      <c r="B40" s="58" t="s">
        <v>152</v>
      </c>
      <c r="C40" s="58" t="s">
        <v>237</v>
      </c>
      <c r="D40" s="58">
        <f t="shared" si="1"/>
        <v>31</v>
      </c>
      <c r="E40" s="132" t="s">
        <v>22</v>
      </c>
      <c r="F40" s="58" t="s">
        <v>190</v>
      </c>
      <c r="G40" s="58" t="s">
        <v>30</v>
      </c>
      <c r="H40" s="214">
        <f>1000*2179.604497917</f>
        <v>2179604.4979170002</v>
      </c>
      <c r="I40" s="214">
        <f>1000*161.473159203</f>
        <v>161473.15920299999</v>
      </c>
      <c r="J40" s="213">
        <f>+'Rate Base Support'!Y40</f>
        <v>0</v>
      </c>
      <c r="K40" s="213">
        <f t="shared" si="0"/>
        <v>161473.15920299999</v>
      </c>
      <c r="L40" s="213"/>
      <c r="M40" s="213">
        <f>+'Rate Base Support'!AD40</f>
        <v>-161473.15920299999</v>
      </c>
      <c r="N40" s="213"/>
      <c r="O40" s="213">
        <f>+'Rate Base Support'!AF40</f>
        <v>0</v>
      </c>
      <c r="P40" s="213">
        <f>+'Rate Base Support'!AG40</f>
        <v>-161473.15920299999</v>
      </c>
      <c r="Q40" s="213">
        <f>+'Rate Base Support'!AH40</f>
        <v>0</v>
      </c>
      <c r="R40" s="213">
        <f>+'Rate Base Support'!AI40</f>
        <v>0</v>
      </c>
      <c r="S40" s="68"/>
    </row>
    <row r="41" spans="1:19">
      <c r="A41" s="58" t="s">
        <v>151</v>
      </c>
      <c r="B41" s="58" t="s">
        <v>152</v>
      </c>
      <c r="C41" s="58" t="s">
        <v>239</v>
      </c>
      <c r="D41" s="58">
        <f t="shared" si="1"/>
        <v>32</v>
      </c>
      <c r="E41" s="132" t="s">
        <v>22</v>
      </c>
      <c r="F41" s="58" t="s">
        <v>194</v>
      </c>
      <c r="G41" s="58" t="s">
        <v>30</v>
      </c>
      <c r="H41" s="214">
        <f>1000*389.876833333</f>
        <v>389876.83333299996</v>
      </c>
      <c r="I41" s="214">
        <f>1000*28.883517188</f>
        <v>28883.517187999998</v>
      </c>
      <c r="J41" s="213">
        <f>+'Rate Base Support'!Y41</f>
        <v>0</v>
      </c>
      <c r="K41" s="213">
        <f t="shared" si="0"/>
        <v>28883.517187999998</v>
      </c>
      <c r="L41" s="213"/>
      <c r="M41" s="213">
        <f>+'Rate Base Support'!AD41</f>
        <v>-28883.517187999998</v>
      </c>
      <c r="N41" s="213"/>
      <c r="O41" s="213">
        <f>+'Rate Base Support'!AF41</f>
        <v>0</v>
      </c>
      <c r="P41" s="213">
        <f>+'Rate Base Support'!AG41</f>
        <v>-28883.517187999998</v>
      </c>
      <c r="Q41" s="213">
        <f>+'Rate Base Support'!AH41</f>
        <v>0</v>
      </c>
      <c r="R41" s="213">
        <f>+'Rate Base Support'!AI41</f>
        <v>0</v>
      </c>
      <c r="S41" s="68"/>
    </row>
    <row r="42" spans="1:19" ht="16.5" customHeight="1">
      <c r="A42" s="58" t="s">
        <v>151</v>
      </c>
      <c r="B42" s="58" t="s">
        <v>152</v>
      </c>
      <c r="C42" s="58" t="s">
        <v>209</v>
      </c>
      <c r="D42" s="58">
        <f t="shared" si="1"/>
        <v>33</v>
      </c>
      <c r="E42" s="67" t="s">
        <v>50</v>
      </c>
      <c r="F42" s="58" t="s">
        <v>160</v>
      </c>
      <c r="G42" s="58" t="s">
        <v>32</v>
      </c>
      <c r="H42" s="214">
        <f>1000*285.464979167</f>
        <v>285464.97916700004</v>
      </c>
      <c r="I42" s="214">
        <f>1000*60.96805989</f>
        <v>60968.059889999997</v>
      </c>
      <c r="J42" s="213">
        <f>+'Rate Base Support'!Y42</f>
        <v>0</v>
      </c>
      <c r="K42" s="213">
        <f t="shared" si="0"/>
        <v>60968.059889999997</v>
      </c>
      <c r="L42" s="213"/>
      <c r="M42" s="213">
        <f>+'Rate Base Support'!AD42</f>
        <v>-60968.059889999997</v>
      </c>
      <c r="N42" s="213"/>
      <c r="O42" s="213">
        <f>+'Rate Base Support'!AF42</f>
        <v>0</v>
      </c>
      <c r="P42" s="213">
        <f>+'Rate Base Support'!AG42</f>
        <v>-60968.059889999997</v>
      </c>
      <c r="Q42" s="213">
        <f>+'Rate Base Support'!AH42</f>
        <v>0</v>
      </c>
      <c r="R42" s="213">
        <f>+'Rate Base Support'!AI42</f>
        <v>0</v>
      </c>
      <c r="S42" s="68"/>
    </row>
    <row r="43" spans="1:19" ht="16.5" customHeight="1">
      <c r="A43" s="58" t="s">
        <v>151</v>
      </c>
      <c r="B43" s="58" t="s">
        <v>152</v>
      </c>
      <c r="C43" s="58" t="s">
        <v>211</v>
      </c>
      <c r="D43" s="58">
        <f t="shared" si="1"/>
        <v>34</v>
      </c>
      <c r="E43" s="67" t="s">
        <v>50</v>
      </c>
      <c r="F43" s="58" t="s">
        <v>226</v>
      </c>
      <c r="G43" s="58" t="s">
        <v>42</v>
      </c>
      <c r="H43" s="214">
        <f>1000*2069.824797917</f>
        <v>2069824.797917</v>
      </c>
      <c r="I43" s="214">
        <f>1000*163.315717202</f>
        <v>163315.717202</v>
      </c>
      <c r="J43" s="213">
        <f>+'Rate Base Support'!Y43</f>
        <v>0</v>
      </c>
      <c r="K43" s="213">
        <f t="shared" si="0"/>
        <v>163315.717202</v>
      </c>
      <c r="L43" s="213"/>
      <c r="M43" s="213">
        <f>+'Rate Base Support'!AD43</f>
        <v>-163315.717202</v>
      </c>
      <c r="N43" s="213"/>
      <c r="O43" s="213">
        <f>+'Rate Base Support'!AF43</f>
        <v>0</v>
      </c>
      <c r="P43" s="213">
        <f>+'Rate Base Support'!AG43</f>
        <v>-163315.717202</v>
      </c>
      <c r="Q43" s="213">
        <f>+'Rate Base Support'!AH43</f>
        <v>0</v>
      </c>
      <c r="R43" s="213">
        <f>+'Rate Base Support'!AI43</f>
        <v>0</v>
      </c>
      <c r="S43" s="68"/>
    </row>
    <row r="44" spans="1:19" ht="16.5" customHeight="1">
      <c r="A44" s="58" t="s">
        <v>151</v>
      </c>
      <c r="B44" s="58" t="s">
        <v>152</v>
      </c>
      <c r="C44" s="58" t="s">
        <v>213</v>
      </c>
      <c r="D44" s="58">
        <f t="shared" si="1"/>
        <v>35</v>
      </c>
      <c r="E44" s="67" t="s">
        <v>50</v>
      </c>
      <c r="F44" s="58" t="s">
        <v>228</v>
      </c>
      <c r="G44" s="58" t="s">
        <v>32</v>
      </c>
      <c r="H44" s="214">
        <f>1000*90.373333333</f>
        <v>90373.333333000002</v>
      </c>
      <c r="I44" s="214">
        <f>1000*19.301445716</f>
        <v>19301.445715999998</v>
      </c>
      <c r="J44" s="213">
        <f>+'Rate Base Support'!Y44</f>
        <v>0</v>
      </c>
      <c r="K44" s="213">
        <f t="shared" si="0"/>
        <v>19301.445715999998</v>
      </c>
      <c r="L44" s="213"/>
      <c r="M44" s="213">
        <f>+'Rate Base Support'!AD44</f>
        <v>-19301.445715999998</v>
      </c>
      <c r="N44" s="213"/>
      <c r="O44" s="213">
        <f>+'Rate Base Support'!AF44</f>
        <v>0</v>
      </c>
      <c r="P44" s="213">
        <f>+'Rate Base Support'!AG44</f>
        <v>-19301.445715999998</v>
      </c>
      <c r="Q44" s="213">
        <f>+'Rate Base Support'!AH44</f>
        <v>0</v>
      </c>
      <c r="R44" s="213">
        <f>+'Rate Base Support'!AI44</f>
        <v>0</v>
      </c>
      <c r="S44" s="68"/>
    </row>
    <row r="45" spans="1:19">
      <c r="A45" s="58" t="s">
        <v>151</v>
      </c>
      <c r="B45" s="58" t="s">
        <v>152</v>
      </c>
      <c r="C45" s="58" t="s">
        <v>215</v>
      </c>
      <c r="D45" s="58">
        <f t="shared" si="1"/>
        <v>36</v>
      </c>
      <c r="E45" s="67" t="s">
        <v>50</v>
      </c>
      <c r="F45" s="58" t="s">
        <v>230</v>
      </c>
      <c r="G45" s="58" t="s">
        <v>32</v>
      </c>
      <c r="H45" s="214">
        <f>1000*76.37725</f>
        <v>76377.25</v>
      </c>
      <c r="I45" s="214">
        <f>1000*16.31223825</f>
        <v>16312.23825</v>
      </c>
      <c r="J45" s="213">
        <f>+'Rate Base Support'!Y45</f>
        <v>0</v>
      </c>
      <c r="K45" s="213">
        <f t="shared" si="0"/>
        <v>16312.23825</v>
      </c>
      <c r="L45" s="213"/>
      <c r="M45" s="213">
        <f>+'Rate Base Support'!AD45</f>
        <v>-16312.23825</v>
      </c>
      <c r="N45" s="213"/>
      <c r="O45" s="213">
        <f>+'Rate Base Support'!AF45</f>
        <v>0</v>
      </c>
      <c r="P45" s="213">
        <f>+'Rate Base Support'!AG45</f>
        <v>-16312.23825</v>
      </c>
      <c r="Q45" s="213">
        <f>+'Rate Base Support'!AH45</f>
        <v>0</v>
      </c>
      <c r="R45" s="213">
        <f>+'Rate Base Support'!AI45</f>
        <v>0</v>
      </c>
      <c r="S45" s="68"/>
    </row>
    <row r="46" spans="1:19">
      <c r="A46" s="58" t="s">
        <v>151</v>
      </c>
      <c r="B46" s="58" t="s">
        <v>152</v>
      </c>
      <c r="C46" s="58" t="s">
        <v>217</v>
      </c>
      <c r="D46" s="58">
        <f t="shared" si="1"/>
        <v>37</v>
      </c>
      <c r="E46" s="67" t="s">
        <v>50</v>
      </c>
      <c r="F46" s="58" t="s">
        <v>232</v>
      </c>
      <c r="G46" s="58" t="s">
        <v>42</v>
      </c>
      <c r="H46" s="214">
        <f>1000*-30.437125</f>
        <v>-30437.125</v>
      </c>
      <c r="I46" s="214">
        <f>1000*-2.401585344</f>
        <v>-2401.5853440000001</v>
      </c>
      <c r="J46" s="213">
        <f>+'Rate Base Support'!Y46</f>
        <v>2394</v>
      </c>
      <c r="K46" s="213">
        <f t="shared" si="0"/>
        <v>-7.5853440000000774</v>
      </c>
      <c r="L46" s="213"/>
      <c r="M46" s="213">
        <f>+'Rate Base Support'!AD46</f>
        <v>7.5853440000000774</v>
      </c>
      <c r="N46" s="213"/>
      <c r="O46" s="213">
        <f>+'Rate Base Support'!AF46</f>
        <v>0</v>
      </c>
      <c r="P46" s="213">
        <f>+'Rate Base Support'!AG46</f>
        <v>7.5853440000000774</v>
      </c>
      <c r="Q46" s="213">
        <f>+'Rate Base Support'!AH46</f>
        <v>0</v>
      </c>
      <c r="R46" s="213">
        <f>+'Rate Base Support'!AI46</f>
        <v>0</v>
      </c>
      <c r="S46" s="68"/>
    </row>
    <row r="47" spans="1:19">
      <c r="A47" s="58" t="s">
        <v>151</v>
      </c>
      <c r="B47" s="58" t="s">
        <v>152</v>
      </c>
      <c r="C47" s="58" t="s">
        <v>219</v>
      </c>
      <c r="D47" s="58">
        <f t="shared" si="1"/>
        <v>38</v>
      </c>
      <c r="E47" s="67" t="s">
        <v>50</v>
      </c>
      <c r="F47" s="58" t="s">
        <v>234</v>
      </c>
      <c r="G47" s="58" t="s">
        <v>32</v>
      </c>
      <c r="H47" s="214">
        <f>1000*-59.624541667</f>
        <v>-59624.541667000005</v>
      </c>
      <c r="I47" s="214">
        <f>1000*-12.734285788</f>
        <v>-12734.285787999999</v>
      </c>
      <c r="J47" s="213">
        <f>+'Rate Base Support'!Y47</f>
        <v>0</v>
      </c>
      <c r="K47" s="213">
        <f t="shared" si="0"/>
        <v>-12734.285787999999</v>
      </c>
      <c r="L47" s="213"/>
      <c r="M47" s="213">
        <f>+'Rate Base Support'!AD47</f>
        <v>12734.285787999999</v>
      </c>
      <c r="N47" s="213"/>
      <c r="O47" s="213">
        <f>+'Rate Base Support'!AF47</f>
        <v>0</v>
      </c>
      <c r="P47" s="213">
        <f>+'Rate Base Support'!AG47</f>
        <v>12734.285787999999</v>
      </c>
      <c r="Q47" s="213">
        <f>+'Rate Base Support'!AH47</f>
        <v>0</v>
      </c>
      <c r="R47" s="213">
        <f>+'Rate Base Support'!AI47</f>
        <v>0</v>
      </c>
      <c r="S47" s="68"/>
    </row>
    <row r="48" spans="1:19">
      <c r="A48" s="58" t="s">
        <v>151</v>
      </c>
      <c r="B48" s="58" t="s">
        <v>152</v>
      </c>
      <c r="C48" s="58" t="s">
        <v>221</v>
      </c>
      <c r="D48" s="58">
        <f t="shared" si="1"/>
        <v>39</v>
      </c>
      <c r="E48" s="67" t="s">
        <v>50</v>
      </c>
      <c r="F48" s="58" t="s">
        <v>236</v>
      </c>
      <c r="G48" s="58" t="s">
        <v>32</v>
      </c>
      <c r="H48" s="214">
        <f>1000*8.7245</f>
        <v>8724.5</v>
      </c>
      <c r="I48" s="214">
        <f>1000*1.863331327</f>
        <v>1863.3313270000001</v>
      </c>
      <c r="J48" s="213">
        <f>+'Rate Base Support'!Y48</f>
        <v>0</v>
      </c>
      <c r="K48" s="213">
        <f t="shared" si="0"/>
        <v>1863.3313270000001</v>
      </c>
      <c r="L48" s="213"/>
      <c r="M48" s="213">
        <f>+'Rate Base Support'!AD48</f>
        <v>-1863.3313270000001</v>
      </c>
      <c r="N48" s="213"/>
      <c r="O48" s="213">
        <f>+'Rate Base Support'!AF48</f>
        <v>0</v>
      </c>
      <c r="P48" s="213">
        <f>+'Rate Base Support'!AG48</f>
        <v>-1863.3313270000001</v>
      </c>
      <c r="Q48" s="213">
        <f>+'Rate Base Support'!AH48</f>
        <v>0</v>
      </c>
      <c r="R48" s="213">
        <f>+'Rate Base Support'!AI48</f>
        <v>0</v>
      </c>
      <c r="S48" s="68"/>
    </row>
    <row r="49" spans="1:19">
      <c r="A49" s="58" t="s">
        <v>151</v>
      </c>
      <c r="B49" s="58" t="s">
        <v>152</v>
      </c>
      <c r="C49" s="58" t="s">
        <v>223</v>
      </c>
      <c r="D49" s="58">
        <f t="shared" si="1"/>
        <v>40</v>
      </c>
      <c r="E49" s="67" t="s">
        <v>50</v>
      </c>
      <c r="F49" s="58" t="s">
        <v>238</v>
      </c>
      <c r="G49" s="58" t="s">
        <v>32</v>
      </c>
      <c r="H49" s="214">
        <f>1000*12.645791667</f>
        <v>12645.791667</v>
      </c>
      <c r="I49" s="214">
        <f>1000*2.700819505</f>
        <v>2700.8195049999999</v>
      </c>
      <c r="J49" s="213">
        <f>+'Rate Base Support'!Y49</f>
        <v>0</v>
      </c>
      <c r="K49" s="213">
        <f t="shared" si="0"/>
        <v>2700.8195049999999</v>
      </c>
      <c r="L49" s="213"/>
      <c r="M49" s="213">
        <f>+'Rate Base Support'!AD49</f>
        <v>-2700.8195049999999</v>
      </c>
      <c r="N49" s="213"/>
      <c r="O49" s="213">
        <f>+'Rate Base Support'!AF49</f>
        <v>0</v>
      </c>
      <c r="P49" s="213">
        <f>+'Rate Base Support'!AG49</f>
        <v>-2700.8195049999999</v>
      </c>
      <c r="Q49" s="213">
        <f>+'Rate Base Support'!AH49</f>
        <v>0</v>
      </c>
      <c r="R49" s="213">
        <f>+'Rate Base Support'!AI49</f>
        <v>0</v>
      </c>
      <c r="S49" s="68"/>
    </row>
    <row r="50" spans="1:19">
      <c r="A50" s="58" t="s">
        <v>151</v>
      </c>
      <c r="B50" s="58" t="s">
        <v>152</v>
      </c>
      <c r="C50" s="58" t="s">
        <v>225</v>
      </c>
      <c r="D50" s="58">
        <f t="shared" si="1"/>
        <v>41</v>
      </c>
      <c r="E50" s="67" t="s">
        <v>50</v>
      </c>
      <c r="F50" s="58" t="s">
        <v>240</v>
      </c>
      <c r="G50" s="58" t="s">
        <v>32</v>
      </c>
      <c r="H50" s="214">
        <f>1000*84.4315</f>
        <v>84431.5</v>
      </c>
      <c r="I50" s="214">
        <f>1000*18.032421223</f>
        <v>18032.421223000001</v>
      </c>
      <c r="J50" s="213">
        <f>+'Rate Base Support'!Y50</f>
        <v>0</v>
      </c>
      <c r="K50" s="213">
        <f t="shared" si="0"/>
        <v>18032.421223000001</v>
      </c>
      <c r="L50" s="213"/>
      <c r="M50" s="213">
        <f>+'Rate Base Support'!AD50</f>
        <v>-18032.421223000001</v>
      </c>
      <c r="N50" s="213"/>
      <c r="O50" s="213">
        <f>+'Rate Base Support'!AF50</f>
        <v>0</v>
      </c>
      <c r="P50" s="213">
        <f>+'Rate Base Support'!AG50</f>
        <v>-18032.421223000001</v>
      </c>
      <c r="Q50" s="213">
        <f>+'Rate Base Support'!AH50</f>
        <v>0</v>
      </c>
      <c r="R50" s="213">
        <f>+'Rate Base Support'!AI50</f>
        <v>0</v>
      </c>
      <c r="S50" s="68"/>
    </row>
    <row r="51" spans="1:19">
      <c r="A51" s="58" t="s">
        <v>151</v>
      </c>
      <c r="B51" s="58" t="s">
        <v>152</v>
      </c>
      <c r="C51" s="58" t="s">
        <v>227</v>
      </c>
      <c r="D51" s="58">
        <f t="shared" si="1"/>
        <v>42</v>
      </c>
      <c r="E51" s="67" t="s">
        <v>50</v>
      </c>
      <c r="F51" s="58" t="s">
        <v>242</v>
      </c>
      <c r="G51" s="58" t="s">
        <v>32</v>
      </c>
      <c r="H51" s="214">
        <f>1000*825.139666667</f>
        <v>825139.66666700004</v>
      </c>
      <c r="I51" s="214">
        <f>1000*176.228848673</f>
        <v>176228.848673</v>
      </c>
      <c r="J51" s="213">
        <f>+'Rate Base Support'!Y51</f>
        <v>0</v>
      </c>
      <c r="K51" s="213">
        <f t="shared" si="0"/>
        <v>176228.848673</v>
      </c>
      <c r="L51" s="213"/>
      <c r="M51" s="213">
        <f>+'Rate Base Support'!AD51</f>
        <v>-176228.848673</v>
      </c>
      <c r="N51" s="213"/>
      <c r="O51" s="213">
        <f>+'Rate Base Support'!AF51</f>
        <v>0</v>
      </c>
      <c r="P51" s="213">
        <f>+'Rate Base Support'!AG51</f>
        <v>-176228.848673</v>
      </c>
      <c r="Q51" s="213">
        <f>+'Rate Base Support'!AH51</f>
        <v>0</v>
      </c>
      <c r="R51" s="213">
        <f>+'Rate Base Support'!AI51</f>
        <v>0</v>
      </c>
      <c r="S51" s="68"/>
    </row>
    <row r="52" spans="1:19">
      <c r="A52" s="58" t="s">
        <v>151</v>
      </c>
      <c r="B52" s="58" t="s">
        <v>152</v>
      </c>
      <c r="C52" s="58" t="s">
        <v>229</v>
      </c>
      <c r="D52" s="58">
        <f t="shared" si="1"/>
        <v>43</v>
      </c>
      <c r="E52" s="67" t="s">
        <v>50</v>
      </c>
      <c r="F52" s="58" t="s">
        <v>247</v>
      </c>
      <c r="G52" s="58" t="s">
        <v>32</v>
      </c>
      <c r="H52" s="214">
        <f>1000*-8.180708333</f>
        <v>-8180.7083330000005</v>
      </c>
      <c r="I52" s="214">
        <f>1000*-1.747191256</f>
        <v>-1747.1912560000001</v>
      </c>
      <c r="J52" s="213">
        <f>+'Rate Base Support'!Y52</f>
        <v>0</v>
      </c>
      <c r="K52" s="213">
        <f t="shared" si="0"/>
        <v>-1747.1912560000001</v>
      </c>
      <c r="L52" s="213"/>
      <c r="M52" s="213">
        <f>+'Rate Base Support'!AD52</f>
        <v>1747.1912560000001</v>
      </c>
      <c r="N52" s="213"/>
      <c r="O52" s="213">
        <f>+'Rate Base Support'!AF52</f>
        <v>0</v>
      </c>
      <c r="P52" s="213">
        <f>+'Rate Base Support'!AG52</f>
        <v>1747.1912560000001</v>
      </c>
      <c r="Q52" s="213">
        <f>+'Rate Base Support'!AH52</f>
        <v>0</v>
      </c>
      <c r="R52" s="213">
        <f>+'Rate Base Support'!AI52</f>
        <v>0</v>
      </c>
      <c r="S52" s="68"/>
    </row>
    <row r="53" spans="1:19">
      <c r="A53" s="58" t="s">
        <v>151</v>
      </c>
      <c r="B53" s="58" t="s">
        <v>152</v>
      </c>
      <c r="C53" s="58" t="s">
        <v>231</v>
      </c>
      <c r="D53" s="58">
        <f t="shared" si="1"/>
        <v>44</v>
      </c>
      <c r="E53" s="132" t="s">
        <v>244</v>
      </c>
      <c r="F53" s="58" t="s">
        <v>245</v>
      </c>
      <c r="G53" s="58" t="s">
        <v>32</v>
      </c>
      <c r="H53" s="214">
        <f>1000*-1135.29225</f>
        <v>-1135292.25</v>
      </c>
      <c r="I53" s="214">
        <f>1000*-242.469552983</f>
        <v>-242469.552983</v>
      </c>
      <c r="J53" s="213">
        <f>+'Rate Base Support'!Y53</f>
        <v>0</v>
      </c>
      <c r="K53" s="213">
        <f t="shared" si="0"/>
        <v>-242469.552983</v>
      </c>
      <c r="L53" s="213"/>
      <c r="M53" s="213">
        <f>+'Rate Base Support'!AD53</f>
        <v>0</v>
      </c>
      <c r="N53" s="213"/>
      <c r="O53" s="213">
        <f>+'Rate Base Support'!AF53</f>
        <v>-242469.552983</v>
      </c>
      <c r="P53" s="213">
        <f>+'Rate Base Support'!AG53</f>
        <v>0</v>
      </c>
      <c r="Q53" s="213">
        <f>+'Rate Base Support'!AH53</f>
        <v>-242470</v>
      </c>
      <c r="R53" s="213">
        <f>+'Rate Base Support'!AI53</f>
        <v>0</v>
      </c>
      <c r="S53" s="68"/>
    </row>
    <row r="54" spans="1:19">
      <c r="A54" s="58" t="s">
        <v>151</v>
      </c>
      <c r="B54" s="58" t="s">
        <v>152</v>
      </c>
      <c r="C54" s="58" t="s">
        <v>241</v>
      </c>
      <c r="D54" s="58">
        <f t="shared" si="1"/>
        <v>45</v>
      </c>
      <c r="E54" s="132" t="s">
        <v>58</v>
      </c>
      <c r="F54" s="58" t="s">
        <v>204</v>
      </c>
      <c r="G54" s="58" t="s">
        <v>26</v>
      </c>
      <c r="H54" s="214">
        <f>1000*19.338322917</f>
        <v>19338.322916999998</v>
      </c>
      <c r="I54" s="214">
        <f>1000*1.603465008</f>
        <v>1603.4650079999999</v>
      </c>
      <c r="J54" s="213">
        <f>+'Rate Base Support'!Y54</f>
        <v>0</v>
      </c>
      <c r="K54" s="213">
        <f t="shared" si="0"/>
        <v>1603.4650079999999</v>
      </c>
      <c r="L54" s="213"/>
      <c r="M54" s="213">
        <f>+'Rate Base Support'!AD54</f>
        <v>0</v>
      </c>
      <c r="N54" s="213"/>
      <c r="O54" s="213">
        <f>+'Rate Base Support'!AF54</f>
        <v>1603.4650079999999</v>
      </c>
      <c r="P54" s="213">
        <f>+'Rate Base Support'!AG54</f>
        <v>0</v>
      </c>
      <c r="Q54" s="213">
        <f>+'Rate Base Support'!AH54</f>
        <v>0</v>
      </c>
      <c r="R54" s="213">
        <f>+'Rate Base Support'!AI54</f>
        <v>1603.4650079999999</v>
      </c>
      <c r="S54" s="68"/>
    </row>
    <row r="55" spans="1:19">
      <c r="A55" s="58" t="s">
        <v>151</v>
      </c>
      <c r="B55" s="58" t="s">
        <v>152</v>
      </c>
      <c r="C55" s="58" t="s">
        <v>243</v>
      </c>
      <c r="D55" s="58">
        <f t="shared" si="1"/>
        <v>46</v>
      </c>
      <c r="E55" s="132" t="s">
        <v>58</v>
      </c>
      <c r="F55" s="58" t="s">
        <v>214</v>
      </c>
      <c r="G55" s="58" t="s">
        <v>70</v>
      </c>
      <c r="H55" s="214">
        <f>1000*607.430791667</f>
        <v>607430.79166700004</v>
      </c>
      <c r="I55" s="214">
        <f>1000*134.362926361</f>
        <v>134362.92636100002</v>
      </c>
      <c r="J55" s="213">
        <f>+'Rate Base Support'!Y55</f>
        <v>-134363</v>
      </c>
      <c r="K55" s="213">
        <f t="shared" si="0"/>
        <v>-7.3638999980175868E-2</v>
      </c>
      <c r="L55" s="213"/>
      <c r="M55" s="213">
        <f>+'Rate Base Support'!AD55</f>
        <v>0</v>
      </c>
      <c r="N55" s="213"/>
      <c r="O55" s="213">
        <f>+'Rate Base Support'!AF55</f>
        <v>-7.3638999980175868E-2</v>
      </c>
      <c r="P55" s="213">
        <f>+'Rate Base Support'!AG55</f>
        <v>0</v>
      </c>
      <c r="Q55" s="213">
        <f>+'Rate Base Support'!AH55</f>
        <v>0</v>
      </c>
      <c r="R55" s="213">
        <f>+'Rate Base Support'!AI55</f>
        <v>0</v>
      </c>
      <c r="S55" s="68"/>
    </row>
    <row r="56" spans="1:19">
      <c r="A56" s="58" t="s">
        <v>151</v>
      </c>
      <c r="B56" s="58" t="s">
        <v>152</v>
      </c>
      <c r="C56" s="58" t="s">
        <v>246</v>
      </c>
      <c r="D56" s="58">
        <f t="shared" si="1"/>
        <v>47</v>
      </c>
      <c r="E56" s="132" t="s">
        <v>58</v>
      </c>
      <c r="F56" s="58" t="s">
        <v>216</v>
      </c>
      <c r="G56" s="58" t="s">
        <v>36</v>
      </c>
      <c r="H56" s="214">
        <f>1000*43.33531875</f>
        <v>43335.318749999999</v>
      </c>
      <c r="I56" s="214">
        <f>1000*43.33531875</f>
        <v>43335.318749999999</v>
      </c>
      <c r="J56" s="213">
        <f>+'Rate Base Support'!Y56</f>
        <v>-43335</v>
      </c>
      <c r="K56" s="213">
        <f t="shared" si="0"/>
        <v>0.31874999999854481</v>
      </c>
      <c r="L56" s="213"/>
      <c r="M56" s="213">
        <f>+'Rate Base Support'!AD56</f>
        <v>0</v>
      </c>
      <c r="N56" s="213"/>
      <c r="O56" s="213">
        <f>+'Rate Base Support'!AF56</f>
        <v>0.31874999999854481</v>
      </c>
      <c r="P56" s="213">
        <f>+'Rate Base Support'!AG56</f>
        <v>0</v>
      </c>
      <c r="Q56" s="213">
        <f>+'Rate Base Support'!AH56</f>
        <v>0</v>
      </c>
      <c r="R56" s="213">
        <f>+'Rate Base Support'!AI56</f>
        <v>0.31874999999854481</v>
      </c>
      <c r="S56" s="68"/>
    </row>
    <row r="57" spans="1:19">
      <c r="A57" s="192" t="s">
        <v>248</v>
      </c>
      <c r="B57" s="58"/>
      <c r="C57" s="58"/>
      <c r="D57" s="58">
        <f t="shared" si="1"/>
        <v>48</v>
      </c>
      <c r="E57" s="132" t="s">
        <v>58</v>
      </c>
      <c r="F57" s="60" t="s">
        <v>249</v>
      </c>
      <c r="G57" s="58"/>
      <c r="H57" s="214"/>
      <c r="I57" s="214"/>
      <c r="J57" s="213">
        <f>+'Rate Base Support'!Y57</f>
        <v>1600912</v>
      </c>
      <c r="K57" s="213">
        <f t="shared" si="0"/>
        <v>1600912</v>
      </c>
      <c r="L57" s="213"/>
      <c r="M57" s="213">
        <f>+'Rate Base Support'!AD57</f>
        <v>0</v>
      </c>
      <c r="N57" s="213"/>
      <c r="O57" s="213">
        <f>+'Rate Base Support'!AF57</f>
        <v>1600912</v>
      </c>
      <c r="P57" s="213">
        <f>+'Rate Base Support'!AG57</f>
        <v>0</v>
      </c>
      <c r="Q57" s="213">
        <f>+'Rate Base Support'!AH57</f>
        <v>1600912</v>
      </c>
      <c r="R57" s="213">
        <f>+'Rate Base Support'!AI57</f>
        <v>0</v>
      </c>
      <c r="S57" s="68"/>
    </row>
    <row r="58" spans="1:19" ht="20.25" customHeight="1">
      <c r="A58" s="63" t="s">
        <v>250</v>
      </c>
      <c r="B58" s="58"/>
      <c r="C58" s="63"/>
      <c r="D58" s="58">
        <f t="shared" si="1"/>
        <v>49</v>
      </c>
      <c r="F58" s="202" t="s">
        <v>548</v>
      </c>
      <c r="G58" s="63"/>
      <c r="H58" s="215"/>
      <c r="I58" s="215">
        <f t="shared" ref="I58:L58" si="2">SUM(I10:I57)</f>
        <v>5165174.1716149999</v>
      </c>
      <c r="J58" s="215">
        <f t="shared" si="2"/>
        <v>1112209.0699999998</v>
      </c>
      <c r="K58" s="215">
        <f t="shared" si="2"/>
        <v>6277383.2416150011</v>
      </c>
      <c r="L58" s="215">
        <f t="shared" si="2"/>
        <v>0</v>
      </c>
      <c r="M58" s="215">
        <f>SUM(M10:M57)</f>
        <v>-4917337.0844790014</v>
      </c>
      <c r="N58" s="215"/>
      <c r="O58" s="215">
        <f>SUM(O10:O57)</f>
        <v>1360046.157136</v>
      </c>
      <c r="P58" s="215">
        <f t="shared" ref="P58:R58" si="3">SUM(P10:P57)</f>
        <v>-4917337.0844790014</v>
      </c>
      <c r="Q58" s="215">
        <f t="shared" si="3"/>
        <v>1358442</v>
      </c>
      <c r="R58" s="215">
        <f t="shared" si="3"/>
        <v>1603.7837579999984</v>
      </c>
      <c r="S58" s="68"/>
    </row>
    <row r="59" spans="1:19">
      <c r="A59" s="58" t="s">
        <v>251</v>
      </c>
      <c r="B59" s="58" t="s">
        <v>252</v>
      </c>
      <c r="C59" s="58" t="s">
        <v>253</v>
      </c>
      <c r="D59" s="58">
        <f t="shared" si="1"/>
        <v>50</v>
      </c>
      <c r="E59" s="132" t="s">
        <v>22</v>
      </c>
      <c r="F59" s="58" t="s">
        <v>254</v>
      </c>
      <c r="G59" s="58" t="s">
        <v>30</v>
      </c>
      <c r="H59" s="214">
        <f>1000*-5528.011358333</f>
        <v>-5528011.358333</v>
      </c>
      <c r="I59" s="214">
        <f>1000*-409.535518483</f>
        <v>-409535.51848299999</v>
      </c>
      <c r="J59" s="213">
        <f>+'Rate Base Support'!Y59</f>
        <v>0</v>
      </c>
      <c r="K59" s="213">
        <f>+J59+I59</f>
        <v>-409535.51848299999</v>
      </c>
      <c r="L59" s="213"/>
      <c r="M59" s="213">
        <f>+'Rate Base Support'!AD59</f>
        <v>409536</v>
      </c>
      <c r="N59" s="213"/>
      <c r="O59" s="213">
        <f>+'Rate Base Support'!AF59</f>
        <v>0.48151700000744313</v>
      </c>
      <c r="P59" s="213">
        <f>+'Rate Base Support'!AG59</f>
        <v>409536</v>
      </c>
      <c r="Q59" s="213">
        <f>+'Rate Base Support'!AH59</f>
        <v>0</v>
      </c>
      <c r="R59" s="213">
        <f>+'Rate Base Support'!AI59</f>
        <v>0</v>
      </c>
      <c r="S59" s="68"/>
    </row>
    <row r="60" spans="1:19">
      <c r="A60" s="58">
        <v>282</v>
      </c>
      <c r="B60" s="58"/>
      <c r="C60" s="58"/>
      <c r="D60" s="58">
        <f t="shared" si="1"/>
        <v>51</v>
      </c>
      <c r="E60" s="132" t="s">
        <v>244</v>
      </c>
      <c r="F60" s="60" t="s">
        <v>132</v>
      </c>
      <c r="G60" s="58"/>
      <c r="H60" s="214"/>
      <c r="I60" s="214"/>
      <c r="J60" s="213">
        <f>+'Rate Base Support'!Y60</f>
        <v>-510417</v>
      </c>
      <c r="K60" s="213">
        <f>+J60+I60</f>
        <v>-510417</v>
      </c>
      <c r="L60" s="213"/>
      <c r="M60" s="213">
        <f>+'Rate Base Support'!AD60</f>
        <v>0</v>
      </c>
      <c r="N60" s="213"/>
      <c r="O60" s="213">
        <f>+'Rate Base Support'!AF60</f>
        <v>-510417</v>
      </c>
      <c r="P60" s="213">
        <f>+'Rate Base Support'!AG60</f>
        <v>0</v>
      </c>
      <c r="Q60" s="213">
        <f>+'Rate Base Support'!AH60</f>
        <v>-510417</v>
      </c>
      <c r="R60" s="213">
        <f>+'Rate Base Support'!AI60</f>
        <v>0</v>
      </c>
      <c r="S60" s="68"/>
    </row>
    <row r="61" spans="1:19" ht="21.75" customHeight="1">
      <c r="A61" s="63" t="s">
        <v>255</v>
      </c>
      <c r="B61" s="58"/>
      <c r="C61" s="63"/>
      <c r="D61" s="58">
        <f t="shared" si="1"/>
        <v>52</v>
      </c>
      <c r="F61" s="202" t="s">
        <v>533</v>
      </c>
      <c r="G61" s="63"/>
      <c r="H61" s="215">
        <f>+H59</f>
        <v>-5528011.358333</v>
      </c>
      <c r="I61" s="215">
        <f>+I59+I60</f>
        <v>-409535.51848299999</v>
      </c>
      <c r="J61" s="215">
        <f t="shared" ref="J61:O61" si="4">+J59+J60</f>
        <v>-510417</v>
      </c>
      <c r="K61" s="215">
        <f t="shared" si="4"/>
        <v>-919952.51848299999</v>
      </c>
      <c r="L61" s="215">
        <f t="shared" si="4"/>
        <v>0</v>
      </c>
      <c r="M61" s="215">
        <f t="shared" si="4"/>
        <v>409536</v>
      </c>
      <c r="N61" s="215"/>
      <c r="O61" s="215">
        <f t="shared" si="4"/>
        <v>-510416.51848299999</v>
      </c>
      <c r="P61" s="215">
        <f t="shared" ref="P61:R61" si="5">+P59+P60</f>
        <v>409536</v>
      </c>
      <c r="Q61" s="215">
        <f t="shared" si="5"/>
        <v>-510417</v>
      </c>
      <c r="R61" s="215">
        <f t="shared" si="5"/>
        <v>0</v>
      </c>
      <c r="S61" s="68"/>
    </row>
    <row r="62" spans="1:19">
      <c r="A62" s="58" t="s">
        <v>256</v>
      </c>
      <c r="B62" s="58" t="s">
        <v>257</v>
      </c>
      <c r="C62" s="58" t="s">
        <v>258</v>
      </c>
      <c r="D62" s="58">
        <f t="shared" si="1"/>
        <v>53</v>
      </c>
      <c r="E62" s="132" t="s">
        <v>244</v>
      </c>
      <c r="F62" s="58" t="s">
        <v>259</v>
      </c>
      <c r="G62" s="58" t="s">
        <v>26</v>
      </c>
      <c r="H62" s="214">
        <f>1000*-4059.471379167</f>
        <v>-4059471.3791670003</v>
      </c>
      <c r="I62" s="214">
        <f>1000*-336.596939399</f>
        <v>-336596.93939900002</v>
      </c>
      <c r="J62" s="213">
        <f>+'Rate Base Support'!Y62</f>
        <v>0</v>
      </c>
      <c r="K62" s="213">
        <f t="shared" ref="K62:K67" si="6">+J62+I62</f>
        <v>-336596.93939900002</v>
      </c>
      <c r="L62" s="213"/>
      <c r="M62" s="213">
        <f>+'Rate Base Support'!AD62</f>
        <v>0</v>
      </c>
      <c r="N62" s="213"/>
      <c r="O62" s="213">
        <f>+'Rate Base Support'!AF62</f>
        <v>-336596.93939900002</v>
      </c>
      <c r="P62" s="213">
        <f>+'Rate Base Support'!AG62</f>
        <v>0</v>
      </c>
      <c r="Q62" s="213">
        <f>+'Rate Base Support'!AH62</f>
        <v>-336597</v>
      </c>
      <c r="R62" s="213">
        <f>+'Rate Base Support'!AI62</f>
        <v>0</v>
      </c>
      <c r="S62" s="68"/>
    </row>
    <row r="63" spans="1:19">
      <c r="A63" s="58" t="s">
        <v>256</v>
      </c>
      <c r="B63" s="58" t="s">
        <v>257</v>
      </c>
      <c r="C63" s="58" t="s">
        <v>260</v>
      </c>
      <c r="D63" s="58">
        <f t="shared" si="1"/>
        <v>54</v>
      </c>
      <c r="E63" s="132" t="s">
        <v>244</v>
      </c>
      <c r="F63" s="58" t="s">
        <v>261</v>
      </c>
      <c r="G63" s="58" t="s">
        <v>262</v>
      </c>
      <c r="H63" s="214">
        <v>-1845519.3454916601</v>
      </c>
      <c r="I63" s="214">
        <f>1000*-127926.774312483</f>
        <v>-127926774.312483</v>
      </c>
      <c r="J63" s="213">
        <f>+'Rate Base Support'!Y63</f>
        <v>1572142</v>
      </c>
      <c r="K63" s="213">
        <f t="shared" si="6"/>
        <v>-126354632.312483</v>
      </c>
      <c r="L63" s="213"/>
      <c r="M63" s="213">
        <f>+'Rate Base Support'!AD63</f>
        <v>0</v>
      </c>
      <c r="N63" s="213"/>
      <c r="O63" s="213">
        <f>+'Rate Base Support'!AF63</f>
        <v>-126354632.312483</v>
      </c>
      <c r="P63" s="213">
        <f>+'Rate Base Support'!AG63</f>
        <v>0</v>
      </c>
      <c r="Q63" s="213">
        <f>+'Rate Base Support'!AH63</f>
        <v>-126354632</v>
      </c>
      <c r="R63" s="213">
        <f>+'Rate Base Support'!AI63</f>
        <v>0</v>
      </c>
      <c r="S63" s="68"/>
    </row>
    <row r="64" spans="1:19">
      <c r="A64" s="58" t="s">
        <v>256</v>
      </c>
      <c r="B64" s="58" t="s">
        <v>257</v>
      </c>
      <c r="C64" s="58" t="s">
        <v>263</v>
      </c>
      <c r="D64" s="58">
        <f t="shared" si="1"/>
        <v>55</v>
      </c>
      <c r="E64" s="193" t="s">
        <v>22</v>
      </c>
      <c r="F64" s="58" t="s">
        <v>264</v>
      </c>
      <c r="G64" s="58" t="s">
        <v>30</v>
      </c>
      <c r="H64" s="214">
        <f>1000*792.756458333</f>
        <v>792756.45833299996</v>
      </c>
      <c r="I64" s="214">
        <f>1000*58.730329254</f>
        <v>58730.329253999997</v>
      </c>
      <c r="J64" s="213">
        <f>+'Rate Base Support'!Y64</f>
        <v>0</v>
      </c>
      <c r="K64" s="213">
        <f t="shared" si="6"/>
        <v>58730.329253999997</v>
      </c>
      <c r="L64" s="213"/>
      <c r="M64" s="213">
        <f>+'Rate Base Support'!AD64</f>
        <v>-58730.329253999997</v>
      </c>
      <c r="N64" s="213"/>
      <c r="O64" s="213">
        <f>+'Rate Base Support'!AF64</f>
        <v>0</v>
      </c>
      <c r="P64" s="213">
        <f>+'Rate Base Support'!AG64</f>
        <v>-58730.329253999997</v>
      </c>
      <c r="Q64" s="213">
        <f>+'Rate Base Support'!AH64</f>
        <v>0</v>
      </c>
      <c r="R64" s="213">
        <f>+'Rate Base Support'!AI64</f>
        <v>0</v>
      </c>
      <c r="S64" s="68"/>
    </row>
    <row r="65" spans="1:19">
      <c r="A65" s="58" t="s">
        <v>256</v>
      </c>
      <c r="B65" s="58" t="s">
        <v>257</v>
      </c>
      <c r="C65" s="58" t="s">
        <v>265</v>
      </c>
      <c r="D65" s="58">
        <f t="shared" si="1"/>
        <v>56</v>
      </c>
      <c r="E65" s="193" t="s">
        <v>22</v>
      </c>
      <c r="F65" s="58" t="s">
        <v>266</v>
      </c>
      <c r="G65" s="58" t="s">
        <v>30</v>
      </c>
      <c r="H65" s="214">
        <f>1000*-5861.603322917</f>
        <v>-5861603.3229169995</v>
      </c>
      <c r="I65" s="214">
        <f>1000*-434.249244509</f>
        <v>-434249.24450899998</v>
      </c>
      <c r="J65" s="213">
        <f>+'Rate Base Support'!Y65</f>
        <v>0</v>
      </c>
      <c r="K65" s="213">
        <f t="shared" si="6"/>
        <v>-434249.24450899998</v>
      </c>
      <c r="L65" s="213"/>
      <c r="M65" s="213">
        <f>+'Rate Base Support'!AD65</f>
        <v>434249.24450899998</v>
      </c>
      <c r="N65" s="213"/>
      <c r="O65" s="213">
        <f>+'Rate Base Support'!AF65</f>
        <v>0</v>
      </c>
      <c r="P65" s="213">
        <f>+'Rate Base Support'!AG65</f>
        <v>434249.24450899998</v>
      </c>
      <c r="Q65" s="213">
        <f>+'Rate Base Support'!AH65</f>
        <v>0</v>
      </c>
      <c r="R65" s="213">
        <f>+'Rate Base Support'!AI65</f>
        <v>0</v>
      </c>
      <c r="S65" s="68"/>
    </row>
    <row r="66" spans="1:19">
      <c r="A66" s="58" t="s">
        <v>256</v>
      </c>
      <c r="B66" s="58" t="s">
        <v>257</v>
      </c>
      <c r="C66" s="58" t="s">
        <v>267</v>
      </c>
      <c r="D66" s="58">
        <f t="shared" si="1"/>
        <v>57</v>
      </c>
      <c r="E66" s="193" t="s">
        <v>22</v>
      </c>
      <c r="F66" s="58" t="s">
        <v>268</v>
      </c>
      <c r="G66" s="58" t="s">
        <v>30</v>
      </c>
      <c r="H66" s="214">
        <f>1000*219.393220833</f>
        <v>219393.220833</v>
      </c>
      <c r="I66" s="214">
        <f>1000*16.253460896</f>
        <v>16253.460896000001</v>
      </c>
      <c r="J66" s="213">
        <f>+'Rate Base Support'!Y66</f>
        <v>0</v>
      </c>
      <c r="K66" s="213">
        <f t="shared" si="6"/>
        <v>16253.460896000001</v>
      </c>
      <c r="L66" s="213"/>
      <c r="M66" s="213">
        <f>+'Rate Base Support'!AD66</f>
        <v>-16253.460896000001</v>
      </c>
      <c r="N66" s="213"/>
      <c r="O66" s="213">
        <f>+'Rate Base Support'!AF66</f>
        <v>0</v>
      </c>
      <c r="P66" s="213">
        <f>+'Rate Base Support'!AG66</f>
        <v>-16253.460896000001</v>
      </c>
      <c r="Q66" s="213">
        <f>+'Rate Base Support'!AH66</f>
        <v>0</v>
      </c>
      <c r="R66" s="213">
        <f>+'Rate Base Support'!AI66</f>
        <v>0</v>
      </c>
      <c r="S66" s="68"/>
    </row>
    <row r="67" spans="1:19">
      <c r="A67" s="58" t="s">
        <v>256</v>
      </c>
      <c r="B67" s="58" t="s">
        <v>257</v>
      </c>
      <c r="C67" s="58" t="s">
        <v>269</v>
      </c>
      <c r="D67" s="58">
        <f t="shared" si="1"/>
        <v>58</v>
      </c>
      <c r="E67" s="193" t="s">
        <v>22</v>
      </c>
      <c r="F67" s="58" t="s">
        <v>270</v>
      </c>
      <c r="G67" s="58" t="s">
        <v>30</v>
      </c>
      <c r="H67" s="214">
        <f>1000*-41.78325</f>
        <v>-41783.25</v>
      </c>
      <c r="I67" s="214">
        <f>1000*-3.095457633</f>
        <v>-3095.457633</v>
      </c>
      <c r="J67" s="213">
        <f>+'Rate Base Support'!Y67</f>
        <v>0</v>
      </c>
      <c r="K67" s="213">
        <f t="shared" si="6"/>
        <v>-3095.457633</v>
      </c>
      <c r="L67" s="213"/>
      <c r="M67" s="213">
        <f>+'Rate Base Support'!AD67</f>
        <v>3095.457633</v>
      </c>
      <c r="N67" s="213"/>
      <c r="O67" s="213">
        <f>+'Rate Base Support'!AF67</f>
        <v>0</v>
      </c>
      <c r="P67" s="213">
        <f>+'Rate Base Support'!AG67</f>
        <v>3095.457633</v>
      </c>
      <c r="Q67" s="213">
        <f>+'Rate Base Support'!AH67</f>
        <v>0</v>
      </c>
      <c r="R67" s="213">
        <f>+'Rate Base Support'!AI67</f>
        <v>0</v>
      </c>
      <c r="S67" s="68"/>
    </row>
    <row r="68" spans="1:19" collapsed="1">
      <c r="A68" s="63" t="s">
        <v>271</v>
      </c>
      <c r="B68" s="58"/>
      <c r="C68" s="63"/>
      <c r="D68" s="58">
        <f t="shared" si="1"/>
        <v>59</v>
      </c>
      <c r="E68" s="202" t="s">
        <v>549</v>
      </c>
      <c r="F68" s="63"/>
      <c r="G68" s="63"/>
      <c r="H68" s="215"/>
      <c r="I68" s="215">
        <f t="shared" ref="I68:L68" si="7">SUM(I62:I67)</f>
        <v>-128625732.163874</v>
      </c>
      <c r="J68" s="215">
        <f t="shared" si="7"/>
        <v>1572142</v>
      </c>
      <c r="K68" s="215">
        <f t="shared" si="7"/>
        <v>-127053590.163874</v>
      </c>
      <c r="L68" s="215">
        <f t="shared" si="7"/>
        <v>0</v>
      </c>
      <c r="M68" s="215">
        <f>SUM(M62:M67)</f>
        <v>362360.91199200001</v>
      </c>
      <c r="N68" s="216"/>
      <c r="O68" s="216">
        <f>+M68+K68</f>
        <v>-126691229.251882</v>
      </c>
      <c r="P68" s="216">
        <f t="shared" ref="P68" si="8">+N68+L68</f>
        <v>0</v>
      </c>
      <c r="Q68" s="216">
        <f>SUM(Q62:Q67)</f>
        <v>-126691229</v>
      </c>
      <c r="R68" s="216">
        <f>SUM(R62:R67)</f>
        <v>0</v>
      </c>
      <c r="S68" s="68"/>
    </row>
    <row r="69" spans="1:19">
      <c r="A69" s="58" t="s">
        <v>272</v>
      </c>
      <c r="B69" s="58" t="s">
        <v>273</v>
      </c>
      <c r="C69" s="58" t="s">
        <v>274</v>
      </c>
      <c r="D69" s="58">
        <f t="shared" si="1"/>
        <v>60</v>
      </c>
      <c r="E69" s="193" t="s">
        <v>22</v>
      </c>
      <c r="F69" s="65" t="s">
        <v>295</v>
      </c>
      <c r="G69" s="65" t="s">
        <v>57</v>
      </c>
      <c r="H69" s="217">
        <f>1000*-1.312054167</f>
        <v>-1312.054167</v>
      </c>
      <c r="I69" s="217">
        <f>1000*-0.289794473</f>
        <v>-289.79447299999998</v>
      </c>
      <c r="J69" s="213">
        <f>+'Rate Base Support'!Y69</f>
        <v>290</v>
      </c>
      <c r="K69" s="213">
        <f t="shared" ref="K69:K89" si="9">+J69+I69</f>
        <v>0.20552700000001778</v>
      </c>
      <c r="L69" s="213"/>
      <c r="M69" s="213">
        <f>+'Rate Base Support'!AD69</f>
        <v>0</v>
      </c>
      <c r="N69" s="213"/>
      <c r="O69" s="213">
        <f>+'Rate Base Support'!AF69</f>
        <v>0</v>
      </c>
      <c r="P69" s="213">
        <f>+'Rate Base Support'!AG69</f>
        <v>-0.20552700000001778</v>
      </c>
      <c r="Q69" s="213">
        <f>+'Rate Base Support'!AH69</f>
        <v>0</v>
      </c>
      <c r="R69" s="213">
        <f>+'Rate Base Support'!AI69</f>
        <v>0</v>
      </c>
      <c r="S69" s="68"/>
    </row>
    <row r="70" spans="1:19">
      <c r="A70" s="58" t="s">
        <v>272</v>
      </c>
      <c r="B70" s="58" t="s">
        <v>273</v>
      </c>
      <c r="C70" s="58" t="s">
        <v>276</v>
      </c>
      <c r="D70" s="58">
        <f t="shared" si="1"/>
        <v>61</v>
      </c>
      <c r="E70" s="193" t="s">
        <v>22</v>
      </c>
      <c r="F70" s="65" t="s">
        <v>297</v>
      </c>
      <c r="G70" s="65" t="s">
        <v>57</v>
      </c>
      <c r="H70" s="217">
        <f>1000*-471.4087625</f>
        <v>-471408.76250000001</v>
      </c>
      <c r="I70" s="217">
        <f>1000*-104.120437572</f>
        <v>-104120.437572</v>
      </c>
      <c r="J70" s="213">
        <f>+'Rate Base Support'!Y70</f>
        <v>104120</v>
      </c>
      <c r="K70" s="213">
        <f t="shared" si="9"/>
        <v>-0.43757199999527074</v>
      </c>
      <c r="L70" s="213"/>
      <c r="M70" s="213">
        <f>+'Rate Base Support'!AD70</f>
        <v>0.43757199999527074</v>
      </c>
      <c r="N70" s="213"/>
      <c r="O70" s="213">
        <f>+'Rate Base Support'!AF70</f>
        <v>0</v>
      </c>
      <c r="P70" s="213">
        <f>+'Rate Base Support'!AG70</f>
        <v>0.43757199999527074</v>
      </c>
      <c r="Q70" s="213">
        <f>+'Rate Base Support'!AH70</f>
        <v>0</v>
      </c>
      <c r="R70" s="213">
        <f>+'Rate Base Support'!AI70</f>
        <v>0</v>
      </c>
      <c r="S70" s="68"/>
    </row>
    <row r="71" spans="1:19">
      <c r="A71" s="58" t="s">
        <v>272</v>
      </c>
      <c r="B71" s="58" t="s">
        <v>273</v>
      </c>
      <c r="C71" s="58" t="s">
        <v>278</v>
      </c>
      <c r="D71" s="58">
        <f t="shared" si="1"/>
        <v>62</v>
      </c>
      <c r="E71" s="193" t="s">
        <v>22</v>
      </c>
      <c r="F71" s="65" t="s">
        <v>299</v>
      </c>
      <c r="G71" s="65" t="s">
        <v>57</v>
      </c>
      <c r="H71" s="217">
        <f>1000*-1794.595177083</f>
        <v>-1794595.1770829998</v>
      </c>
      <c r="I71" s="217">
        <f>1000*-396.373699357</f>
        <v>-396373.699357</v>
      </c>
      <c r="J71" s="213">
        <f>+'Rate Base Support'!Y71</f>
        <v>396374</v>
      </c>
      <c r="K71" s="213">
        <f t="shared" si="9"/>
        <v>0.30064299999503419</v>
      </c>
      <c r="L71" s="213"/>
      <c r="M71" s="213">
        <f>+'Rate Base Support'!AD71</f>
        <v>-0.30064299999503419</v>
      </c>
      <c r="N71" s="213"/>
      <c r="O71" s="213">
        <f>+'Rate Base Support'!AF71</f>
        <v>0</v>
      </c>
      <c r="P71" s="213">
        <f>+'Rate Base Support'!AG71</f>
        <v>-0.30064299999503419</v>
      </c>
      <c r="Q71" s="213">
        <f>+'Rate Base Support'!AH71</f>
        <v>0</v>
      </c>
      <c r="R71" s="213">
        <f>+'Rate Base Support'!AI71</f>
        <v>0</v>
      </c>
      <c r="S71" s="68"/>
    </row>
    <row r="72" spans="1:19">
      <c r="A72" s="58" t="s">
        <v>272</v>
      </c>
      <c r="B72" s="58" t="s">
        <v>273</v>
      </c>
      <c r="C72" s="58" t="s">
        <v>280</v>
      </c>
      <c r="D72" s="58">
        <f t="shared" si="1"/>
        <v>63</v>
      </c>
      <c r="E72" s="193" t="s">
        <v>22</v>
      </c>
      <c r="F72" s="65" t="s">
        <v>301</v>
      </c>
      <c r="G72" s="65" t="s">
        <v>30</v>
      </c>
      <c r="H72" s="217">
        <f>1000*-916.942625</f>
        <v>-916942.625</v>
      </c>
      <c r="I72" s="217">
        <f>1000*-67.93</f>
        <v>-67930</v>
      </c>
      <c r="J72" s="213">
        <f>+'Rate Base Support'!Y72</f>
        <v>67930</v>
      </c>
      <c r="K72" s="213">
        <f t="shared" si="9"/>
        <v>0</v>
      </c>
      <c r="L72" s="213"/>
      <c r="M72" s="213">
        <f>+'Rate Base Support'!AD72</f>
        <v>0</v>
      </c>
      <c r="N72" s="213"/>
      <c r="O72" s="213">
        <f>+'Rate Base Support'!AF72</f>
        <v>0</v>
      </c>
      <c r="P72" s="213">
        <f>+'Rate Base Support'!AG72</f>
        <v>0</v>
      </c>
      <c r="Q72" s="213">
        <f>+'Rate Base Support'!AH72</f>
        <v>0</v>
      </c>
      <c r="R72" s="213">
        <f>+'Rate Base Support'!AI72</f>
        <v>0</v>
      </c>
      <c r="S72" s="68"/>
    </row>
    <row r="73" spans="1:19">
      <c r="A73" s="65" t="s">
        <v>272</v>
      </c>
      <c r="B73" s="65" t="s">
        <v>273</v>
      </c>
      <c r="C73" s="65" t="s">
        <v>282</v>
      </c>
      <c r="D73" s="58">
        <f t="shared" si="1"/>
        <v>64</v>
      </c>
      <c r="E73" s="193" t="s">
        <v>22</v>
      </c>
      <c r="F73" s="65" t="s">
        <v>306</v>
      </c>
      <c r="G73" s="65" t="s">
        <v>40</v>
      </c>
      <c r="H73" s="217">
        <f>1000*-15492.972741667</f>
        <v>-15492972.741666999</v>
      </c>
      <c r="I73" s="217">
        <f>1000*-1147.776698223</f>
        <v>-1147776.6982229999</v>
      </c>
      <c r="J73" s="213">
        <f>+'Rate Base Support'!Y73</f>
        <v>1147777</v>
      </c>
      <c r="K73" s="213">
        <f t="shared" si="9"/>
        <v>0.30177700007334352</v>
      </c>
      <c r="L73" s="213"/>
      <c r="M73" s="213">
        <f>+'Rate Base Support'!AD73</f>
        <v>-0.30177700007334352</v>
      </c>
      <c r="N73" s="213"/>
      <c r="O73" s="213">
        <f>+'Rate Base Support'!AF73</f>
        <v>0</v>
      </c>
      <c r="P73" s="213">
        <f>+'Rate Base Support'!AG73</f>
        <v>-0.30177700007334352</v>
      </c>
      <c r="Q73" s="213">
        <f>+'Rate Base Support'!AH73</f>
        <v>0</v>
      </c>
      <c r="R73" s="213">
        <f>+'Rate Base Support'!AI73</f>
        <v>0</v>
      </c>
      <c r="S73" s="68"/>
    </row>
    <row r="74" spans="1:19">
      <c r="A74" s="65" t="s">
        <v>272</v>
      </c>
      <c r="B74" s="65" t="s">
        <v>273</v>
      </c>
      <c r="C74" s="65" t="s">
        <v>231</v>
      </c>
      <c r="D74" s="58">
        <f t="shared" si="1"/>
        <v>65</v>
      </c>
      <c r="E74" s="193" t="s">
        <v>22</v>
      </c>
      <c r="F74" s="58" t="s">
        <v>277</v>
      </c>
      <c r="G74" s="58" t="s">
        <v>30</v>
      </c>
      <c r="H74" s="214">
        <f>1000*-781.077833333</f>
        <v>-781077.83333299996</v>
      </c>
      <c r="I74" s="214">
        <f>1000*-57.865133538</f>
        <v>-57865.133538000002</v>
      </c>
      <c r="J74" s="213">
        <f>+'Rate Base Support'!Y74</f>
        <v>0</v>
      </c>
      <c r="K74" s="213">
        <f t="shared" si="9"/>
        <v>-57865.133538000002</v>
      </c>
      <c r="L74" s="213"/>
      <c r="M74" s="213">
        <f>+'Rate Base Support'!AD74</f>
        <v>57865.133538000002</v>
      </c>
      <c r="N74" s="213"/>
      <c r="O74" s="213">
        <f>+'Rate Base Support'!AF74</f>
        <v>0</v>
      </c>
      <c r="P74" s="213">
        <f>+'Rate Base Support'!AG74</f>
        <v>57865.133538000002</v>
      </c>
      <c r="Q74" s="213">
        <f>+'Rate Base Support'!AH74</f>
        <v>0</v>
      </c>
      <c r="R74" s="213">
        <f>+'Rate Base Support'!AI74</f>
        <v>0</v>
      </c>
      <c r="S74" s="68"/>
    </row>
    <row r="75" spans="1:19">
      <c r="A75" s="65" t="s">
        <v>272</v>
      </c>
      <c r="B75" s="65" t="s">
        <v>273</v>
      </c>
      <c r="C75" s="65" t="s">
        <v>233</v>
      </c>
      <c r="D75" s="58">
        <f t="shared" si="1"/>
        <v>66</v>
      </c>
      <c r="E75" s="193" t="s">
        <v>22</v>
      </c>
      <c r="F75" s="58" t="s">
        <v>279</v>
      </c>
      <c r="G75" s="58" t="s">
        <v>36</v>
      </c>
      <c r="H75" s="214">
        <f>1000*1187.206125</f>
        <v>1187206.125</v>
      </c>
      <c r="I75" s="214">
        <f>1000*1187.206125</f>
        <v>1187206.125</v>
      </c>
      <c r="J75" s="213">
        <f>+'Rate Base Support'!Y75</f>
        <v>0</v>
      </c>
      <c r="K75" s="213">
        <f t="shared" si="9"/>
        <v>1187206.125</v>
      </c>
      <c r="L75" s="213"/>
      <c r="M75" s="213">
        <f>+'Rate Base Support'!AD75</f>
        <v>-1187206.125</v>
      </c>
      <c r="N75" s="213"/>
      <c r="O75" s="213">
        <f>+'Rate Base Support'!AF75</f>
        <v>0</v>
      </c>
      <c r="P75" s="213">
        <f>+'Rate Base Support'!AG75</f>
        <v>-1187206.125</v>
      </c>
      <c r="Q75" s="213">
        <f>+'Rate Base Support'!AH75</f>
        <v>0</v>
      </c>
      <c r="R75" s="213">
        <f>+'Rate Base Support'!AI75</f>
        <v>0</v>
      </c>
      <c r="S75" s="68"/>
    </row>
    <row r="76" spans="1:19">
      <c r="A76" s="65" t="s">
        <v>272</v>
      </c>
      <c r="B76" s="65" t="s">
        <v>273</v>
      </c>
      <c r="C76" s="65" t="s">
        <v>310</v>
      </c>
      <c r="D76" s="58">
        <f t="shared" ref="D76:D109" si="10">1+D75</f>
        <v>67</v>
      </c>
      <c r="E76" s="193" t="s">
        <v>22</v>
      </c>
      <c r="F76" s="65" t="s">
        <v>303</v>
      </c>
      <c r="G76" s="65" t="s">
        <v>34</v>
      </c>
      <c r="H76" s="217">
        <f>1000*-6294.7455875</f>
        <v>-6294745.5874999994</v>
      </c>
      <c r="I76" s="217">
        <f>1000*-452.73055366</f>
        <v>-452730.55365999998</v>
      </c>
      <c r="J76" s="213">
        <f>+'Rate Base Support'!Y76</f>
        <v>0</v>
      </c>
      <c r="K76" s="213">
        <f t="shared" si="9"/>
        <v>-452730.55365999998</v>
      </c>
      <c r="L76" s="213"/>
      <c r="M76" s="213">
        <f>+'Rate Base Support'!AD76</f>
        <v>452730.55365999998</v>
      </c>
      <c r="N76" s="213"/>
      <c r="O76" s="213">
        <f>+'Rate Base Support'!AF76</f>
        <v>0</v>
      </c>
      <c r="P76" s="213">
        <f>+'Rate Base Support'!AG76</f>
        <v>452730.55365999998</v>
      </c>
      <c r="Q76" s="213">
        <f>+'Rate Base Support'!AH76</f>
        <v>0</v>
      </c>
      <c r="R76" s="213">
        <f>+'Rate Base Support'!AI76</f>
        <v>0</v>
      </c>
      <c r="S76" s="68"/>
    </row>
    <row r="77" spans="1:19">
      <c r="A77" s="65" t="s">
        <v>272</v>
      </c>
      <c r="B77" s="65" t="s">
        <v>273</v>
      </c>
      <c r="C77" s="65" t="s">
        <v>284</v>
      </c>
      <c r="D77" s="58">
        <f t="shared" si="10"/>
        <v>68</v>
      </c>
      <c r="E77" s="67" t="s">
        <v>50</v>
      </c>
      <c r="F77" s="65" t="s">
        <v>293</v>
      </c>
      <c r="G77" s="65" t="s">
        <v>42</v>
      </c>
      <c r="H77" s="217">
        <f>1000*-712.618610417</f>
        <v>-712618.61041700002</v>
      </c>
      <c r="I77" s="217">
        <f>1000*-56.227860237</f>
        <v>-56227.860237000001</v>
      </c>
      <c r="J77" s="213">
        <f>+'Rate Base Support'!Y77</f>
        <v>0</v>
      </c>
      <c r="K77" s="213">
        <f t="shared" si="9"/>
        <v>-56227.860237000001</v>
      </c>
      <c r="L77" s="213"/>
      <c r="M77" s="213">
        <f>+'Rate Base Support'!AD77</f>
        <v>56227.860237000001</v>
      </c>
      <c r="N77" s="213"/>
      <c r="O77" s="213">
        <f>+'Rate Base Support'!AF77</f>
        <v>0</v>
      </c>
      <c r="P77" s="213">
        <f>+'Rate Base Support'!AG77</f>
        <v>56227.860237000001</v>
      </c>
      <c r="Q77" s="213">
        <f>+'Rate Base Support'!AH77</f>
        <v>0</v>
      </c>
      <c r="R77" s="213">
        <f>+'Rate Base Support'!AI77</f>
        <v>0</v>
      </c>
      <c r="S77" s="68"/>
    </row>
    <row r="78" spans="1:19">
      <c r="A78" s="65" t="s">
        <v>272</v>
      </c>
      <c r="B78" s="65" t="s">
        <v>273</v>
      </c>
      <c r="C78" s="65" t="s">
        <v>286</v>
      </c>
      <c r="D78" s="58">
        <f t="shared" si="10"/>
        <v>69</v>
      </c>
      <c r="E78" s="67" t="s">
        <v>50</v>
      </c>
      <c r="F78" s="65" t="s">
        <v>304</v>
      </c>
      <c r="G78" s="65" t="s">
        <v>32</v>
      </c>
      <c r="H78" s="217">
        <f>1000*2113.05315625</f>
        <v>2113053.15625</v>
      </c>
      <c r="I78" s="217">
        <f>1000*451.29441712</f>
        <v>451294.41712</v>
      </c>
      <c r="J78" s="213">
        <f>+'Rate Base Support'!Y78</f>
        <v>0</v>
      </c>
      <c r="K78" s="213">
        <f t="shared" si="9"/>
        <v>451294.41712</v>
      </c>
      <c r="L78" s="213"/>
      <c r="M78" s="213">
        <f>+'Rate Base Support'!AD78</f>
        <v>-451294.41712</v>
      </c>
      <c r="N78" s="213"/>
      <c r="O78" s="213">
        <f>+'Rate Base Support'!AF78</f>
        <v>0</v>
      </c>
      <c r="P78" s="213">
        <f>+'Rate Base Support'!AG78</f>
        <v>-451294.41712</v>
      </c>
      <c r="Q78" s="213">
        <f>+'Rate Base Support'!AH78</f>
        <v>0</v>
      </c>
      <c r="R78" s="213">
        <f>+'Rate Base Support'!AI78</f>
        <v>0</v>
      </c>
      <c r="S78" s="68"/>
    </row>
    <row r="79" spans="1:19">
      <c r="A79" s="65" t="s">
        <v>272</v>
      </c>
      <c r="B79" s="65" t="s">
        <v>273</v>
      </c>
      <c r="C79" s="65" t="s">
        <v>288</v>
      </c>
      <c r="D79" s="58">
        <f t="shared" si="10"/>
        <v>70</v>
      </c>
      <c r="E79" s="67" t="s">
        <v>50</v>
      </c>
      <c r="F79" s="65" t="s">
        <v>230</v>
      </c>
      <c r="G79" s="65" t="s">
        <v>32</v>
      </c>
      <c r="H79" s="217">
        <f>1000*76.79513125</f>
        <v>76795.131249999991</v>
      </c>
      <c r="I79" s="217">
        <f>1000*16.401487058</f>
        <v>16401.487058000002</v>
      </c>
      <c r="J79" s="213">
        <f>+'Rate Base Support'!Y79</f>
        <v>0</v>
      </c>
      <c r="K79" s="213">
        <f t="shared" si="9"/>
        <v>16401.487058000002</v>
      </c>
      <c r="L79" s="213"/>
      <c r="M79" s="213">
        <f>+'Rate Base Support'!AD79</f>
        <v>-16401.487058000002</v>
      </c>
      <c r="N79" s="213"/>
      <c r="O79" s="213">
        <f>+'Rate Base Support'!AF79</f>
        <v>0</v>
      </c>
      <c r="P79" s="213">
        <f>+'Rate Base Support'!AG79</f>
        <v>-16401.487058000002</v>
      </c>
      <c r="Q79" s="213">
        <f>+'Rate Base Support'!AH79</f>
        <v>0</v>
      </c>
      <c r="R79" s="213">
        <f>+'Rate Base Support'!AI79</f>
        <v>0</v>
      </c>
      <c r="S79" s="68"/>
    </row>
    <row r="80" spans="1:19">
      <c r="A80" s="65" t="s">
        <v>272</v>
      </c>
      <c r="B80" s="65" t="s">
        <v>273</v>
      </c>
      <c r="C80" s="65" t="s">
        <v>290</v>
      </c>
      <c r="D80" s="58">
        <f t="shared" si="10"/>
        <v>71</v>
      </c>
      <c r="E80" s="67" t="s">
        <v>50</v>
      </c>
      <c r="F80" s="65" t="s">
        <v>307</v>
      </c>
      <c r="G80" s="65" t="s">
        <v>32</v>
      </c>
      <c r="H80" s="217">
        <f>1000*-490.373</f>
        <v>-490373</v>
      </c>
      <c r="I80" s="217">
        <f>1000*-104.731202124</f>
        <v>-104731.202124</v>
      </c>
      <c r="J80" s="213">
        <f>+'Rate Base Support'!Y80</f>
        <v>-6500.5</v>
      </c>
      <c r="K80" s="213">
        <f t="shared" si="9"/>
        <v>-111231.702124</v>
      </c>
      <c r="L80" s="213"/>
      <c r="M80" s="213">
        <f>+'Rate Base Support'!AD80</f>
        <v>111231.702124</v>
      </c>
      <c r="N80" s="213"/>
      <c r="O80" s="213">
        <f>+'Rate Base Support'!AF80</f>
        <v>0</v>
      </c>
      <c r="P80" s="213">
        <f>+'Rate Base Support'!AG80</f>
        <v>111231.702124</v>
      </c>
      <c r="Q80" s="213">
        <f>+'Rate Base Support'!AH80</f>
        <v>0</v>
      </c>
      <c r="R80" s="213">
        <f>+'Rate Base Support'!AI80</f>
        <v>0</v>
      </c>
      <c r="S80" s="68"/>
    </row>
    <row r="81" spans="1:19">
      <c r="A81" s="65" t="s">
        <v>272</v>
      </c>
      <c r="B81" s="65" t="s">
        <v>273</v>
      </c>
      <c r="C81" s="65" t="s">
        <v>292</v>
      </c>
      <c r="D81" s="58">
        <f t="shared" si="10"/>
        <v>72</v>
      </c>
      <c r="E81" s="67" t="s">
        <v>50</v>
      </c>
      <c r="F81" s="65" t="s">
        <v>234</v>
      </c>
      <c r="G81" s="65" t="s">
        <v>32</v>
      </c>
      <c r="H81" s="217">
        <f>1000*-14.092766667</f>
        <v>-14092.766667</v>
      </c>
      <c r="I81" s="217">
        <f>1000*-3.009856567</f>
        <v>-3009.8565669999998</v>
      </c>
      <c r="J81" s="213">
        <f>+'Rate Base Support'!Y81</f>
        <v>0</v>
      </c>
      <c r="K81" s="213">
        <f t="shared" si="9"/>
        <v>-3009.8565669999998</v>
      </c>
      <c r="L81" s="213"/>
      <c r="M81" s="213">
        <f>+'Rate Base Support'!AD81</f>
        <v>3009.8565669999998</v>
      </c>
      <c r="N81" s="213"/>
      <c r="O81" s="213">
        <f>+'Rate Base Support'!AF81</f>
        <v>0</v>
      </c>
      <c r="P81" s="213">
        <f>+'Rate Base Support'!AG81</f>
        <v>3009.8565669999998</v>
      </c>
      <c r="Q81" s="213">
        <f>+'Rate Base Support'!AH81</f>
        <v>0</v>
      </c>
      <c r="R81" s="213">
        <f>+'Rate Base Support'!AI81</f>
        <v>0</v>
      </c>
      <c r="S81" s="68"/>
    </row>
    <row r="82" spans="1:19">
      <c r="A82" s="65" t="s">
        <v>272</v>
      </c>
      <c r="B82" s="65" t="s">
        <v>273</v>
      </c>
      <c r="C82" s="65" t="s">
        <v>294</v>
      </c>
      <c r="D82" s="58">
        <f t="shared" si="10"/>
        <v>73</v>
      </c>
      <c r="E82" s="67" t="s">
        <v>50</v>
      </c>
      <c r="F82" s="65" t="s">
        <v>236</v>
      </c>
      <c r="G82" s="65" t="s">
        <v>32</v>
      </c>
      <c r="H82" s="217">
        <f>1000*200.663433333</f>
        <v>200663.43333299999</v>
      </c>
      <c r="I82" s="217">
        <f>1000*42.856606288</f>
        <v>42856.606288000003</v>
      </c>
      <c r="J82" s="213">
        <f>+'Rate Base Support'!Y82</f>
        <v>0</v>
      </c>
      <c r="K82" s="213">
        <f t="shared" si="9"/>
        <v>42856.606288000003</v>
      </c>
      <c r="L82" s="213"/>
      <c r="M82" s="213">
        <f>+'Rate Base Support'!AD82</f>
        <v>-42856.606288000003</v>
      </c>
      <c r="N82" s="213"/>
      <c r="O82" s="213">
        <f>+'Rate Base Support'!AF82</f>
        <v>0</v>
      </c>
      <c r="P82" s="213">
        <f>+'Rate Base Support'!AG82</f>
        <v>-42856.606288000003</v>
      </c>
      <c r="Q82" s="213">
        <f>+'Rate Base Support'!AH82</f>
        <v>0</v>
      </c>
      <c r="R82" s="213">
        <f>+'Rate Base Support'!AI82</f>
        <v>0</v>
      </c>
      <c r="S82" s="68"/>
    </row>
    <row r="83" spans="1:19">
      <c r="A83" s="65" t="s">
        <v>272</v>
      </c>
      <c r="B83" s="65" t="s">
        <v>273</v>
      </c>
      <c r="C83" s="65" t="s">
        <v>296</v>
      </c>
      <c r="D83" s="58">
        <f t="shared" si="10"/>
        <v>74</v>
      </c>
      <c r="E83" s="67" t="s">
        <v>50</v>
      </c>
      <c r="F83" s="65" t="s">
        <v>238</v>
      </c>
      <c r="G83" s="65" t="s">
        <v>32</v>
      </c>
      <c r="H83" s="217">
        <f>1000*271.1636375</f>
        <v>271163.63750000001</v>
      </c>
      <c r="I83" s="217">
        <f>1000*57.913657008</f>
        <v>57913.657008000002</v>
      </c>
      <c r="J83" s="213">
        <f>+'Rate Base Support'!Y83</f>
        <v>0</v>
      </c>
      <c r="K83" s="213">
        <f t="shared" si="9"/>
        <v>57913.657008000002</v>
      </c>
      <c r="L83" s="213"/>
      <c r="M83" s="213">
        <f>+'Rate Base Support'!AD83</f>
        <v>-57913.657008000002</v>
      </c>
      <c r="N83" s="213"/>
      <c r="O83" s="213">
        <f>+'Rate Base Support'!AF83</f>
        <v>0</v>
      </c>
      <c r="P83" s="213">
        <f>+'Rate Base Support'!AG83</f>
        <v>-57913.657008000002</v>
      </c>
      <c r="Q83" s="213">
        <f>+'Rate Base Support'!AH83</f>
        <v>0</v>
      </c>
      <c r="R83" s="213">
        <f>+'Rate Base Support'!AI83</f>
        <v>0</v>
      </c>
      <c r="S83" s="68"/>
    </row>
    <row r="84" spans="1:19">
      <c r="A84" s="65" t="s">
        <v>272</v>
      </c>
      <c r="B84" s="65" t="s">
        <v>273</v>
      </c>
      <c r="C84" s="65" t="s">
        <v>298</v>
      </c>
      <c r="D84" s="58">
        <f t="shared" si="10"/>
        <v>75</v>
      </c>
      <c r="E84" s="67" t="s">
        <v>50</v>
      </c>
      <c r="F84" s="65" t="s">
        <v>240</v>
      </c>
      <c r="G84" s="65" t="s">
        <v>32</v>
      </c>
      <c r="H84" s="217">
        <f>1000*1659.211170833</f>
        <v>1659211.170833</v>
      </c>
      <c r="I84" s="217">
        <f>1000*354.365310691</f>
        <v>354365.31069099996</v>
      </c>
      <c r="J84" s="213">
        <f>+'Rate Base Support'!Y84</f>
        <v>0</v>
      </c>
      <c r="K84" s="213">
        <f t="shared" si="9"/>
        <v>354365.31069099996</v>
      </c>
      <c r="L84" s="213"/>
      <c r="M84" s="213">
        <f>+'Rate Base Support'!AD84</f>
        <v>-354365.31069099996</v>
      </c>
      <c r="N84" s="213"/>
      <c r="O84" s="213">
        <f>+'Rate Base Support'!AF84</f>
        <v>0</v>
      </c>
      <c r="P84" s="213">
        <f>+'Rate Base Support'!AG84</f>
        <v>-354365.31069099996</v>
      </c>
      <c r="Q84" s="213">
        <f>+'Rate Base Support'!AH84</f>
        <v>0</v>
      </c>
      <c r="R84" s="213">
        <f>+'Rate Base Support'!AI84</f>
        <v>0</v>
      </c>
      <c r="S84" s="68"/>
    </row>
    <row r="85" spans="1:19">
      <c r="A85" s="65" t="s">
        <v>272</v>
      </c>
      <c r="B85" s="65" t="s">
        <v>273</v>
      </c>
      <c r="C85" s="65" t="s">
        <v>300</v>
      </c>
      <c r="D85" s="58">
        <f t="shared" si="10"/>
        <v>76</v>
      </c>
      <c r="E85" s="67" t="s">
        <v>50</v>
      </c>
      <c r="F85" s="65" t="s">
        <v>242</v>
      </c>
      <c r="G85" s="65" t="s">
        <v>32</v>
      </c>
      <c r="H85" s="217">
        <f>1000*19721.7000875</f>
        <v>19721700.087500002</v>
      </c>
      <c r="I85" s="217">
        <f>1000*4212.053596135</f>
        <v>4212053.5961349998</v>
      </c>
      <c r="J85" s="213">
        <f>+'Rate Base Support'!Y85</f>
        <v>-4212053.5959999999</v>
      </c>
      <c r="K85" s="213">
        <f t="shared" si="9"/>
        <v>1.3499986380338669E-4</v>
      </c>
      <c r="L85" s="213"/>
      <c r="M85" s="213">
        <f>+'Rate Base Support'!AD85</f>
        <v>-1.3499986380338669E-4</v>
      </c>
      <c r="N85" s="213"/>
      <c r="O85" s="213">
        <f>+'Rate Base Support'!AF85</f>
        <v>0</v>
      </c>
      <c r="P85" s="213">
        <f>+'Rate Base Support'!AG85</f>
        <v>-1.3499986380338669E-4</v>
      </c>
      <c r="Q85" s="213">
        <f>+'Rate Base Support'!AH85</f>
        <v>0</v>
      </c>
      <c r="R85" s="213">
        <f>+'Rate Base Support'!AI85</f>
        <v>0</v>
      </c>
      <c r="S85" s="68"/>
    </row>
    <row r="86" spans="1:19">
      <c r="A86" s="65" t="s">
        <v>272</v>
      </c>
      <c r="B86" s="65" t="s">
        <v>273</v>
      </c>
      <c r="C86" s="65" t="s">
        <v>229</v>
      </c>
      <c r="D86" s="58">
        <f t="shared" si="10"/>
        <v>77</v>
      </c>
      <c r="E86" s="67" t="s">
        <v>50</v>
      </c>
      <c r="F86" s="65" t="s">
        <v>312</v>
      </c>
      <c r="G86" s="65" t="s">
        <v>32</v>
      </c>
      <c r="H86" s="217">
        <f>1000*-140.255254167</f>
        <v>-140255.25416700001</v>
      </c>
      <c r="I86" s="217">
        <f>1000*-29.954955459</f>
        <v>-29954.955459000001</v>
      </c>
      <c r="J86" s="213">
        <f>+'Rate Base Support'!Y86</f>
        <v>0</v>
      </c>
      <c r="K86" s="213">
        <f t="shared" si="9"/>
        <v>-29954.955459000001</v>
      </c>
      <c r="L86" s="213"/>
      <c r="M86" s="213">
        <f>+'Rate Base Support'!AD86</f>
        <v>29954.955459000001</v>
      </c>
      <c r="N86" s="213"/>
      <c r="O86" s="213">
        <f>+'Rate Base Support'!AF86</f>
        <v>0</v>
      </c>
      <c r="P86" s="213">
        <f>+'Rate Base Support'!AG86</f>
        <v>29954.955459000001</v>
      </c>
      <c r="Q86" s="213">
        <f>+'Rate Base Support'!AH86</f>
        <v>0</v>
      </c>
      <c r="R86" s="213">
        <f>+'Rate Base Support'!AI86</f>
        <v>0</v>
      </c>
      <c r="S86" s="68"/>
    </row>
    <row r="87" spans="1:19">
      <c r="A87" s="65" t="s">
        <v>272</v>
      </c>
      <c r="B87" s="65" t="s">
        <v>273</v>
      </c>
      <c r="C87" s="65" t="s">
        <v>302</v>
      </c>
      <c r="D87" s="58">
        <f t="shared" si="10"/>
        <v>78</v>
      </c>
      <c r="E87" s="67" t="s">
        <v>50</v>
      </c>
      <c r="F87" s="65" t="s">
        <v>322</v>
      </c>
      <c r="G87" s="65" t="s">
        <v>42</v>
      </c>
      <c r="H87" s="217">
        <f>1000*-2069.824797917</f>
        <v>-2069824.797917</v>
      </c>
      <c r="I87" s="217">
        <f>1000*-163.315717202</f>
        <v>-163315.717202</v>
      </c>
      <c r="J87" s="213">
        <f>+'Rate Base Support'!Y87</f>
        <v>0</v>
      </c>
      <c r="K87" s="213">
        <f t="shared" si="9"/>
        <v>-163315.717202</v>
      </c>
      <c r="L87" s="213"/>
      <c r="M87" s="213">
        <f>+'Rate Base Support'!AD87</f>
        <v>163315.717202</v>
      </c>
      <c r="N87" s="213"/>
      <c r="O87" s="213">
        <f>+'Rate Base Support'!AF87</f>
        <v>0</v>
      </c>
      <c r="P87" s="213">
        <f>+'Rate Base Support'!AG87</f>
        <v>163315.717202</v>
      </c>
      <c r="Q87" s="213">
        <f>+'Rate Base Support'!AH87</f>
        <v>0</v>
      </c>
      <c r="R87" s="213">
        <f>+'Rate Base Support'!AI87</f>
        <v>0</v>
      </c>
      <c r="S87" s="68"/>
    </row>
    <row r="88" spans="1:19">
      <c r="A88" s="65" t="s">
        <v>272</v>
      </c>
      <c r="B88" s="65" t="s">
        <v>273</v>
      </c>
      <c r="C88" s="65" t="s">
        <v>227</v>
      </c>
      <c r="D88" s="58">
        <f t="shared" si="10"/>
        <v>79</v>
      </c>
      <c r="E88" s="67" t="s">
        <v>244</v>
      </c>
      <c r="F88" s="65" t="s">
        <v>245</v>
      </c>
      <c r="G88" s="65" t="s">
        <v>32</v>
      </c>
      <c r="H88" s="217">
        <f>1000*-21712.481389583</f>
        <v>-21712481.389583003</v>
      </c>
      <c r="I88" s="217">
        <f>1000*-4637.233854701</f>
        <v>-4637233.8547010003</v>
      </c>
      <c r="J88" s="213">
        <f>+'Rate Base Support'!Y88</f>
        <v>0</v>
      </c>
      <c r="K88" s="213">
        <f t="shared" si="9"/>
        <v>-4637233.8547010003</v>
      </c>
      <c r="L88" s="213"/>
      <c r="M88" s="213">
        <f>+'Rate Base Support'!AD88</f>
        <v>0</v>
      </c>
      <c r="N88" s="213"/>
      <c r="O88" s="213">
        <f>+'Rate Base Support'!AF88</f>
        <v>-4637233.8547010003</v>
      </c>
      <c r="P88" s="213">
        <f>+'Rate Base Support'!AG88</f>
        <v>0</v>
      </c>
      <c r="Q88" s="213">
        <f>+'Rate Base Support'!AH88</f>
        <v>-4637234</v>
      </c>
      <c r="R88" s="213">
        <f>+'Rate Base Support'!AI88</f>
        <v>0</v>
      </c>
      <c r="S88" s="68"/>
    </row>
    <row r="89" spans="1:19">
      <c r="A89" s="65" t="s">
        <v>272</v>
      </c>
      <c r="B89" s="65" t="s">
        <v>273</v>
      </c>
      <c r="C89" s="65" t="s">
        <v>305</v>
      </c>
      <c r="D89" s="58">
        <f t="shared" si="10"/>
        <v>80</v>
      </c>
      <c r="E89" s="132" t="s">
        <v>58</v>
      </c>
      <c r="F89" s="58" t="s">
        <v>275</v>
      </c>
      <c r="G89" s="58" t="s">
        <v>36</v>
      </c>
      <c r="H89" s="214">
        <f>1000*-2257.540625</f>
        <v>-2257540.625</v>
      </c>
      <c r="I89" s="214">
        <f>1000*-2257.540625</f>
        <v>-2257540.625</v>
      </c>
      <c r="J89" s="213">
        <f>+'Rate Base Support'!Y89</f>
        <v>2257540.625</v>
      </c>
      <c r="K89" s="213">
        <f t="shared" si="9"/>
        <v>0</v>
      </c>
      <c r="L89" s="213"/>
      <c r="M89" s="213">
        <f>+'Rate Base Support'!AD89</f>
        <v>0</v>
      </c>
      <c r="N89" s="213"/>
      <c r="O89" s="213">
        <f>+'Rate Base Support'!AF89</f>
        <v>0</v>
      </c>
      <c r="P89" s="213">
        <f>+'Rate Base Support'!AG89</f>
        <v>0</v>
      </c>
      <c r="Q89" s="213">
        <f>+'Rate Base Support'!AH89</f>
        <v>0</v>
      </c>
      <c r="R89" s="213">
        <f>+'Rate Base Support'!AI89</f>
        <v>0</v>
      </c>
      <c r="S89" s="68"/>
    </row>
    <row r="90" spans="1:19">
      <c r="A90" s="65" t="s">
        <v>272</v>
      </c>
      <c r="B90" s="65" t="s">
        <v>273</v>
      </c>
      <c r="C90" s="65" t="s">
        <v>235</v>
      </c>
      <c r="D90" s="58">
        <f t="shared" si="10"/>
        <v>81</v>
      </c>
      <c r="E90" s="132" t="s">
        <v>58</v>
      </c>
      <c r="F90" s="58" t="s">
        <v>281</v>
      </c>
      <c r="G90" s="58" t="s">
        <v>36</v>
      </c>
      <c r="H90" s="214">
        <f>1000*165.366291667</f>
        <v>165366.29166700001</v>
      </c>
      <c r="I90" s="214">
        <f>1000*165.366291667</f>
        <v>165366.29166700001</v>
      </c>
      <c r="J90" s="213">
        <f>+'Rate Base Support'!Y90</f>
        <v>-165366</v>
      </c>
      <c r="K90" s="213">
        <f>ROUND(+J90+I90,0)</f>
        <v>0</v>
      </c>
      <c r="L90" s="213"/>
      <c r="M90" s="213">
        <f>+'Rate Base Support'!AD90</f>
        <v>0</v>
      </c>
      <c r="N90" s="213"/>
      <c r="O90" s="213">
        <f>+'Rate Base Support'!AF90</f>
        <v>0</v>
      </c>
      <c r="P90" s="213">
        <f>+'Rate Base Support'!AG90</f>
        <v>0</v>
      </c>
      <c r="Q90" s="213">
        <f>+'Rate Base Support'!AH90</f>
        <v>0</v>
      </c>
      <c r="R90" s="213">
        <f>+'Rate Base Support'!AI90</f>
        <v>0</v>
      </c>
      <c r="S90" s="68"/>
    </row>
    <row r="91" spans="1:19">
      <c r="A91" s="65" t="s">
        <v>272</v>
      </c>
      <c r="B91" s="65" t="s">
        <v>273</v>
      </c>
      <c r="C91" s="65" t="s">
        <v>237</v>
      </c>
      <c r="D91" s="58">
        <f t="shared" si="10"/>
        <v>82</v>
      </c>
      <c r="E91" s="132" t="s">
        <v>58</v>
      </c>
      <c r="F91" s="65" t="s">
        <v>283</v>
      </c>
      <c r="G91" s="65" t="s">
        <v>70</v>
      </c>
      <c r="H91" s="217">
        <f>1000*153.30836875</f>
        <v>153308.36874999999</v>
      </c>
      <c r="I91" s="217">
        <f>1000*33.911618152</f>
        <v>33911.618152000003</v>
      </c>
      <c r="J91" s="213">
        <f>+'Rate Base Support'!Y91</f>
        <v>-33912</v>
      </c>
      <c r="K91" s="213">
        <f>ROUND(+J91+I91,0)</f>
        <v>0</v>
      </c>
      <c r="L91" s="213"/>
      <c r="M91" s="213">
        <f>+'Rate Base Support'!AD91</f>
        <v>0</v>
      </c>
      <c r="N91" s="213"/>
      <c r="O91" s="213">
        <f>+'Rate Base Support'!AF91</f>
        <v>0</v>
      </c>
      <c r="P91" s="213">
        <f>+'Rate Base Support'!AG91</f>
        <v>0</v>
      </c>
      <c r="Q91" s="213">
        <f>+'Rate Base Support'!AH91</f>
        <v>0</v>
      </c>
      <c r="R91" s="213">
        <f>+'Rate Base Support'!AI91</f>
        <v>0</v>
      </c>
      <c r="S91" s="68"/>
    </row>
    <row r="92" spans="1:19">
      <c r="A92" s="65" t="s">
        <v>272</v>
      </c>
      <c r="B92" s="65" t="s">
        <v>273</v>
      </c>
      <c r="C92" s="65" t="s">
        <v>239</v>
      </c>
      <c r="D92" s="58">
        <f t="shared" si="10"/>
        <v>83</v>
      </c>
      <c r="E92" s="132" t="s">
        <v>58</v>
      </c>
      <c r="F92" s="65" t="s">
        <v>285</v>
      </c>
      <c r="G92" s="65" t="s">
        <v>30</v>
      </c>
      <c r="H92" s="217">
        <f>1000*-6376.651402083</f>
        <v>-6376651.4020830002</v>
      </c>
      <c r="I92" s="217">
        <f>1000*-472.405910347</f>
        <v>-472405.910347</v>
      </c>
      <c r="J92" s="213">
        <f>+'Rate Base Support'!Y92</f>
        <v>472406</v>
      </c>
      <c r="K92" s="213">
        <f>ROUND(+J92+I92,0)</f>
        <v>0</v>
      </c>
      <c r="L92" s="213"/>
      <c r="M92" s="213">
        <f>+'Rate Base Support'!AD92</f>
        <v>0</v>
      </c>
      <c r="N92" s="213"/>
      <c r="O92" s="213">
        <f>+'Rate Base Support'!AF92</f>
        <v>0</v>
      </c>
      <c r="P92" s="213">
        <f>+'Rate Base Support'!AG92</f>
        <v>0</v>
      </c>
      <c r="Q92" s="213">
        <f>+'Rate Base Support'!AH92</f>
        <v>0</v>
      </c>
      <c r="R92" s="213">
        <f>+'Rate Base Support'!AI92</f>
        <v>0</v>
      </c>
      <c r="S92" s="68"/>
    </row>
    <row r="93" spans="1:19">
      <c r="A93" s="65" t="s">
        <v>272</v>
      </c>
      <c r="B93" s="65" t="s">
        <v>273</v>
      </c>
      <c r="C93" s="65" t="s">
        <v>241</v>
      </c>
      <c r="D93" s="58">
        <f t="shared" si="10"/>
        <v>84</v>
      </c>
      <c r="E93" s="132" t="s">
        <v>58</v>
      </c>
      <c r="F93" s="65" t="s">
        <v>287</v>
      </c>
      <c r="G93" s="65" t="s">
        <v>30</v>
      </c>
      <c r="H93" s="217">
        <f>1000*9589.576208333</f>
        <v>9589576.2083329987</v>
      </c>
      <c r="I93" s="217">
        <f>1000*710.431258177</f>
        <v>710431.25817699998</v>
      </c>
      <c r="J93" s="213">
        <f>+'Rate Base Support'!Y93</f>
        <v>-710431</v>
      </c>
      <c r="K93" s="213">
        <f>ROUND(+J93+I93,0)</f>
        <v>0</v>
      </c>
      <c r="L93" s="213"/>
      <c r="M93" s="213">
        <f>+'Rate Base Support'!AD93</f>
        <v>0</v>
      </c>
      <c r="N93" s="213"/>
      <c r="O93" s="213">
        <f>+'Rate Base Support'!AF93</f>
        <v>0</v>
      </c>
      <c r="P93" s="213">
        <f>+'Rate Base Support'!AG93</f>
        <v>0</v>
      </c>
      <c r="Q93" s="213">
        <f>+'Rate Base Support'!AH93</f>
        <v>0</v>
      </c>
      <c r="R93" s="213">
        <f>+'Rate Base Support'!AI93</f>
        <v>0</v>
      </c>
      <c r="S93" s="68"/>
    </row>
    <row r="94" spans="1:19">
      <c r="A94" s="65" t="s">
        <v>272</v>
      </c>
      <c r="B94" s="65" t="s">
        <v>273</v>
      </c>
      <c r="C94" s="65" t="s">
        <v>243</v>
      </c>
      <c r="D94" s="58">
        <f t="shared" si="10"/>
        <v>85</v>
      </c>
      <c r="E94" s="132" t="s">
        <v>58</v>
      </c>
      <c r="F94" s="65" t="s">
        <v>289</v>
      </c>
      <c r="G94" s="65" t="s">
        <v>26</v>
      </c>
      <c r="H94" s="217">
        <f>1000*-4360.220072917</f>
        <v>-4360220.0729169995</v>
      </c>
      <c r="I94" s="217">
        <f>1000*-361.533952224</f>
        <v>-361533.95222400001</v>
      </c>
      <c r="J94" s="213">
        <f>+'Rate Base Support'!Y94</f>
        <v>314644</v>
      </c>
      <c r="K94" s="213">
        <f>+J94+I94</f>
        <v>-46889.952224000008</v>
      </c>
      <c r="L94" s="213"/>
      <c r="M94" s="213">
        <f>+'Rate Base Support'!AD94</f>
        <v>0</v>
      </c>
      <c r="N94" s="213"/>
      <c r="O94" s="213">
        <f>+'Rate Base Support'!AF94</f>
        <v>-46889.952224000008</v>
      </c>
      <c r="P94" s="213">
        <f>+'Rate Base Support'!AG94</f>
        <v>0</v>
      </c>
      <c r="Q94" s="256">
        <f>+'Rate Base Support'!AH94</f>
        <v>-46890</v>
      </c>
      <c r="R94" s="256">
        <f>+'Rate Base Support'!AI94</f>
        <v>4.7775999992154539E-2</v>
      </c>
      <c r="S94" s="68"/>
    </row>
    <row r="95" spans="1:19">
      <c r="A95" s="65" t="s">
        <v>272</v>
      </c>
      <c r="B95" s="65" t="s">
        <v>273</v>
      </c>
      <c r="C95" s="65" t="s">
        <v>308</v>
      </c>
      <c r="D95" s="58">
        <f t="shared" si="10"/>
        <v>86</v>
      </c>
      <c r="E95" s="132" t="s">
        <v>58</v>
      </c>
      <c r="F95" s="65" t="s">
        <v>291</v>
      </c>
      <c r="G95" s="65" t="s">
        <v>36</v>
      </c>
      <c r="H95" s="217">
        <f>1000*-238.5067625</f>
        <v>-238506.76250000001</v>
      </c>
      <c r="I95" s="217">
        <f>1000*-238.5067625</f>
        <v>-238506.76250000001</v>
      </c>
      <c r="J95" s="213">
        <f>+'Rate Base Support'!Y95</f>
        <v>238507</v>
      </c>
      <c r="K95" s="213">
        <f>+J95+I95</f>
        <v>0.23749999998835847</v>
      </c>
      <c r="L95" s="213"/>
      <c r="M95" s="213">
        <f>+'Rate Base Support'!AD95</f>
        <v>0</v>
      </c>
      <c r="N95" s="213"/>
      <c r="O95" s="213">
        <f>+'Rate Base Support'!AF95</f>
        <v>0</v>
      </c>
      <c r="P95" s="213">
        <f>+'Rate Base Support'!AG95</f>
        <v>0</v>
      </c>
      <c r="Q95" s="213">
        <f>+'Rate Base Support'!AH95</f>
        <v>0</v>
      </c>
      <c r="R95" s="213">
        <f>+'Rate Base Support'!AI95</f>
        <v>0</v>
      </c>
      <c r="S95" s="68"/>
    </row>
    <row r="96" spans="1:19">
      <c r="A96" s="65" t="s">
        <v>272</v>
      </c>
      <c r="B96" s="65" t="s">
        <v>273</v>
      </c>
      <c r="C96" s="65" t="s">
        <v>246</v>
      </c>
      <c r="D96" s="58">
        <f t="shared" si="10"/>
        <v>87</v>
      </c>
      <c r="E96" s="132" t="s">
        <v>58</v>
      </c>
      <c r="F96" s="65" t="s">
        <v>309</v>
      </c>
      <c r="G96" s="65" t="s">
        <v>26</v>
      </c>
      <c r="H96" s="217">
        <f>1000*103.170791667</f>
        <v>103170.791667</v>
      </c>
      <c r="I96" s="217">
        <f>1000*8.554555376</f>
        <v>8554.5553760000003</v>
      </c>
      <c r="J96" s="213">
        <f>+'Rate Base Support'!Y96</f>
        <v>0</v>
      </c>
      <c r="K96" s="213">
        <f>+J96+I96</f>
        <v>8554.5553760000003</v>
      </c>
      <c r="L96" s="213"/>
      <c r="M96" s="213">
        <f>+'Rate Base Support'!AD96</f>
        <v>0</v>
      </c>
      <c r="N96" s="213"/>
      <c r="O96" s="213">
        <f>+'Rate Base Support'!AF96</f>
        <v>8554.5553760000003</v>
      </c>
      <c r="P96" s="213">
        <f>+'Rate Base Support'!AG96</f>
        <v>0</v>
      </c>
      <c r="Q96" s="213">
        <f>+'Rate Base Support'!AH96</f>
        <v>0</v>
      </c>
      <c r="R96" s="213">
        <f>+'Rate Base Support'!AI96</f>
        <v>8554.5553760000003</v>
      </c>
      <c r="S96" s="68"/>
    </row>
    <row r="97" spans="1:19">
      <c r="A97" s="65" t="s">
        <v>272</v>
      </c>
      <c r="B97" s="65" t="s">
        <v>273</v>
      </c>
      <c r="C97" s="65" t="s">
        <v>313</v>
      </c>
      <c r="D97" s="58">
        <f t="shared" si="10"/>
        <v>88</v>
      </c>
      <c r="E97" s="132" t="s">
        <v>58</v>
      </c>
      <c r="F97" s="65" t="s">
        <v>311</v>
      </c>
      <c r="G97" s="65" t="s">
        <v>36</v>
      </c>
      <c r="H97" s="217">
        <f>1000*-14.55934375</f>
        <v>-14559.34375</v>
      </c>
      <c r="I97" s="217">
        <f>1000*-14.55934375</f>
        <v>-14559.34375</v>
      </c>
      <c r="J97" s="213">
        <f>+'Rate Base Support'!Y97</f>
        <v>14559.34375</v>
      </c>
      <c r="K97" s="213">
        <f>+J97+I97</f>
        <v>0</v>
      </c>
      <c r="L97" s="213"/>
      <c r="M97" s="213">
        <f>+'Rate Base Support'!AD97</f>
        <v>0</v>
      </c>
      <c r="N97" s="213"/>
      <c r="O97" s="213">
        <f>+'Rate Base Support'!AF97</f>
        <v>0</v>
      </c>
      <c r="P97" s="213">
        <f>+'Rate Base Support'!AG97</f>
        <v>0</v>
      </c>
      <c r="Q97" s="213">
        <f>+'Rate Base Support'!AH97</f>
        <v>0</v>
      </c>
      <c r="R97" s="213">
        <f>+'Rate Base Support'!AI97</f>
        <v>0</v>
      </c>
      <c r="S97" s="68"/>
    </row>
    <row r="98" spans="1:19">
      <c r="A98" s="65" t="s">
        <v>272</v>
      </c>
      <c r="B98" s="65" t="s">
        <v>273</v>
      </c>
      <c r="C98" s="65" t="s">
        <v>315</v>
      </c>
      <c r="D98" s="58">
        <f t="shared" si="10"/>
        <v>89</v>
      </c>
      <c r="E98" s="132" t="s">
        <v>58</v>
      </c>
      <c r="F98" s="65" t="s">
        <v>314</v>
      </c>
      <c r="G98" s="65" t="s">
        <v>36</v>
      </c>
      <c r="H98" s="217">
        <f>1000*-43.79368125</f>
        <v>-43793.681250000001</v>
      </c>
      <c r="I98" s="217">
        <f>1000*-43.79368125</f>
        <v>-43793.681250000001</v>
      </c>
      <c r="J98" s="213">
        <f>+'Rate Base Support'!Y98</f>
        <v>0</v>
      </c>
      <c r="K98" s="213">
        <f>+J98+I98</f>
        <v>-43793.681250000001</v>
      </c>
      <c r="L98" s="213"/>
      <c r="M98" s="213">
        <f>+'Rate Base Support'!AD98</f>
        <v>0</v>
      </c>
      <c r="N98" s="213"/>
      <c r="O98" s="213">
        <f>+'Rate Base Support'!AF98</f>
        <v>-43793.681250000001</v>
      </c>
      <c r="P98" s="213">
        <f>+'Rate Base Support'!AG98</f>
        <v>0</v>
      </c>
      <c r="Q98" s="213">
        <f>+'Rate Base Support'!AH98</f>
        <v>0</v>
      </c>
      <c r="R98" s="213">
        <f>+'Rate Base Support'!AI98</f>
        <v>-43793.681250000001</v>
      </c>
      <c r="S98" s="68"/>
    </row>
    <row r="99" spans="1:19">
      <c r="A99" s="65" t="s">
        <v>272</v>
      </c>
      <c r="B99" s="65" t="s">
        <v>273</v>
      </c>
      <c r="C99" s="65" t="s">
        <v>317</v>
      </c>
      <c r="D99" s="58">
        <f t="shared" si="10"/>
        <v>90</v>
      </c>
      <c r="E99" s="132" t="s">
        <v>58</v>
      </c>
      <c r="F99" s="65" t="s">
        <v>316</v>
      </c>
      <c r="G99" s="65" t="s">
        <v>36</v>
      </c>
      <c r="H99" s="217">
        <f>1000*-352.5753625</f>
        <v>-352575.36249999999</v>
      </c>
      <c r="I99" s="217">
        <f>1000*-352.5753625</f>
        <v>-352575.36249999999</v>
      </c>
      <c r="J99" s="213">
        <f>+'Rate Base Support'!Y99</f>
        <v>352575</v>
      </c>
      <c r="K99" s="213">
        <f>ROUND(+J99+I99,0)</f>
        <v>0</v>
      </c>
      <c r="L99" s="213"/>
      <c r="M99" s="213">
        <f>+'Rate Base Support'!AD99</f>
        <v>0</v>
      </c>
      <c r="N99" s="213"/>
      <c r="O99" s="213">
        <f>+'Rate Base Support'!AF99</f>
        <v>0</v>
      </c>
      <c r="P99" s="213">
        <f>+'Rate Base Support'!AG99</f>
        <v>0</v>
      </c>
      <c r="Q99" s="213">
        <f>+'Rate Base Support'!AH99</f>
        <v>0</v>
      </c>
      <c r="R99" s="213">
        <f>+'Rate Base Support'!AI99</f>
        <v>0</v>
      </c>
      <c r="S99" s="68"/>
    </row>
    <row r="100" spans="1:19">
      <c r="A100" s="65" t="s">
        <v>272</v>
      </c>
      <c r="B100" s="65" t="s">
        <v>273</v>
      </c>
      <c r="C100" s="65" t="s">
        <v>319</v>
      </c>
      <c r="D100" s="58">
        <f t="shared" si="10"/>
        <v>91</v>
      </c>
      <c r="E100" s="132" t="s">
        <v>58</v>
      </c>
      <c r="F100" s="65" t="s">
        <v>318</v>
      </c>
      <c r="G100" s="65" t="s">
        <v>36</v>
      </c>
      <c r="H100" s="217">
        <f>1000*-479.2319125</f>
        <v>-479231.91250000003</v>
      </c>
      <c r="I100" s="217">
        <f>1000*-479.2319125</f>
        <v>-479231.91250000003</v>
      </c>
      <c r="J100" s="213">
        <f>+'Rate Base Support'!Y100</f>
        <v>479231.91250000003</v>
      </c>
      <c r="K100" s="213">
        <f>+J100+I100</f>
        <v>0</v>
      </c>
      <c r="L100" s="213"/>
      <c r="M100" s="213">
        <f>+'Rate Base Support'!AD100</f>
        <v>0</v>
      </c>
      <c r="N100" s="213"/>
      <c r="O100" s="213">
        <f>+'Rate Base Support'!AF100</f>
        <v>0</v>
      </c>
      <c r="P100" s="213">
        <f>+'Rate Base Support'!AG100</f>
        <v>0</v>
      </c>
      <c r="Q100" s="213">
        <f>+'Rate Base Support'!AH100</f>
        <v>0</v>
      </c>
      <c r="R100" s="213">
        <f>+'Rate Base Support'!AI100</f>
        <v>0</v>
      </c>
      <c r="S100" s="68"/>
    </row>
    <row r="101" spans="1:19">
      <c r="A101" s="65" t="s">
        <v>272</v>
      </c>
      <c r="B101" s="65" t="s">
        <v>273</v>
      </c>
      <c r="C101" s="65" t="s">
        <v>321</v>
      </c>
      <c r="D101" s="58">
        <f t="shared" si="10"/>
        <v>92</v>
      </c>
      <c r="E101" s="132" t="s">
        <v>58</v>
      </c>
      <c r="F101" s="65" t="s">
        <v>320</v>
      </c>
      <c r="G101" s="65" t="s">
        <v>57</v>
      </c>
      <c r="H101" s="217">
        <f>1000*-2255.290945833</f>
        <v>-2255290.9458329999</v>
      </c>
      <c r="I101" s="217">
        <f>1000*-498.127949268</f>
        <v>-498127.94926800003</v>
      </c>
      <c r="J101" s="213">
        <f>+'Rate Base Support'!Y101</f>
        <v>498128</v>
      </c>
      <c r="K101" s="213">
        <f>+J101+I101</f>
        <v>5.0731999974232167E-2</v>
      </c>
      <c r="L101" s="213"/>
      <c r="M101" s="213">
        <f>+'Rate Base Support'!AD101</f>
        <v>0</v>
      </c>
      <c r="N101" s="213"/>
      <c r="O101" s="213">
        <f>+'Rate Base Support'!AF101</f>
        <v>0</v>
      </c>
      <c r="P101" s="213">
        <f>+'Rate Base Support'!AG101</f>
        <v>0</v>
      </c>
      <c r="Q101" s="213">
        <f>+'Rate Base Support'!AH101</f>
        <v>0</v>
      </c>
      <c r="R101" s="213">
        <f>+'Rate Base Support'!AI101</f>
        <v>0</v>
      </c>
      <c r="S101" s="68"/>
    </row>
    <row r="102" spans="1:19">
      <c r="A102" s="65">
        <v>283</v>
      </c>
      <c r="B102" s="65"/>
      <c r="C102" s="65"/>
      <c r="D102" s="58">
        <f t="shared" si="10"/>
        <v>93</v>
      </c>
      <c r="E102" s="132" t="s">
        <v>58</v>
      </c>
      <c r="F102" s="67" t="s">
        <v>323</v>
      </c>
      <c r="G102" s="65"/>
      <c r="H102" s="217"/>
      <c r="I102" s="217"/>
      <c r="J102" s="213">
        <f>+'Rate Base Support'!Y102</f>
        <v>-111262</v>
      </c>
      <c r="K102" s="213">
        <f>+J102+I102</f>
        <v>-111262</v>
      </c>
      <c r="L102" s="213"/>
      <c r="M102" s="213">
        <f>+'Rate Base Support'!AD102</f>
        <v>0</v>
      </c>
      <c r="N102" s="213"/>
      <c r="O102" s="213">
        <f>+'Rate Base Support'!AF102</f>
        <v>-111262</v>
      </c>
      <c r="P102" s="213">
        <f>+'Rate Base Support'!AG102</f>
        <v>0</v>
      </c>
      <c r="Q102" s="213">
        <f>+'Rate Base Support'!AH102</f>
        <v>0</v>
      </c>
      <c r="R102" s="213">
        <f>+'Rate Base Support'!AI102</f>
        <v>-111262</v>
      </c>
      <c r="S102" s="68"/>
    </row>
    <row r="103" spans="1:19">
      <c r="A103" s="65">
        <v>283</v>
      </c>
      <c r="B103" s="65"/>
      <c r="C103" s="65"/>
      <c r="D103" s="58">
        <f t="shared" si="10"/>
        <v>94</v>
      </c>
      <c r="E103" s="132" t="s">
        <v>58</v>
      </c>
      <c r="F103" s="67" t="s">
        <v>131</v>
      </c>
      <c r="G103" s="65"/>
      <c r="H103" s="217"/>
      <c r="I103" s="217"/>
      <c r="J103" s="213">
        <f>+'Rate Base Support'!Y103</f>
        <v>-6261915</v>
      </c>
      <c r="K103" s="213">
        <f>+J103+I103</f>
        <v>-6261915</v>
      </c>
      <c r="L103" s="213"/>
      <c r="M103" s="213">
        <f>+'Rate Base Support'!AD103</f>
        <v>0</v>
      </c>
      <c r="N103" s="213"/>
      <c r="O103" s="213">
        <f>+'Rate Base Support'!AF103</f>
        <v>-6261915</v>
      </c>
      <c r="P103" s="213">
        <f>+'Rate Base Support'!AG103</f>
        <v>0</v>
      </c>
      <c r="Q103" s="213">
        <f>+'Rate Base Support'!AH103</f>
        <v>0</v>
      </c>
      <c r="R103" s="213">
        <f>+'Rate Base Support'!AI103</f>
        <v>-6261915</v>
      </c>
      <c r="S103" s="68"/>
    </row>
    <row r="104" spans="1:19">
      <c r="A104" s="194" t="s">
        <v>324</v>
      </c>
      <c r="B104" s="65"/>
      <c r="C104" s="194"/>
      <c r="D104" s="58">
        <f t="shared" si="10"/>
        <v>95</v>
      </c>
      <c r="F104" s="194" t="s">
        <v>534</v>
      </c>
      <c r="G104" s="194"/>
      <c r="H104" s="218"/>
      <c r="I104" s="218">
        <f>ROUND(SUM(I69:I103),0)</f>
        <v>-4699480</v>
      </c>
      <c r="J104" s="218">
        <f t="shared" ref="J104:O104" si="11">ROUND(SUM(J69:J103),0)</f>
        <v>-5157357</v>
      </c>
      <c r="K104" s="218">
        <f t="shared" si="11"/>
        <v>-9856837</v>
      </c>
      <c r="L104" s="218">
        <f t="shared" si="11"/>
        <v>0</v>
      </c>
      <c r="M104" s="218">
        <f t="shared" si="11"/>
        <v>-1235702</v>
      </c>
      <c r="N104" s="218">
        <f t="shared" si="11"/>
        <v>0</v>
      </c>
      <c r="O104" s="218">
        <f t="shared" si="11"/>
        <v>-11092540</v>
      </c>
      <c r="P104" s="218">
        <f t="shared" ref="P104" si="12">ROUND(SUM(P69:P103),0)</f>
        <v>-1235702</v>
      </c>
      <c r="Q104" s="218">
        <f t="shared" ref="Q104" si="13">ROUND(SUM(Q69:Q103),0)</f>
        <v>-4684124</v>
      </c>
      <c r="R104" s="218">
        <f t="shared" ref="R104" si="14">ROUND(SUM(R69:R103),0)</f>
        <v>-6408416</v>
      </c>
      <c r="S104" s="68"/>
    </row>
    <row r="105" spans="1:19">
      <c r="A105" s="195"/>
      <c r="B105" s="196"/>
      <c r="C105" s="197" t="s">
        <v>325</v>
      </c>
      <c r="D105" s="58">
        <f t="shared" si="10"/>
        <v>96</v>
      </c>
      <c r="F105" s="203" t="s">
        <v>550</v>
      </c>
      <c r="G105" s="197" t="s">
        <v>325</v>
      </c>
      <c r="H105" s="218"/>
      <c r="I105" s="218"/>
      <c r="J105" s="213">
        <f>+'Rate Base Support'!Y105</f>
        <v>1099614</v>
      </c>
      <c r="K105" s="213">
        <f>+J105+I105</f>
        <v>1099614</v>
      </c>
      <c r="L105" s="213"/>
      <c r="M105" s="213">
        <f>+'Rate Base Support'!AD105</f>
        <v>0</v>
      </c>
      <c r="N105" s="213"/>
      <c r="O105" s="213">
        <f>+'Rate Base Support'!AF105</f>
        <v>1099614</v>
      </c>
      <c r="P105" s="213">
        <f>+'Rate Base Support'!AG105</f>
        <v>0</v>
      </c>
      <c r="Q105" s="256">
        <f>+'Rate Base Support'!AH105</f>
        <v>1095830</v>
      </c>
      <c r="R105" s="256">
        <f>+'Rate Base Support'!AI105</f>
        <v>3784</v>
      </c>
      <c r="S105" s="68"/>
    </row>
    <row r="106" spans="1:19">
      <c r="A106" s="195"/>
      <c r="B106" s="196"/>
      <c r="C106" s="197" t="s">
        <v>326</v>
      </c>
      <c r="D106" s="58">
        <f t="shared" si="10"/>
        <v>97</v>
      </c>
      <c r="F106" s="203" t="s">
        <v>326</v>
      </c>
      <c r="G106" s="197" t="s">
        <v>326</v>
      </c>
      <c r="H106" s="218"/>
      <c r="I106" s="218"/>
      <c r="J106" s="213">
        <f>+'Rate Base Support'!Y106</f>
        <v>-262781</v>
      </c>
      <c r="K106" s="213">
        <f>+J106+I106</f>
        <v>-262781</v>
      </c>
      <c r="L106" s="213">
        <f>+'Rate Base Support'!AA106</f>
        <v>262781</v>
      </c>
      <c r="M106" s="213">
        <f>+'Rate Base Support'!AD106</f>
        <v>-20433</v>
      </c>
      <c r="N106" s="213"/>
      <c r="O106" s="213">
        <f>+'Rate Base Support'!AF106</f>
        <v>-20433</v>
      </c>
      <c r="P106" s="213">
        <f>+'Rate Base Support'!AG106</f>
        <v>242348</v>
      </c>
      <c r="Q106" s="213">
        <f>+'Rate Base Support'!AH106</f>
        <v>0</v>
      </c>
      <c r="R106" s="213">
        <f>+'Rate Base Support'!AI106</f>
        <v>-20433</v>
      </c>
      <c r="S106" s="68"/>
    </row>
    <row r="107" spans="1:19">
      <c r="A107" s="195"/>
      <c r="B107" s="196"/>
      <c r="C107" s="197" t="s">
        <v>327</v>
      </c>
      <c r="D107" s="58">
        <f t="shared" si="10"/>
        <v>98</v>
      </c>
      <c r="F107" s="203" t="s">
        <v>551</v>
      </c>
      <c r="G107" s="197" t="s">
        <v>327</v>
      </c>
      <c r="H107" s="218"/>
      <c r="I107" s="218"/>
      <c r="J107" s="213">
        <f>+'Rate Base Support'!Y107</f>
        <v>-9873198.5</v>
      </c>
      <c r="K107" s="213">
        <f>+J107+I107</f>
        <v>-9873198.5</v>
      </c>
      <c r="L107" s="213"/>
      <c r="M107" s="213">
        <f>+'Rate Base Support'!AD107</f>
        <v>0</v>
      </c>
      <c r="N107" s="213"/>
      <c r="O107" s="213">
        <f>+'Rate Base Support'!AF107</f>
        <v>-9873198.5</v>
      </c>
      <c r="P107" s="213">
        <f>+'Rate Base Support'!AG107</f>
        <v>0</v>
      </c>
      <c r="Q107" s="213">
        <f>+'Rate Base Support'!AH107</f>
        <v>-9873199</v>
      </c>
      <c r="R107" s="213">
        <f>+'Rate Base Support'!AI107</f>
        <v>0.5</v>
      </c>
      <c r="S107" s="68"/>
    </row>
    <row r="108" spans="1:19">
      <c r="A108" s="195"/>
      <c r="B108" s="196"/>
      <c r="C108" s="197" t="s">
        <v>329</v>
      </c>
      <c r="D108" s="58">
        <f t="shared" si="10"/>
        <v>99</v>
      </c>
      <c r="F108" s="204" t="s">
        <v>329</v>
      </c>
      <c r="G108" s="199" t="s">
        <v>328</v>
      </c>
      <c r="H108" s="218"/>
      <c r="I108" s="218"/>
      <c r="J108" s="213">
        <f>+'Rate Base Support'!Y108</f>
        <v>0</v>
      </c>
      <c r="K108" s="213"/>
      <c r="L108" s="213"/>
      <c r="M108" s="213">
        <f>+'Rate Base Support'!AD108</f>
        <v>0</v>
      </c>
      <c r="N108" s="213">
        <f>+'Rate Base Support'!AE108</f>
        <v>-14463670</v>
      </c>
      <c r="O108" s="213">
        <f>+'Rate Base Support'!AF108</f>
        <v>-14463670</v>
      </c>
      <c r="P108" s="213">
        <f>+'Rate Base Support'!AG108</f>
        <v>-14463670</v>
      </c>
      <c r="Q108" s="213">
        <f>+'Rate Base Support'!AH108</f>
        <v>0</v>
      </c>
      <c r="R108" s="213">
        <f>+'Rate Base Support'!AI108</f>
        <v>-14463670</v>
      </c>
      <c r="S108" s="68"/>
    </row>
    <row r="109" spans="1:19">
      <c r="A109" s="200"/>
      <c r="B109" s="198"/>
      <c r="C109" s="199" t="s">
        <v>328</v>
      </c>
      <c r="D109" s="58">
        <f t="shared" si="10"/>
        <v>100</v>
      </c>
      <c r="F109" s="199" t="s">
        <v>328</v>
      </c>
      <c r="H109" s="213"/>
      <c r="I109" s="216">
        <f>ROUND(+I104+I68+I61+I58+I105+I107+I106,0)</f>
        <v>-128569574</v>
      </c>
      <c r="J109" s="216">
        <f t="shared" ref="J109:M109" si="15">ROUND(+J104+J68+J61+J58+J105+J107+J106,0)</f>
        <v>-12019788</v>
      </c>
      <c r="K109" s="216">
        <f t="shared" si="15"/>
        <v>-140589362</v>
      </c>
      <c r="L109" s="216">
        <f t="shared" si="15"/>
        <v>262781</v>
      </c>
      <c r="M109" s="216">
        <f t="shared" si="15"/>
        <v>-5401575</v>
      </c>
      <c r="N109" s="216">
        <f>ROUND(+N104+N68+N61+N58+N105+N107+N106+N108,0)</f>
        <v>-14463670</v>
      </c>
      <c r="O109" s="216">
        <f>ROUND(+O104+O68+O61+O58+O105+O107+O106+O108,0)</f>
        <v>-160191827</v>
      </c>
      <c r="P109" s="216">
        <f t="shared" ref="P109:R109" si="16">ROUND(+P104+P68+P61+P58+P105+P107+P106+P108,0)</f>
        <v>-19964825</v>
      </c>
      <c r="Q109" s="216">
        <f t="shared" si="16"/>
        <v>-139304697</v>
      </c>
      <c r="R109" s="216">
        <f t="shared" si="16"/>
        <v>-20887131</v>
      </c>
      <c r="S109" s="68"/>
    </row>
    <row r="110" spans="1:19">
      <c r="J110" s="201"/>
    </row>
  </sheetData>
  <printOptions horizontalCentered="1"/>
  <pageMargins left="0.25" right="0.25" top="0.55000000000000004" bottom="0.3" header="0.55000000000000004" footer="0.15"/>
  <pageSetup scale="53" fitToWidth="2" fitToHeight="4" pageOrder="overThenDown" orientation="landscape" r:id="rId1"/>
  <headerFooter alignWithMargins="0">
    <oddHeader>&amp;RRevised 1-13-2011
PacifiCorp Docket UE-100749
Exhibit No.___(KHB-6)
Page &amp;P 0f &amp;N</oddHeader>
  </headerFooter>
  <rowBreaks count="1" manualBreakCount="1">
    <brk id="61" min="7" max="37"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2011-01-14T08:00:00+00:00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0BE5B3-AE52-4786-A225-F7660BF39F34}"/>
</file>

<file path=customXml/itemProps2.xml><?xml version="1.0" encoding="utf-8"?>
<ds:datastoreItem xmlns:ds="http://schemas.openxmlformats.org/officeDocument/2006/customXml" ds:itemID="{B868B28F-EA0C-44B0-B7A6-23F74B5F8DF0}"/>
</file>

<file path=customXml/itemProps3.xml><?xml version="1.0" encoding="utf-8"?>
<ds:datastoreItem xmlns:ds="http://schemas.openxmlformats.org/officeDocument/2006/customXml" ds:itemID="{8E54E0AA-E28E-4480-B125-63023A2DEFA9}"/>
</file>

<file path=customXml/itemProps4.xml><?xml version="1.0" encoding="utf-8"?>
<ds:datastoreItem xmlns:ds="http://schemas.openxmlformats.org/officeDocument/2006/customXml" ds:itemID="{7D4A6B33-BA46-43F7-B958-8C1D2DAC60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Adj 7.9 Current YrDef FIT Norm</vt:lpstr>
      <vt:lpstr>Revised Exhibit KHB-2</vt:lpstr>
      <vt:lpstr>Adj 7.9 Summary</vt:lpstr>
      <vt:lpstr>DIT Summary</vt:lpstr>
      <vt:lpstr>KHB-6 Pg 1</vt:lpstr>
      <vt:lpstr>KHB-6 Pg 2</vt:lpstr>
      <vt:lpstr>KHB-6 Page 3</vt:lpstr>
      <vt:lpstr>KHB-6 Page 4</vt:lpstr>
      <vt:lpstr>KHB-6 Page 5</vt:lpstr>
      <vt:lpstr>KHB-6 Page 6</vt:lpstr>
      <vt:lpstr>KHB-6 Page 7</vt:lpstr>
      <vt:lpstr>Expense Support</vt:lpstr>
      <vt:lpstr>Rate Base Support</vt:lpstr>
      <vt:lpstr>Sheet1</vt:lpstr>
      <vt:lpstr>'Expense Support'!Print_Area</vt:lpstr>
      <vt:lpstr>'KHB-6 Page 3'!Print_Area</vt:lpstr>
      <vt:lpstr>'KHB-6 Page 4'!Print_Area</vt:lpstr>
      <vt:lpstr>'KHB-6 Page 5'!Print_Area</vt:lpstr>
      <vt:lpstr>'KHB-6 Page 6'!Print_Area</vt:lpstr>
      <vt:lpstr>'KHB-6 Page 7'!Print_Area</vt:lpstr>
      <vt:lpstr>'KHB-6 Pg 2'!Print_Area</vt:lpstr>
      <vt:lpstr>'Rate Base Support'!Print_Area</vt:lpstr>
      <vt:lpstr>'Expense Support'!Print_Titles</vt:lpstr>
      <vt:lpstr>'KHB-6 Page 3'!Print_Titles</vt:lpstr>
      <vt:lpstr>'KHB-6 Page 4'!Print_Titles</vt:lpstr>
      <vt:lpstr>'KHB-6 Page 5'!Print_Titles</vt:lpstr>
      <vt:lpstr>'KHB-6 Page 6'!Print_Titles</vt:lpstr>
      <vt:lpstr>'KHB-6 Page 7'!Print_Titles</vt:lpstr>
      <vt:lpstr>'KHB-6 Pg 1'!Print_Titles</vt:lpstr>
      <vt:lpstr>'KHB-6 Pg 2'!Print_Titles</vt:lpstr>
      <vt:lpstr>'Rate Base Support'!Print_Titles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Kathryn Breda</dc:creator>
  <cp:lastModifiedBy>Kathryn Breda</cp:lastModifiedBy>
  <cp:lastPrinted>2011-02-10T16:55:35Z</cp:lastPrinted>
  <dcterms:created xsi:type="dcterms:W3CDTF">2010-12-01T21:14:16Z</dcterms:created>
  <dcterms:modified xsi:type="dcterms:W3CDTF">2011-02-10T17:00:26Z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0x0101006E56B4D1795A2E4DB2F0B01679ED314A0096E45178E737B2439E5D7C497507581C</vt:lpwstr>
  </property>
  <property fmtid="{D5CDD505-2E9C-101B-9397-08002B2CF9AE}" pid="3" name="_docset_NoMedatataSyncRequired">
    <vt:lpwstr>False</vt:lpwstr>
  </property>
</Properties>
</file>