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docProps/app.xml" ContentType="application/vnd.openxmlformats-officedocument.extended-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01m107\c01m107\2016\2016_WA_Elec_and_Gas_GRC\Data Requests\Drafts\Liz\ICNU\"/>
    </mc:Choice>
  </mc:AlternateContent>
  <bookViews>
    <workbookView xWindow="0" yWindow="15" windowWidth="14265" windowHeight="7515" tabRatio="848"/>
  </bookViews>
  <sheets>
    <sheet name="ADJ DETAIL-INPUT" sheetId="1" r:id="rId1"/>
    <sheet name="CF " sheetId="52" r:id="rId2"/>
    <sheet name="ADJ SUMMARY" sheetId="3" r:id="rId3"/>
    <sheet name="LEAD SHEETS-DO NOT ENTER" sheetId="113" r:id="rId4"/>
    <sheet name="ROO INPUT" sheetId="111" r:id="rId5"/>
    <sheet name="DEBT CALC" sheetId="48" r:id="rId6"/>
    <sheet name="not used RR SUMMARY" sheetId="51" r:id="rId7"/>
  </sheets>
  <externalReferences>
    <externalReference r:id="rId8"/>
    <externalReference r:id="rId9"/>
  </externalReferences>
  <definedNames>
    <definedName name="ID_Elec" localSheetId="4">#REF!</definedName>
    <definedName name="ID_Elec">'DEBT CALC'!$A$71:$F$148</definedName>
    <definedName name="ID_Gas" localSheetId="3">'DEBT CALC'!#REF!</definedName>
    <definedName name="ID_Gas" localSheetId="4">#REF!</definedName>
    <definedName name="ID_Gas">'DEBT CALC'!#REF!</definedName>
    <definedName name="_xlnm.Print_Area" localSheetId="0">'ADJ DETAIL-INPUT'!$A$2:$AS$82</definedName>
    <definedName name="_xlnm.Print_Area" localSheetId="2">'ADJ SUMMARY'!$A$1:$F$53</definedName>
    <definedName name="_xlnm.Print_Area" localSheetId="1">'CF '!$A$1:$E$27</definedName>
    <definedName name="_xlnm.Print_Area" localSheetId="5">'DEBT CALC'!$A$1:$O$49</definedName>
    <definedName name="_xlnm.Print_Area" localSheetId="3">'LEAD SHEETS-DO NOT ENTER'!$A$2:$Z$79</definedName>
    <definedName name="_xlnm.Print_Area" localSheetId="6">'not used RR SUMMARY'!$A$1:$E$26,'not used RR SUMMARY'!$H$1:$N$17</definedName>
    <definedName name="_xlnm.Print_Area" localSheetId="4">'ROO INPUT'!$A$1:$G$79</definedName>
    <definedName name="Print_for_CBReport">'ADJ SUMMARY'!$A$1:$F$54</definedName>
    <definedName name="Print_for_Checking" localSheetId="3">'ADJ SUMMARY'!#REF!:'ADJ SUMMARY'!#REF!</definedName>
    <definedName name="Print_for_Checking" localSheetId="4">[1]PFRstmtSheet!$A$1:[1]PFRstmtSheet!#REF!</definedName>
    <definedName name="Print_for_Checking">'ADJ SUMMARY'!#REF!:'ADJ SUMMARY'!#REF!</definedName>
    <definedName name="_xlnm.Print_Titles" localSheetId="0">'ADJ DETAIL-INPUT'!$A:$D,'ADJ DETAIL-INPUT'!$2:$10</definedName>
    <definedName name="_xlnm.Print_Titles" localSheetId="3">'LEAD SHEETS-DO NOT ENTER'!$A:$D,'LEAD SHEETS-DO NOT ENTER'!$2:$10</definedName>
    <definedName name="_xlnm.Print_Titles" localSheetId="4">'ROO INPUT'!$1:$10</definedName>
    <definedName name="Summary" localSheetId="3">#REF!</definedName>
    <definedName name="Summary" localSheetId="4">#REF!</definedName>
    <definedName name="Summary">#REF!</definedName>
    <definedName name="WA_Elec" localSheetId="4">#REF!</definedName>
    <definedName name="WA_Elec">'DEBT CALC'!$A$1:$F$70</definedName>
    <definedName name="WA_Gas" localSheetId="3">'DEBT CALC'!#REF!</definedName>
    <definedName name="WA_Gas" localSheetId="4">#REF!</definedName>
    <definedName name="WA_Gas">'DEBT CALC'!#REF!</definedName>
    <definedName name="Z_6E1B8C45_B07F_11D2_B0DC_0000832CDFF0_.wvu.Cols" localSheetId="0" hidden="1">'ADJ DETAIL-INPUT'!#REF!,'ADJ DETAIL-INPUT'!$X:$AS</definedName>
    <definedName name="Z_6E1B8C45_B07F_11D2_B0DC_0000832CDFF0_.wvu.Cols" localSheetId="3" hidden="1">'LEAD SHEETS-DO NOT ENTER'!#REF!,'LEAD SHEETS-DO NOT ENTER'!$X:$AS</definedName>
    <definedName name="Z_6E1B8C45_B07F_11D2_B0DC_0000832CDFF0_.wvu.PrintArea" localSheetId="0" hidden="1">'ADJ DETAIL-INPUT'!$E:$Z</definedName>
    <definedName name="Z_6E1B8C45_B07F_11D2_B0DC_0000832CDFF0_.wvu.PrintArea" localSheetId="2" hidden="1">'ADJ SUMMARY'!$A$1:$F$54</definedName>
    <definedName name="Z_6E1B8C45_B07F_11D2_B0DC_0000832CDFF0_.wvu.PrintArea" localSheetId="3" hidden="1">'LEAD SHEETS-DO NOT ENTER'!$E:$Z</definedName>
    <definedName name="Z_6E1B8C45_B07F_11D2_B0DC_0000832CDFF0_.wvu.PrintArea" localSheetId="4" hidden="1">'ROO INPUT'!$A$1:$G$79</definedName>
    <definedName name="Z_6E1B8C45_B07F_11D2_B0DC_0000832CDFF0_.wvu.PrintTitles" localSheetId="0" hidden="1">'ADJ DETAIL-INPUT'!$A:$D,'ADJ DETAIL-INPUT'!$2:$10</definedName>
    <definedName name="Z_6E1B8C45_B07F_11D2_B0DC_0000832CDFF0_.wvu.PrintTitles" localSheetId="3" hidden="1">'LEAD SHEETS-DO NOT ENTER'!$A:$D,'LEAD SHEETS-DO NOT ENTER'!$2:$10</definedName>
    <definedName name="Z_6E1B8C45_B07F_11D2_B0DC_0000832CDFF0_.wvu.Rows" localSheetId="2" hidden="1">'ADJ SUMMARY'!#REF!,'ADJ SUMMARY'!$23:$31,'ADJ SUMMARY'!$32:$32,'ADJ SUMMARY'!$37:$54,'ADJ SUMMARY'!#REF!,'ADJ SUMMARY'!#REF!,'ADJ SUMMARY'!#REF!</definedName>
    <definedName name="Z_A15D1962_B049_11D2_8670_0000832CEEE8_.wvu.Cols" localSheetId="0" hidden="1">'ADJ DETAIL-INPUT'!$X:$AT</definedName>
    <definedName name="Z_A15D1962_B049_11D2_8670_0000832CEEE8_.wvu.Cols" localSheetId="3" hidden="1">'LEAD SHEETS-DO NOT ENTER'!$X:$AT</definedName>
    <definedName name="Z_A15D1962_B049_11D2_8670_0000832CEEE8_.wvu.Rows" localSheetId="2" hidden="1">'ADJ SUMMARY'!$37:$50,'ADJ SUMMARY'!#REF!</definedName>
  </definedNames>
  <calcPr calcId="152511"/>
  <customWorkbookViews>
    <customWorkbookView name="Kathy Mitchell - Personal View" guid="{A15D1962-B049-11D2-8670-0000832CEEE8}" mergeInterval="0" personalView="1" maximized="1" windowWidth="796" windowHeight="436" tabRatio="768" activeSheetId="2"/>
    <customWorkbookView name="Don Falkner - Personal View" guid="{6E1B8C45-B07F-11D2-B0DC-0000832CDFF0}" mergeInterval="0" personalView="1" maximized="1" windowWidth="1020" windowHeight="604" tabRatio="768" activeSheetId="3"/>
  </customWorkbookViews>
</workbook>
</file>

<file path=xl/calcChain.xml><?xml version="1.0" encoding="utf-8"?>
<calcChain xmlns="http://schemas.openxmlformats.org/spreadsheetml/2006/main">
  <c r="Z79" i="1" l="1"/>
  <c r="I14" i="113" l="1"/>
  <c r="I18" i="113"/>
  <c r="V71" i="1"/>
  <c r="V64" i="1"/>
  <c r="V44" i="1"/>
  <c r="V34" i="1"/>
  <c r="V28" i="1"/>
  <c r="V17" i="1"/>
  <c r="V19" i="1" s="1"/>
  <c r="V72" i="1" l="1"/>
  <c r="V75" i="1" s="1"/>
  <c r="V79" i="1" s="1"/>
  <c r="V51" i="1" s="1"/>
  <c r="V45" i="1"/>
  <c r="V47" i="1" s="1"/>
  <c r="C29" i="3"/>
  <c r="B29" i="3"/>
  <c r="V50" i="1" l="1"/>
  <c r="V55" i="1" s="1"/>
  <c r="W78" i="113"/>
  <c r="W77" i="113"/>
  <c r="W76" i="113"/>
  <c r="W74" i="113"/>
  <c r="W70" i="113"/>
  <c r="W69" i="113"/>
  <c r="W68" i="113"/>
  <c r="W67" i="113"/>
  <c r="W66" i="113"/>
  <c r="W63" i="113"/>
  <c r="W62" i="113"/>
  <c r="W61" i="113"/>
  <c r="W60" i="113"/>
  <c r="W59" i="113"/>
  <c r="W53" i="113"/>
  <c r="W52" i="113"/>
  <c r="W49" i="113"/>
  <c r="W43" i="113"/>
  <c r="W42" i="113"/>
  <c r="W41" i="113"/>
  <c r="W38" i="113"/>
  <c r="W37" i="113"/>
  <c r="W36" i="113"/>
  <c r="W33" i="113"/>
  <c r="W32" i="113"/>
  <c r="W31" i="113"/>
  <c r="W27" i="113"/>
  <c r="W26" i="113"/>
  <c r="W25" i="113"/>
  <c r="W24" i="113"/>
  <c r="W23" i="113"/>
  <c r="W18" i="113"/>
  <c r="W16" i="113"/>
  <c r="W15" i="113"/>
  <c r="W14" i="113"/>
  <c r="W17" i="1"/>
  <c r="W19" i="1" s="1"/>
  <c r="W19" i="113" s="1"/>
  <c r="W28" i="1"/>
  <c r="W28" i="113" s="1"/>
  <c r="W34" i="1"/>
  <c r="W34" i="113" s="1"/>
  <c r="W44" i="1"/>
  <c r="W44" i="113" s="1"/>
  <c r="W64" i="1"/>
  <c r="W64" i="113" s="1"/>
  <c r="W71" i="1"/>
  <c r="W71" i="113" s="1"/>
  <c r="X23" i="1"/>
  <c r="U41" i="1"/>
  <c r="U36" i="1"/>
  <c r="U33" i="1"/>
  <c r="N25" i="48"/>
  <c r="L21" i="48"/>
  <c r="L27" i="48" s="1"/>
  <c r="W72" i="1" l="1"/>
  <c r="W17" i="113"/>
  <c r="W45" i="1"/>
  <c r="W45" i="113" s="1"/>
  <c r="N21" i="48"/>
  <c r="E81" i="1" s="1"/>
  <c r="W75" i="1" l="1"/>
  <c r="W72" i="113"/>
  <c r="W47" i="1"/>
  <c r="O23" i="48"/>
  <c r="E39" i="48" s="1"/>
  <c r="N27" i="48"/>
  <c r="F11" i="113"/>
  <c r="G11" i="113"/>
  <c r="H11" i="113"/>
  <c r="I11" i="113"/>
  <c r="J11" i="113"/>
  <c r="K11" i="113"/>
  <c r="L11" i="113"/>
  <c r="M11" i="113"/>
  <c r="N11" i="113"/>
  <c r="O11" i="113"/>
  <c r="P11" i="113"/>
  <c r="Q11" i="113"/>
  <c r="R11" i="113"/>
  <c r="S11" i="113"/>
  <c r="T11" i="113"/>
  <c r="U11" i="113"/>
  <c r="V11" i="113"/>
  <c r="Y11" i="113"/>
  <c r="Z11" i="113"/>
  <c r="X11" i="113"/>
  <c r="E11" i="113"/>
  <c r="W79" i="1" l="1"/>
  <c r="W75" i="113"/>
  <c r="W47" i="113"/>
  <c r="W50" i="1"/>
  <c r="W50" i="113" s="1"/>
  <c r="F39" i="48"/>
  <c r="G39" i="48"/>
  <c r="C11" i="3"/>
  <c r="B11" i="3"/>
  <c r="A11" i="3"/>
  <c r="A79" i="113"/>
  <c r="A77" i="113"/>
  <c r="A76" i="113"/>
  <c r="A75" i="113"/>
  <c r="A74" i="113"/>
  <c r="A72" i="113"/>
  <c r="A71" i="113"/>
  <c r="A70" i="113"/>
  <c r="A69" i="113"/>
  <c r="A68" i="113"/>
  <c r="A67" i="113"/>
  <c r="A66" i="113"/>
  <c r="A64" i="113"/>
  <c r="A63" i="113"/>
  <c r="A62" i="113"/>
  <c r="A61" i="113"/>
  <c r="A60" i="113"/>
  <c r="A59" i="113"/>
  <c r="A55" i="113"/>
  <c r="A53" i="113"/>
  <c r="A52" i="113"/>
  <c r="A51" i="113"/>
  <c r="A50" i="113"/>
  <c r="A47" i="113"/>
  <c r="A45" i="113"/>
  <c r="A44" i="113"/>
  <c r="A43" i="113"/>
  <c r="A42" i="113"/>
  <c r="A41" i="113"/>
  <c r="A38" i="113"/>
  <c r="A37" i="113"/>
  <c r="A36" i="113"/>
  <c r="A34" i="113"/>
  <c r="A33" i="113"/>
  <c r="A32" i="113"/>
  <c r="A31" i="113"/>
  <c r="A28" i="113"/>
  <c r="A27" i="113"/>
  <c r="A26" i="113"/>
  <c r="A25" i="113"/>
  <c r="A24" i="113"/>
  <c r="A23" i="113"/>
  <c r="A19" i="113"/>
  <c r="A18" i="113"/>
  <c r="A17" i="113"/>
  <c r="A16" i="113"/>
  <c r="A15" i="113"/>
  <c r="A14" i="113"/>
  <c r="C24" i="113"/>
  <c r="C25" i="113"/>
  <c r="C26" i="113"/>
  <c r="C27" i="113"/>
  <c r="C31" i="113"/>
  <c r="C32" i="113"/>
  <c r="C33" i="113"/>
  <c r="C41" i="113"/>
  <c r="C42" i="113"/>
  <c r="C43" i="113"/>
  <c r="C59" i="113"/>
  <c r="C60" i="113"/>
  <c r="C61" i="113"/>
  <c r="C62" i="113"/>
  <c r="C63" i="113"/>
  <c r="C66" i="113"/>
  <c r="C67" i="113"/>
  <c r="C68" i="113"/>
  <c r="C69" i="113"/>
  <c r="C70" i="113"/>
  <c r="C75" i="113"/>
  <c r="C23" i="113"/>
  <c r="B14" i="113"/>
  <c r="B15" i="113"/>
  <c r="B16" i="113"/>
  <c r="B17" i="113"/>
  <c r="B18" i="113"/>
  <c r="B19" i="113"/>
  <c r="B21" i="113"/>
  <c r="B22" i="113"/>
  <c r="B28" i="113"/>
  <c r="B30" i="113"/>
  <c r="B34" i="113"/>
  <c r="B36" i="113"/>
  <c r="B37" i="113"/>
  <c r="B38" i="113"/>
  <c r="B40" i="113"/>
  <c r="B44" i="113"/>
  <c r="B45" i="113"/>
  <c r="B47" i="113"/>
  <c r="B49" i="113"/>
  <c r="B50" i="113"/>
  <c r="B51" i="113"/>
  <c r="B52" i="113"/>
  <c r="B53" i="113"/>
  <c r="B55" i="113"/>
  <c r="B57" i="113"/>
  <c r="B58" i="113"/>
  <c r="B64" i="113"/>
  <c r="B65" i="113"/>
  <c r="B71" i="113"/>
  <c r="B72" i="113"/>
  <c r="B74" i="113"/>
  <c r="B76" i="113"/>
  <c r="B77" i="113"/>
  <c r="B79" i="113"/>
  <c r="B13" i="113"/>
  <c r="F15" i="113"/>
  <c r="G15" i="113"/>
  <c r="H15" i="113"/>
  <c r="I15" i="113"/>
  <c r="J15" i="113"/>
  <c r="K15" i="113"/>
  <c r="L15" i="113"/>
  <c r="M15" i="113"/>
  <c r="N15" i="113"/>
  <c r="O15" i="113"/>
  <c r="P15" i="113"/>
  <c r="Q15" i="113"/>
  <c r="R15" i="113"/>
  <c r="S15" i="113"/>
  <c r="T15" i="113"/>
  <c r="U15" i="113"/>
  <c r="V15" i="113"/>
  <c r="Y15" i="113"/>
  <c r="X15" i="113"/>
  <c r="AP15" i="113"/>
  <c r="AQ15" i="113"/>
  <c r="AR15" i="113"/>
  <c r="F16" i="113"/>
  <c r="G16" i="113"/>
  <c r="H16" i="113"/>
  <c r="I16" i="113"/>
  <c r="J16" i="113"/>
  <c r="K16" i="113"/>
  <c r="L16" i="113"/>
  <c r="M16" i="113"/>
  <c r="N16" i="113"/>
  <c r="O16" i="113"/>
  <c r="P16" i="113"/>
  <c r="Q16" i="113"/>
  <c r="R16" i="113"/>
  <c r="S16" i="113"/>
  <c r="T16" i="113"/>
  <c r="U16" i="113"/>
  <c r="V16" i="113"/>
  <c r="Y16" i="113"/>
  <c r="X16" i="113"/>
  <c r="AP16" i="113"/>
  <c r="AQ16" i="113"/>
  <c r="AR16" i="113"/>
  <c r="AP17" i="113"/>
  <c r="AQ17" i="113"/>
  <c r="AR17" i="113"/>
  <c r="F18" i="113"/>
  <c r="G18" i="113"/>
  <c r="H18" i="113"/>
  <c r="J18" i="113"/>
  <c r="K18" i="113"/>
  <c r="L18" i="113"/>
  <c r="M18" i="113"/>
  <c r="N18" i="113"/>
  <c r="O18" i="113"/>
  <c r="P18" i="113"/>
  <c r="Q18" i="113"/>
  <c r="R18" i="113"/>
  <c r="S18" i="113"/>
  <c r="T18" i="113"/>
  <c r="U18" i="113"/>
  <c r="V18" i="113"/>
  <c r="Y18" i="113"/>
  <c r="X18" i="113"/>
  <c r="AP18" i="113"/>
  <c r="AQ18" i="113"/>
  <c r="AR18" i="113"/>
  <c r="AP19" i="113"/>
  <c r="AQ19" i="113"/>
  <c r="AR19" i="113"/>
  <c r="F23" i="113"/>
  <c r="G23" i="113"/>
  <c r="H23" i="113"/>
  <c r="I23" i="113"/>
  <c r="J23" i="113"/>
  <c r="K23" i="113"/>
  <c r="L23" i="113"/>
  <c r="M23" i="113"/>
  <c r="N23" i="113"/>
  <c r="O23" i="113"/>
  <c r="P23" i="113"/>
  <c r="Q23" i="113"/>
  <c r="R23" i="113"/>
  <c r="S23" i="113"/>
  <c r="T23" i="113"/>
  <c r="U23" i="113"/>
  <c r="V23" i="113"/>
  <c r="Y23" i="113"/>
  <c r="X23" i="113"/>
  <c r="AP23" i="113"/>
  <c r="AQ23" i="113"/>
  <c r="AR23" i="113"/>
  <c r="F24" i="113"/>
  <c r="G24" i="113"/>
  <c r="H24" i="113"/>
  <c r="I24" i="113"/>
  <c r="J24" i="113"/>
  <c r="K24" i="113"/>
  <c r="L24" i="113"/>
  <c r="M24" i="113"/>
  <c r="N24" i="113"/>
  <c r="O24" i="113"/>
  <c r="P24" i="113"/>
  <c r="Q24" i="113"/>
  <c r="R24" i="113"/>
  <c r="S24" i="113"/>
  <c r="T24" i="113"/>
  <c r="U24" i="113"/>
  <c r="V24" i="113"/>
  <c r="Y24" i="113"/>
  <c r="X24" i="113"/>
  <c r="AP24" i="113"/>
  <c r="AQ24" i="113"/>
  <c r="AR24" i="113"/>
  <c r="F25" i="113"/>
  <c r="G25" i="113"/>
  <c r="H25" i="113"/>
  <c r="I25" i="113"/>
  <c r="J25" i="113"/>
  <c r="K25" i="113"/>
  <c r="L25" i="113"/>
  <c r="M25" i="113"/>
  <c r="N25" i="113"/>
  <c r="O25" i="113"/>
  <c r="P25" i="113"/>
  <c r="Q25" i="113"/>
  <c r="R25" i="113"/>
  <c r="S25" i="113"/>
  <c r="T25" i="113"/>
  <c r="U25" i="113"/>
  <c r="V25" i="113"/>
  <c r="Y25" i="113"/>
  <c r="X25" i="113"/>
  <c r="AP25" i="113"/>
  <c r="AQ25" i="113"/>
  <c r="AR25" i="113"/>
  <c r="F26" i="113"/>
  <c r="G26" i="113"/>
  <c r="H26" i="113"/>
  <c r="I26" i="113"/>
  <c r="J26" i="113"/>
  <c r="K26" i="113"/>
  <c r="L26" i="113"/>
  <c r="M26" i="113"/>
  <c r="N26" i="113"/>
  <c r="O26" i="113"/>
  <c r="P26" i="113"/>
  <c r="Q26" i="113"/>
  <c r="R26" i="113"/>
  <c r="S26" i="113"/>
  <c r="T26" i="113"/>
  <c r="U26" i="113"/>
  <c r="V26" i="113"/>
  <c r="Y26" i="113"/>
  <c r="X26" i="113"/>
  <c r="AP26" i="113"/>
  <c r="AQ26" i="113"/>
  <c r="AR26" i="113"/>
  <c r="F27" i="113"/>
  <c r="G27" i="113"/>
  <c r="H27" i="113"/>
  <c r="I27" i="113"/>
  <c r="J27" i="113"/>
  <c r="K27" i="113"/>
  <c r="L27" i="113"/>
  <c r="M27" i="113"/>
  <c r="N27" i="113"/>
  <c r="O27" i="113"/>
  <c r="P27" i="113"/>
  <c r="Q27" i="113"/>
  <c r="R27" i="113"/>
  <c r="S27" i="113"/>
  <c r="T27" i="113"/>
  <c r="U27" i="113"/>
  <c r="V27" i="113"/>
  <c r="Y27" i="113"/>
  <c r="X27" i="113"/>
  <c r="AP27" i="113"/>
  <c r="AQ27" i="113"/>
  <c r="AR27" i="113"/>
  <c r="AP28" i="113"/>
  <c r="AQ28" i="113"/>
  <c r="AR28" i="113"/>
  <c r="F31" i="113"/>
  <c r="G31" i="113"/>
  <c r="H31" i="113"/>
  <c r="I31" i="113"/>
  <c r="J31" i="113"/>
  <c r="K31" i="113"/>
  <c r="L31" i="113"/>
  <c r="M31" i="113"/>
  <c r="N31" i="113"/>
  <c r="O31" i="113"/>
  <c r="P31" i="113"/>
  <c r="Q31" i="113"/>
  <c r="R31" i="113"/>
  <c r="S31" i="113"/>
  <c r="T31" i="113"/>
  <c r="U31" i="113"/>
  <c r="V31" i="113"/>
  <c r="Y31" i="113"/>
  <c r="X31" i="113"/>
  <c r="AP31" i="113"/>
  <c r="AQ31" i="113"/>
  <c r="AR31" i="113"/>
  <c r="F32" i="113"/>
  <c r="G32" i="113"/>
  <c r="H32" i="113"/>
  <c r="I32" i="113"/>
  <c r="J32" i="113"/>
  <c r="K32" i="113"/>
  <c r="L32" i="113"/>
  <c r="M32" i="113"/>
  <c r="N32" i="113"/>
  <c r="O32" i="113"/>
  <c r="P32" i="113"/>
  <c r="Q32" i="113"/>
  <c r="R32" i="113"/>
  <c r="S32" i="113"/>
  <c r="T32" i="113"/>
  <c r="U32" i="113"/>
  <c r="V32" i="113"/>
  <c r="Y32" i="113"/>
  <c r="X32" i="113"/>
  <c r="AP32" i="113"/>
  <c r="AQ32" i="113"/>
  <c r="AR32" i="113"/>
  <c r="F33" i="113"/>
  <c r="G33" i="113"/>
  <c r="H33" i="113"/>
  <c r="I33" i="113"/>
  <c r="J33" i="113"/>
  <c r="K33" i="113"/>
  <c r="L33" i="113"/>
  <c r="M33" i="113"/>
  <c r="N33" i="113"/>
  <c r="O33" i="113"/>
  <c r="P33" i="113"/>
  <c r="Q33" i="113"/>
  <c r="R33" i="113"/>
  <c r="S33" i="113"/>
  <c r="T33" i="113"/>
  <c r="U33" i="113"/>
  <c r="V33" i="113"/>
  <c r="Y33" i="113"/>
  <c r="X33" i="113"/>
  <c r="AP33" i="113"/>
  <c r="AQ33" i="113"/>
  <c r="AR33" i="113"/>
  <c r="AP34" i="113"/>
  <c r="AQ34" i="113"/>
  <c r="AR34" i="113"/>
  <c r="F36" i="113"/>
  <c r="G36" i="113"/>
  <c r="H36" i="113"/>
  <c r="I36" i="113"/>
  <c r="J36" i="113"/>
  <c r="K36" i="113"/>
  <c r="L36" i="113"/>
  <c r="M36" i="113"/>
  <c r="N36" i="113"/>
  <c r="O36" i="113"/>
  <c r="P36" i="113"/>
  <c r="Q36" i="113"/>
  <c r="R36" i="113"/>
  <c r="S36" i="113"/>
  <c r="T36" i="113"/>
  <c r="U36" i="113"/>
  <c r="V36" i="113"/>
  <c r="Y36" i="113"/>
  <c r="X36" i="113"/>
  <c r="AP36" i="113"/>
  <c r="AQ36" i="113"/>
  <c r="AR36" i="113"/>
  <c r="F37" i="113"/>
  <c r="G37" i="113"/>
  <c r="H37" i="113"/>
  <c r="I37" i="113"/>
  <c r="J37" i="113"/>
  <c r="K37" i="113"/>
  <c r="L37" i="113"/>
  <c r="M37" i="113"/>
  <c r="N37" i="113"/>
  <c r="O37" i="113"/>
  <c r="P37" i="113"/>
  <c r="Q37" i="113"/>
  <c r="R37" i="113"/>
  <c r="S37" i="113"/>
  <c r="T37" i="113"/>
  <c r="U37" i="113"/>
  <c r="V37" i="113"/>
  <c r="Y37" i="113"/>
  <c r="X37" i="113"/>
  <c r="AP37" i="113"/>
  <c r="AQ37" i="113"/>
  <c r="AR37" i="113"/>
  <c r="F38" i="113"/>
  <c r="G38" i="113"/>
  <c r="H38" i="113"/>
  <c r="I38" i="113"/>
  <c r="J38" i="113"/>
  <c r="K38" i="113"/>
  <c r="L38" i="113"/>
  <c r="M38" i="113"/>
  <c r="N38" i="113"/>
  <c r="O38" i="113"/>
  <c r="P38" i="113"/>
  <c r="Q38" i="113"/>
  <c r="R38" i="113"/>
  <c r="S38" i="113"/>
  <c r="T38" i="113"/>
  <c r="U38" i="113"/>
  <c r="V38" i="113"/>
  <c r="Y38" i="113"/>
  <c r="X38" i="113"/>
  <c r="AP38" i="113"/>
  <c r="AQ38" i="113"/>
  <c r="AR38" i="113"/>
  <c r="F41" i="113"/>
  <c r="G41" i="113"/>
  <c r="H41" i="113"/>
  <c r="I41" i="113"/>
  <c r="J41" i="113"/>
  <c r="K41" i="113"/>
  <c r="L41" i="113"/>
  <c r="M41" i="113"/>
  <c r="N41" i="113"/>
  <c r="O41" i="113"/>
  <c r="P41" i="113"/>
  <c r="Q41" i="113"/>
  <c r="R41" i="113"/>
  <c r="S41" i="113"/>
  <c r="T41" i="113"/>
  <c r="U41" i="113"/>
  <c r="V41" i="113"/>
  <c r="Y41" i="113"/>
  <c r="X41" i="113"/>
  <c r="AP41" i="113"/>
  <c r="AQ41" i="113"/>
  <c r="AR41" i="113"/>
  <c r="F42" i="113"/>
  <c r="G42" i="113"/>
  <c r="H42" i="113"/>
  <c r="I42" i="113"/>
  <c r="J42" i="113"/>
  <c r="K42" i="113"/>
  <c r="L42" i="113"/>
  <c r="M42" i="113"/>
  <c r="N42" i="113"/>
  <c r="O42" i="113"/>
  <c r="P42" i="113"/>
  <c r="Q42" i="113"/>
  <c r="R42" i="113"/>
  <c r="S42" i="113"/>
  <c r="T42" i="113"/>
  <c r="U42" i="113"/>
  <c r="V42" i="113"/>
  <c r="Y42" i="113"/>
  <c r="X42" i="113"/>
  <c r="AP42" i="113"/>
  <c r="AQ42" i="113"/>
  <c r="AR42" i="113"/>
  <c r="F43" i="113"/>
  <c r="G43" i="113"/>
  <c r="H43" i="113"/>
  <c r="I43" i="113"/>
  <c r="J43" i="113"/>
  <c r="K43" i="113"/>
  <c r="L43" i="113"/>
  <c r="M43" i="113"/>
  <c r="N43" i="113"/>
  <c r="O43" i="113"/>
  <c r="P43" i="113"/>
  <c r="Q43" i="113"/>
  <c r="R43" i="113"/>
  <c r="S43" i="113"/>
  <c r="T43" i="113"/>
  <c r="U43" i="113"/>
  <c r="V43" i="113"/>
  <c r="Y43" i="113"/>
  <c r="X43" i="113"/>
  <c r="AP43" i="113"/>
  <c r="AQ43" i="113"/>
  <c r="AR43" i="113"/>
  <c r="AP44" i="113"/>
  <c r="AQ44" i="113"/>
  <c r="AR44" i="113"/>
  <c r="AP45" i="113"/>
  <c r="AQ45" i="113"/>
  <c r="AR45" i="113"/>
  <c r="AP47" i="113"/>
  <c r="AQ47" i="113"/>
  <c r="AR47" i="113"/>
  <c r="F49" i="113"/>
  <c r="G49" i="113"/>
  <c r="H49" i="113"/>
  <c r="I49" i="113"/>
  <c r="J49" i="113"/>
  <c r="K49" i="113"/>
  <c r="L49" i="113"/>
  <c r="M49" i="113"/>
  <c r="N49" i="113"/>
  <c r="O49" i="113"/>
  <c r="P49" i="113"/>
  <c r="Q49" i="113"/>
  <c r="R49" i="113"/>
  <c r="S49" i="113"/>
  <c r="T49" i="113"/>
  <c r="U49" i="113"/>
  <c r="V49" i="113"/>
  <c r="Y49" i="113"/>
  <c r="Z49" i="113"/>
  <c r="X49" i="113"/>
  <c r="AP49" i="113"/>
  <c r="AQ49" i="113"/>
  <c r="AR49" i="113"/>
  <c r="AS49" i="113"/>
  <c r="AP50" i="113"/>
  <c r="AQ50" i="113"/>
  <c r="AR50" i="113"/>
  <c r="AP51" i="113"/>
  <c r="AQ51" i="113"/>
  <c r="AR51" i="113"/>
  <c r="F52" i="113"/>
  <c r="G52" i="113"/>
  <c r="H52" i="113"/>
  <c r="I52" i="113"/>
  <c r="J52" i="113"/>
  <c r="K52" i="113"/>
  <c r="L52" i="113"/>
  <c r="M52" i="113"/>
  <c r="N52" i="113"/>
  <c r="O52" i="113"/>
  <c r="P52" i="113"/>
  <c r="Q52" i="113"/>
  <c r="R52" i="113"/>
  <c r="S52" i="113"/>
  <c r="T52" i="113"/>
  <c r="U52" i="113"/>
  <c r="V52" i="113"/>
  <c r="Y52" i="113"/>
  <c r="X52" i="113"/>
  <c r="AP52" i="113"/>
  <c r="AQ52" i="113"/>
  <c r="AR52" i="113"/>
  <c r="F53" i="113"/>
  <c r="G53" i="113"/>
  <c r="H53" i="113"/>
  <c r="I53" i="113"/>
  <c r="J53" i="113"/>
  <c r="K53" i="113"/>
  <c r="L53" i="113"/>
  <c r="M53" i="113"/>
  <c r="N53" i="113"/>
  <c r="O53" i="113"/>
  <c r="P53" i="113"/>
  <c r="Q53" i="113"/>
  <c r="R53" i="113"/>
  <c r="S53" i="113"/>
  <c r="T53" i="113"/>
  <c r="U53" i="113"/>
  <c r="V53" i="113"/>
  <c r="Y53" i="113"/>
  <c r="X53" i="113"/>
  <c r="AP53" i="113"/>
  <c r="AQ53" i="113"/>
  <c r="AR53" i="113"/>
  <c r="AP55" i="113"/>
  <c r="AQ55" i="113"/>
  <c r="AR55" i="113"/>
  <c r="F59" i="113"/>
  <c r="G59" i="113"/>
  <c r="H59" i="113"/>
  <c r="I59" i="113"/>
  <c r="J59" i="113"/>
  <c r="K59" i="113"/>
  <c r="L59" i="113"/>
  <c r="M59" i="113"/>
  <c r="N59" i="113"/>
  <c r="O59" i="113"/>
  <c r="P59" i="113"/>
  <c r="Q59" i="113"/>
  <c r="R59" i="113"/>
  <c r="S59" i="113"/>
  <c r="T59" i="113"/>
  <c r="U59" i="113"/>
  <c r="V59" i="113"/>
  <c r="Y59" i="113"/>
  <c r="X59" i="113"/>
  <c r="AP59" i="113"/>
  <c r="AQ59" i="113"/>
  <c r="AR59" i="113"/>
  <c r="F60" i="113"/>
  <c r="G60" i="113"/>
  <c r="H60" i="113"/>
  <c r="I60" i="113"/>
  <c r="J60" i="113"/>
  <c r="K60" i="113"/>
  <c r="L60" i="113"/>
  <c r="M60" i="113"/>
  <c r="N60" i="113"/>
  <c r="O60" i="113"/>
  <c r="P60" i="113"/>
  <c r="Q60" i="113"/>
  <c r="R60" i="113"/>
  <c r="S60" i="113"/>
  <c r="T60" i="113"/>
  <c r="U60" i="113"/>
  <c r="V60" i="113"/>
  <c r="Y60" i="113"/>
  <c r="X60" i="113"/>
  <c r="AP60" i="113"/>
  <c r="AQ60" i="113"/>
  <c r="AR60" i="113"/>
  <c r="F61" i="113"/>
  <c r="G61" i="113"/>
  <c r="H61" i="113"/>
  <c r="I61" i="113"/>
  <c r="J61" i="113"/>
  <c r="K61" i="113"/>
  <c r="L61" i="113"/>
  <c r="M61" i="113"/>
  <c r="N61" i="113"/>
  <c r="O61" i="113"/>
  <c r="P61" i="113"/>
  <c r="Q61" i="113"/>
  <c r="R61" i="113"/>
  <c r="S61" i="113"/>
  <c r="T61" i="113"/>
  <c r="U61" i="113"/>
  <c r="V61" i="113"/>
  <c r="Y61" i="113"/>
  <c r="X61" i="113"/>
  <c r="AP61" i="113"/>
  <c r="AQ61" i="113"/>
  <c r="AR61" i="113"/>
  <c r="F62" i="113"/>
  <c r="G62" i="113"/>
  <c r="H62" i="113"/>
  <c r="I62" i="113"/>
  <c r="J62" i="113"/>
  <c r="K62" i="113"/>
  <c r="L62" i="113"/>
  <c r="M62" i="113"/>
  <c r="N62" i="113"/>
  <c r="O62" i="113"/>
  <c r="P62" i="113"/>
  <c r="Q62" i="113"/>
  <c r="R62" i="113"/>
  <c r="S62" i="113"/>
  <c r="T62" i="113"/>
  <c r="U62" i="113"/>
  <c r="V62" i="113"/>
  <c r="Y62" i="113"/>
  <c r="X62" i="113"/>
  <c r="AP62" i="113"/>
  <c r="AQ62" i="113"/>
  <c r="AR62" i="113"/>
  <c r="F63" i="113"/>
  <c r="G63" i="113"/>
  <c r="H63" i="113"/>
  <c r="I63" i="113"/>
  <c r="J63" i="113"/>
  <c r="K63" i="113"/>
  <c r="L63" i="113"/>
  <c r="M63" i="113"/>
  <c r="N63" i="113"/>
  <c r="O63" i="113"/>
  <c r="P63" i="113"/>
  <c r="Q63" i="113"/>
  <c r="R63" i="113"/>
  <c r="S63" i="113"/>
  <c r="T63" i="113"/>
  <c r="U63" i="113"/>
  <c r="V63" i="113"/>
  <c r="Y63" i="113"/>
  <c r="X63" i="113"/>
  <c r="AP63" i="113"/>
  <c r="AQ63" i="113"/>
  <c r="AR63" i="113"/>
  <c r="AP64" i="113"/>
  <c r="AQ64" i="113"/>
  <c r="AR64" i="113"/>
  <c r="F66" i="113"/>
  <c r="G66" i="113"/>
  <c r="H66" i="113"/>
  <c r="I66" i="113"/>
  <c r="J66" i="113"/>
  <c r="K66" i="113"/>
  <c r="L66" i="113"/>
  <c r="M66" i="113"/>
  <c r="N66" i="113"/>
  <c r="O66" i="113"/>
  <c r="P66" i="113"/>
  <c r="Q66" i="113"/>
  <c r="R66" i="113"/>
  <c r="S66" i="113"/>
  <c r="T66" i="113"/>
  <c r="U66" i="113"/>
  <c r="V66" i="113"/>
  <c r="Y66" i="113"/>
  <c r="X66" i="113"/>
  <c r="AP66" i="113"/>
  <c r="AQ66" i="113"/>
  <c r="AR66" i="113"/>
  <c r="F67" i="113"/>
  <c r="G67" i="113"/>
  <c r="H67" i="113"/>
  <c r="I67" i="113"/>
  <c r="J67" i="113"/>
  <c r="K67" i="113"/>
  <c r="L67" i="113"/>
  <c r="M67" i="113"/>
  <c r="N67" i="113"/>
  <c r="O67" i="113"/>
  <c r="P67" i="113"/>
  <c r="Q67" i="113"/>
  <c r="R67" i="113"/>
  <c r="S67" i="113"/>
  <c r="T67" i="113"/>
  <c r="U67" i="113"/>
  <c r="V67" i="113"/>
  <c r="Y67" i="113"/>
  <c r="X67" i="113"/>
  <c r="AP67" i="113"/>
  <c r="AQ67" i="113"/>
  <c r="AR67" i="113"/>
  <c r="F68" i="113"/>
  <c r="G68" i="113"/>
  <c r="H68" i="113"/>
  <c r="I68" i="113"/>
  <c r="J68" i="113"/>
  <c r="K68" i="113"/>
  <c r="L68" i="113"/>
  <c r="M68" i="113"/>
  <c r="N68" i="113"/>
  <c r="O68" i="113"/>
  <c r="P68" i="113"/>
  <c r="Q68" i="113"/>
  <c r="R68" i="113"/>
  <c r="S68" i="113"/>
  <c r="T68" i="113"/>
  <c r="U68" i="113"/>
  <c r="V68" i="113"/>
  <c r="Y68" i="113"/>
  <c r="X68" i="113"/>
  <c r="AP68" i="113"/>
  <c r="AQ68" i="113"/>
  <c r="AR68" i="113"/>
  <c r="F69" i="113"/>
  <c r="G69" i="113"/>
  <c r="H69" i="113"/>
  <c r="I69" i="113"/>
  <c r="J69" i="113"/>
  <c r="K69" i="113"/>
  <c r="L69" i="113"/>
  <c r="M69" i="113"/>
  <c r="N69" i="113"/>
  <c r="O69" i="113"/>
  <c r="P69" i="113"/>
  <c r="Q69" i="113"/>
  <c r="R69" i="113"/>
  <c r="S69" i="113"/>
  <c r="T69" i="113"/>
  <c r="U69" i="113"/>
  <c r="V69" i="113"/>
  <c r="Y69" i="113"/>
  <c r="X69" i="113"/>
  <c r="AP69" i="113"/>
  <c r="AQ69" i="113"/>
  <c r="AR69" i="113"/>
  <c r="F70" i="113"/>
  <c r="G70" i="113"/>
  <c r="H70" i="113"/>
  <c r="I70" i="113"/>
  <c r="J70" i="113"/>
  <c r="K70" i="113"/>
  <c r="L70" i="113"/>
  <c r="M70" i="113"/>
  <c r="N70" i="113"/>
  <c r="O70" i="113"/>
  <c r="P70" i="113"/>
  <c r="Q70" i="113"/>
  <c r="R70" i="113"/>
  <c r="S70" i="113"/>
  <c r="T70" i="113"/>
  <c r="U70" i="113"/>
  <c r="V70" i="113"/>
  <c r="Y70" i="113"/>
  <c r="X70" i="113"/>
  <c r="AP70" i="113"/>
  <c r="AQ70" i="113"/>
  <c r="AR70" i="113"/>
  <c r="AP71" i="113"/>
  <c r="AQ71" i="113"/>
  <c r="AR71" i="113"/>
  <c r="F74" i="113"/>
  <c r="G74" i="113"/>
  <c r="H74" i="113"/>
  <c r="I74" i="113"/>
  <c r="J74" i="113"/>
  <c r="K74" i="113"/>
  <c r="L74" i="113"/>
  <c r="M74" i="113"/>
  <c r="N74" i="113"/>
  <c r="O74" i="113"/>
  <c r="P74" i="113"/>
  <c r="Q74" i="113"/>
  <c r="R74" i="113"/>
  <c r="S74" i="113"/>
  <c r="T74" i="113"/>
  <c r="U74" i="113"/>
  <c r="V74" i="113"/>
  <c r="Y74" i="113"/>
  <c r="X74" i="113"/>
  <c r="AP74" i="113"/>
  <c r="AQ74" i="113"/>
  <c r="AR74" i="113"/>
  <c r="F76" i="113"/>
  <c r="G76" i="113"/>
  <c r="H76" i="113"/>
  <c r="I76" i="113"/>
  <c r="J76" i="113"/>
  <c r="K76" i="113"/>
  <c r="L76" i="113"/>
  <c r="M76" i="113"/>
  <c r="N76" i="113"/>
  <c r="O76" i="113"/>
  <c r="P76" i="113"/>
  <c r="Q76" i="113"/>
  <c r="R76" i="113"/>
  <c r="S76" i="113"/>
  <c r="T76" i="113"/>
  <c r="U76" i="113"/>
  <c r="V76" i="113"/>
  <c r="Y76" i="113"/>
  <c r="X76" i="113"/>
  <c r="AP76" i="113"/>
  <c r="AQ76" i="113"/>
  <c r="AR76" i="113"/>
  <c r="F77" i="113"/>
  <c r="G77" i="113"/>
  <c r="H77" i="113"/>
  <c r="I77" i="113"/>
  <c r="J77" i="113"/>
  <c r="K77" i="113"/>
  <c r="L77" i="113"/>
  <c r="M77" i="113"/>
  <c r="N77" i="113"/>
  <c r="O77" i="113"/>
  <c r="P77" i="113"/>
  <c r="Q77" i="113"/>
  <c r="R77" i="113"/>
  <c r="S77" i="113"/>
  <c r="T77" i="113"/>
  <c r="U77" i="113"/>
  <c r="V77" i="113"/>
  <c r="Y77" i="113"/>
  <c r="X77" i="113"/>
  <c r="AP77" i="113"/>
  <c r="AQ77" i="113"/>
  <c r="AR77" i="113"/>
  <c r="F78" i="113"/>
  <c r="G78" i="113"/>
  <c r="H78" i="113"/>
  <c r="I78" i="113"/>
  <c r="J78" i="113"/>
  <c r="K78" i="113"/>
  <c r="L78" i="113"/>
  <c r="M78" i="113"/>
  <c r="N78" i="113"/>
  <c r="O78" i="113"/>
  <c r="P78" i="113"/>
  <c r="Q78" i="113"/>
  <c r="R78" i="113"/>
  <c r="S78" i="113"/>
  <c r="T78" i="113"/>
  <c r="U78" i="113"/>
  <c r="V78" i="113"/>
  <c r="Y78" i="113"/>
  <c r="Z78" i="113"/>
  <c r="X78" i="113"/>
  <c r="AP78" i="113"/>
  <c r="AQ78" i="113"/>
  <c r="AR78" i="113"/>
  <c r="AS78" i="113"/>
  <c r="G14" i="113"/>
  <c r="H14" i="113"/>
  <c r="J14" i="113"/>
  <c r="K14" i="113"/>
  <c r="L14" i="113"/>
  <c r="M14" i="113"/>
  <c r="N14" i="113"/>
  <c r="O14" i="113"/>
  <c r="P14" i="113"/>
  <c r="Q14" i="113"/>
  <c r="R14" i="113"/>
  <c r="S14" i="113"/>
  <c r="T14" i="113"/>
  <c r="U14" i="113"/>
  <c r="V14" i="113"/>
  <c r="Y14" i="113"/>
  <c r="X14" i="113"/>
  <c r="AP14" i="113"/>
  <c r="AQ14" i="113"/>
  <c r="AR14" i="113"/>
  <c r="F14" i="113"/>
  <c r="E49" i="113"/>
  <c r="E78" i="113"/>
  <c r="A9" i="113"/>
  <c r="A8" i="113"/>
  <c r="A4" i="113"/>
  <c r="A5" i="113"/>
  <c r="A6" i="113"/>
  <c r="A3" i="113"/>
  <c r="J10" i="113"/>
  <c r="K10" i="113" s="1"/>
  <c r="L10" i="113" s="1"/>
  <c r="M10" i="113" s="1"/>
  <c r="N10" i="113" s="1"/>
  <c r="O10" i="113" s="1"/>
  <c r="P10" i="113" s="1"/>
  <c r="Q10" i="113" s="1"/>
  <c r="R10" i="113" s="1"/>
  <c r="S10" i="113" s="1"/>
  <c r="T10" i="113" s="1"/>
  <c r="U10" i="113" s="1"/>
  <c r="V10" i="113" s="1"/>
  <c r="W10" i="113" s="1"/>
  <c r="X10" i="113" s="1"/>
  <c r="Y10" i="113" s="1"/>
  <c r="F10" i="113"/>
  <c r="G10" i="113" s="1"/>
  <c r="H10" i="113" s="1"/>
  <c r="F10" i="1"/>
  <c r="G10" i="1" s="1"/>
  <c r="H10" i="1" s="1"/>
  <c r="J10" i="1"/>
  <c r="K10" i="1" s="1"/>
  <c r="L10" i="1" s="1"/>
  <c r="M10" i="1" s="1"/>
  <c r="N10" i="1" s="1"/>
  <c r="O10" i="1" s="1"/>
  <c r="P10" i="1" s="1"/>
  <c r="Q10" i="1" s="1"/>
  <c r="R10" i="1" s="1"/>
  <c r="S10" i="1" s="1"/>
  <c r="T10" i="1" s="1"/>
  <c r="U10" i="1" s="1"/>
  <c r="V10" i="1" s="1"/>
  <c r="F17" i="1"/>
  <c r="F17" i="113" s="1"/>
  <c r="G17" i="1"/>
  <c r="G17" i="113" s="1"/>
  <c r="H17" i="1"/>
  <c r="H19" i="1" s="1"/>
  <c r="I17" i="1"/>
  <c r="I19" i="1" s="1"/>
  <c r="J17" i="1"/>
  <c r="J17" i="113" s="1"/>
  <c r="K17" i="1"/>
  <c r="K17" i="113" s="1"/>
  <c r="L17" i="1"/>
  <c r="L19" i="1" s="1"/>
  <c r="M17" i="1"/>
  <c r="M19" i="1" s="1"/>
  <c r="N17" i="1"/>
  <c r="N17" i="113" s="1"/>
  <c r="O17" i="1"/>
  <c r="O17" i="113" s="1"/>
  <c r="P17" i="1"/>
  <c r="P19" i="1" s="1"/>
  <c r="Q17" i="1"/>
  <c r="Q19" i="1" s="1"/>
  <c r="R17" i="1"/>
  <c r="R17" i="113" s="1"/>
  <c r="S17" i="1"/>
  <c r="S17" i="113" s="1"/>
  <c r="T17" i="1"/>
  <c r="T19" i="1" s="1"/>
  <c r="U17" i="1"/>
  <c r="U19" i="1" s="1"/>
  <c r="V17" i="113"/>
  <c r="Y17" i="1"/>
  <c r="Y17" i="113" s="1"/>
  <c r="X17" i="1"/>
  <c r="X17" i="113" s="1"/>
  <c r="J19" i="1"/>
  <c r="J19" i="113" s="1"/>
  <c r="O19" i="1"/>
  <c r="O19" i="113" s="1"/>
  <c r="R19" i="1"/>
  <c r="R19" i="113" s="1"/>
  <c r="AS22" i="1"/>
  <c r="F28" i="1"/>
  <c r="F28" i="113" s="1"/>
  <c r="G28" i="1"/>
  <c r="G28" i="113" s="1"/>
  <c r="H28" i="1"/>
  <c r="H28" i="113" s="1"/>
  <c r="I28" i="1"/>
  <c r="I28" i="113" s="1"/>
  <c r="J28" i="1"/>
  <c r="J28" i="113" s="1"/>
  <c r="K28" i="1"/>
  <c r="K28" i="113" s="1"/>
  <c r="L28" i="1"/>
  <c r="L28" i="113" s="1"/>
  <c r="M28" i="1"/>
  <c r="M28" i="113" s="1"/>
  <c r="N28" i="1"/>
  <c r="N28" i="113" s="1"/>
  <c r="O28" i="1"/>
  <c r="O28" i="113" s="1"/>
  <c r="P28" i="1"/>
  <c r="P28" i="113" s="1"/>
  <c r="Q28" i="1"/>
  <c r="Q28" i="113" s="1"/>
  <c r="R28" i="1"/>
  <c r="R28" i="113" s="1"/>
  <c r="S28" i="1"/>
  <c r="S28" i="113" s="1"/>
  <c r="T28" i="1"/>
  <c r="T28" i="113" s="1"/>
  <c r="U28" i="1"/>
  <c r="U28" i="113" s="1"/>
  <c r="V28" i="113"/>
  <c r="Y28" i="1"/>
  <c r="Y28" i="113" s="1"/>
  <c r="X28" i="1"/>
  <c r="X28" i="113" s="1"/>
  <c r="AS30" i="1"/>
  <c r="F34" i="1"/>
  <c r="F34" i="113" s="1"/>
  <c r="G34" i="1"/>
  <c r="G34" i="113" s="1"/>
  <c r="H34" i="1"/>
  <c r="H34" i="113" s="1"/>
  <c r="I34" i="1"/>
  <c r="I34" i="113" s="1"/>
  <c r="J34" i="1"/>
  <c r="J34" i="113" s="1"/>
  <c r="K34" i="1"/>
  <c r="K34" i="113" s="1"/>
  <c r="L34" i="1"/>
  <c r="L34" i="113" s="1"/>
  <c r="M34" i="1"/>
  <c r="M34" i="113" s="1"/>
  <c r="N34" i="1"/>
  <c r="N34" i="113" s="1"/>
  <c r="O34" i="1"/>
  <c r="O34" i="113" s="1"/>
  <c r="P34" i="1"/>
  <c r="P34" i="113" s="1"/>
  <c r="Q34" i="1"/>
  <c r="Q34" i="113" s="1"/>
  <c r="R34" i="1"/>
  <c r="R34" i="113" s="1"/>
  <c r="S34" i="1"/>
  <c r="S34" i="113" s="1"/>
  <c r="T34" i="1"/>
  <c r="T34" i="113" s="1"/>
  <c r="U34" i="1"/>
  <c r="U34" i="113" s="1"/>
  <c r="V34" i="113"/>
  <c r="Y34" i="1"/>
  <c r="Y34" i="113" s="1"/>
  <c r="X34" i="1"/>
  <c r="X34" i="113" s="1"/>
  <c r="E43" i="1"/>
  <c r="E43" i="113" s="1"/>
  <c r="F44" i="1"/>
  <c r="F44" i="113" s="1"/>
  <c r="G44" i="1"/>
  <c r="G44" i="113" s="1"/>
  <c r="H44" i="1"/>
  <c r="H44" i="113" s="1"/>
  <c r="I44" i="1"/>
  <c r="I44" i="113" s="1"/>
  <c r="J44" i="1"/>
  <c r="J44" i="113" s="1"/>
  <c r="K44" i="1"/>
  <c r="K44" i="113" s="1"/>
  <c r="L44" i="1"/>
  <c r="L44" i="113" s="1"/>
  <c r="M44" i="1"/>
  <c r="M44" i="113" s="1"/>
  <c r="N44" i="1"/>
  <c r="N44" i="113" s="1"/>
  <c r="O44" i="1"/>
  <c r="O44" i="113" s="1"/>
  <c r="P44" i="1"/>
  <c r="P44" i="113" s="1"/>
  <c r="Q44" i="1"/>
  <c r="Q44" i="113" s="1"/>
  <c r="R44" i="1"/>
  <c r="R44" i="113" s="1"/>
  <c r="S44" i="1"/>
  <c r="S44" i="113" s="1"/>
  <c r="T44" i="1"/>
  <c r="T44" i="113" s="1"/>
  <c r="U44" i="1"/>
  <c r="V44" i="113"/>
  <c r="Y44" i="1"/>
  <c r="Y44" i="113" s="1"/>
  <c r="X44" i="1"/>
  <c r="X44" i="113" s="1"/>
  <c r="K45" i="1"/>
  <c r="K45" i="113" s="1"/>
  <c r="O45" i="1"/>
  <c r="O45" i="113" s="1"/>
  <c r="S45" i="1"/>
  <c r="S45" i="113" s="1"/>
  <c r="Y45" i="1"/>
  <c r="Y45" i="113" s="1"/>
  <c r="E51" i="1"/>
  <c r="E51" i="113" s="1"/>
  <c r="F64" i="1"/>
  <c r="F64" i="113" s="1"/>
  <c r="G64" i="1"/>
  <c r="G64" i="113" s="1"/>
  <c r="H64" i="1"/>
  <c r="H64" i="113" s="1"/>
  <c r="I64" i="1"/>
  <c r="I64" i="113" s="1"/>
  <c r="J64" i="1"/>
  <c r="K64" i="1"/>
  <c r="K64" i="113" s="1"/>
  <c r="L64" i="1"/>
  <c r="L64" i="113" s="1"/>
  <c r="M64" i="1"/>
  <c r="M64" i="113" s="1"/>
  <c r="N64" i="1"/>
  <c r="O64" i="1"/>
  <c r="O64" i="113" s="1"/>
  <c r="P64" i="1"/>
  <c r="P64" i="113" s="1"/>
  <c r="Q64" i="1"/>
  <c r="Q64" i="113" s="1"/>
  <c r="R64" i="1"/>
  <c r="S64" i="1"/>
  <c r="S64" i="113" s="1"/>
  <c r="T64" i="1"/>
  <c r="T64" i="113" s="1"/>
  <c r="U64" i="1"/>
  <c r="U64" i="113" s="1"/>
  <c r="Y64" i="1"/>
  <c r="X64" i="1"/>
  <c r="X64" i="113" s="1"/>
  <c r="F71" i="1"/>
  <c r="F71" i="113" s="1"/>
  <c r="G71" i="1"/>
  <c r="G71" i="113" s="1"/>
  <c r="H71" i="1"/>
  <c r="H71" i="113" s="1"/>
  <c r="I71" i="1"/>
  <c r="I71" i="113" s="1"/>
  <c r="J71" i="1"/>
  <c r="J71" i="113" s="1"/>
  <c r="K71" i="1"/>
  <c r="K71" i="113" s="1"/>
  <c r="L71" i="1"/>
  <c r="L71" i="113" s="1"/>
  <c r="M71" i="1"/>
  <c r="N71" i="1"/>
  <c r="N71" i="113" s="1"/>
  <c r="O71" i="1"/>
  <c r="O71" i="113" s="1"/>
  <c r="P71" i="1"/>
  <c r="P71" i="113" s="1"/>
  <c r="Q71" i="1"/>
  <c r="Q71" i="113" s="1"/>
  <c r="R71" i="1"/>
  <c r="R71" i="113" s="1"/>
  <c r="S71" i="1"/>
  <c r="S71" i="113" s="1"/>
  <c r="T71" i="1"/>
  <c r="T71" i="113" s="1"/>
  <c r="U71" i="1"/>
  <c r="V71" i="113"/>
  <c r="Y71" i="1"/>
  <c r="Y71" i="113" s="1"/>
  <c r="X71" i="1"/>
  <c r="X71" i="113" s="1"/>
  <c r="P72" i="1"/>
  <c r="P72" i="113" s="1"/>
  <c r="AP72" i="1"/>
  <c r="AP72" i="113" s="1"/>
  <c r="AQ72" i="1"/>
  <c r="AQ72" i="113" s="1"/>
  <c r="AR72" i="1"/>
  <c r="AR72" i="113" s="1"/>
  <c r="AP75" i="1"/>
  <c r="AP75" i="113" s="1"/>
  <c r="C45" i="3"/>
  <c r="B45" i="3"/>
  <c r="B49" i="3"/>
  <c r="B48" i="3"/>
  <c r="B47" i="3"/>
  <c r="B46" i="3"/>
  <c r="B44" i="3"/>
  <c r="B43" i="3"/>
  <c r="B42" i="3"/>
  <c r="B41" i="3"/>
  <c r="B40" i="3"/>
  <c r="B39" i="3"/>
  <c r="B38" i="3"/>
  <c r="B37" i="3"/>
  <c r="B36" i="3"/>
  <c r="B35" i="3"/>
  <c r="B30" i="3"/>
  <c r="B31" i="3"/>
  <c r="B28" i="3"/>
  <c r="B27" i="3"/>
  <c r="B26" i="3"/>
  <c r="B25" i="3"/>
  <c r="B24" i="3"/>
  <c r="B23" i="3"/>
  <c r="B22" i="3"/>
  <c r="B21" i="3"/>
  <c r="B20" i="3"/>
  <c r="B19" i="3"/>
  <c r="B18" i="3"/>
  <c r="B17" i="3"/>
  <c r="B16" i="3"/>
  <c r="B15" i="3"/>
  <c r="B14" i="3"/>
  <c r="B13" i="3"/>
  <c r="B12" i="3"/>
  <c r="O72" i="1" l="1"/>
  <c r="O72" i="113" s="1"/>
  <c r="U72" i="1"/>
  <c r="M72" i="1"/>
  <c r="O47" i="1"/>
  <c r="O50" i="113" s="1"/>
  <c r="N45" i="1"/>
  <c r="N45" i="113" s="1"/>
  <c r="S19" i="1"/>
  <c r="S19" i="113" s="1"/>
  <c r="G19" i="1"/>
  <c r="G19" i="113" s="1"/>
  <c r="L45" i="1"/>
  <c r="L45" i="113" s="1"/>
  <c r="J45" i="1"/>
  <c r="J45" i="113" s="1"/>
  <c r="W10" i="1"/>
  <c r="E29" i="3"/>
  <c r="W79" i="113"/>
  <c r="W51" i="1"/>
  <c r="W51" i="113" s="1"/>
  <c r="T45" i="1"/>
  <c r="T45" i="113" s="1"/>
  <c r="H45" i="1"/>
  <c r="H45" i="113" s="1"/>
  <c r="H72" i="1"/>
  <c r="H72" i="113" s="1"/>
  <c r="J47" i="1"/>
  <c r="J50" i="1" s="1"/>
  <c r="J50" i="113" s="1"/>
  <c r="R45" i="1"/>
  <c r="Y19" i="1"/>
  <c r="K19" i="1"/>
  <c r="K19" i="113" s="1"/>
  <c r="W55" i="1"/>
  <c r="D29" i="3" s="1"/>
  <c r="U45" i="1"/>
  <c r="U45" i="113" s="1"/>
  <c r="G72" i="1"/>
  <c r="G72" i="113" s="1"/>
  <c r="G45" i="1"/>
  <c r="G45" i="113" s="1"/>
  <c r="X19" i="1"/>
  <c r="X45" i="1"/>
  <c r="X45" i="113" s="1"/>
  <c r="O75" i="1"/>
  <c r="O75" i="113" s="1"/>
  <c r="Z68" i="1"/>
  <c r="AS68" i="1" s="1"/>
  <c r="AS68" i="113" s="1"/>
  <c r="S47" i="1"/>
  <c r="S47" i="113" s="1"/>
  <c r="X72" i="1"/>
  <c r="S72" i="1"/>
  <c r="K72" i="1"/>
  <c r="V45" i="113"/>
  <c r="P45" i="1"/>
  <c r="P45" i="113" s="1"/>
  <c r="F45" i="1"/>
  <c r="F45" i="113" s="1"/>
  <c r="N19" i="1"/>
  <c r="F19" i="1"/>
  <c r="T72" i="1"/>
  <c r="T72" i="113" s="1"/>
  <c r="L72" i="1"/>
  <c r="L75" i="1" s="1"/>
  <c r="L79" i="1" s="1"/>
  <c r="Y72" i="1"/>
  <c r="Y72" i="113" s="1"/>
  <c r="R72" i="1"/>
  <c r="N72" i="1"/>
  <c r="N75" i="1" s="1"/>
  <c r="J72" i="1"/>
  <c r="J75" i="1" s="1"/>
  <c r="U72" i="113"/>
  <c r="U75" i="1"/>
  <c r="M72" i="113"/>
  <c r="M75" i="1"/>
  <c r="T19" i="113"/>
  <c r="T47" i="1"/>
  <c r="P19" i="113"/>
  <c r="P47" i="1"/>
  <c r="L19" i="113"/>
  <c r="H19" i="113"/>
  <c r="H47" i="1"/>
  <c r="Y75" i="1"/>
  <c r="V72" i="113"/>
  <c r="R72" i="113"/>
  <c r="R75" i="1"/>
  <c r="N72" i="113"/>
  <c r="J72" i="113"/>
  <c r="U19" i="113"/>
  <c r="Q19" i="113"/>
  <c r="M19" i="113"/>
  <c r="I19" i="113"/>
  <c r="Y64" i="113"/>
  <c r="V64" i="113"/>
  <c r="R64" i="113"/>
  <c r="N64" i="113"/>
  <c r="J64" i="113"/>
  <c r="A12" i="3"/>
  <c r="AQ75" i="1"/>
  <c r="T75" i="1"/>
  <c r="P75" i="1"/>
  <c r="Q72" i="1"/>
  <c r="I72" i="1"/>
  <c r="U71" i="113"/>
  <c r="M71" i="113"/>
  <c r="U44" i="113"/>
  <c r="T17" i="113"/>
  <c r="P17" i="113"/>
  <c r="L17" i="113"/>
  <c r="H17" i="113"/>
  <c r="AP79" i="1"/>
  <c r="AP79" i="113" s="1"/>
  <c r="AR75" i="1"/>
  <c r="F72" i="1"/>
  <c r="Q45" i="1"/>
  <c r="Q45" i="113" s="1"/>
  <c r="M45" i="1"/>
  <c r="M45" i="113" s="1"/>
  <c r="I45" i="1"/>
  <c r="I45" i="113" s="1"/>
  <c r="J47" i="113"/>
  <c r="U17" i="113"/>
  <c r="Q17" i="113"/>
  <c r="M17" i="113"/>
  <c r="I17" i="113"/>
  <c r="O47" i="113"/>
  <c r="AS77" i="1"/>
  <c r="AS77" i="113" s="1"/>
  <c r="E77" i="113"/>
  <c r="E27" i="113"/>
  <c r="Z62" i="113"/>
  <c r="Z43" i="1"/>
  <c r="E52" i="113"/>
  <c r="Z37" i="1"/>
  <c r="E62" i="113"/>
  <c r="Z27" i="113"/>
  <c r="AS59" i="1"/>
  <c r="AS59" i="113" s="1"/>
  <c r="A45" i="3"/>
  <c r="G43" i="48"/>
  <c r="G30" i="48"/>
  <c r="G31" i="48"/>
  <c r="G32" i="48"/>
  <c r="A3" i="111"/>
  <c r="F92" i="111"/>
  <c r="F16" i="111" s="1"/>
  <c r="E16" i="1" s="1"/>
  <c r="E16" i="113" s="1"/>
  <c r="F93" i="111"/>
  <c r="F94" i="111"/>
  <c r="F95" i="111"/>
  <c r="F96" i="111"/>
  <c r="F97" i="111"/>
  <c r="F98" i="111"/>
  <c r="F99" i="111"/>
  <c r="F100" i="111"/>
  <c r="F101" i="111"/>
  <c r="F102" i="111"/>
  <c r="F103" i="111"/>
  <c r="F104" i="111"/>
  <c r="F105" i="111"/>
  <c r="F106" i="111"/>
  <c r="F107" i="111"/>
  <c r="F108" i="111"/>
  <c r="F109" i="111"/>
  <c r="F110" i="111"/>
  <c r="F111" i="111"/>
  <c r="F112" i="111"/>
  <c r="F113" i="111"/>
  <c r="F114" i="111"/>
  <c r="F115" i="111"/>
  <c r="F116" i="111"/>
  <c r="F117" i="111"/>
  <c r="F118" i="111"/>
  <c r="F119" i="111"/>
  <c r="F120" i="111"/>
  <c r="F121" i="111"/>
  <c r="F122" i="111"/>
  <c r="F123" i="111"/>
  <c r="F124" i="111"/>
  <c r="F125" i="111"/>
  <c r="F126" i="111"/>
  <c r="F127" i="111"/>
  <c r="F128" i="111"/>
  <c r="F129" i="111"/>
  <c r="F130" i="111"/>
  <c r="F131" i="111"/>
  <c r="F132" i="111"/>
  <c r="F133" i="111"/>
  <c r="F134" i="111"/>
  <c r="F135" i="111"/>
  <c r="F136" i="111"/>
  <c r="F137" i="111"/>
  <c r="F138" i="111"/>
  <c r="F139" i="111"/>
  <c r="F140" i="111"/>
  <c r="F141" i="111"/>
  <c r="F142" i="111"/>
  <c r="F143" i="111"/>
  <c r="F144" i="111"/>
  <c r="F145" i="111"/>
  <c r="F146" i="111"/>
  <c r="F147" i="111"/>
  <c r="F148" i="111"/>
  <c r="F149" i="111"/>
  <c r="F150" i="111"/>
  <c r="F151" i="111"/>
  <c r="F152" i="111"/>
  <c r="F153" i="111"/>
  <c r="F154" i="111"/>
  <c r="F155" i="111"/>
  <c r="F156" i="111"/>
  <c r="F157" i="111"/>
  <c r="F158" i="111"/>
  <c r="F160" i="111"/>
  <c r="F161" i="111"/>
  <c r="F162" i="111"/>
  <c r="F163" i="111"/>
  <c r="F164" i="111"/>
  <c r="F165" i="111"/>
  <c r="F166" i="111"/>
  <c r="F167" i="111"/>
  <c r="F168" i="111"/>
  <c r="F169" i="111"/>
  <c r="F170" i="111"/>
  <c r="F171" i="111"/>
  <c r="F172" i="111"/>
  <c r="F173" i="111"/>
  <c r="F174" i="111"/>
  <c r="F175" i="111"/>
  <c r="F176" i="111"/>
  <c r="F177" i="111"/>
  <c r="F178" i="111"/>
  <c r="F179" i="111"/>
  <c r="F180" i="111"/>
  <c r="F181" i="111"/>
  <c r="F182" i="111"/>
  <c r="F183" i="111"/>
  <c r="F184" i="111"/>
  <c r="F185" i="111"/>
  <c r="F186" i="111"/>
  <c r="F187" i="111"/>
  <c r="F188" i="111"/>
  <c r="F189" i="111"/>
  <c r="F190" i="111"/>
  <c r="F191" i="111"/>
  <c r="F192" i="111"/>
  <c r="F193" i="111"/>
  <c r="F194" i="111"/>
  <c r="F195" i="111"/>
  <c r="F196" i="111"/>
  <c r="F197" i="111"/>
  <c r="F198" i="111"/>
  <c r="F199" i="111"/>
  <c r="F200" i="111"/>
  <c r="F201" i="111"/>
  <c r="F202" i="111"/>
  <c r="F203" i="111"/>
  <c r="F204" i="111"/>
  <c r="F27" i="111" s="1"/>
  <c r="E27" i="1" s="1"/>
  <c r="Z27" i="1" s="1"/>
  <c r="AS27" i="1" s="1"/>
  <c r="AS27" i="113" s="1"/>
  <c r="F205" i="111"/>
  <c r="F206" i="111"/>
  <c r="F207" i="111"/>
  <c r="F208" i="111"/>
  <c r="F209" i="111"/>
  <c r="F210" i="111"/>
  <c r="F211" i="111"/>
  <c r="F212" i="111"/>
  <c r="F213" i="111"/>
  <c r="F214" i="111"/>
  <c r="F215" i="111"/>
  <c r="F216" i="111"/>
  <c r="F217" i="111"/>
  <c r="F218" i="111"/>
  <c r="F219" i="111"/>
  <c r="F220" i="111"/>
  <c r="F221" i="111"/>
  <c r="F222" i="111"/>
  <c r="F223" i="111"/>
  <c r="F224" i="111"/>
  <c r="F225" i="111"/>
  <c r="F226" i="111"/>
  <c r="F227" i="111"/>
  <c r="F228" i="111"/>
  <c r="F229" i="111"/>
  <c r="F230" i="111"/>
  <c r="F231" i="111"/>
  <c r="F31" i="111" s="1"/>
  <c r="E31" i="1" s="1"/>
  <c r="F232" i="111"/>
  <c r="F233" i="111"/>
  <c r="F234" i="111"/>
  <c r="F235" i="111"/>
  <c r="F33" i="111" s="1"/>
  <c r="E33" i="1" s="1"/>
  <c r="F236" i="111"/>
  <c r="F237" i="111"/>
  <c r="F238" i="111"/>
  <c r="F239" i="111"/>
  <c r="F240" i="111"/>
  <c r="F241" i="111"/>
  <c r="F242" i="111"/>
  <c r="F243" i="111"/>
  <c r="F244" i="111"/>
  <c r="F245" i="111"/>
  <c r="F246" i="111"/>
  <c r="F36" i="111" s="1"/>
  <c r="E36" i="1" s="1"/>
  <c r="Z36" i="1" s="1"/>
  <c r="AS36" i="1" s="1"/>
  <c r="AS36" i="113" s="1"/>
  <c r="F247" i="111"/>
  <c r="F248" i="111"/>
  <c r="F249" i="111"/>
  <c r="F250" i="111"/>
  <c r="F251" i="111"/>
  <c r="F252" i="111"/>
  <c r="F37" i="111" s="1"/>
  <c r="E37" i="1" s="1"/>
  <c r="E37" i="113" s="1"/>
  <c r="F253" i="111"/>
  <c r="F254" i="111"/>
  <c r="F255" i="111"/>
  <c r="F256" i="111"/>
  <c r="F257" i="111"/>
  <c r="F258" i="111"/>
  <c r="F38" i="111" s="1"/>
  <c r="E38" i="1" s="1"/>
  <c r="E38" i="113" s="1"/>
  <c r="F259" i="111"/>
  <c r="F260" i="111"/>
  <c r="F261" i="111"/>
  <c r="F262" i="111"/>
  <c r="F263" i="111"/>
  <c r="F264" i="111"/>
  <c r="F265" i="111"/>
  <c r="F266" i="111"/>
  <c r="F267" i="111"/>
  <c r="F268" i="111"/>
  <c r="F269" i="111"/>
  <c r="F270" i="111"/>
  <c r="F271" i="111"/>
  <c r="F272" i="111"/>
  <c r="F273" i="111"/>
  <c r="F41" i="111" s="1"/>
  <c r="E41" i="1" s="1"/>
  <c r="Z41" i="1" s="1"/>
  <c r="Z41" i="113" s="1"/>
  <c r="F274" i="111"/>
  <c r="F275" i="111"/>
  <c r="F276" i="111"/>
  <c r="F277" i="111"/>
  <c r="F278" i="111"/>
  <c r="F279" i="111"/>
  <c r="F280" i="111"/>
  <c r="F281" i="111"/>
  <c r="F282" i="111"/>
  <c r="F283" i="111"/>
  <c r="F284" i="111"/>
  <c r="F285" i="111"/>
  <c r="F286" i="111"/>
  <c r="F287" i="111"/>
  <c r="F50" i="111" s="1"/>
  <c r="E50" i="1" s="1"/>
  <c r="E50" i="113" s="1"/>
  <c r="F288" i="111"/>
  <c r="F52" i="111" s="1"/>
  <c r="E52" i="1" s="1"/>
  <c r="Z52" i="1" s="1"/>
  <c r="AS52" i="1" s="1"/>
  <c r="AS52" i="113" s="1"/>
  <c r="F289" i="111"/>
  <c r="F53" i="111" s="1"/>
  <c r="E53" i="1" s="1"/>
  <c r="Z53" i="1" s="1"/>
  <c r="AS53" i="1" s="1"/>
  <c r="AS53" i="113" s="1"/>
  <c r="F290" i="111"/>
  <c r="F291" i="111"/>
  <c r="F292" i="111"/>
  <c r="F293" i="111"/>
  <c r="F294" i="111"/>
  <c r="F295" i="111"/>
  <c r="F296" i="111"/>
  <c r="F297" i="111"/>
  <c r="F298" i="111"/>
  <c r="F299" i="111"/>
  <c r="F300" i="111"/>
  <c r="F59" i="111" s="1"/>
  <c r="E59" i="1" s="1"/>
  <c r="Z59" i="1" s="1"/>
  <c r="Z59" i="113" s="1"/>
  <c r="F301" i="111"/>
  <c r="F302" i="111"/>
  <c r="F303" i="111"/>
  <c r="F304" i="111"/>
  <c r="F305" i="111"/>
  <c r="F306" i="111"/>
  <c r="F307" i="111"/>
  <c r="F308" i="111"/>
  <c r="F309" i="111"/>
  <c r="F310" i="111"/>
  <c r="F311" i="111"/>
  <c r="F312" i="111"/>
  <c r="F313" i="111"/>
  <c r="F314" i="111"/>
  <c r="F315" i="111"/>
  <c r="F316" i="111"/>
  <c r="F317" i="111"/>
  <c r="F318" i="111"/>
  <c r="F319" i="111"/>
  <c r="F320" i="111"/>
  <c r="F321" i="111"/>
  <c r="F322" i="111"/>
  <c r="F323" i="111"/>
  <c r="F324" i="111"/>
  <c r="F325" i="111"/>
  <c r="F326" i="111"/>
  <c r="F327" i="111"/>
  <c r="F328" i="111"/>
  <c r="F329" i="111"/>
  <c r="F330" i="111"/>
  <c r="F331" i="111"/>
  <c r="F60" i="111" s="1"/>
  <c r="E60" i="1" s="1"/>
  <c r="F332" i="111"/>
  <c r="F333" i="111"/>
  <c r="F334" i="111"/>
  <c r="F335" i="111"/>
  <c r="F336" i="111"/>
  <c r="F337" i="111"/>
  <c r="F338" i="111"/>
  <c r="F339" i="111"/>
  <c r="F340" i="111"/>
  <c r="F341" i="111"/>
  <c r="F342" i="111"/>
  <c r="F343" i="111"/>
  <c r="F61" i="111" s="1"/>
  <c r="E61" i="1" s="1"/>
  <c r="F344" i="111"/>
  <c r="F345" i="111"/>
  <c r="F346" i="111"/>
  <c r="F347" i="111"/>
  <c r="F348" i="111"/>
  <c r="F349" i="111"/>
  <c r="F350" i="111"/>
  <c r="F351" i="111"/>
  <c r="F352" i="111"/>
  <c r="F353" i="111"/>
  <c r="F354" i="111"/>
  <c r="F355" i="111"/>
  <c r="F356" i="111"/>
  <c r="F357" i="111"/>
  <c r="F358" i="111"/>
  <c r="F62" i="111" s="1"/>
  <c r="E62" i="1" s="1"/>
  <c r="Z62" i="1" s="1"/>
  <c r="AS62" i="1" s="1"/>
  <c r="AS62" i="113" s="1"/>
  <c r="F359" i="111"/>
  <c r="F360" i="111"/>
  <c r="F361" i="111"/>
  <c r="F362" i="111"/>
  <c r="F363" i="111"/>
  <c r="F364" i="111"/>
  <c r="F365" i="111"/>
  <c r="F366" i="111"/>
  <c r="F367" i="111"/>
  <c r="F368" i="111"/>
  <c r="F369" i="111"/>
  <c r="F370" i="111"/>
  <c r="F371" i="111"/>
  <c r="F372" i="111"/>
  <c r="F373" i="111"/>
  <c r="F374" i="111"/>
  <c r="F375" i="111"/>
  <c r="F376" i="111"/>
  <c r="F377" i="111"/>
  <c r="F378" i="111"/>
  <c r="F379" i="111"/>
  <c r="F380" i="111"/>
  <c r="F68" i="111" s="1"/>
  <c r="E68" i="1" s="1"/>
  <c r="E68" i="113" s="1"/>
  <c r="F381" i="111"/>
  <c r="F69" i="111" s="1"/>
  <c r="E69" i="1" s="1"/>
  <c r="E69" i="113" s="1"/>
  <c r="F382" i="111"/>
  <c r="F383" i="111"/>
  <c r="F384" i="111"/>
  <c r="F385" i="111"/>
  <c r="F386" i="111"/>
  <c r="F387" i="111"/>
  <c r="F388" i="111"/>
  <c r="F389" i="111"/>
  <c r="F390" i="111"/>
  <c r="F391" i="111"/>
  <c r="F392" i="111"/>
  <c r="F393" i="111"/>
  <c r="F394" i="111"/>
  <c r="F395" i="111"/>
  <c r="F396" i="111"/>
  <c r="F397" i="111"/>
  <c r="F398" i="111"/>
  <c r="F399" i="111"/>
  <c r="F400" i="111"/>
  <c r="F401" i="111"/>
  <c r="F402" i="111"/>
  <c r="F403" i="111"/>
  <c r="F404" i="111"/>
  <c r="F405" i="111"/>
  <c r="F406" i="111"/>
  <c r="F74" i="111" s="1"/>
  <c r="E74" i="1" s="1"/>
  <c r="E74" i="113" s="1"/>
  <c r="F407" i="111"/>
  <c r="F408" i="111"/>
  <c r="F409" i="111"/>
  <c r="F410" i="111"/>
  <c r="F411" i="111"/>
  <c r="F412" i="111"/>
  <c r="F413" i="111"/>
  <c r="F414" i="111"/>
  <c r="F415" i="111"/>
  <c r="F416" i="111"/>
  <c r="F417" i="111"/>
  <c r="F418" i="111"/>
  <c r="F419" i="111"/>
  <c r="F420" i="111"/>
  <c r="F421" i="111"/>
  <c r="F422" i="111"/>
  <c r="F423" i="111"/>
  <c r="F424" i="111"/>
  <c r="F425" i="111"/>
  <c r="F426" i="111"/>
  <c r="F427" i="111"/>
  <c r="F428" i="111"/>
  <c r="F429" i="111"/>
  <c r="F430" i="111"/>
  <c r="F431" i="111"/>
  <c r="F432" i="111"/>
  <c r="F433" i="111"/>
  <c r="F434" i="111"/>
  <c r="F435" i="111"/>
  <c r="F436" i="111"/>
  <c r="F437" i="111"/>
  <c r="F438" i="111"/>
  <c r="F439" i="111"/>
  <c r="F440" i="111"/>
  <c r="F77" i="111" s="1"/>
  <c r="E77" i="1" s="1"/>
  <c r="Z77" i="113" s="1"/>
  <c r="F441" i="111"/>
  <c r="F442" i="111"/>
  <c r="F443" i="111"/>
  <c r="F444" i="111"/>
  <c r="F85" i="111"/>
  <c r="F86" i="111"/>
  <c r="F87" i="111"/>
  <c r="F88" i="111"/>
  <c r="F89" i="111"/>
  <c r="F90" i="111"/>
  <c r="F91" i="111"/>
  <c r="F84" i="111"/>
  <c r="H159" i="111"/>
  <c r="F159" i="111" s="1"/>
  <c r="G14" i="111"/>
  <c r="G15" i="111"/>
  <c r="G16" i="111"/>
  <c r="G18" i="111"/>
  <c r="G23" i="111"/>
  <c r="G24" i="111"/>
  <c r="G25" i="111"/>
  <c r="G26" i="111"/>
  <c r="G27" i="111"/>
  <c r="G31" i="111"/>
  <c r="G32" i="111"/>
  <c r="G33" i="111"/>
  <c r="G36" i="111"/>
  <c r="G37" i="111"/>
  <c r="G38" i="111"/>
  <c r="G41" i="111"/>
  <c r="G42" i="111"/>
  <c r="G50" i="111"/>
  <c r="G52" i="111"/>
  <c r="G53" i="111"/>
  <c r="G59" i="111"/>
  <c r="G60" i="111"/>
  <c r="G61" i="111"/>
  <c r="G62" i="111"/>
  <c r="G63" i="111"/>
  <c r="G66" i="111"/>
  <c r="G67" i="111"/>
  <c r="G68" i="111"/>
  <c r="G69" i="111"/>
  <c r="G70" i="111"/>
  <c r="G74" i="111"/>
  <c r="G76" i="111"/>
  <c r="G77" i="111"/>
  <c r="F63" i="111"/>
  <c r="E63" i="1" s="1"/>
  <c r="Z63" i="1" s="1"/>
  <c r="AS63" i="1" s="1"/>
  <c r="AS63" i="113" s="1"/>
  <c r="F42" i="111"/>
  <c r="E42" i="1" s="1"/>
  <c r="Z42" i="1" s="1"/>
  <c r="AS42" i="1" s="1"/>
  <c r="AS42" i="113" s="1"/>
  <c r="F24" i="111"/>
  <c r="E24" i="1" s="1"/>
  <c r="Z24" i="1" s="1"/>
  <c r="AS24" i="1" s="1"/>
  <c r="AS24" i="113" s="1"/>
  <c r="F15" i="111"/>
  <c r="E15" i="1" s="1"/>
  <c r="Z15" i="1" s="1"/>
  <c r="E61" i="113" l="1"/>
  <c r="Z61" i="1"/>
  <c r="Z60" i="1"/>
  <c r="E60" i="113"/>
  <c r="E64" i="1"/>
  <c r="Z33" i="1"/>
  <c r="E33" i="113"/>
  <c r="Z31" i="1"/>
  <c r="E31" i="113"/>
  <c r="E15" i="113"/>
  <c r="Z42" i="113"/>
  <c r="F76" i="111"/>
  <c r="E76" i="1" s="1"/>
  <c r="F32" i="111"/>
  <c r="E32" i="1" s="1"/>
  <c r="E44" i="1"/>
  <c r="E44" i="113" s="1"/>
  <c r="AS41" i="1"/>
  <c r="AS41" i="113" s="1"/>
  <c r="Z36" i="113"/>
  <c r="Z16" i="1"/>
  <c r="Z24" i="113"/>
  <c r="Z44" i="1"/>
  <c r="Z44" i="113" s="1"/>
  <c r="E41" i="113"/>
  <c r="Z63" i="113"/>
  <c r="Z38" i="1"/>
  <c r="AS38" i="1" s="1"/>
  <c r="AS38" i="113" s="1"/>
  <c r="O79" i="1"/>
  <c r="E21" i="3" s="1"/>
  <c r="H75" i="1"/>
  <c r="S50" i="1"/>
  <c r="S50" i="113" s="1"/>
  <c r="L47" i="1"/>
  <c r="L50" i="1" s="1"/>
  <c r="L50" i="113" s="1"/>
  <c r="K47" i="1"/>
  <c r="E42" i="113"/>
  <c r="E63" i="113"/>
  <c r="F66" i="111"/>
  <c r="E66" i="1" s="1"/>
  <c r="E24" i="113"/>
  <c r="Z74" i="1"/>
  <c r="E53" i="113"/>
  <c r="Z52" i="113"/>
  <c r="E36" i="113"/>
  <c r="Z53" i="113"/>
  <c r="Z68" i="113"/>
  <c r="E59" i="113"/>
  <c r="Z69" i="1"/>
  <c r="AS69" i="1" s="1"/>
  <c r="AS69" i="113" s="1"/>
  <c r="L72" i="113"/>
  <c r="L75" i="113"/>
  <c r="Z69" i="113"/>
  <c r="E18" i="3"/>
  <c r="L51" i="1"/>
  <c r="R45" i="113"/>
  <c r="R47" i="1"/>
  <c r="A29" i="3"/>
  <c r="X10" i="1"/>
  <c r="Y10" i="1" s="1"/>
  <c r="E9" i="48" s="1"/>
  <c r="Y19" i="113"/>
  <c r="Y47" i="1"/>
  <c r="W55" i="113"/>
  <c r="G47" i="1"/>
  <c r="U47" i="1"/>
  <c r="U47" i="113" s="1"/>
  <c r="E76" i="113"/>
  <c r="G47" i="113"/>
  <c r="G75" i="1"/>
  <c r="X19" i="113"/>
  <c r="X47" i="1"/>
  <c r="F19" i="113"/>
  <c r="F47" i="1"/>
  <c r="S72" i="113"/>
  <c r="S75" i="1"/>
  <c r="K72" i="113"/>
  <c r="K75" i="1"/>
  <c r="V19" i="113"/>
  <c r="N19" i="113"/>
  <c r="N47" i="1"/>
  <c r="X72" i="113"/>
  <c r="X75" i="1"/>
  <c r="F75" i="1"/>
  <c r="F72" i="113"/>
  <c r="Q72" i="113"/>
  <c r="Q75" i="1"/>
  <c r="H75" i="113"/>
  <c r="H79" i="1"/>
  <c r="E14" i="3" s="1"/>
  <c r="M47" i="1"/>
  <c r="O79" i="113"/>
  <c r="I72" i="113"/>
  <c r="I75" i="1"/>
  <c r="J79" i="1"/>
  <c r="J75" i="113"/>
  <c r="R79" i="1"/>
  <c r="R75" i="113"/>
  <c r="Y79" i="1"/>
  <c r="Y75" i="113"/>
  <c r="H50" i="1"/>
  <c r="H50" i="113" s="1"/>
  <c r="H47" i="113"/>
  <c r="P47" i="113"/>
  <c r="P50" i="1"/>
  <c r="P50" i="113" s="1"/>
  <c r="U75" i="113"/>
  <c r="U79" i="1"/>
  <c r="T75" i="113"/>
  <c r="T79" i="1"/>
  <c r="I47" i="1"/>
  <c r="Q47" i="1"/>
  <c r="AR79" i="1"/>
  <c r="AR79" i="113" s="1"/>
  <c r="AR75" i="113"/>
  <c r="P75" i="113"/>
  <c r="P79" i="1"/>
  <c r="AQ75" i="113"/>
  <c r="AQ79" i="1"/>
  <c r="AQ79" i="113" s="1"/>
  <c r="N75" i="113"/>
  <c r="N79" i="1"/>
  <c r="V75" i="113"/>
  <c r="L79" i="113"/>
  <c r="T50" i="1"/>
  <c r="T50" i="113" s="1"/>
  <c r="T47" i="113"/>
  <c r="M75" i="113"/>
  <c r="M79" i="1"/>
  <c r="AS16" i="1"/>
  <c r="AS16" i="113" s="1"/>
  <c r="Z16" i="113"/>
  <c r="AS15" i="1"/>
  <c r="AS15" i="113" s="1"/>
  <c r="Z15" i="113"/>
  <c r="E64" i="113"/>
  <c r="AS37" i="1"/>
  <c r="AS37" i="113" s="1"/>
  <c r="Z37" i="113"/>
  <c r="AS43" i="1"/>
  <c r="AS43" i="113" s="1"/>
  <c r="Z43" i="113"/>
  <c r="AS74" i="1"/>
  <c r="AS74" i="113" s="1"/>
  <c r="Z74" i="113"/>
  <c r="F23" i="111"/>
  <c r="E23" i="1" s="1"/>
  <c r="G44" i="111"/>
  <c r="G17" i="111"/>
  <c r="G19" i="111" s="1"/>
  <c r="F70" i="111"/>
  <c r="E70" i="1" s="1"/>
  <c r="G28" i="111"/>
  <c r="F25" i="111"/>
  <c r="G71" i="111"/>
  <c r="G34" i="111"/>
  <c r="F18" i="111"/>
  <c r="E18" i="1" s="1"/>
  <c r="G64" i="111"/>
  <c r="G72" i="111" s="1"/>
  <c r="G75" i="111" s="1"/>
  <c r="G79" i="111" s="1"/>
  <c r="F14" i="111"/>
  <c r="E14" i="1" s="1"/>
  <c r="F26" i="111"/>
  <c r="E26" i="1" s="1"/>
  <c r="F67" i="111"/>
  <c r="E77" i="111"/>
  <c r="E76" i="111"/>
  <c r="A1" i="3"/>
  <c r="A4" i="51"/>
  <c r="A5" i="3"/>
  <c r="A4" i="48" s="1"/>
  <c r="U50" i="1" l="1"/>
  <c r="U50" i="113" s="1"/>
  <c r="AS31" i="1"/>
  <c r="AS31" i="113" s="1"/>
  <c r="Z31" i="113"/>
  <c r="Z34" i="1"/>
  <c r="F71" i="111"/>
  <c r="E67" i="1"/>
  <c r="G45" i="111"/>
  <c r="G47" i="111" s="1"/>
  <c r="G55" i="111" s="1"/>
  <c r="Z66" i="1"/>
  <c r="E71" i="1"/>
  <c r="E66" i="113"/>
  <c r="AS60" i="1"/>
  <c r="AS60" i="113" s="1"/>
  <c r="Z60" i="113"/>
  <c r="E26" i="113"/>
  <c r="Z26" i="1"/>
  <c r="Z70" i="1"/>
  <c r="E70" i="113"/>
  <c r="L47" i="113"/>
  <c r="Z38" i="113"/>
  <c r="O51" i="1"/>
  <c r="O55" i="1" s="1"/>
  <c r="D21" i="3" s="1"/>
  <c r="Z64" i="1"/>
  <c r="Z32" i="1"/>
  <c r="E32" i="113"/>
  <c r="E34" i="1"/>
  <c r="E34" i="113" s="1"/>
  <c r="AS33" i="1"/>
  <c r="AS33" i="113" s="1"/>
  <c r="Z33" i="113"/>
  <c r="AS61" i="1"/>
  <c r="AS61" i="113" s="1"/>
  <c r="Z61" i="113"/>
  <c r="F28" i="111"/>
  <c r="E25" i="1"/>
  <c r="K50" i="1"/>
  <c r="K50" i="113" s="1"/>
  <c r="K47" i="113"/>
  <c r="Z18" i="1"/>
  <c r="E18" i="113"/>
  <c r="Z23" i="1"/>
  <c r="E23" i="113"/>
  <c r="E28" i="1"/>
  <c r="E28" i="113" s="1"/>
  <c r="AS44" i="1"/>
  <c r="AS44" i="113" s="1"/>
  <c r="Z14" i="1"/>
  <c r="E17" i="1"/>
  <c r="E14" i="113"/>
  <c r="E20" i="3"/>
  <c r="N51" i="1"/>
  <c r="E22" i="3"/>
  <c r="P51" i="1"/>
  <c r="E27" i="3"/>
  <c r="U51" i="1"/>
  <c r="E19" i="3"/>
  <c r="M51" i="1"/>
  <c r="E16" i="3"/>
  <c r="J51" i="1"/>
  <c r="Y47" i="113"/>
  <c r="Y50" i="1"/>
  <c r="R50" i="1"/>
  <c r="R50" i="113" s="1"/>
  <c r="R47" i="113"/>
  <c r="E28" i="3"/>
  <c r="E26" i="3"/>
  <c r="T51" i="1"/>
  <c r="E24" i="3"/>
  <c r="R51" i="1"/>
  <c r="G50" i="1"/>
  <c r="G50" i="113" s="1"/>
  <c r="H51" i="1"/>
  <c r="AS76" i="1"/>
  <c r="AS76" i="113" s="1"/>
  <c r="Z76" i="113"/>
  <c r="G79" i="1"/>
  <c r="G51" i="1" s="1"/>
  <c r="G75" i="113"/>
  <c r="X50" i="1"/>
  <c r="X50" i="113" s="1"/>
  <c r="X47" i="113"/>
  <c r="X75" i="113"/>
  <c r="X79" i="1"/>
  <c r="X51" i="1" s="1"/>
  <c r="V50" i="113"/>
  <c r="V47" i="113"/>
  <c r="K75" i="113"/>
  <c r="K79" i="1"/>
  <c r="S75" i="113"/>
  <c r="S79" i="1"/>
  <c r="F50" i="1"/>
  <c r="F50" i="113" s="1"/>
  <c r="F47" i="113"/>
  <c r="N50" i="113"/>
  <c r="N47" i="113"/>
  <c r="I47" i="113"/>
  <c r="I50" i="1"/>
  <c r="I50" i="113" s="1"/>
  <c r="R79" i="113"/>
  <c r="F79" i="1"/>
  <c r="F51" i="1" s="1"/>
  <c r="F75" i="113"/>
  <c r="M79" i="113"/>
  <c r="E45" i="3"/>
  <c r="V79" i="113"/>
  <c r="Q47" i="113"/>
  <c r="Q50" i="1"/>
  <c r="Q50" i="113" s="1"/>
  <c r="T79" i="113"/>
  <c r="I79" i="1"/>
  <c r="I75" i="113"/>
  <c r="H79" i="113"/>
  <c r="L55" i="1"/>
  <c r="D18" i="3" s="1"/>
  <c r="L51" i="113"/>
  <c r="Y79" i="113"/>
  <c r="J79" i="113"/>
  <c r="N79" i="113"/>
  <c r="P79" i="113"/>
  <c r="U79" i="113"/>
  <c r="M50" i="1"/>
  <c r="M50" i="113" s="1"/>
  <c r="M47" i="113"/>
  <c r="Q79" i="1"/>
  <c r="Q75" i="113"/>
  <c r="G80" i="111"/>
  <c r="E66" i="111"/>
  <c r="E71" i="113" l="1"/>
  <c r="E72" i="1"/>
  <c r="Z66" i="113"/>
  <c r="AS66" i="1"/>
  <c r="AS66" i="113" s="1"/>
  <c r="O51" i="113"/>
  <c r="Z14" i="113"/>
  <c r="AS14" i="1"/>
  <c r="AS14" i="113" s="1"/>
  <c r="Z17" i="1"/>
  <c r="Z23" i="113"/>
  <c r="AS23" i="1"/>
  <c r="AS23" i="113" s="1"/>
  <c r="Z28" i="1"/>
  <c r="AS70" i="1"/>
  <c r="AS70" i="113" s="1"/>
  <c r="Z70" i="113"/>
  <c r="AS18" i="1"/>
  <c r="AS18" i="113" s="1"/>
  <c r="Z18" i="113"/>
  <c r="Z64" i="113"/>
  <c r="AS64" i="1"/>
  <c r="E45" i="1"/>
  <c r="E45" i="113" s="1"/>
  <c r="E19" i="1"/>
  <c r="E17" i="113"/>
  <c r="AS34" i="1"/>
  <c r="AS34" i="113" s="1"/>
  <c r="Z34" i="113"/>
  <c r="E25" i="113"/>
  <c r="Z25" i="1"/>
  <c r="Z32" i="113"/>
  <c r="AS32" i="1"/>
  <c r="AS32" i="113" s="1"/>
  <c r="AS26" i="1"/>
  <c r="AS26" i="113" s="1"/>
  <c r="Z26" i="113"/>
  <c r="E67" i="113"/>
  <c r="Z67" i="1"/>
  <c r="E25" i="3"/>
  <c r="S51" i="1"/>
  <c r="E23" i="3"/>
  <c r="Q51" i="1"/>
  <c r="E15" i="3"/>
  <c r="I51" i="1"/>
  <c r="E17" i="3"/>
  <c r="K51" i="1"/>
  <c r="G79" i="113"/>
  <c r="S79" i="113"/>
  <c r="X79" i="113"/>
  <c r="K79" i="113"/>
  <c r="Q79" i="113"/>
  <c r="I79" i="113"/>
  <c r="D28" i="3"/>
  <c r="V51" i="113"/>
  <c r="F79" i="113"/>
  <c r="O55" i="113"/>
  <c r="P55" i="1"/>
  <c r="D22" i="3" s="1"/>
  <c r="P51" i="113"/>
  <c r="J55" i="1"/>
  <c r="D16" i="3" s="1"/>
  <c r="J51" i="113"/>
  <c r="R55" i="1"/>
  <c r="D24" i="3" s="1"/>
  <c r="R51" i="113"/>
  <c r="U55" i="1"/>
  <c r="D27" i="3" s="1"/>
  <c r="U51" i="113"/>
  <c r="N55" i="1"/>
  <c r="D20" i="3" s="1"/>
  <c r="N51" i="113"/>
  <c r="H55" i="1"/>
  <c r="D14" i="3" s="1"/>
  <c r="H51" i="113"/>
  <c r="M55" i="1"/>
  <c r="D19" i="3" s="1"/>
  <c r="M51" i="113"/>
  <c r="L55" i="113"/>
  <c r="T55" i="1"/>
  <c r="D26" i="3" s="1"/>
  <c r="T51" i="113"/>
  <c r="AS64" i="113" l="1"/>
  <c r="E72" i="113"/>
  <c r="E75" i="1"/>
  <c r="AS28" i="1"/>
  <c r="AS28" i="113" s="1"/>
  <c r="Z28" i="113"/>
  <c r="AS25" i="1"/>
  <c r="AS25" i="113" s="1"/>
  <c r="Z25" i="113"/>
  <c r="AS67" i="1"/>
  <c r="AS67" i="113" s="1"/>
  <c r="Z67" i="113"/>
  <c r="Z45" i="1"/>
  <c r="E19" i="113"/>
  <c r="E47" i="1"/>
  <c r="Z17" i="113"/>
  <c r="Z19" i="1"/>
  <c r="AS17" i="1"/>
  <c r="AS17" i="113" s="1"/>
  <c r="Z71" i="1"/>
  <c r="G51" i="113"/>
  <c r="G55" i="1"/>
  <c r="S51" i="113"/>
  <c r="S55" i="1"/>
  <c r="D25" i="3" s="1"/>
  <c r="K51" i="113"/>
  <c r="K55" i="1"/>
  <c r="D17" i="3" s="1"/>
  <c r="X51" i="113"/>
  <c r="X55" i="1"/>
  <c r="Q55" i="1"/>
  <c r="D23" i="3" s="1"/>
  <c r="Q51" i="113"/>
  <c r="M55" i="113"/>
  <c r="H55" i="113"/>
  <c r="U55" i="113"/>
  <c r="D45" i="3"/>
  <c r="P55" i="113"/>
  <c r="V55" i="113"/>
  <c r="I55" i="1"/>
  <c r="D15" i="3" s="1"/>
  <c r="I51" i="113"/>
  <c r="T55" i="113"/>
  <c r="N55" i="113"/>
  <c r="R55" i="113"/>
  <c r="J55" i="113"/>
  <c r="F51" i="113"/>
  <c r="F55" i="1"/>
  <c r="E75" i="113" l="1"/>
  <c r="E79" i="1"/>
  <c r="E79" i="113" s="1"/>
  <c r="Z19" i="113"/>
  <c r="Z47" i="1"/>
  <c r="AS19" i="1"/>
  <c r="AS19" i="113" s="1"/>
  <c r="Z45" i="113"/>
  <c r="AS45" i="1"/>
  <c r="AS45" i="113" s="1"/>
  <c r="AS71" i="1"/>
  <c r="Z71" i="113"/>
  <c r="Z72" i="1"/>
  <c r="E47" i="113"/>
  <c r="E55" i="1"/>
  <c r="G55" i="113"/>
  <c r="X55" i="113"/>
  <c r="K55" i="113"/>
  <c r="S55" i="113"/>
  <c r="F55" i="113"/>
  <c r="Q55" i="113"/>
  <c r="I55" i="113"/>
  <c r="A1" i="111"/>
  <c r="J14" i="111"/>
  <c r="I14" i="111" s="1"/>
  <c r="J15" i="111"/>
  <c r="I15" i="111" s="1"/>
  <c r="J16" i="111"/>
  <c r="I16" i="111" s="1"/>
  <c r="J18" i="111"/>
  <c r="I18" i="111" s="1"/>
  <c r="J23" i="111"/>
  <c r="I23" i="111" s="1"/>
  <c r="J24" i="111"/>
  <c r="I24" i="111" s="1"/>
  <c r="E27" i="111"/>
  <c r="H27" i="111" s="1"/>
  <c r="J31" i="111"/>
  <c r="I31" i="111" s="1"/>
  <c r="J32" i="111"/>
  <c r="I32" i="111" s="1"/>
  <c r="J36" i="111"/>
  <c r="I36" i="111" s="1"/>
  <c r="J37" i="111"/>
  <c r="I37" i="111" s="1"/>
  <c r="J38" i="111"/>
  <c r="I38" i="111" s="1"/>
  <c r="J41" i="111"/>
  <c r="I41" i="111" s="1"/>
  <c r="J42" i="111"/>
  <c r="I42" i="111" s="1"/>
  <c r="J43" i="111"/>
  <c r="I43" i="111" s="1"/>
  <c r="J52" i="111"/>
  <c r="I52" i="111" s="1"/>
  <c r="J53" i="111"/>
  <c r="I53" i="111" s="1"/>
  <c r="J59" i="111"/>
  <c r="I59" i="111" s="1"/>
  <c r="J61" i="111"/>
  <c r="I61" i="111" s="1"/>
  <c r="J62" i="111"/>
  <c r="I62" i="111" s="1"/>
  <c r="J63" i="111"/>
  <c r="I63" i="111" s="1"/>
  <c r="H65" i="111"/>
  <c r="J65" i="111"/>
  <c r="I65" i="111" s="1"/>
  <c r="J74" i="111"/>
  <c r="I74" i="111" s="1"/>
  <c r="E25" i="111"/>
  <c r="H25" i="111" s="1"/>
  <c r="J25" i="111"/>
  <c r="J27" i="111"/>
  <c r="I27" i="111" s="1"/>
  <c r="J33" i="111"/>
  <c r="J60" i="111"/>
  <c r="C44" i="3"/>
  <c r="C49" i="3"/>
  <c r="C48" i="3"/>
  <c r="C47" i="3"/>
  <c r="C46" i="3"/>
  <c r="C43" i="3"/>
  <c r="C42" i="3"/>
  <c r="C41" i="3"/>
  <c r="C40" i="3"/>
  <c r="C39" i="3"/>
  <c r="C38" i="3"/>
  <c r="C37" i="3"/>
  <c r="C36" i="3"/>
  <c r="C35" i="3"/>
  <c r="Z47" i="113" l="1"/>
  <c r="AS47" i="1"/>
  <c r="AS47" i="113" s="1"/>
  <c r="E55" i="113"/>
  <c r="E80" i="1"/>
  <c r="Z72" i="113"/>
  <c r="Z75" i="1"/>
  <c r="AS71" i="113"/>
  <c r="AS72" i="1"/>
  <c r="E16" i="111"/>
  <c r="H16" i="111" s="1"/>
  <c r="E24" i="111"/>
  <c r="H24" i="111" s="1"/>
  <c r="E36" i="111"/>
  <c r="H36" i="111" s="1"/>
  <c r="E37" i="111"/>
  <c r="H37" i="111" s="1"/>
  <c r="E63" i="111"/>
  <c r="H63" i="111" s="1"/>
  <c r="E61" i="111"/>
  <c r="H61" i="111" s="1"/>
  <c r="E59" i="111"/>
  <c r="H59" i="111" s="1"/>
  <c r="E70" i="111"/>
  <c r="E43" i="111"/>
  <c r="H43" i="111" s="1"/>
  <c r="E33" i="111"/>
  <c r="H33" i="111" s="1"/>
  <c r="E68" i="111"/>
  <c r="E52" i="111"/>
  <c r="H52" i="111" s="1"/>
  <c r="E31" i="111"/>
  <c r="H31" i="111" s="1"/>
  <c r="E69" i="111"/>
  <c r="E41" i="111"/>
  <c r="H41" i="111" s="1"/>
  <c r="E38" i="111"/>
  <c r="H38" i="111" s="1"/>
  <c r="F34" i="111"/>
  <c r="E74" i="111"/>
  <c r="H74" i="111" s="1"/>
  <c r="E53" i="111"/>
  <c r="H53" i="111" s="1"/>
  <c r="E50" i="111"/>
  <c r="H50" i="111" s="1"/>
  <c r="E32" i="111"/>
  <c r="H32" i="111" s="1"/>
  <c r="J17" i="111"/>
  <c r="J19" i="111" s="1"/>
  <c r="J44" i="111"/>
  <c r="E18" i="111"/>
  <c r="H18" i="111" s="1"/>
  <c r="E15" i="111"/>
  <c r="H15" i="111" s="1"/>
  <c r="I25" i="111"/>
  <c r="I28" i="111" s="1"/>
  <c r="J28" i="111"/>
  <c r="E14" i="111"/>
  <c r="F17" i="111"/>
  <c r="F19" i="111" s="1"/>
  <c r="I33" i="111"/>
  <c r="I34" i="111" s="1"/>
  <c r="J34" i="111"/>
  <c r="E26" i="111"/>
  <c r="E60" i="111"/>
  <c r="H60" i="111" s="1"/>
  <c r="E42" i="111"/>
  <c r="H42" i="111" s="1"/>
  <c r="F44" i="111"/>
  <c r="I44" i="111"/>
  <c r="I17" i="111"/>
  <c r="I19" i="111" s="1"/>
  <c r="F64" i="111"/>
  <c r="E62" i="111"/>
  <c r="H62" i="111" s="1"/>
  <c r="J64" i="111"/>
  <c r="J79" i="111" s="1"/>
  <c r="I79" i="111" s="1"/>
  <c r="I60" i="111"/>
  <c r="I64" i="111" s="1"/>
  <c r="E23" i="111"/>
  <c r="J50" i="111"/>
  <c r="I50" i="111" s="1"/>
  <c r="A36" i="3"/>
  <c r="A35" i="3"/>
  <c r="Z79" i="113" l="1"/>
  <c r="Z75" i="113"/>
  <c r="AS72" i="113"/>
  <c r="AS75" i="1"/>
  <c r="E28" i="111"/>
  <c r="E45" i="111" s="1"/>
  <c r="E34" i="111"/>
  <c r="H34" i="111" s="1"/>
  <c r="F45" i="111"/>
  <c r="F47" i="111" s="1"/>
  <c r="E44" i="111"/>
  <c r="H44" i="111" s="1"/>
  <c r="J45" i="111"/>
  <c r="J47" i="111" s="1"/>
  <c r="J55" i="111" s="1"/>
  <c r="J80" i="111" s="1"/>
  <c r="E67" i="111"/>
  <c r="E71" i="111" s="1"/>
  <c r="F72" i="111"/>
  <c r="F75" i="111" s="1"/>
  <c r="F79" i="111" s="1"/>
  <c r="H23" i="111"/>
  <c r="H14" i="111"/>
  <c r="E17" i="111"/>
  <c r="I45" i="111"/>
  <c r="I47" i="111" s="1"/>
  <c r="I55" i="111" s="1"/>
  <c r="I80" i="111" s="1"/>
  <c r="E64" i="111"/>
  <c r="A37" i="3"/>
  <c r="AS75" i="113" l="1"/>
  <c r="AS79" i="1"/>
  <c r="AS79" i="113" s="1"/>
  <c r="E72" i="111"/>
  <c r="E75" i="111" s="1"/>
  <c r="E79" i="111" s="1"/>
  <c r="F55" i="111"/>
  <c r="H17" i="111"/>
  <c r="E19" i="111"/>
  <c r="H45" i="111"/>
  <c r="H28" i="111"/>
  <c r="H64" i="111"/>
  <c r="A38" i="3"/>
  <c r="E44" i="3" l="1"/>
  <c r="E47" i="3"/>
  <c r="E48" i="3"/>
  <c r="E42" i="3"/>
  <c r="H79" i="111"/>
  <c r="F80" i="111"/>
  <c r="H19" i="111"/>
  <c r="E47" i="111"/>
  <c r="A39" i="3"/>
  <c r="E55" i="111" l="1"/>
  <c r="H47" i="111"/>
  <c r="A40" i="3"/>
  <c r="E80" i="111" l="1"/>
  <c r="H55" i="111"/>
  <c r="A41" i="3"/>
  <c r="A42" i="3" l="1"/>
  <c r="A43" i="3" l="1"/>
  <c r="A44" i="3" l="1"/>
  <c r="A46" i="3"/>
  <c r="A47" i="3" l="1"/>
  <c r="A48" i="3" l="1"/>
  <c r="AC14" i="51" l="1"/>
  <c r="AC12" i="51"/>
  <c r="AA10" i="51"/>
  <c r="AA16" i="51" s="1"/>
  <c r="A49" i="3" l="1"/>
  <c r="AC10" i="51"/>
  <c r="AD12" i="51" l="1"/>
  <c r="AC16" i="51"/>
  <c r="D47" i="3" l="1"/>
  <c r="D42" i="3"/>
  <c r="D48" i="3"/>
  <c r="D44" i="3"/>
  <c r="C14" i="3" l="1"/>
  <c r="A14" i="3"/>
  <c r="A74" i="48"/>
  <c r="C55" i="48"/>
  <c r="E62" i="48" s="1"/>
  <c r="A71" i="48"/>
  <c r="A72" i="48"/>
  <c r="A115" i="48"/>
  <c r="B115" i="48"/>
  <c r="F115" i="48"/>
  <c r="B118" i="48"/>
  <c r="F118" i="48"/>
  <c r="C131" i="48"/>
  <c r="C132" i="48"/>
  <c r="B11" i="48"/>
  <c r="C12" i="3"/>
  <c r="A13" i="3"/>
  <c r="C13" i="3"/>
  <c r="A15" i="3"/>
  <c r="C15" i="3"/>
  <c r="A16" i="3"/>
  <c r="C16" i="3"/>
  <c r="A17" i="3"/>
  <c r="C17" i="3"/>
  <c r="A18" i="3"/>
  <c r="C18" i="3"/>
  <c r="A19" i="3"/>
  <c r="C19" i="3"/>
  <c r="A20" i="3"/>
  <c r="C20" i="3"/>
  <c r="A21" i="3"/>
  <c r="C21" i="3"/>
  <c r="A22" i="3"/>
  <c r="C22" i="3"/>
  <c r="C23" i="3"/>
  <c r="C24" i="3"/>
  <c r="C25" i="3"/>
  <c r="C26" i="3"/>
  <c r="C27" i="3"/>
  <c r="C28" i="3"/>
  <c r="C31" i="3"/>
  <c r="A30" i="3"/>
  <c r="C30" i="3"/>
  <c r="A78" i="48"/>
  <c r="B78" i="48"/>
  <c r="A79" i="48"/>
  <c r="B79" i="48"/>
  <c r="A80" i="48"/>
  <c r="B80" i="48"/>
  <c r="A81" i="48"/>
  <c r="B81" i="48"/>
  <c r="A82" i="48"/>
  <c r="B82" i="48"/>
  <c r="A83" i="48"/>
  <c r="B83" i="48"/>
  <c r="A84" i="48"/>
  <c r="B84" i="48"/>
  <c r="A85" i="48"/>
  <c r="B85" i="48"/>
  <c r="A86" i="48"/>
  <c r="B86" i="48"/>
  <c r="A87" i="48"/>
  <c r="B87" i="48"/>
  <c r="A88" i="48"/>
  <c r="B88" i="48"/>
  <c r="A89" i="48"/>
  <c r="B89" i="48"/>
  <c r="A90" i="48"/>
  <c r="B90" i="48"/>
  <c r="A91" i="48"/>
  <c r="B91" i="48"/>
  <c r="A92" i="48"/>
  <c r="B92" i="48"/>
  <c r="A93" i="48"/>
  <c r="B93" i="48"/>
  <c r="A94" i="48"/>
  <c r="B94" i="48"/>
  <c r="A95" i="48"/>
  <c r="B95" i="48"/>
  <c r="A96" i="48"/>
  <c r="B96" i="48"/>
  <c r="A97" i="48"/>
  <c r="B97" i="48"/>
  <c r="A98" i="48"/>
  <c r="B98" i="48"/>
  <c r="A100" i="48"/>
  <c r="B100" i="48"/>
  <c r="A101" i="48"/>
  <c r="B101" i="48"/>
  <c r="A102" i="48"/>
  <c r="B102" i="48"/>
  <c r="A103" i="48"/>
  <c r="B103" i="48"/>
  <c r="A104" i="48"/>
  <c r="B104" i="48"/>
  <c r="A105" i="48"/>
  <c r="B105" i="48"/>
  <c r="A106" i="48"/>
  <c r="B106" i="48"/>
  <c r="A107" i="48"/>
  <c r="B107" i="48"/>
  <c r="A108" i="48"/>
  <c r="B108" i="48"/>
  <c r="A109" i="48"/>
  <c r="B109" i="48"/>
  <c r="A110" i="48"/>
  <c r="B110" i="48"/>
  <c r="A111" i="48"/>
  <c r="B111" i="48"/>
  <c r="A112" i="48"/>
  <c r="B112" i="48"/>
  <c r="A113" i="48"/>
  <c r="B113" i="48"/>
  <c r="A114" i="48"/>
  <c r="B114" i="48"/>
  <c r="E20" i="52"/>
  <c r="E22" i="52" s="1"/>
  <c r="E24" i="52" s="1"/>
  <c r="E26" i="52" s="1"/>
  <c r="E82" i="1" s="1"/>
  <c r="T12" i="51"/>
  <c r="T14" i="51"/>
  <c r="M12" i="51"/>
  <c r="R16" i="51"/>
  <c r="T16" i="51" s="1"/>
  <c r="V16" i="51" s="1"/>
  <c r="S16" i="51"/>
  <c r="S20" i="51"/>
  <c r="F114" i="48"/>
  <c r="F113" i="48"/>
  <c r="C69" i="48"/>
  <c r="C147" i="48" s="1"/>
  <c r="C61" i="48"/>
  <c r="C139" i="48" s="1"/>
  <c r="C65" i="48"/>
  <c r="C143" i="48" s="1"/>
  <c r="C64" i="48"/>
  <c r="C142" i="48" s="1"/>
  <c r="C60" i="48"/>
  <c r="C138" i="48" s="1"/>
  <c r="C68" i="48"/>
  <c r="C146" i="48" s="1"/>
  <c r="C59" i="48"/>
  <c r="C137" i="48" s="1"/>
  <c r="F96" i="48"/>
  <c r="F110" i="48"/>
  <c r="F112" i="48"/>
  <c r="F102" i="48"/>
  <c r="F86" i="48"/>
  <c r="F94" i="48"/>
  <c r="F108" i="48"/>
  <c r="F106" i="48"/>
  <c r="F109" i="48"/>
  <c r="F81" i="48"/>
  <c r="F90" i="48"/>
  <c r="F88" i="48"/>
  <c r="F92" i="48"/>
  <c r="F103" i="48"/>
  <c r="F111" i="48"/>
  <c r="F91" i="48"/>
  <c r="F107" i="48"/>
  <c r="F82" i="48"/>
  <c r="F85" i="48"/>
  <c r="F89" i="48"/>
  <c r="F87" i="48"/>
  <c r="F93" i="48"/>
  <c r="F104" i="48"/>
  <c r="F84" i="48"/>
  <c r="F97" i="48"/>
  <c r="F105" i="48"/>
  <c r="F98" i="48"/>
  <c r="F78" i="48"/>
  <c r="F116" i="48" s="1"/>
  <c r="F79" i="48"/>
  <c r="F83" i="48"/>
  <c r="F100" i="48"/>
  <c r="F80" i="48"/>
  <c r="F95" i="48"/>
  <c r="F101" i="48"/>
  <c r="U16" i="51" l="1"/>
  <c r="E49" i="3"/>
  <c r="B28" i="48"/>
  <c r="B27" i="48"/>
  <c r="B26" i="48"/>
  <c r="B25" i="48"/>
  <c r="B24" i="48"/>
  <c r="B23" i="48"/>
  <c r="B22" i="48"/>
  <c r="B21" i="48"/>
  <c r="B20" i="48"/>
  <c r="B19" i="48"/>
  <c r="B18" i="48"/>
  <c r="B17" i="48"/>
  <c r="B16" i="48"/>
  <c r="B15" i="48"/>
  <c r="B33" i="48"/>
  <c r="B29" i="48"/>
  <c r="A22" i="48"/>
  <c r="A21" i="48"/>
  <c r="A20" i="48"/>
  <c r="A19" i="48"/>
  <c r="A18" i="48"/>
  <c r="A17" i="48"/>
  <c r="A16" i="48"/>
  <c r="A15" i="48"/>
  <c r="A13" i="48"/>
  <c r="A12" i="48"/>
  <c r="B14" i="48"/>
  <c r="A33" i="48"/>
  <c r="B13" i="48"/>
  <c r="B12" i="48"/>
  <c r="A14" i="48"/>
  <c r="C66" i="48"/>
  <c r="D65" i="48" s="1"/>
  <c r="C140" i="48"/>
  <c r="D137" i="48" s="1"/>
  <c r="C70" i="48"/>
  <c r="D68" i="48" s="1"/>
  <c r="D70" i="48" s="1"/>
  <c r="A4" i="52"/>
  <c r="C144" i="48"/>
  <c r="D142" i="48" s="1"/>
  <c r="C133" i="48"/>
  <c r="E140" i="48" s="1"/>
  <c r="C148" i="48"/>
  <c r="D146" i="48" s="1"/>
  <c r="C62" i="48"/>
  <c r="D59" i="48" s="1"/>
  <c r="F120" i="48"/>
  <c r="F124" i="48" s="1"/>
  <c r="F127" i="48" s="1"/>
  <c r="E19" i="51"/>
  <c r="D64" i="48" l="1"/>
  <c r="D66" i="48" s="1"/>
  <c r="D143" i="48"/>
  <c r="D144" i="48" s="1"/>
  <c r="A23" i="3"/>
  <c r="D138" i="48"/>
  <c r="E138" i="48" s="1"/>
  <c r="E148" i="48" s="1"/>
  <c r="E146" i="48" s="1"/>
  <c r="D139" i="48"/>
  <c r="E139" i="48" s="1"/>
  <c r="D69" i="48"/>
  <c r="D148" i="48"/>
  <c r="E59" i="48"/>
  <c r="E66" i="48" s="1"/>
  <c r="D147" i="48"/>
  <c r="D61" i="48"/>
  <c r="E61" i="48" s="1"/>
  <c r="D60" i="48"/>
  <c r="E60" i="48" s="1"/>
  <c r="E70" i="48" s="1"/>
  <c r="E137" i="48"/>
  <c r="E144" i="48" s="1"/>
  <c r="A24" i="3" l="1"/>
  <c r="A23" i="48"/>
  <c r="D140" i="48"/>
  <c r="E147" i="48"/>
  <c r="D49" i="3"/>
  <c r="E23" i="51"/>
  <c r="E68" i="48"/>
  <c r="E69" i="48"/>
  <c r="E65" i="48"/>
  <c r="E64" i="48"/>
  <c r="D62" i="48"/>
  <c r="E142" i="48"/>
  <c r="E143" i="48"/>
  <c r="F19" i="48" l="1"/>
  <c r="A25" i="3"/>
  <c r="A24" i="48"/>
  <c r="F18" i="48"/>
  <c r="E38" i="3"/>
  <c r="E36" i="3"/>
  <c r="F25" i="48"/>
  <c r="F23" i="48"/>
  <c r="E46" i="3"/>
  <c r="E31" i="3"/>
  <c r="F29" i="48" s="1"/>
  <c r="E41" i="3"/>
  <c r="F15" i="48"/>
  <c r="E30" i="3" l="1"/>
  <c r="F33" i="48" s="1"/>
  <c r="E43" i="3"/>
  <c r="E37" i="3"/>
  <c r="F27" i="48"/>
  <c r="F17" i="48"/>
  <c r="E35" i="3"/>
  <c r="F24" i="48"/>
  <c r="F14" i="48"/>
  <c r="E40" i="3"/>
  <c r="E39" i="3"/>
  <c r="F21" i="48"/>
  <c r="F20" i="48"/>
  <c r="F28" i="48"/>
  <c r="A25" i="48"/>
  <c r="F22" i="48"/>
  <c r="E13" i="3"/>
  <c r="F13" i="48" s="1"/>
  <c r="A26" i="3"/>
  <c r="E11" i="3"/>
  <c r="E11" i="48" s="1"/>
  <c r="F26" i="48"/>
  <c r="E12" i="3"/>
  <c r="F12" i="48" s="1"/>
  <c r="G12" i="48" s="1"/>
  <c r="F16" i="48"/>
  <c r="G19" i="48"/>
  <c r="G29" i="48"/>
  <c r="G23" i="48"/>
  <c r="G25" i="48"/>
  <c r="G15" i="48"/>
  <c r="G18" i="48"/>
  <c r="E33" i="3" l="1"/>
  <c r="E50" i="3" s="1"/>
  <c r="F35" i="48"/>
  <c r="G16" i="48"/>
  <c r="G27" i="48"/>
  <c r="G33" i="48"/>
  <c r="A26" i="48"/>
  <c r="G20" i="48"/>
  <c r="G17" i="48"/>
  <c r="E35" i="48"/>
  <c r="E41" i="48" s="1"/>
  <c r="E45" i="48" s="1"/>
  <c r="E48" i="48" s="1"/>
  <c r="Y51" i="1" s="1"/>
  <c r="G11" i="48"/>
  <c r="G13" i="48"/>
  <c r="G28" i="48"/>
  <c r="G21" i="48"/>
  <c r="G24" i="48"/>
  <c r="G26" i="48"/>
  <c r="A27" i="3"/>
  <c r="G22" i="48"/>
  <c r="G14" i="48"/>
  <c r="D11" i="3"/>
  <c r="F11" i="3" s="1"/>
  <c r="G35" i="48" l="1"/>
  <c r="D37" i="3"/>
  <c r="D12" i="3"/>
  <c r="D30" i="3"/>
  <c r="D43" i="3"/>
  <c r="D35" i="3"/>
  <c r="A27" i="48"/>
  <c r="D39" i="3"/>
  <c r="D13" i="3"/>
  <c r="D38" i="3"/>
  <c r="A28" i="3"/>
  <c r="D40" i="3"/>
  <c r="D46" i="3"/>
  <c r="D36" i="3"/>
  <c r="D41" i="3"/>
  <c r="A28" i="48" l="1"/>
  <c r="E9" i="51"/>
  <c r="A31" i="3" l="1"/>
  <c r="A29" i="48" l="1"/>
  <c r="M14" i="51"/>
  <c r="T20" i="51"/>
  <c r="T25" i="51" s="1"/>
  <c r="R20" i="51"/>
  <c r="R25" i="51"/>
  <c r="K10" i="51"/>
  <c r="K16" i="51" s="1"/>
  <c r="M10" i="51" l="1"/>
  <c r="N12" i="51" l="1"/>
  <c r="M16" i="51"/>
  <c r="F41" i="48" l="1"/>
  <c r="E11" i="51"/>
  <c r="G41" i="48" l="1"/>
  <c r="F45" i="48"/>
  <c r="E13" i="51"/>
  <c r="G45" i="48" l="1"/>
  <c r="F48" i="48"/>
  <c r="G48" i="48" s="1"/>
  <c r="Y55" i="1" l="1"/>
  <c r="Y51" i="113"/>
  <c r="Z51" i="1"/>
  <c r="H48" i="48" s="1"/>
  <c r="Z50" i="1"/>
  <c r="Z50" i="113" s="1"/>
  <c r="Y50" i="113"/>
  <c r="Y55" i="113" l="1"/>
  <c r="D31" i="3"/>
  <c r="D33" i="3" s="1"/>
  <c r="AS51" i="1"/>
  <c r="Z51" i="113"/>
  <c r="AS50" i="1"/>
  <c r="Z55" i="1"/>
  <c r="Z55" i="113" s="1"/>
  <c r="D50" i="3" l="1"/>
  <c r="F50" i="3" s="1"/>
  <c r="F33" i="3"/>
  <c r="AS51" i="113"/>
  <c r="AS50" i="113"/>
  <c r="AS55" i="1"/>
  <c r="AS55" i="113" s="1"/>
  <c r="Z80" i="1"/>
  <c r="E15" i="51" l="1"/>
  <c r="E17" i="51" s="1"/>
  <c r="E21" i="51" s="1"/>
  <c r="E25" i="51" s="1"/>
  <c r="AS80" i="1"/>
</calcChain>
</file>

<file path=xl/comments1.xml><?xml version="1.0" encoding="utf-8"?>
<comments xmlns="http://schemas.openxmlformats.org/spreadsheetml/2006/main">
  <authors>
    <author>Liz Andrews</author>
  </authors>
  <commentList>
    <comment ref="O50" authorId="0" shapeId="0">
      <text>
        <r>
          <rPr>
            <b/>
            <sz val="8"/>
            <color indexed="81"/>
            <rFont val="Tahoma"/>
            <charset val="1"/>
          </rPr>
          <t>Liz Andrews:</t>
        </r>
        <r>
          <rPr>
            <sz val="8"/>
            <color indexed="81"/>
            <rFont val="Tahoma"/>
            <charset val="1"/>
          </rPr>
          <t xml:space="preserve">
no formula for current tax, adjustment in DFIT.</t>
        </r>
      </text>
    </comment>
  </commentList>
</comments>
</file>

<file path=xl/comments2.xml><?xml version="1.0" encoding="utf-8"?>
<comments xmlns="http://schemas.openxmlformats.org/spreadsheetml/2006/main">
  <authors>
    <author>Avista Corp Employee</author>
    <author>rzs589</author>
    <author>A satisfied Microsoft Office user</author>
    <author>gzhkw6</author>
  </authors>
  <commentList>
    <comment ref="B84" authorId="0" shapeId="0">
      <text>
        <r>
          <rPr>
            <b/>
            <sz val="10"/>
            <color indexed="81"/>
            <rFont val="Tahoma"/>
            <family val="2"/>
          </rPr>
          <t>revenue from Montana Noxon customers is included in Idaho.  Is reversed out for Commission Basis reports</t>
        </r>
      </text>
    </comment>
    <comment ref="B99" authorId="0" shapeId="0">
      <text>
        <r>
          <rPr>
            <b/>
            <sz val="8"/>
            <color indexed="81"/>
            <rFont val="Tahoma"/>
            <family val="2"/>
          </rPr>
          <t>This includes acct 456.15, revenue from sale of excess turbine gas.  This is netted against the cost in 557.15 and is part of the elec deferral entry.  Any gain or loss from the sales are recorded to accounts 557.28 or 557.38.</t>
        </r>
      </text>
    </comment>
    <comment ref="B398" authorId="1" shapeId="0">
      <text>
        <r>
          <rPr>
            <b/>
            <sz val="8"/>
            <color indexed="81"/>
            <rFont val="Tahoma"/>
            <family val="2"/>
          </rPr>
          <t>2/6/04 Account 182.31 is fully offset by 283.17</t>
        </r>
        <r>
          <rPr>
            <sz val="8"/>
            <color indexed="81"/>
            <rFont val="Tahoma"/>
            <family val="2"/>
          </rPr>
          <t xml:space="preserve">
</t>
        </r>
      </text>
    </comment>
    <comment ref="A417" authorId="2" shapeId="0">
      <text>
        <r>
          <rPr>
            <sz val="9"/>
            <color indexed="81"/>
            <rFont val="Tahoma"/>
            <family val="2"/>
          </rPr>
          <t>Acct 0108.02  System amount is from input matrix.  WA and ID amounts are hard coded, and do not change.</t>
        </r>
      </text>
    </comment>
    <comment ref="H417" authorId="3" shapeId="0">
      <text>
        <r>
          <rPr>
            <b/>
            <sz val="8"/>
            <color indexed="81"/>
            <rFont val="Tahoma"/>
            <family val="2"/>
          </rPr>
          <t>gzhkw6:</t>
        </r>
        <r>
          <rPr>
            <sz val="8"/>
            <color indexed="81"/>
            <rFont val="Tahoma"/>
            <family val="2"/>
          </rPr>
          <t xml:space="preserve">
Updated this value for change reflected in the 2/8/2012 ROO
</t>
        </r>
      </text>
    </comment>
    <comment ref="B419" authorId="1" shapeId="0">
      <text>
        <r>
          <rPr>
            <sz val="8"/>
            <color indexed="81"/>
            <rFont val="Tahoma"/>
            <family val="2"/>
          </rPr>
          <t xml:space="preserve">Write-off recorded 9/04 as the results of the Idaho General Rate Case
</t>
        </r>
      </text>
    </comment>
    <comment ref="B420" authorId="1" shapeId="0">
      <text>
        <r>
          <rPr>
            <sz val="8"/>
            <color indexed="81"/>
            <rFont val="Tahoma"/>
            <family val="2"/>
          </rPr>
          <t xml:space="preserve">Write-off recorded 9/04 as the results of the Idaho General Rate Case
</t>
        </r>
      </text>
    </comment>
    <comment ref="B421" authorId="1" shapeId="0">
      <text>
        <r>
          <rPr>
            <sz val="8"/>
            <color indexed="81"/>
            <rFont val="Tahoma"/>
            <family val="2"/>
          </rPr>
          <t xml:space="preserve">Write-off recorded 9/04 as the results of the Idaho General Rate Case
</t>
        </r>
      </text>
    </comment>
  </commentList>
</comments>
</file>

<file path=xl/comments3.xml><?xml version="1.0" encoding="utf-8"?>
<comments xmlns="http://schemas.openxmlformats.org/spreadsheetml/2006/main">
  <authors>
    <author>rzk7kq</author>
  </authors>
  <commentList>
    <comment ref="B52" authorId="0" shapeId="0">
      <text>
        <r>
          <rPr>
            <b/>
            <sz val="8"/>
            <color indexed="81"/>
            <rFont val="Tahoma"/>
            <family val="2"/>
          </rPr>
          <t xml:space="preserve">rzk7kq: </t>
        </r>
        <r>
          <rPr>
            <sz val="8"/>
            <color indexed="81"/>
            <rFont val="Tahoma"/>
            <family val="2"/>
          </rPr>
          <t xml:space="preserve">
AFUDC Equity - all 419100 accounts
AFUDC Debt - all 432000 accounts</t>
        </r>
      </text>
    </comment>
    <comment ref="F118" authorId="0" shapeId="0">
      <text>
        <r>
          <rPr>
            <b/>
            <sz val="8"/>
            <color indexed="81"/>
            <rFont val="Tahoma"/>
            <family val="2"/>
          </rPr>
          <t>rzk7kq:</t>
        </r>
        <r>
          <rPr>
            <sz val="8"/>
            <color indexed="81"/>
            <rFont val="Tahoma"/>
            <family val="2"/>
          </rPr>
          <t xml:space="preserve">
ID excludes STD
Cap Structure at 12/31/2005 provided by Paul Kimball</t>
        </r>
      </text>
    </comment>
  </commentList>
</comments>
</file>

<file path=xl/sharedStrings.xml><?xml version="1.0" encoding="utf-8"?>
<sst xmlns="http://schemas.openxmlformats.org/spreadsheetml/2006/main" count="926" uniqueCount="597">
  <si>
    <t>(000'S OF DOLLARS)</t>
  </si>
  <si>
    <t xml:space="preserve">Deferred </t>
  </si>
  <si>
    <t>Settlement</t>
  </si>
  <si>
    <t>Eliminate</t>
  </si>
  <si>
    <t>Injuries</t>
  </si>
  <si>
    <t>Restate</t>
  </si>
  <si>
    <t>Office Space</t>
  </si>
  <si>
    <t>Pro Forma</t>
  </si>
  <si>
    <t>Line</t>
  </si>
  <si>
    <t>FIT</t>
  </si>
  <si>
    <t>Common</t>
  </si>
  <si>
    <t>Power</t>
  </si>
  <si>
    <t>B &amp; O</t>
  </si>
  <si>
    <t>Property</t>
  </si>
  <si>
    <t>Uncollect.</t>
  </si>
  <si>
    <t>Regulatory</t>
  </si>
  <si>
    <t xml:space="preserve">and </t>
  </si>
  <si>
    <t>Debt</t>
  </si>
  <si>
    <t>A/R</t>
  </si>
  <si>
    <t>Charges to</t>
  </si>
  <si>
    <t>Restated</t>
  </si>
  <si>
    <t>No.</t>
  </si>
  <si>
    <t>DESCRIPTION</t>
  </si>
  <si>
    <t>Rate Base</t>
  </si>
  <si>
    <t>Adjustment</t>
  </si>
  <si>
    <t>Supply</t>
  </si>
  <si>
    <t>Taxes</t>
  </si>
  <si>
    <t>Tax</t>
  </si>
  <si>
    <t>Expense</t>
  </si>
  <si>
    <t>Damages</t>
  </si>
  <si>
    <t>Interest</t>
  </si>
  <si>
    <t>Revenues</t>
  </si>
  <si>
    <t>Expenses</t>
  </si>
  <si>
    <t>TOTAL</t>
  </si>
  <si>
    <t>REVENUES</t>
  </si>
  <si>
    <t>Total General Business</t>
  </si>
  <si>
    <t>Interdepartmental Sales</t>
  </si>
  <si>
    <t>Sales for Resale</t>
  </si>
  <si>
    <t>Other Revenue</t>
  </si>
  <si>
    <t>EXPENSES</t>
  </si>
  <si>
    <t>Production and Transmission</t>
  </si>
  <si>
    <t>Purchased Power</t>
  </si>
  <si>
    <t>Distribution</t>
  </si>
  <si>
    <t>Customer Accounting</t>
  </si>
  <si>
    <t>Customer Service &amp; Information</t>
  </si>
  <si>
    <t>Sales Expenses</t>
  </si>
  <si>
    <t>Administrative &amp; General</t>
  </si>
  <si>
    <t>Total Electric Expenses</t>
  </si>
  <si>
    <t>NET OPERATING INCOME</t>
  </si>
  <si>
    <t>RATE BASE</t>
  </si>
  <si>
    <t>PLANT IN SERVICE</t>
  </si>
  <si>
    <t>ACCUMULATED DEPRECIATION</t>
  </si>
  <si>
    <t>TOTAL RATE BASE</t>
  </si>
  <si>
    <t>Idaho</t>
  </si>
  <si>
    <t>Restatement Summary</t>
  </si>
  <si>
    <t>Washington Electric</t>
  </si>
  <si>
    <t>Column</t>
  </si>
  <si>
    <t>Description</t>
  </si>
  <si>
    <t xml:space="preserve">NOI   </t>
  </si>
  <si>
    <t>ROR</t>
  </si>
  <si>
    <t xml:space="preserve">     Restated Total</t>
  </si>
  <si>
    <t>ELECTRIC ADJUSTMENT SUMMARY</t>
  </si>
  <si>
    <t>PER RESULTS OF</t>
  </si>
  <si>
    <t>OPERATIONS REPORTS</t>
  </si>
  <si>
    <t>ELECTRIC</t>
  </si>
  <si>
    <t xml:space="preserve"> No.</t>
  </si>
  <si>
    <t>System</t>
  </si>
  <si>
    <t>Washington</t>
  </si>
  <si>
    <t>Check</t>
  </si>
  <si>
    <t>Sales For Resale</t>
  </si>
  <si>
    <t xml:space="preserve">   Total Sales of Electricity</t>
  </si>
  <si>
    <t xml:space="preserve">   Total Electric Revenue</t>
  </si>
  <si>
    <t xml:space="preserve">   Operating Expenses</t>
  </si>
  <si>
    <t xml:space="preserve">   Purchased Power</t>
  </si>
  <si>
    <t xml:space="preserve">   Taxes</t>
  </si>
  <si>
    <t xml:space="preserve">      Total Production &amp; Transmission</t>
  </si>
  <si>
    <t xml:space="preserve">      Total Distribution</t>
  </si>
  <si>
    <t xml:space="preserve">      Total Admin. &amp; General</t>
  </si>
  <si>
    <t>Operating Income before FIT</t>
  </si>
  <si>
    <t>Federal Income Taxes</t>
  </si>
  <si>
    <t xml:space="preserve">   Current Accrual </t>
  </si>
  <si>
    <t xml:space="preserve">   Deferred Income Taxes</t>
  </si>
  <si>
    <t xml:space="preserve">   Amortized ITC</t>
  </si>
  <si>
    <t xml:space="preserve">   Intangible</t>
  </si>
  <si>
    <t xml:space="preserve">   Production</t>
  </si>
  <si>
    <t xml:space="preserve">   Transmission</t>
  </si>
  <si>
    <t xml:space="preserve">   Distribution</t>
  </si>
  <si>
    <t xml:space="preserve">   General</t>
  </si>
  <si>
    <t xml:space="preserve">      Total Plant in Service</t>
  </si>
  <si>
    <t>INPUTS</t>
  </si>
  <si>
    <t>ACCUMULATED AMORTIZATION</t>
  </si>
  <si>
    <t>AVISTA UTILITIES</t>
  </si>
  <si>
    <t>WA Power</t>
  </si>
  <si>
    <t>Cost Defer</t>
  </si>
  <si>
    <t>Nez Perce</t>
  </si>
  <si>
    <t xml:space="preserve">Line </t>
  </si>
  <si>
    <t>(000's of</t>
  </si>
  <si>
    <t>Capital</t>
  </si>
  <si>
    <t>Weighted</t>
  </si>
  <si>
    <t>Dollars)</t>
  </si>
  <si>
    <t>Component</t>
  </si>
  <si>
    <t>Amount</t>
  </si>
  <si>
    <t>Structure</t>
  </si>
  <si>
    <t>Cost</t>
  </si>
  <si>
    <t>L/T Debt</t>
  </si>
  <si>
    <t>Proposed Rate of Return</t>
  </si>
  <si>
    <t>Net Operating Income Requirement</t>
  </si>
  <si>
    <t>S/T Debt</t>
  </si>
  <si>
    <t>Pref Trust</t>
  </si>
  <si>
    <t>Pref Stock</t>
  </si>
  <si>
    <t>Pro Forma Net Operating Income</t>
  </si>
  <si>
    <t>Net Operating Income Deficiency</t>
  </si>
  <si>
    <t>Total</t>
  </si>
  <si>
    <t>Conversion Factor</t>
  </si>
  <si>
    <t>Revenue Requirement</t>
  </si>
  <si>
    <t>Total General Business Revenues</t>
  </si>
  <si>
    <t>Percentage Revenue Increase</t>
  </si>
  <si>
    <t>AUTHORIZED 1998 TEST YEAR</t>
  </si>
  <si>
    <t>RESULTS OF OPERATIONS</t>
  </si>
  <si>
    <t>Description of Adjustment</t>
  </si>
  <si>
    <t>ProForma</t>
  </si>
  <si>
    <t>Theoretical</t>
  </si>
  <si>
    <t>(000's)</t>
  </si>
  <si>
    <t>Adjustment Description</t>
  </si>
  <si>
    <t>Adjustments</t>
  </si>
  <si>
    <t>Restated Debt Interest</t>
  </si>
  <si>
    <t>Capitalized Interest</t>
  </si>
  <si>
    <t>Increase (Decrease) in Interest Expense</t>
  </si>
  <si>
    <t>FIT Rate</t>
  </si>
  <si>
    <t>Increase (Decrease) in FIT</t>
  </si>
  <si>
    <t>Equity AFUDC</t>
  </si>
  <si>
    <t>Borrowed AFUDC</t>
  </si>
  <si>
    <t xml:space="preserve">   Capitalized Interest</t>
  </si>
  <si>
    <t>Allocated</t>
  </si>
  <si>
    <t>Percentage</t>
  </si>
  <si>
    <t>Electric CWIP</t>
  </si>
  <si>
    <t>Gas CWIP</t>
  </si>
  <si>
    <t>WPNG CWIP</t>
  </si>
  <si>
    <t xml:space="preserve">   Total</t>
  </si>
  <si>
    <t>WA Electric CWIP</t>
  </si>
  <si>
    <t>ID Electric CWIP</t>
  </si>
  <si>
    <t>WA Gas CWIP</t>
  </si>
  <si>
    <t>ID Gas CWIP</t>
  </si>
  <si>
    <t>Washington - Electric</t>
  </si>
  <si>
    <t>Weighted Average Cost of Debt</t>
  </si>
  <si>
    <t>Idaho - Electric</t>
  </si>
  <si>
    <t>Washington - Electric System</t>
  </si>
  <si>
    <t>Revenue Conversion Factor</t>
  </si>
  <si>
    <t>Factor</t>
  </si>
  <si>
    <t>Expense:</t>
  </si>
  <si>
    <t xml:space="preserve">  Uncollectibles</t>
  </si>
  <si>
    <t xml:space="preserve">  Commission Fees</t>
  </si>
  <si>
    <t xml:space="preserve">  Washington Excise Tax</t>
  </si>
  <si>
    <t xml:space="preserve">  Franchise Fees</t>
  </si>
  <si>
    <t xml:space="preserve">    Total Expense</t>
  </si>
  <si>
    <t>Net Operating Income Before FIT</t>
  </si>
  <si>
    <t xml:space="preserve">  Federal Income Tax @ 35%</t>
  </si>
  <si>
    <t>REVENUE CONVERSION FACTOR</t>
  </si>
  <si>
    <t>Pro Forma Rate Base</t>
  </si>
  <si>
    <t>Normalization</t>
  </si>
  <si>
    <t>Restated Rate Base</t>
  </si>
  <si>
    <t xml:space="preserve">    Pro Forma Total</t>
  </si>
  <si>
    <t xml:space="preserve">AVISTA UTILITIES  </t>
  </si>
  <si>
    <t xml:space="preserve">(000'S OF DOLLARS)  </t>
  </si>
  <si>
    <t xml:space="preserve">REVENUES  </t>
  </si>
  <si>
    <t xml:space="preserve">Total General Business  </t>
  </si>
  <si>
    <t xml:space="preserve">Interdepartmental Sales  </t>
  </si>
  <si>
    <t xml:space="preserve">Sales for Resale  </t>
  </si>
  <si>
    <t xml:space="preserve">Total Sales of Electricity  </t>
  </si>
  <si>
    <t xml:space="preserve">Other Revenue  </t>
  </si>
  <si>
    <t xml:space="preserve">Total Electric Revenue  </t>
  </si>
  <si>
    <t xml:space="preserve">EXPENSES  </t>
  </si>
  <si>
    <t xml:space="preserve">Production and Transmission  </t>
  </si>
  <si>
    <t xml:space="preserve">Operating Expenses  </t>
  </si>
  <si>
    <t xml:space="preserve">Purchased Power  </t>
  </si>
  <si>
    <t xml:space="preserve">Taxes  </t>
  </si>
  <si>
    <t xml:space="preserve">Total Production &amp; Transmission  </t>
  </si>
  <si>
    <t xml:space="preserve">Distribution  </t>
  </si>
  <si>
    <t xml:space="preserve">Total Distribution  </t>
  </si>
  <si>
    <t xml:space="preserve">Customer Accounting  </t>
  </si>
  <si>
    <t xml:space="preserve">Customer Service &amp; Information  </t>
  </si>
  <si>
    <t xml:space="preserve">Sales Expenses  </t>
  </si>
  <si>
    <t xml:space="preserve">Administrative &amp; General  </t>
  </si>
  <si>
    <t xml:space="preserve">Total Admin. &amp; General  </t>
  </si>
  <si>
    <t xml:space="preserve">Total Electric Expenses  </t>
  </si>
  <si>
    <t xml:space="preserve">OPERATING INCOME BEFORE FIT  </t>
  </si>
  <si>
    <t xml:space="preserve">FEDERAL INCOME TAX  </t>
  </si>
  <si>
    <t xml:space="preserve">Deferred Income Taxes  </t>
  </si>
  <si>
    <t xml:space="preserve">NET OPERATING INCOME  </t>
  </si>
  <si>
    <t xml:space="preserve">RATE BASE  </t>
  </si>
  <si>
    <t xml:space="preserve">PLANT IN SERVICE  </t>
  </si>
  <si>
    <t xml:space="preserve">Intangible  </t>
  </si>
  <si>
    <t xml:space="preserve">Production  </t>
  </si>
  <si>
    <t xml:space="preserve">Transmission  </t>
  </si>
  <si>
    <t xml:space="preserve">General  </t>
  </si>
  <si>
    <t xml:space="preserve">Total Plant in Service  </t>
  </si>
  <si>
    <t xml:space="preserve">DEFERRED TAXES  </t>
  </si>
  <si>
    <t xml:space="preserve">TOTAL RATE BASE  </t>
  </si>
  <si>
    <t xml:space="preserve">RATE OF RETURN  </t>
  </si>
  <si>
    <t>Revenue</t>
  </si>
  <si>
    <t>Net</t>
  </si>
  <si>
    <t>Excise</t>
  </si>
  <si>
    <t>updated for 2006</t>
  </si>
  <si>
    <t>WA wtd debt</t>
  </si>
  <si>
    <t>ID wtd debt</t>
  </si>
  <si>
    <t>ID excludes STD</t>
  </si>
  <si>
    <t>Not Necessary - this calcuation should not be removed from above to determine adj. - LMA</t>
  </si>
  <si>
    <t>Below</t>
  </si>
  <si>
    <t xml:space="preserve"> Interest Per Results (E-FIT-12A)</t>
  </si>
  <si>
    <t xml:space="preserve">(Breakdown </t>
  </si>
  <si>
    <t>b/w LTD &amp; STD)</t>
  </si>
  <si>
    <t>Total Debt</t>
  </si>
  <si>
    <t>Restating</t>
  </si>
  <si>
    <t>updated for 2007 LMA</t>
  </si>
  <si>
    <t>Subsidiaries</t>
  </si>
  <si>
    <t>Misc</t>
  </si>
  <si>
    <t>Theresa</t>
  </si>
  <si>
    <t>Done</t>
  </si>
  <si>
    <t>Not Done</t>
  </si>
  <si>
    <t>Ron</t>
  </si>
  <si>
    <t>Jeanne</t>
  </si>
  <si>
    <t>Tara/Joe</t>
  </si>
  <si>
    <t>Liz</t>
  </si>
  <si>
    <t>Jen</t>
  </si>
  <si>
    <t xml:space="preserve">Karen </t>
  </si>
  <si>
    <t>(No deferrals in 2009 except Lehman Bros)</t>
  </si>
  <si>
    <t>Amortized ITC - Noxon</t>
  </si>
  <si>
    <t>Jen/Karen</t>
  </si>
  <si>
    <t xml:space="preserve">WORKING CAPITAL </t>
  </si>
  <si>
    <t>Working</t>
  </si>
  <si>
    <t>Calculation of General Revenue Requirement</t>
  </si>
  <si>
    <t>Pro Forma Cost of Capital</t>
  </si>
  <si>
    <t>Tara</t>
  </si>
  <si>
    <t xml:space="preserve">Gains / </t>
  </si>
  <si>
    <t>Losses</t>
  </si>
  <si>
    <t xml:space="preserve">Debits and </t>
  </si>
  <si>
    <t>Credits</t>
  </si>
  <si>
    <t xml:space="preserve">Results of </t>
  </si>
  <si>
    <t xml:space="preserve">Operations </t>
  </si>
  <si>
    <t>Restating adjustments</t>
  </si>
  <si>
    <t>Debt Interest</t>
  </si>
  <si>
    <t>ROO</t>
  </si>
  <si>
    <t>Proposed Cap Structure</t>
  </si>
  <si>
    <t>Settlement Cap Structure</t>
  </si>
  <si>
    <t xml:space="preserve">Annette </t>
  </si>
  <si>
    <t xml:space="preserve">Jen </t>
  </si>
  <si>
    <t>Annette</t>
  </si>
  <si>
    <t>Karen</t>
  </si>
  <si>
    <t>Karen/Jen</t>
  </si>
  <si>
    <t xml:space="preserve">Blue = Input </t>
  </si>
  <si>
    <t>Total Accumulated Depreciation</t>
  </si>
  <si>
    <t xml:space="preserve">NET PLANT </t>
  </si>
  <si>
    <t xml:space="preserve">DEFERRED DEBITS AND CREDITS </t>
  </si>
  <si>
    <t>DEFERRED DEBITS AND CREDITS</t>
  </si>
  <si>
    <t xml:space="preserve">      Total Accumulated Depreciation</t>
  </si>
  <si>
    <t>Black = Formula/Text</t>
  </si>
  <si>
    <t>Pro Forma Adjustments</t>
  </si>
  <si>
    <t>REVENUE</t>
  </si>
  <si>
    <t>SALES OF ELECTRICITY:</t>
  </si>
  <si>
    <t>Residential</t>
  </si>
  <si>
    <t>Commercial - Firm &amp; Int.</t>
  </si>
  <si>
    <t>Industrial</t>
  </si>
  <si>
    <t>Public Street &amp; Highway Lighting</t>
  </si>
  <si>
    <t>499XXX</t>
  </si>
  <si>
    <t>Unbilled Revenue</t>
  </si>
  <si>
    <t>Interdepartmental Revenue</t>
  </si>
  <si>
    <t>TOTAL SALES TO ULTIMATE CUSTOMERS</t>
  </si>
  <si>
    <t>447XXX</t>
  </si>
  <si>
    <t>TOTAL SALES OF ELECTRICITY</t>
  </si>
  <si>
    <t>OTHER OPERATING REVENUE:</t>
  </si>
  <si>
    <t>Miscellaneous Service Revenue</t>
  </si>
  <si>
    <t>Sales of Water &amp; Water Power</t>
  </si>
  <si>
    <t>Rent from Electric Property</t>
  </si>
  <si>
    <t>456XXX</t>
  </si>
  <si>
    <t>Other Electric Revenues</t>
  </si>
  <si>
    <t>TOTAL OTHER OPERATING REVENUE</t>
  </si>
  <si>
    <t>TOTAL ELECTRIC REVENUE</t>
  </si>
  <si>
    <t>EXPENSE</t>
  </si>
  <si>
    <t>STEAM POWER GENERATION EXPENSE:</t>
  </si>
  <si>
    <t xml:space="preserve">  OPERATION</t>
  </si>
  <si>
    <t>Supervision &amp; Engineering</t>
  </si>
  <si>
    <t>Fuel</t>
  </si>
  <si>
    <t>Steam Expense</t>
  </si>
  <si>
    <t>Electric Expense</t>
  </si>
  <si>
    <t>Miscellaneous Steam Power Generation Expense</t>
  </si>
  <si>
    <t>Rent</t>
  </si>
  <si>
    <t xml:space="preserve">  MAINTENANCE</t>
  </si>
  <si>
    <t>Structures</t>
  </si>
  <si>
    <t>Boiler Plant</t>
  </si>
  <si>
    <t>Electric Plant</t>
  </si>
  <si>
    <t>Miscellaneous Steam Plant</t>
  </si>
  <si>
    <t>TOTAL STEAM POWER GENERATION EXP</t>
  </si>
  <si>
    <t>HYDRAULIC POWER GENERATION EXP:</t>
  </si>
  <si>
    <t>Water for Power</t>
  </si>
  <si>
    <t>Hydraulic Expense</t>
  </si>
  <si>
    <t>Miscellaneous Hydraulic Power Generation Exp</t>
  </si>
  <si>
    <t>MT Trust Funds Land Settlement Rents</t>
  </si>
  <si>
    <t>Reservoirs, Dams, &amp; Waterways</t>
  </si>
  <si>
    <t>Miscellaneous Hydraulic Plant</t>
  </si>
  <si>
    <t>TOTAL HYDRO POWER GENERATION EXP</t>
  </si>
  <si>
    <t>OTHER POWER GENERATION EXPENSE:</t>
  </si>
  <si>
    <t>Generation Expense</t>
  </si>
  <si>
    <t>Miscellaneous Other Power Generation Expense</t>
  </si>
  <si>
    <t>Generating &amp; Electric Equipment</t>
  </si>
  <si>
    <t>Miscellaneous Other Power Generation Plant</t>
  </si>
  <si>
    <t>TOTAL OTHER POWER GENERATION EXP</t>
  </si>
  <si>
    <t>OTHER POWER SUPPLY EXPENSE:</t>
  </si>
  <si>
    <t>555XXX</t>
  </si>
  <si>
    <t>System Control &amp; Load Dispatching</t>
  </si>
  <si>
    <t>557XXX</t>
  </si>
  <si>
    <t>Other Expense</t>
  </si>
  <si>
    <t>TOTAL OTHER POWER SUPPLY EXPENSE</t>
  </si>
  <si>
    <t>TOTAL PRODUCTION OPERATING EXP</t>
  </si>
  <si>
    <t>TRANSMISSION OPERATING EXPENSE:</t>
  </si>
  <si>
    <t>Load Dispatching</t>
  </si>
  <si>
    <t>Station Expense</t>
  </si>
  <si>
    <t>Overhead Line Expense</t>
  </si>
  <si>
    <t>Transmission of Electricity by Others</t>
  </si>
  <si>
    <t>Miscellaneous Transmission Expense</t>
  </si>
  <si>
    <t>Station Equipment</t>
  </si>
  <si>
    <t>Overhead Lines</t>
  </si>
  <si>
    <t>Underground Lines</t>
  </si>
  <si>
    <t>Service Miscellaneous</t>
  </si>
  <si>
    <t>TOTAL TRANSMISSION OPERATING EXP</t>
  </si>
  <si>
    <t>Depreciation Expense-Production</t>
  </si>
  <si>
    <t>Depreciation Expense-Transmission</t>
  </si>
  <si>
    <t>Amortization Expense-Franchises/Misc Intangibles</t>
  </si>
  <si>
    <t>Amortization of Investment in WNP3 Exch Power</t>
  </si>
  <si>
    <t>Amort of Acq Adj--Colstrip Common AFUDC</t>
  </si>
  <si>
    <t>Amortization of Lancaster Generation</t>
  </si>
  <si>
    <t>Amortization of Spokane River Relicense</t>
  </si>
  <si>
    <t>Amortization of CDA CDR Fund</t>
  </si>
  <si>
    <t>Amortization of CDA IPA Interest Expense</t>
  </si>
  <si>
    <t>Amortization of ID DSIT</t>
  </si>
  <si>
    <t>Amortization of CNC Transmission</t>
  </si>
  <si>
    <t>Amortization of Wartsila Generators</t>
  </si>
  <si>
    <t>Amortization of CDA Settlement - Allocated</t>
  </si>
  <si>
    <t>Amortization of CDA Settlement - Direct</t>
  </si>
  <si>
    <t>Optional Renewable Power Revenue Offset</t>
  </si>
  <si>
    <t>Amortization of CCX Credits</t>
  </si>
  <si>
    <t>Amortization of Dissallowed K.F. Plant</t>
  </si>
  <si>
    <t>Amortization of Boulder Park Write Off - Idaho</t>
  </si>
  <si>
    <t>Amortization of CS2 Levelized Return</t>
  </si>
  <si>
    <t>407450/407499</t>
  </si>
  <si>
    <t>Amortization of BPA Residential Exchange Credit</t>
  </si>
  <si>
    <t>Amortization of Deferred CS2 &amp; COLSTRIP O&amp;M</t>
  </si>
  <si>
    <t>Amortization of LiDAR O&amp;M Deferral</t>
  </si>
  <si>
    <t>Amortization of CDA Settlement</t>
  </si>
  <si>
    <t>Taxes Other Than FIT--Prod &amp; Trans</t>
  </si>
  <si>
    <t>TOTAL P/T DEPR/AMRT/NON-FIT TAXES</t>
  </si>
  <si>
    <t>TOTAL PRODUCTION &amp; TRANSMISSION EXPENSE</t>
  </si>
  <si>
    <t>DISTRIBUTION EXPENSES:</t>
  </si>
  <si>
    <t>OPERATION:</t>
  </si>
  <si>
    <t>Underground Line Expense</t>
  </si>
  <si>
    <t>Street Light &amp; Signal System Operation Expense</t>
  </si>
  <si>
    <t>Meter Expense</t>
  </si>
  <si>
    <t>Customer Installations Expense</t>
  </si>
  <si>
    <t>Miscellaneous Distribution Expense</t>
  </si>
  <si>
    <t>MAINTENANCE:</t>
  </si>
  <si>
    <t>Line Transformers</t>
  </si>
  <si>
    <t>Street Light &amp; Signal System Maintenance Exp</t>
  </si>
  <si>
    <t>Meters</t>
  </si>
  <si>
    <t>TOTAL DISTRIBUTION OPERATING EXP</t>
  </si>
  <si>
    <t>Depreciation Expense-Distribution</t>
  </si>
  <si>
    <t>Taxes Other Than FIT--Distribution</t>
  </si>
  <si>
    <t>TOTAL DISTR DEPR/AMRT/NON-FIT TAXES</t>
  </si>
  <si>
    <t>TOTAL DISTRIBUTION EXPENSES</t>
  </si>
  <si>
    <t>CUSTOMER ACCOUNTS EXPENSES:</t>
  </si>
  <si>
    <t>Supervision</t>
  </si>
  <si>
    <t>Meter Reading Expenses</t>
  </si>
  <si>
    <t>903XXX</t>
  </si>
  <si>
    <t>Customer Records &amp; Collection Expenses</t>
  </si>
  <si>
    <t>Uncollectible Accounts</t>
  </si>
  <si>
    <t>Misc Customer Accounts</t>
  </si>
  <si>
    <t>TOTAL CUSTOMER ACCOUNTS EXPENSES</t>
  </si>
  <si>
    <t>CUSTOMER SERVICE &amp; INFO EXPENSES:</t>
  </si>
  <si>
    <t>908XXX</t>
  </si>
  <si>
    <t>Customer Assistance Expenses</t>
  </si>
  <si>
    <t>Advertising</t>
  </si>
  <si>
    <t>Misc Customer Service &amp; Info Exp</t>
  </si>
  <si>
    <t>TOTAL CUSTOMER SERVICE &amp; INFO EXP</t>
  </si>
  <si>
    <t>SALES EXPENSES:</t>
  </si>
  <si>
    <t>Demonstrating &amp; Selling Expenses</t>
  </si>
  <si>
    <t>Miscellaneous Sales Expenses</t>
  </si>
  <si>
    <t>TOTAL SALES EXPENSES</t>
  </si>
  <si>
    <t>ADMINISTRATIVE &amp; GENERAL EXPENSES:</t>
  </si>
  <si>
    <t>Salaries</t>
  </si>
  <si>
    <t>Office Supplies &amp; Expenses</t>
  </si>
  <si>
    <t>Admin Exp Transferred--Credit</t>
  </si>
  <si>
    <t>Outside Services Employed</t>
  </si>
  <si>
    <t>Property Insurance Premium</t>
  </si>
  <si>
    <t>925XXX</t>
  </si>
  <si>
    <t>Injuries and Damages</t>
  </si>
  <si>
    <t>926XXX</t>
  </si>
  <si>
    <t>Employee Pensions and Benefits</t>
  </si>
  <si>
    <t>Franchise Requirements</t>
  </si>
  <si>
    <t>Regulatory Commission Expenses</t>
  </si>
  <si>
    <t>Miscellaneous General Expenses</t>
  </si>
  <si>
    <t>Rents</t>
  </si>
  <si>
    <t>Maintenance of General Plant</t>
  </si>
  <si>
    <t>TOTAL ADMIN &amp; GEN OPERATING EXP</t>
  </si>
  <si>
    <t>Depreciation Expense-General</t>
  </si>
  <si>
    <t>Amortization Expense-General Plant - 303000</t>
  </si>
  <si>
    <t>Amortization Expense-Miscellaneous IT Intangible</t>
  </si>
  <si>
    <t>Amortization Expense-General Plant - 390200, 396200</t>
  </si>
  <si>
    <t>TOTAL A&amp;G DEPR/AMRT/NON-FIT TAXES</t>
  </si>
  <si>
    <t>TOTAL ADMIN &amp; GENERAL EXPENSES</t>
  </si>
  <si>
    <t>TOTAL EXPENSES BEFORE FIT</t>
  </si>
  <si>
    <t>NET OPERATING INCOME BEFORE FIT</t>
  </si>
  <si>
    <t>FEDERAL INCOME TAX--Normal Accrual</t>
  </si>
  <si>
    <t>DEFERRED FEDERAL INCOME TAX</t>
  </si>
  <si>
    <t>AMORTIZED ITC - NOXON</t>
  </si>
  <si>
    <t>ELECTRIC NET OPERATING INCOME</t>
  </si>
  <si>
    <t>INTANGIBLE PLANT:</t>
  </si>
  <si>
    <t>182324/182325</t>
  </si>
  <si>
    <t>CDA Lake CDR/IPA Fund</t>
  </si>
  <si>
    <t>CDA Settlement</t>
  </si>
  <si>
    <t>Franchises &amp; Consents</t>
  </si>
  <si>
    <t>Misc Intangible Plt- (303000)</t>
  </si>
  <si>
    <t>Misc Intangible Plt-Mainframe Software (303100)</t>
  </si>
  <si>
    <t>Misc Intangible Plant-PC Software (303110)</t>
  </si>
  <si>
    <t xml:space="preserve">  TOTAL INTANGIBLE PLANT</t>
  </si>
  <si>
    <t>STEAM PRODUCTION PLANT:</t>
  </si>
  <si>
    <t>310XXX</t>
  </si>
  <si>
    <t>Land &amp; Land Rights</t>
  </si>
  <si>
    <t>311XXX</t>
  </si>
  <si>
    <t>Structures &amp; Improvements</t>
  </si>
  <si>
    <t>Generators</t>
  </si>
  <si>
    <t>Turbogenerator Units</t>
  </si>
  <si>
    <t>Accessory Electric Equipment</t>
  </si>
  <si>
    <t>Miscellaneous Power Plant Equipment</t>
  </si>
  <si>
    <t>TOTAL STEAM PRODUCTION PLANT</t>
  </si>
  <si>
    <t>HYDRAULIC PRODUCTION PLANT:</t>
  </si>
  <si>
    <t>330XXX</t>
  </si>
  <si>
    <t>331XXX</t>
  </si>
  <si>
    <t>332XXX</t>
  </si>
  <si>
    <t>Waterwheels, Turbines, &amp; Generators</t>
  </si>
  <si>
    <t>335XXX</t>
  </si>
  <si>
    <t>Roads, Railroads, &amp; Bridges</t>
  </si>
  <si>
    <t>TOTAL HYDRAULIC PRODUCTION PLANT</t>
  </si>
  <si>
    <t>OTHER PRODUCTION PLANT:</t>
  </si>
  <si>
    <t>Fuel Holders, Producers, &amp; Accessories</t>
  </si>
  <si>
    <t>Prime Movers</t>
  </si>
  <si>
    <t>TOTAL OTHER PRODUCTION PLANT</t>
  </si>
  <si>
    <t>TOTAL PRODUCTION PLANT</t>
  </si>
  <si>
    <t>TRANSMISSION PLANT:</t>
  </si>
  <si>
    <t>350XXX</t>
  </si>
  <si>
    <t>352XXX</t>
  </si>
  <si>
    <t>Towers &amp; Fixtures</t>
  </si>
  <si>
    <t>Poles &amp; Fixtures</t>
  </si>
  <si>
    <t>Overhead Conductors &amp; Devices</t>
  </si>
  <si>
    <t>Underground Conduit</t>
  </si>
  <si>
    <t>Underground Conductors &amp; Devices</t>
  </si>
  <si>
    <t>Roads &amp; Trails</t>
  </si>
  <si>
    <t>TOTAL TRANSMISSION PLANT</t>
  </si>
  <si>
    <t>DISTRIBUTION PLANT:</t>
  </si>
  <si>
    <t>Land Easements</t>
  </si>
  <si>
    <t>Poles, Towers, &amp; Fixtures</t>
  </si>
  <si>
    <t>369XXX</t>
  </si>
  <si>
    <t>Services</t>
  </si>
  <si>
    <t>373XXX</t>
  </si>
  <si>
    <t>Street Light &amp; Signal Systems</t>
  </si>
  <si>
    <t>TOTAL DISTRIBUTION PLANT</t>
  </si>
  <si>
    <t>GENERAL PLANT: (From Report C-GPL)</t>
  </si>
  <si>
    <t>389XXX</t>
  </si>
  <si>
    <t>390XXX</t>
  </si>
  <si>
    <t>391XXX</t>
  </si>
  <si>
    <t>Office Furniture &amp; Equipment</t>
  </si>
  <si>
    <t>392XXX</t>
  </si>
  <si>
    <t>Transportation Equipment</t>
  </si>
  <si>
    <t>Stores Equipment</t>
  </si>
  <si>
    <t>Tools, Shop &amp; Garage Equipment</t>
  </si>
  <si>
    <t>Laboratory Equipment</t>
  </si>
  <si>
    <t>396XXX</t>
  </si>
  <si>
    <t>Power Operated Equipment</t>
  </si>
  <si>
    <t>397XXX</t>
  </si>
  <si>
    <t>Communications Equipment</t>
  </si>
  <si>
    <t>Miscellaneous Equipment</t>
  </si>
  <si>
    <t>TOTAL GENERAL PLANT</t>
  </si>
  <si>
    <t>TOTAL PLANT IN SERVICE</t>
  </si>
  <si>
    <t>Steam Production Plant</t>
  </si>
  <si>
    <t>Hydro Production Plant</t>
  </si>
  <si>
    <t>Other Production Plant</t>
  </si>
  <si>
    <t>Transmission Plant</t>
  </si>
  <si>
    <t>Distribution Plant</t>
  </si>
  <si>
    <t>General Plant</t>
  </si>
  <si>
    <t xml:space="preserve">  TOTAL ACCUMULATED DEPRECIATION</t>
  </si>
  <si>
    <t>Production/Transmission-Franchises/Misc Intangibles</t>
  </si>
  <si>
    <t>Distribution-Franchises/Misc Intangibles</t>
  </si>
  <si>
    <t>General Plant - 303000</t>
  </si>
  <si>
    <t>Miscellaneous IT Intangible Plant -3031XX</t>
  </si>
  <si>
    <t>General Plant - 390200, 396200</t>
  </si>
  <si>
    <t xml:space="preserve">  TOTAL ACCUMULATED AMORTIZATION</t>
  </si>
  <si>
    <t>TOTAL ACCUMULATED DEPR/AMORT</t>
  </si>
  <si>
    <t>NET ELECTRIC UTILITY PLANT before DFIT</t>
  </si>
  <si>
    <t>ACCUMULATED DFIT</t>
  </si>
  <si>
    <t>ADFIT - FAS 109 Electric Plant (182310, 283170)</t>
  </si>
  <si>
    <t>ADFIT - Colstrip PCB  (283200)</t>
  </si>
  <si>
    <t>ADFIT - Electric Plant In Service  (282900)</t>
  </si>
  <si>
    <t>ADFIT - Common Plant (282900 from C-DTX)</t>
  </si>
  <si>
    <t>ADFIT - Lake CDA CDR Fund - Allocated (283324)</t>
  </si>
  <si>
    <t>ADFIT - CDA IPA Fund Deposit (283325)</t>
  </si>
  <si>
    <t>ADFIT - CDA Lake Settlement - Allocated (283382)</t>
  </si>
  <si>
    <t>ADFIT - Electric portion of Bond Redemptions (283850)</t>
  </si>
  <si>
    <t xml:space="preserve">  TOTAL ACCUMULATED DFIT</t>
  </si>
  <si>
    <t>NET ELECTRIC UTILITY PLANT</t>
  </si>
  <si>
    <t>OTHER ADJUSTMENTS</t>
  </si>
  <si>
    <t>Gain on Sale of General Office Bldg  (253850)</t>
  </si>
  <si>
    <t>ADFIT - Gain on Sale of General Office Bldg  (190850)</t>
  </si>
  <si>
    <t>Colstrip 3 AFUDC Reallocation</t>
  </si>
  <si>
    <t>Colstrip Common AFUDC  (186100)</t>
  </si>
  <si>
    <t>Colstrip Disallowed AFUDC  (111100)</t>
  </si>
  <si>
    <t>Kettle Falls Disallowed Plant  (101003)</t>
  </si>
  <si>
    <t>Kettle Falls Disallowed Accumulated Depr  (108030)</t>
  </si>
  <si>
    <t>ADFIT - Kettle Falls Disallowed (190420)</t>
  </si>
  <si>
    <t>Boulder Park Disallowed Plant (101050)</t>
  </si>
  <si>
    <t>Boulder Park Disallowed Accumulated Depr (108050)</t>
  </si>
  <si>
    <t>ADFIT - Boulder Park Disallowed (190040)</t>
  </si>
  <si>
    <t>Investment in WNP3 Exchange Power  (124900, 124930)</t>
  </si>
  <si>
    <t>ADFIT - WNP3 Exchange Power (283120)</t>
  </si>
  <si>
    <t>CDA Lake Settlement - WA (182382)</t>
  </si>
  <si>
    <t>CDA Lake Settlement - ID (186382)</t>
  </si>
  <si>
    <t>ADFIT - CDA Lake Settlement - Direct (283382)</t>
  </si>
  <si>
    <t>CDA CDR Fund (182324)</t>
  </si>
  <si>
    <t>ADFIT - CDA CDR Fund - Direct (283324)</t>
  </si>
  <si>
    <t>Spokane River Relicensing (182322)</t>
  </si>
  <si>
    <t>ADFIT - Spokane River Relicensing (283322)</t>
  </si>
  <si>
    <t>Spokane River PM&amp;Es (182323)</t>
  </si>
  <si>
    <t>ADFIT - Spokane River PM&amp;Es (283323)</t>
  </si>
  <si>
    <t>Montana Riverbed Settlement (186360)</t>
  </si>
  <si>
    <t>ADFIT - Montana Riverbed Settlement (283365)</t>
  </si>
  <si>
    <t>Lancaster Generation (182312)</t>
  </si>
  <si>
    <t>ADFIT - Lancaster Generation (283312)</t>
  </si>
  <si>
    <t>Weatherization Loans - Sandpoint (124350)</t>
  </si>
  <si>
    <t>Customer Advances (252000)</t>
  </si>
  <si>
    <t>Customer Deposits (235199)</t>
  </si>
  <si>
    <t>C-WKC</t>
  </si>
  <si>
    <t>Working Capital</t>
  </si>
  <si>
    <t>DSM Programs (186710)</t>
  </si>
  <si>
    <t>TOTAL OTHER ADJUSTMENTS</t>
  </si>
  <si>
    <t>NET RATE BASE</t>
  </si>
  <si>
    <t>Regulatory Amortization</t>
  </si>
  <si>
    <t xml:space="preserve">   Regulatory Amortization</t>
  </si>
  <si>
    <t xml:space="preserve">   Depreciation/Amortization</t>
  </si>
  <si>
    <t>Depreciation/Amortization</t>
  </si>
  <si>
    <t xml:space="preserve">Depreciation/Amortization  </t>
  </si>
  <si>
    <t>ACCUMULATED DEPRECIATION/AMORTIZATION</t>
  </si>
  <si>
    <t>DFIT</t>
  </si>
  <si>
    <t>NET PLANT AFTER DFIT</t>
  </si>
  <si>
    <t>NET PLANT BEFORE DFIT</t>
  </si>
  <si>
    <t>ACCUMULATED DEPRECIATION/AMORT</t>
  </si>
  <si>
    <t>Net Plant After DFIT</t>
  </si>
  <si>
    <t>TWELVE MONTHS ENDED DECEMBER 31, 2011</t>
  </si>
  <si>
    <t xml:space="preserve">    Debt Interest</t>
  </si>
  <si>
    <t>Interest Per Results (E-FIT-12A)</t>
  </si>
  <si>
    <t>Restate Debt Interest</t>
  </si>
  <si>
    <t xml:space="preserve">WASHINGTON ELECTRIC RESULTS  </t>
  </si>
  <si>
    <t>WP Ref</t>
  </si>
  <si>
    <t>OSC</t>
  </si>
  <si>
    <t xml:space="preserve">Adjustment Number </t>
  </si>
  <si>
    <t>Workpaper Reference</t>
  </si>
  <si>
    <t>E-ROO</t>
  </si>
  <si>
    <t>E-DFIT</t>
  </si>
  <si>
    <t>E-DDC</t>
  </si>
  <si>
    <t xml:space="preserve">E-WC </t>
  </si>
  <si>
    <t>E-EBO</t>
  </si>
  <si>
    <t>E-PT</t>
  </si>
  <si>
    <t>E-UE</t>
  </si>
  <si>
    <t>E-RE</t>
  </si>
  <si>
    <t>E-ID</t>
  </si>
  <si>
    <t xml:space="preserve">E-FIT </t>
  </si>
  <si>
    <t>E-EWPC</t>
  </si>
  <si>
    <t>E-NPS</t>
  </si>
  <si>
    <t>E-EAR</t>
  </si>
  <si>
    <t>E-RET</t>
  </si>
  <si>
    <t>E-NGL</t>
  </si>
  <si>
    <t>E-RN</t>
  </si>
  <si>
    <t>E-MR</t>
  </si>
  <si>
    <t>E-RDI</t>
  </si>
  <si>
    <t>E-PPS</t>
  </si>
  <si>
    <t xml:space="preserve">Current Accrual </t>
  </si>
  <si>
    <t>Normalizing</t>
  </si>
  <si>
    <t>Reviewed</t>
  </si>
  <si>
    <t>Actual AMA 12/31/2011 Cost of Capital</t>
  </si>
  <si>
    <t>12/31/2011 AMA weighted cost of debt:</t>
  </si>
  <si>
    <t>Adjustment 2.16</t>
  </si>
  <si>
    <t>Total Restate Debt</t>
  </si>
  <si>
    <t>PCB</t>
  </si>
  <si>
    <t>E-PCB</t>
  </si>
  <si>
    <t>Transformer</t>
  </si>
  <si>
    <t>JSS - 02/22/2011</t>
  </si>
  <si>
    <t>Washington System</t>
  </si>
  <si>
    <t>Tentative</t>
  </si>
  <si>
    <t>Yes</t>
  </si>
  <si>
    <t xml:space="preserve">Liz </t>
  </si>
  <si>
    <t xml:space="preserve">FIT / </t>
  </si>
  <si>
    <t>(000's OF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</si>
</sst>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numFmt numFmtId="167" formatCode="_(&quot;$&quot;#,###_);_(&quot;$&quot;\ \(#,###\);_(* _);_(@_)"/>
    <numFmt numFmtId="168" formatCode="0.000000"/>
    <numFmt numFmtId="169" formatCode="0.000%"/>
    <numFmt numFmtId="170" formatCode="_(* #,##0_);_(* \(#,##0\);_(* &quot;-&quot;??_);_(@_)"/>
    <numFmt numFmtId="171" formatCode="&quot;x &quot;0.00"/>
    <numFmt numFmtId="172" formatCode="&quot;x &quot;0.000"/>
    <numFmt numFmtId="174" formatCode="0.00000"/>
    <numFmt numFmtId="175" formatCode="#,###.0_);\(#,###.0\)"/>
    <numFmt numFmtId="176" formatCode="0000.00"/>
    <numFmt numFmtId="177" formatCode="0000"/>
    <numFmt numFmtId="178" formatCode="_(* #,##0.000000_);_(* \(#,##0.000000\);_(* &quot;-&quot;_);_(@_)"/>
  </numFmts>
  <fonts count="52">
    <font>
      <sz val="10"/>
      <name val="Arial"/>
    </font>
    <font>
      <sz val="10"/>
      <name val="Arial"/>
      <family val="2"/>
    </font>
    <font>
      <sz val="10"/>
      <name val="Geneva"/>
      <family val="2"/>
    </font>
    <font>
      <sz val="9"/>
      <name val="Times New Roman"/>
      <family val="1"/>
    </font>
    <font>
      <b/>
      <sz val="9"/>
      <name val="Times New Roman"/>
      <family val="1"/>
    </font>
    <font>
      <u/>
      <sz val="9"/>
      <name val="Times New Roman"/>
      <family val="1"/>
    </font>
    <font>
      <sz val="10"/>
      <name val="Courier"/>
      <family val="3"/>
    </font>
    <font>
      <sz val="10"/>
      <name val="Times New Roman"/>
      <family val="1"/>
    </font>
    <font>
      <b/>
      <sz val="10"/>
      <name val="Times New Roman"/>
      <family val="1"/>
    </font>
    <font>
      <u/>
      <sz val="10"/>
      <name val="Times New Roman"/>
      <family val="1"/>
    </font>
    <font>
      <sz val="9"/>
      <name val="Courier New"/>
      <family val="3"/>
    </font>
    <font>
      <b/>
      <sz val="9"/>
      <color indexed="20"/>
      <name val="Times New Roman"/>
      <family val="1"/>
    </font>
    <font>
      <sz val="9"/>
      <color indexed="20"/>
      <name val="Times New Roman"/>
      <family val="1"/>
    </font>
    <font>
      <i/>
      <sz val="10"/>
      <name val="Times New Roman"/>
      <family val="1"/>
    </font>
    <font>
      <b/>
      <sz val="10"/>
      <color indexed="12"/>
      <name val="Times New Roman"/>
      <family val="1"/>
    </font>
    <font>
      <sz val="10"/>
      <color indexed="57"/>
      <name val="Times New Roman"/>
      <family val="1"/>
    </font>
    <font>
      <sz val="10"/>
      <color indexed="12"/>
      <name val="Times New Roman"/>
      <family val="1"/>
    </font>
    <font>
      <b/>
      <sz val="9"/>
      <name val="Courier New"/>
      <family val="3"/>
    </font>
    <font>
      <sz val="10"/>
      <color indexed="21"/>
      <name val="Times New Roman"/>
      <family val="1"/>
    </font>
    <font>
      <sz val="10"/>
      <color indexed="10"/>
      <name val="Times New Roman"/>
      <family val="1"/>
    </font>
    <font>
      <b/>
      <u/>
      <sz val="10"/>
      <name val="Times New Roman"/>
      <family val="1"/>
    </font>
    <font>
      <b/>
      <i/>
      <sz val="10"/>
      <name val="Times New Roman"/>
      <family val="1"/>
    </font>
    <font>
      <sz val="10"/>
      <color indexed="48"/>
      <name val="Times New Roman"/>
      <family val="1"/>
    </font>
    <font>
      <sz val="10"/>
      <color indexed="17"/>
      <name val="Times New Roman"/>
      <family val="1"/>
    </font>
    <font>
      <sz val="8"/>
      <color indexed="81"/>
      <name val="Tahoma"/>
      <family val="2"/>
    </font>
    <font>
      <b/>
      <sz val="8"/>
      <color indexed="81"/>
      <name val="Tahoma"/>
      <family val="2"/>
    </font>
    <font>
      <b/>
      <sz val="8"/>
      <color indexed="10"/>
      <name val="Times New Roman"/>
      <family val="1"/>
    </font>
    <font>
      <b/>
      <sz val="10"/>
      <color indexed="10"/>
      <name val="Times New Roman"/>
      <family val="1"/>
    </font>
    <font>
      <u/>
      <sz val="10"/>
      <color indexed="12"/>
      <name val="Times New Roman"/>
      <family val="1"/>
    </font>
    <font>
      <sz val="12"/>
      <name val="Times New Roman"/>
      <family val="1"/>
    </font>
    <font>
      <b/>
      <sz val="10"/>
      <color indexed="81"/>
      <name val="Tahoma"/>
      <family val="2"/>
    </font>
    <font>
      <u/>
      <sz val="10"/>
      <color indexed="10"/>
      <name val="Times New Roman"/>
      <family val="1"/>
    </font>
    <font>
      <sz val="10"/>
      <color indexed="10"/>
      <name val="Times New Roman"/>
      <family val="1"/>
    </font>
    <font>
      <i/>
      <sz val="10"/>
      <color indexed="10"/>
      <name val="Times New Roman"/>
      <family val="1"/>
    </font>
    <font>
      <u/>
      <sz val="7.5"/>
      <color theme="0"/>
      <name val="Arial"/>
      <family val="2"/>
    </font>
    <font>
      <sz val="10"/>
      <color rgb="FFFF0000"/>
      <name val="Times New Roman"/>
      <family val="1"/>
    </font>
    <font>
      <sz val="10"/>
      <color rgb="FF002060"/>
      <name val="Times New Roman"/>
      <family val="1"/>
    </font>
    <font>
      <u/>
      <sz val="10"/>
      <color rgb="FFFF0000"/>
      <name val="Times New Roman"/>
      <family val="1"/>
    </font>
    <font>
      <b/>
      <sz val="9"/>
      <color rgb="FFC00000"/>
      <name val="Times New Roman"/>
      <family val="1"/>
    </font>
    <font>
      <sz val="9"/>
      <color theme="1"/>
      <name val="Times New Roman"/>
      <family val="1"/>
    </font>
    <font>
      <b/>
      <sz val="9"/>
      <color theme="1"/>
      <name val="Times New Roman"/>
      <family val="1"/>
    </font>
    <font>
      <sz val="12"/>
      <color indexed="10"/>
      <name val="Times New Roman"/>
      <family val="1"/>
    </font>
    <font>
      <b/>
      <sz val="9"/>
      <color rgb="FF0033CC"/>
      <name val="Times New Roman"/>
      <family val="1"/>
    </font>
    <font>
      <sz val="9"/>
      <color rgb="FF0033CC"/>
      <name val="Times New Roman"/>
      <family val="1"/>
    </font>
    <font>
      <u/>
      <sz val="10"/>
      <color rgb="FF0033CC"/>
      <name val="Times New Roman"/>
      <family val="1"/>
    </font>
    <font>
      <sz val="11"/>
      <name val="Tms Rmn"/>
    </font>
    <font>
      <sz val="9"/>
      <color indexed="81"/>
      <name val="Tahoma"/>
      <family val="2"/>
    </font>
    <font>
      <b/>
      <sz val="9"/>
      <color theme="3" tint="0.39997558519241921"/>
      <name val="Times New Roman"/>
      <family val="1"/>
    </font>
    <font>
      <sz val="8"/>
      <name val="Times New Roman"/>
      <family val="1"/>
    </font>
    <font>
      <b/>
      <sz val="9"/>
      <color theme="0"/>
      <name val="Times New Roman"/>
      <family val="1"/>
    </font>
    <font>
      <sz val="8"/>
      <color indexed="81"/>
      <name val="Tahoma"/>
      <charset val="1"/>
    </font>
    <font>
      <b/>
      <sz val="8"/>
      <color indexed="81"/>
      <name val="Tahoma"/>
      <charset val="1"/>
    </font>
  </fonts>
  <fills count="8">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4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0" fontId="29" fillId="0" borderId="0"/>
    <xf numFmtId="0" fontId="41" fillId="4" borderId="0"/>
  </cellStyleXfs>
  <cellXfs count="522">
    <xf numFmtId="0" fontId="0" fillId="0" borderId="0" xfId="0"/>
    <xf numFmtId="0" fontId="3" fillId="0" borderId="0" xfId="12" applyNumberFormat="1" applyFont="1" applyAlignment="1">
      <alignment horizontal="left"/>
    </xf>
    <xf numFmtId="0" fontId="3" fillId="0" borderId="0" xfId="12" applyFont="1"/>
    <xf numFmtId="0" fontId="3" fillId="0" borderId="0" xfId="12" applyNumberFormat="1" applyFont="1" applyAlignment="1">
      <alignment horizontal="center"/>
    </xf>
    <xf numFmtId="3" fontId="4" fillId="0" borderId="0" xfId="12" applyNumberFormat="1" applyFont="1" applyBorder="1" applyAlignment="1">
      <alignment horizontal="center"/>
    </xf>
    <xf numFmtId="0" fontId="4" fillId="0" borderId="0" xfId="12" applyNumberFormat="1" applyFont="1" applyAlignment="1">
      <alignment horizontal="center"/>
    </xf>
    <xf numFmtId="0" fontId="4" fillId="0" borderId="0" xfId="12" applyFont="1" applyAlignment="1">
      <alignment horizontal="center"/>
    </xf>
    <xf numFmtId="3" fontId="4" fillId="0" borderId="0" xfId="12" applyNumberFormat="1" applyFont="1" applyFill="1" applyBorder="1" applyAlignment="1">
      <alignment horizontal="center"/>
    </xf>
    <xf numFmtId="0" fontId="4" fillId="0" borderId="1" xfId="12" applyNumberFormat="1" applyFont="1" applyBorder="1" applyAlignment="1">
      <alignment horizontal="center"/>
    </xf>
    <xf numFmtId="0" fontId="4" fillId="0" borderId="2" xfId="12" applyFont="1" applyBorder="1" applyAlignment="1">
      <alignment horizontal="center"/>
    </xf>
    <xf numFmtId="0" fontId="4" fillId="0" borderId="3" xfId="12" applyFont="1" applyBorder="1" applyAlignment="1">
      <alignment horizontal="center"/>
    </xf>
    <xf numFmtId="0" fontId="4" fillId="0" borderId="5" xfId="12" applyNumberFormat="1" applyFont="1" applyBorder="1" applyAlignment="1">
      <alignment horizontal="center"/>
    </xf>
    <xf numFmtId="0" fontId="4" fillId="0" borderId="6" xfId="12" applyFont="1" applyBorder="1" applyAlignment="1">
      <alignment horizontal="center"/>
    </xf>
    <xf numFmtId="0" fontId="4" fillId="0" borderId="0" xfId="12" applyFont="1" applyBorder="1" applyAlignment="1">
      <alignment horizontal="center"/>
    </xf>
    <xf numFmtId="0" fontId="4" fillId="0" borderId="8" xfId="12" applyNumberFormat="1" applyFont="1" applyBorder="1" applyAlignment="1">
      <alignment horizontal="center"/>
    </xf>
    <xf numFmtId="0" fontId="4" fillId="0" borderId="9" xfId="12" applyFont="1" applyBorder="1" applyAlignment="1">
      <alignment horizontal="center"/>
    </xf>
    <xf numFmtId="0" fontId="4" fillId="0" borderId="10" xfId="12" applyFont="1" applyBorder="1" applyAlignment="1">
      <alignment horizontal="center"/>
    </xf>
    <xf numFmtId="37" fontId="3" fillId="0" borderId="0" xfId="12" applyNumberFormat="1" applyFont="1" applyAlignment="1">
      <alignment horizontal="center"/>
    </xf>
    <xf numFmtId="5" fontId="3" fillId="0" borderId="0" xfId="12" applyNumberFormat="1" applyFont="1"/>
    <xf numFmtId="37" fontId="3" fillId="0" borderId="0" xfId="12" applyNumberFormat="1" applyFont="1"/>
    <xf numFmtId="167" fontId="3" fillId="0" borderId="0" xfId="10" applyNumberFormat="1" applyFont="1" applyFill="1" applyBorder="1"/>
    <xf numFmtId="3" fontId="3" fillId="0" borderId="0" xfId="9" applyNumberFormat="1" applyFont="1" applyAlignment="1">
      <alignment horizontal="center"/>
    </xf>
    <xf numFmtId="1" fontId="3" fillId="0" borderId="0" xfId="9" applyNumberFormat="1" applyFont="1" applyAlignment="1">
      <alignment horizontal="center"/>
    </xf>
    <xf numFmtId="0" fontId="7" fillId="0" borderId="0" xfId="0" applyFont="1"/>
    <xf numFmtId="0" fontId="8" fillId="0" borderId="0" xfId="0" applyFont="1" applyAlignment="1">
      <alignment horizontal="center"/>
    </xf>
    <xf numFmtId="0" fontId="7" fillId="0" borderId="0" xfId="0" applyFont="1" applyBorder="1"/>
    <xf numFmtId="0" fontId="8" fillId="0" borderId="0" xfId="0" applyFont="1" applyBorder="1" applyAlignment="1">
      <alignment horizontal="center"/>
    </xf>
    <xf numFmtId="0" fontId="7" fillId="0" borderId="0" xfId="0" applyFont="1" applyAlignment="1">
      <alignment horizontal="center"/>
    </xf>
    <xf numFmtId="0" fontId="7" fillId="0" borderId="10" xfId="0" applyFont="1" applyBorder="1" applyAlignment="1">
      <alignment horizontal="center"/>
    </xf>
    <xf numFmtId="5" fontId="7" fillId="0" borderId="0" xfId="0" applyNumberFormat="1" applyFont="1" applyBorder="1"/>
    <xf numFmtId="3" fontId="7" fillId="0" borderId="0" xfId="0" applyNumberFormat="1" applyFont="1"/>
    <xf numFmtId="5" fontId="7" fillId="0" borderId="0" xfId="0" applyNumberFormat="1" applyFont="1"/>
    <xf numFmtId="0" fontId="7" fillId="0" borderId="0" xfId="0" applyFont="1" applyFill="1" applyAlignment="1">
      <alignment horizontal="center"/>
    </xf>
    <xf numFmtId="0" fontId="9" fillId="0" borderId="0" xfId="0" applyFont="1" applyAlignment="1">
      <alignment horizontal="center"/>
    </xf>
    <xf numFmtId="0" fontId="15" fillId="0" borderId="0" xfId="0" applyFont="1"/>
    <xf numFmtId="0" fontId="16" fillId="0" borderId="0" xfId="0" applyFont="1"/>
    <xf numFmtId="0" fontId="17" fillId="0" borderId="0" xfId="0" applyFont="1" applyAlignment="1">
      <alignment horizontal="centerContinuous"/>
    </xf>
    <xf numFmtId="0" fontId="7" fillId="0" borderId="0" xfId="0" applyFont="1" applyAlignment="1">
      <alignment horizontal="left"/>
    </xf>
    <xf numFmtId="0" fontId="7" fillId="0" borderId="10" xfId="0" applyFont="1" applyBorder="1" applyAlignment="1">
      <alignment horizontal="left"/>
    </xf>
    <xf numFmtId="9" fontId="7" fillId="0" borderId="0" xfId="0" applyNumberFormat="1" applyFont="1" applyAlignment="1">
      <alignment horizontal="left"/>
    </xf>
    <xf numFmtId="0" fontId="7" fillId="0" borderId="0" xfId="0" applyFont="1" applyBorder="1" applyAlignment="1">
      <alignment horizontal="left"/>
    </xf>
    <xf numFmtId="3" fontId="7" fillId="0" borderId="0" xfId="11" applyNumberFormat="1" applyFont="1" applyAlignment="1">
      <alignment horizontal="centerContinuous"/>
    </xf>
    <xf numFmtId="0" fontId="7" fillId="0" borderId="0" xfId="11" applyFont="1" applyAlignment="1">
      <alignment horizontal="centerContinuous"/>
    </xf>
    <xf numFmtId="3" fontId="7" fillId="0" borderId="0" xfId="11" applyNumberFormat="1" applyFont="1"/>
    <xf numFmtId="3" fontId="7" fillId="0" borderId="0" xfId="11" applyNumberFormat="1" applyFont="1" applyBorder="1" applyAlignment="1">
      <alignment horizontal="centerContinuous"/>
    </xf>
    <xf numFmtId="0" fontId="7" fillId="0" borderId="0" xfId="11" applyFont="1" applyBorder="1" applyAlignment="1">
      <alignment horizontal="centerContinuous"/>
    </xf>
    <xf numFmtId="0" fontId="7" fillId="0" borderId="0" xfId="11" applyFont="1"/>
    <xf numFmtId="3" fontId="7" fillId="0" borderId="0" xfId="11" applyNumberFormat="1" applyFont="1" applyAlignment="1">
      <alignment horizontal="center"/>
    </xf>
    <xf numFmtId="0" fontId="7" fillId="0" borderId="0" xfId="11" applyFont="1" applyAlignment="1">
      <alignment horizontal="center"/>
    </xf>
    <xf numFmtId="3" fontId="7" fillId="0" borderId="10" xfId="11" applyNumberFormat="1" applyFont="1" applyBorder="1" applyAlignment="1">
      <alignment horizontal="center"/>
    </xf>
    <xf numFmtId="164" fontId="7" fillId="0" borderId="0" xfId="11" applyNumberFormat="1" applyFont="1"/>
    <xf numFmtId="164" fontId="7" fillId="0" borderId="3" xfId="11" applyNumberFormat="1" applyFont="1" applyBorder="1"/>
    <xf numFmtId="10" fontId="7" fillId="0" borderId="0" xfId="11" applyNumberFormat="1" applyFont="1"/>
    <xf numFmtId="171" fontId="7" fillId="0" borderId="0" xfId="11" applyNumberFormat="1" applyFont="1"/>
    <xf numFmtId="172" fontId="7" fillId="0" borderId="10" xfId="11" applyNumberFormat="1" applyFont="1" applyBorder="1"/>
    <xf numFmtId="164" fontId="7" fillId="0" borderId="0" xfId="11" applyNumberFormat="1" applyFont="1" applyAlignment="1">
      <alignment horizontal="center"/>
    </xf>
    <xf numFmtId="3" fontId="7" fillId="0" borderId="0" xfId="11" applyNumberFormat="1" applyFont="1" applyBorder="1"/>
    <xf numFmtId="10" fontId="7" fillId="0" borderId="3" xfId="11" applyNumberFormat="1" applyFont="1" applyBorder="1"/>
    <xf numFmtId="169" fontId="7" fillId="0" borderId="0" xfId="14" applyNumberFormat="1" applyFont="1"/>
    <xf numFmtId="169" fontId="7" fillId="0" borderId="0" xfId="11" applyNumberFormat="1" applyFont="1"/>
    <xf numFmtId="169" fontId="7" fillId="0" borderId="3" xfId="11" applyNumberFormat="1" applyFont="1" applyBorder="1"/>
    <xf numFmtId="10" fontId="7" fillId="0" borderId="0" xfId="11" applyNumberFormat="1" applyFont="1" applyBorder="1"/>
    <xf numFmtId="0" fontId="13" fillId="0" borderId="0" xfId="11" applyFont="1"/>
    <xf numFmtId="10" fontId="13" fillId="0" borderId="0" xfId="11" applyNumberFormat="1" applyFont="1"/>
    <xf numFmtId="164" fontId="7" fillId="0" borderId="17" xfId="11" applyNumberFormat="1" applyFont="1" applyBorder="1"/>
    <xf numFmtId="3" fontId="7" fillId="0" borderId="0" xfId="11" applyNumberFormat="1" applyFont="1" applyAlignment="1">
      <alignment horizontal="left"/>
    </xf>
    <xf numFmtId="164" fontId="7" fillId="0" borderId="0" xfId="11" applyNumberFormat="1" applyFont="1" applyFill="1"/>
    <xf numFmtId="10" fontId="7" fillId="0" borderId="0" xfId="11" applyNumberFormat="1" applyFont="1" applyFill="1"/>
    <xf numFmtId="3" fontId="7" fillId="0" borderId="0" xfId="11" applyNumberFormat="1" applyFont="1" applyFill="1" applyBorder="1"/>
    <xf numFmtId="164" fontId="7" fillId="0" borderId="3" xfId="11" applyNumberFormat="1" applyFont="1" applyFill="1" applyBorder="1"/>
    <xf numFmtId="10" fontId="7" fillId="0" borderId="3" xfId="11" applyNumberFormat="1" applyFont="1" applyFill="1" applyBorder="1"/>
    <xf numFmtId="3" fontId="7" fillId="0" borderId="0" xfId="11" applyNumberFormat="1" applyFont="1" applyFill="1"/>
    <xf numFmtId="169" fontId="7" fillId="0" borderId="0" xfId="14" applyNumberFormat="1" applyFont="1" applyFill="1"/>
    <xf numFmtId="169" fontId="7" fillId="0" borderId="0" xfId="11" applyNumberFormat="1" applyFont="1" applyFill="1"/>
    <xf numFmtId="169" fontId="7" fillId="0" borderId="3" xfId="11" applyNumberFormat="1" applyFont="1" applyFill="1" applyBorder="1"/>
    <xf numFmtId="37" fontId="3" fillId="0" borderId="0" xfId="12" applyNumberFormat="1" applyFont="1" applyBorder="1"/>
    <xf numFmtId="0" fontId="13" fillId="0" borderId="0" xfId="0" applyFont="1"/>
    <xf numFmtId="168" fontId="8" fillId="0" borderId="0" xfId="0" applyNumberFormat="1" applyFont="1"/>
    <xf numFmtId="168" fontId="7" fillId="0" borderId="0" xfId="0" applyNumberFormat="1" applyFont="1"/>
    <xf numFmtId="10" fontId="22" fillId="0" borderId="0" xfId="0" applyNumberFormat="1" applyFont="1"/>
    <xf numFmtId="0" fontId="8" fillId="0" borderId="0" xfId="0" applyFont="1" applyAlignment="1">
      <alignment horizontal="centerContinuous"/>
    </xf>
    <xf numFmtId="170" fontId="7" fillId="0" borderId="0" xfId="1" applyNumberFormat="1" applyFont="1"/>
    <xf numFmtId="170" fontId="8" fillId="0" borderId="0" xfId="1" applyNumberFormat="1" applyFont="1" applyAlignment="1">
      <alignment horizontal="center"/>
    </xf>
    <xf numFmtId="0" fontId="8" fillId="0" borderId="10" xfId="0" applyFont="1" applyBorder="1" applyAlignment="1">
      <alignment horizontal="center"/>
    </xf>
    <xf numFmtId="0" fontId="8" fillId="0" borderId="0" xfId="0" applyFont="1"/>
    <xf numFmtId="170" fontId="7" fillId="0" borderId="0" xfId="1" applyNumberFormat="1" applyFont="1" applyBorder="1"/>
    <xf numFmtId="0" fontId="23" fillId="0" borderId="0" xfId="0" applyFont="1"/>
    <xf numFmtId="0" fontId="21" fillId="0" borderId="0" xfId="0" applyFont="1" applyAlignment="1">
      <alignment horizontal="centerContinuous"/>
    </xf>
    <xf numFmtId="0" fontId="21" fillId="0" borderId="0" xfId="0" applyFont="1" applyBorder="1" applyAlignment="1">
      <alignment horizontal="center"/>
    </xf>
    <xf numFmtId="0" fontId="21" fillId="0" borderId="10" xfId="0" applyFont="1" applyBorder="1" applyAlignment="1">
      <alignment horizontal="center"/>
    </xf>
    <xf numFmtId="168" fontId="13" fillId="0" borderId="0" xfId="0" applyNumberFormat="1" applyFont="1"/>
    <xf numFmtId="168" fontId="13" fillId="0" borderId="0" xfId="14" applyNumberFormat="1" applyFont="1"/>
    <xf numFmtId="168" fontId="13" fillId="0" borderId="0" xfId="0" applyNumberFormat="1" applyFont="1" applyBorder="1"/>
    <xf numFmtId="168" fontId="13" fillId="0" borderId="12" xfId="0" applyNumberFormat="1" applyFont="1" applyBorder="1"/>
    <xf numFmtId="168" fontId="13" fillId="0" borderId="10" xfId="0" applyNumberFormat="1" applyFont="1" applyBorder="1"/>
    <xf numFmtId="3" fontId="16" fillId="0" borderId="0" xfId="11" applyNumberFormat="1" applyFont="1"/>
    <xf numFmtId="164" fontId="16" fillId="0" borderId="0" xfId="11" applyNumberFormat="1" applyFont="1"/>
    <xf numFmtId="10" fontId="8" fillId="0" borderId="0" xfId="0" applyNumberFormat="1" applyFont="1" applyBorder="1" applyAlignment="1">
      <alignment horizontal="left"/>
    </xf>
    <xf numFmtId="37" fontId="7" fillId="0" borderId="0" xfId="11" applyNumberFormat="1" applyFont="1" applyAlignment="1">
      <alignment horizontal="right"/>
    </xf>
    <xf numFmtId="37" fontId="3" fillId="0" borderId="0" xfId="12" applyNumberFormat="1" applyFont="1" applyFill="1"/>
    <xf numFmtId="10" fontId="3" fillId="0" borderId="0" xfId="14" applyNumberFormat="1" applyFont="1" applyFill="1"/>
    <xf numFmtId="3" fontId="3" fillId="0" borderId="0" xfId="12" applyNumberFormat="1" applyFont="1" applyFill="1" applyBorder="1"/>
    <xf numFmtId="0" fontId="27" fillId="0" borderId="0" xfId="11" applyFont="1"/>
    <xf numFmtId="0" fontId="19" fillId="0" borderId="0" xfId="0" applyFont="1" applyAlignment="1">
      <alignment horizontal="center"/>
    </xf>
    <xf numFmtId="0" fontId="19" fillId="0" borderId="0" xfId="0" applyFont="1"/>
    <xf numFmtId="0" fontId="19" fillId="0" borderId="0" xfId="0" applyFont="1" applyAlignment="1">
      <alignment horizontal="left"/>
    </xf>
    <xf numFmtId="0" fontId="16" fillId="0" borderId="0" xfId="0" applyFont="1" applyAlignment="1">
      <alignment horizontal="left"/>
    </xf>
    <xf numFmtId="0" fontId="16" fillId="0" borderId="0" xfId="0" applyFont="1" applyBorder="1"/>
    <xf numFmtId="3" fontId="26" fillId="0" borderId="0" xfId="11" applyNumberFormat="1" applyFont="1"/>
    <xf numFmtId="0" fontId="7" fillId="0" borderId="0" xfId="0" applyFont="1" applyFill="1" applyBorder="1"/>
    <xf numFmtId="3" fontId="16" fillId="0" borderId="10" xfId="11" applyNumberFormat="1" applyFont="1" applyBorder="1"/>
    <xf numFmtId="0" fontId="8" fillId="0" borderId="0" xfId="0" applyFont="1" applyFill="1"/>
    <xf numFmtId="10" fontId="19" fillId="0" borderId="0" xfId="0" applyNumberFormat="1" applyFont="1" applyFill="1"/>
    <xf numFmtId="10" fontId="7" fillId="0" borderId="0" xfId="0" applyNumberFormat="1" applyFont="1"/>
    <xf numFmtId="3" fontId="8" fillId="0" borderId="0" xfId="11" applyNumberFormat="1" applyFont="1"/>
    <xf numFmtId="0" fontId="7" fillId="0" borderId="0" xfId="0" applyFont="1" applyFill="1"/>
    <xf numFmtId="10" fontId="7" fillId="0" borderId="0" xfId="14" applyNumberFormat="1" applyFont="1"/>
    <xf numFmtId="3" fontId="16" fillId="0" borderId="0" xfId="0" applyNumberFormat="1" applyFont="1" applyFill="1"/>
    <xf numFmtId="0" fontId="19" fillId="0" borderId="0" xfId="0" applyFont="1" applyFill="1"/>
    <xf numFmtId="0" fontId="19" fillId="0" borderId="0" xfId="0" applyFont="1" applyFill="1" applyAlignment="1">
      <alignment horizontal="left"/>
    </xf>
    <xf numFmtId="9" fontId="7" fillId="0" borderId="0" xfId="0" applyNumberFormat="1" applyFont="1" applyFill="1" applyAlignment="1">
      <alignment horizontal="left"/>
    </xf>
    <xf numFmtId="0" fontId="7" fillId="0" borderId="0" xfId="0" applyFont="1" applyFill="1" applyAlignment="1">
      <alignment horizontal="left"/>
    </xf>
    <xf numFmtId="10" fontId="27" fillId="0" borderId="10" xfId="11" applyNumberFormat="1" applyFont="1" applyFill="1" applyBorder="1"/>
    <xf numFmtId="3" fontId="26" fillId="0" borderId="0" xfId="11" applyNumberFormat="1" applyFont="1" applyFill="1"/>
    <xf numFmtId="170" fontId="7" fillId="0" borderId="0" xfId="1" applyNumberFormat="1" applyFont="1" applyFill="1" applyBorder="1"/>
    <xf numFmtId="7" fontId="7" fillId="0" borderId="0" xfId="0" applyNumberFormat="1" applyFont="1"/>
    <xf numFmtId="0" fontId="3" fillId="0" borderId="0" xfId="12" applyFont="1" applyBorder="1"/>
    <xf numFmtId="5" fontId="3" fillId="0" borderId="0" xfId="12" applyNumberFormat="1" applyFont="1" applyBorder="1"/>
    <xf numFmtId="5" fontId="7" fillId="0" borderId="18" xfId="0" applyNumberFormat="1" applyFont="1" applyBorder="1"/>
    <xf numFmtId="0" fontId="13" fillId="0" borderId="0" xfId="0" applyFont="1" applyBorder="1"/>
    <xf numFmtId="168" fontId="7" fillId="0" borderId="0" xfId="0" applyNumberFormat="1" applyFont="1" applyBorder="1"/>
    <xf numFmtId="10" fontId="8" fillId="0" borderId="16" xfId="0" applyNumberFormat="1" applyFont="1" applyBorder="1" applyAlignment="1">
      <alignment horizontal="left"/>
    </xf>
    <xf numFmtId="169" fontId="7" fillId="0" borderId="0" xfId="14" applyNumberFormat="1" applyFont="1" applyBorder="1"/>
    <xf numFmtId="37" fontId="3" fillId="0" borderId="0" xfId="12" applyNumberFormat="1" applyFont="1" applyFill="1" applyBorder="1"/>
    <xf numFmtId="0" fontId="17" fillId="0" borderId="0" xfId="0" applyFont="1" applyBorder="1" applyAlignment="1">
      <alignment horizontal="centerContinuous"/>
    </xf>
    <xf numFmtId="5" fontId="7" fillId="0" borderId="0" xfId="0" applyNumberFormat="1" applyFont="1" applyFill="1"/>
    <xf numFmtId="174" fontId="13" fillId="0" borderId="13" xfId="0" applyNumberFormat="1" applyFont="1" applyBorder="1"/>
    <xf numFmtId="0" fontId="10" fillId="0" borderId="0" xfId="0" applyFont="1"/>
    <xf numFmtId="37" fontId="7" fillId="0" borderId="0" xfId="12" applyNumberFormat="1" applyFont="1" applyFill="1"/>
    <xf numFmtId="166" fontId="3" fillId="0" borderId="0" xfId="12" applyNumberFormat="1" applyFont="1" applyBorder="1"/>
    <xf numFmtId="3" fontId="3" fillId="0" borderId="0" xfId="12" applyNumberFormat="1" applyFont="1" applyBorder="1"/>
    <xf numFmtId="0" fontId="10" fillId="0" borderId="0" xfId="0" applyFont="1" applyBorder="1" applyAlignment="1">
      <alignment horizontal="center"/>
    </xf>
    <xf numFmtId="167" fontId="3" fillId="0" borderId="0" xfId="12" applyNumberFormat="1" applyFont="1" applyBorder="1"/>
    <xf numFmtId="0" fontId="31" fillId="0" borderId="0" xfId="0" applyFont="1" applyAlignment="1">
      <alignment horizontal="center"/>
    </xf>
    <xf numFmtId="0" fontId="8" fillId="0" borderId="0" xfId="0" applyFont="1" applyBorder="1" applyAlignment="1">
      <alignment horizontal="left"/>
    </xf>
    <xf numFmtId="0" fontId="8" fillId="0" borderId="0" xfId="0" applyFont="1" applyFill="1" applyAlignment="1">
      <alignment horizontal="left"/>
    </xf>
    <xf numFmtId="0" fontId="32" fillId="0" borderId="0" xfId="0" applyFont="1" applyAlignment="1">
      <alignment horizontal="center"/>
    </xf>
    <xf numFmtId="0" fontId="32" fillId="0" borderId="0" xfId="0" applyFont="1" applyFill="1" applyAlignment="1">
      <alignment horizontal="center"/>
    </xf>
    <xf numFmtId="0" fontId="33" fillId="0" borderId="0" xfId="0" applyFont="1" applyAlignment="1">
      <alignment horizontal="left"/>
    </xf>
    <xf numFmtId="0" fontId="35" fillId="0" borderId="0" xfId="0" applyFont="1" applyAlignment="1">
      <alignment horizontal="center"/>
    </xf>
    <xf numFmtId="0" fontId="36" fillId="0" borderId="0" xfId="0" applyFont="1" applyAlignment="1">
      <alignment horizontal="center"/>
    </xf>
    <xf numFmtId="3" fontId="7" fillId="0" borderId="0" xfId="0" applyNumberFormat="1" applyFont="1" applyFill="1"/>
    <xf numFmtId="0" fontId="36" fillId="0" borderId="0" xfId="0" applyFont="1" applyFill="1" applyAlignment="1">
      <alignment horizontal="center"/>
    </xf>
    <xf numFmtId="3" fontId="18" fillId="0" borderId="0" xfId="0" applyNumberFormat="1" applyFont="1" applyFill="1" applyAlignment="1">
      <alignment horizontal="center"/>
    </xf>
    <xf numFmtId="10" fontId="8" fillId="0" borderId="13" xfId="0" applyNumberFormat="1" applyFont="1" applyFill="1" applyBorder="1" applyAlignment="1">
      <alignment horizontal="left"/>
    </xf>
    <xf numFmtId="10" fontId="7" fillId="0" borderId="0" xfId="0" applyNumberFormat="1" applyFont="1" applyFill="1" applyBorder="1" applyAlignment="1">
      <alignment horizontal="left"/>
    </xf>
    <xf numFmtId="175" fontId="7" fillId="0" borderId="0" xfId="0" applyNumberFormat="1" applyFont="1"/>
    <xf numFmtId="166" fontId="7" fillId="0" borderId="0" xfId="0" applyNumberFormat="1" applyFont="1"/>
    <xf numFmtId="166" fontId="7" fillId="0" borderId="0" xfId="0" applyNumberFormat="1" applyFont="1" applyBorder="1"/>
    <xf numFmtId="167" fontId="4" fillId="0" borderId="0" xfId="10" applyNumberFormat="1" applyFont="1" applyFill="1" applyBorder="1" applyAlignment="1">
      <alignment horizontal="center"/>
    </xf>
    <xf numFmtId="166" fontId="3" fillId="0" borderId="0" xfId="12" applyNumberFormat="1" applyFont="1" applyFill="1" applyBorder="1"/>
    <xf numFmtId="5" fontId="3" fillId="0" borderId="0" xfId="12" applyNumberFormat="1" applyFont="1" applyFill="1" applyBorder="1"/>
    <xf numFmtId="167" fontId="3" fillId="0" borderId="0" xfId="12" applyNumberFormat="1" applyFont="1" applyFill="1" applyBorder="1"/>
    <xf numFmtId="0" fontId="37" fillId="0" borderId="0" xfId="0" applyFont="1" applyAlignment="1">
      <alignment horizontal="center"/>
    </xf>
    <xf numFmtId="0" fontId="35" fillId="0" borderId="0" xfId="0" applyFont="1" applyFill="1" applyAlignment="1">
      <alignment horizontal="center"/>
    </xf>
    <xf numFmtId="0" fontId="7" fillId="0" borderId="0" xfId="0" applyFont="1" applyAlignment="1">
      <alignment horizontal="center"/>
    </xf>
    <xf numFmtId="0" fontId="3" fillId="0" borderId="0" xfId="12" applyNumberFormat="1" applyFont="1" applyBorder="1" applyAlignment="1">
      <alignment horizontal="center"/>
    </xf>
    <xf numFmtId="0" fontId="0" fillId="0" borderId="0" xfId="0" applyBorder="1"/>
    <xf numFmtId="0" fontId="7"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xf>
    <xf numFmtId="41" fontId="4" fillId="0" borderId="0" xfId="12" applyNumberFormat="1" applyFont="1" applyFill="1"/>
    <xf numFmtId="41" fontId="3" fillId="0" borderId="0" xfId="12" applyNumberFormat="1" applyFont="1"/>
    <xf numFmtId="41" fontId="3" fillId="0" borderId="0" xfId="12" applyNumberFormat="1" applyFont="1" applyFill="1"/>
    <xf numFmtId="41" fontId="39" fillId="0" borderId="0" xfId="12" applyNumberFormat="1" applyFont="1"/>
    <xf numFmtId="41" fontId="4" fillId="0" borderId="0" xfId="12" applyNumberFormat="1" applyFont="1"/>
    <xf numFmtId="41" fontId="38" fillId="0" borderId="0" xfId="12" applyNumberFormat="1" applyFont="1"/>
    <xf numFmtId="41" fontId="39" fillId="0" borderId="0" xfId="12" applyNumberFormat="1" applyFont="1" applyAlignment="1">
      <alignment horizontal="center"/>
    </xf>
    <xf numFmtId="41" fontId="3" fillId="0" borderId="0" xfId="12" applyNumberFormat="1" applyFont="1" applyFill="1" applyAlignment="1">
      <alignment horizontal="center"/>
    </xf>
    <xf numFmtId="41" fontId="4" fillId="0" borderId="0" xfId="12" applyNumberFormat="1" applyFont="1" applyFill="1" applyAlignment="1">
      <alignment horizontal="center"/>
    </xf>
    <xf numFmtId="41" fontId="3" fillId="0" borderId="0" xfId="13" applyNumberFormat="1" applyFont="1" applyAlignment="1">
      <alignment horizontal="center"/>
    </xf>
    <xf numFmtId="41" fontId="4" fillId="0" borderId="0" xfId="13" applyNumberFormat="1" applyFont="1" applyAlignment="1">
      <alignment horizontal="center"/>
    </xf>
    <xf numFmtId="41" fontId="40" fillId="0" borderId="0" xfId="13" applyNumberFormat="1" applyFont="1" applyAlignment="1">
      <alignment horizontal="center"/>
    </xf>
    <xf numFmtId="41" fontId="40" fillId="0" borderId="0" xfId="13" applyNumberFormat="1" applyFont="1" applyFill="1" applyAlignment="1">
      <alignment horizontal="center"/>
    </xf>
    <xf numFmtId="41" fontId="4" fillId="0" borderId="0" xfId="13" applyNumberFormat="1" applyFont="1" applyFill="1" applyAlignment="1">
      <alignment horizontal="center"/>
    </xf>
    <xf numFmtId="41" fontId="40" fillId="0" borderId="0" xfId="12" applyNumberFormat="1" applyFont="1" applyFill="1" applyBorder="1" applyAlignment="1">
      <alignment horizontal="center"/>
    </xf>
    <xf numFmtId="41" fontId="1" fillId="0" borderId="0" xfId="0" applyNumberFormat="1" applyFont="1" applyFill="1"/>
    <xf numFmtId="41" fontId="4" fillId="0" borderId="1" xfId="12" applyNumberFormat="1" applyFont="1" applyFill="1" applyBorder="1" applyAlignment="1">
      <alignment horizontal="center"/>
    </xf>
    <xf numFmtId="41" fontId="4" fillId="0" borderId="1" xfId="12" applyNumberFormat="1" applyFont="1" applyBorder="1" applyAlignment="1">
      <alignment horizontal="center"/>
    </xf>
    <xf numFmtId="41" fontId="4" fillId="0" borderId="1" xfId="10" applyNumberFormat="1" applyFont="1" applyFill="1" applyBorder="1" applyAlignment="1">
      <alignment horizontal="center"/>
    </xf>
    <xf numFmtId="41" fontId="4" fillId="0" borderId="1" xfId="13" applyNumberFormat="1" applyFont="1" applyBorder="1" applyAlignment="1">
      <alignment horizontal="center"/>
    </xf>
    <xf numFmtId="41" fontId="4" fillId="0" borderId="1" xfId="13" applyNumberFormat="1" applyFont="1" applyFill="1" applyBorder="1" applyAlignment="1">
      <alignment horizontal="center"/>
    </xf>
    <xf numFmtId="41" fontId="4" fillId="0" borderId="5" xfId="12" applyNumberFormat="1" applyFont="1" applyFill="1" applyBorder="1" applyAlignment="1">
      <alignment horizontal="center"/>
    </xf>
    <xf numFmtId="41" fontId="4" fillId="0" borderId="5" xfId="12" applyNumberFormat="1" applyFont="1" applyBorder="1" applyAlignment="1">
      <alignment horizontal="center"/>
    </xf>
    <xf numFmtId="41" fontId="4" fillId="0" borderId="5" xfId="13" applyNumberFormat="1" applyFont="1" applyFill="1" applyBorder="1" applyAlignment="1">
      <alignment horizontal="center"/>
    </xf>
    <xf numFmtId="41" fontId="4" fillId="0" borderId="5" xfId="10" applyNumberFormat="1" applyFont="1" applyFill="1" applyBorder="1" applyAlignment="1">
      <alignment horizontal="center"/>
    </xf>
    <xf numFmtId="41" fontId="4" fillId="0" borderId="8" xfId="12" applyNumberFormat="1" applyFont="1" applyFill="1" applyBorder="1" applyAlignment="1">
      <alignment horizontal="center"/>
    </xf>
    <xf numFmtId="41" fontId="4" fillId="0" borderId="8" xfId="12" applyNumberFormat="1" applyFont="1" applyBorder="1" applyAlignment="1">
      <alignment horizontal="center"/>
    </xf>
    <xf numFmtId="41" fontId="4" fillId="0" borderId="8" xfId="13" applyNumberFormat="1" applyFont="1" applyFill="1" applyBorder="1" applyAlignment="1">
      <alignment horizontal="center"/>
    </xf>
    <xf numFmtId="41" fontId="4" fillId="0" borderId="8" xfId="12" quotePrefix="1" applyNumberFormat="1" applyFont="1" applyFill="1" applyBorder="1" applyAlignment="1">
      <alignment horizontal="center"/>
    </xf>
    <xf numFmtId="41" fontId="4" fillId="0" borderId="8" xfId="12" quotePrefix="1" applyNumberFormat="1" applyFont="1" applyBorder="1" applyAlignment="1">
      <alignment horizontal="center"/>
    </xf>
    <xf numFmtId="41" fontId="3" fillId="0" borderId="0" xfId="12" applyNumberFormat="1" applyFont="1" applyFill="1" applyBorder="1"/>
    <xf numFmtId="41" fontId="3" fillId="0" borderId="10" xfId="12" applyNumberFormat="1" applyFont="1" applyFill="1" applyBorder="1"/>
    <xf numFmtId="41" fontId="3" fillId="0" borderId="10" xfId="12" applyNumberFormat="1" applyFont="1" applyBorder="1"/>
    <xf numFmtId="41" fontId="39" fillId="0" borderId="10" xfId="12" applyNumberFormat="1" applyFont="1" applyBorder="1"/>
    <xf numFmtId="41" fontId="4" fillId="0" borderId="10" xfId="12" applyNumberFormat="1" applyFont="1" applyFill="1" applyBorder="1"/>
    <xf numFmtId="41" fontId="4" fillId="0" borderId="10" xfId="12" applyNumberFormat="1" applyFont="1" applyBorder="1"/>
    <xf numFmtId="41" fontId="3" fillId="0" borderId="0" xfId="14" applyNumberFormat="1" applyFont="1" applyFill="1"/>
    <xf numFmtId="41" fontId="3" fillId="0" borderId="0" xfId="12" applyNumberFormat="1" applyFont="1" applyBorder="1"/>
    <xf numFmtId="41" fontId="39" fillId="0" borderId="0" xfId="12" applyNumberFormat="1" applyFont="1" applyBorder="1"/>
    <xf numFmtId="41" fontId="4" fillId="0" borderId="0" xfId="12" applyNumberFormat="1" applyFont="1" applyFill="1" applyBorder="1"/>
    <xf numFmtId="41" fontId="4" fillId="0" borderId="0" xfId="12" applyNumberFormat="1" applyFont="1" applyBorder="1"/>
    <xf numFmtId="37" fontId="3" fillId="0" borderId="0" xfId="12" applyNumberFormat="1" applyFont="1" applyFill="1" applyAlignment="1">
      <alignment horizontal="center"/>
    </xf>
    <xf numFmtId="5" fontId="3" fillId="0" borderId="0" xfId="12" applyNumberFormat="1" applyFont="1" applyFill="1"/>
    <xf numFmtId="4" fontId="7" fillId="0" borderId="0" xfId="0" applyNumberFormat="1" applyFont="1" applyAlignment="1">
      <alignment horizontal="center"/>
    </xf>
    <xf numFmtId="4" fontId="7" fillId="0" borderId="0" xfId="0" applyNumberFormat="1" applyFont="1" applyFill="1" applyAlignment="1">
      <alignment horizontal="center"/>
    </xf>
    <xf numFmtId="0" fontId="8" fillId="0" borderId="0" xfId="0" applyFont="1" applyAlignment="1">
      <alignment horizontal="center"/>
    </xf>
    <xf numFmtId="0" fontId="8" fillId="0" borderId="0" xfId="0" applyFont="1" applyBorder="1" applyAlignment="1">
      <alignment horizontal="center"/>
    </xf>
    <xf numFmtId="0" fontId="7" fillId="0" borderId="0" xfId="0" applyFont="1" applyAlignment="1">
      <alignment horizontal="center"/>
    </xf>
    <xf numFmtId="37" fontId="7" fillId="5" borderId="0" xfId="12" applyNumberFormat="1" applyFont="1" applyFill="1" applyBorder="1"/>
    <xf numFmtId="37" fontId="16" fillId="5" borderId="0" xfId="12" applyNumberFormat="1" applyFont="1" applyFill="1" applyBorder="1"/>
    <xf numFmtId="37" fontId="7" fillId="5" borderId="23" xfId="12" applyNumberFormat="1" applyFont="1" applyFill="1" applyBorder="1"/>
    <xf numFmtId="0" fontId="7" fillId="5" borderId="0" xfId="0" applyFont="1" applyFill="1" applyBorder="1"/>
    <xf numFmtId="0" fontId="7" fillId="5" borderId="23" xfId="0" applyFont="1" applyFill="1" applyBorder="1"/>
    <xf numFmtId="37" fontId="7" fillId="5" borderId="26" xfId="12" applyNumberFormat="1" applyFont="1" applyFill="1" applyBorder="1"/>
    <xf numFmtId="37" fontId="7" fillId="6" borderId="0" xfId="12" applyNumberFormat="1" applyFont="1" applyFill="1" applyBorder="1"/>
    <xf numFmtId="37" fontId="16" fillId="6" borderId="0" xfId="12" applyNumberFormat="1" applyFont="1" applyFill="1" applyBorder="1"/>
    <xf numFmtId="37" fontId="7" fillId="6" borderId="23" xfId="12" applyNumberFormat="1" applyFont="1" applyFill="1" applyBorder="1"/>
    <xf numFmtId="0" fontId="7" fillId="6" borderId="0" xfId="0" applyFont="1" applyFill="1" applyBorder="1"/>
    <xf numFmtId="0" fontId="7" fillId="6" borderId="23" xfId="0" applyFont="1" applyFill="1" applyBorder="1"/>
    <xf numFmtId="0" fontId="7" fillId="6" borderId="24" xfId="0" applyFont="1" applyFill="1" applyBorder="1"/>
    <xf numFmtId="0" fontId="7" fillId="6" borderId="25" xfId="0" applyFont="1" applyFill="1" applyBorder="1"/>
    <xf numFmtId="0" fontId="16" fillId="6" borderId="25" xfId="0" applyFont="1" applyFill="1" applyBorder="1"/>
    <xf numFmtId="0" fontId="7" fillId="6" borderId="26" xfId="0" applyFont="1" applyFill="1" applyBorder="1"/>
    <xf numFmtId="10" fontId="4" fillId="0" borderId="0" xfId="14" applyNumberFormat="1" applyFont="1"/>
    <xf numFmtId="41" fontId="7" fillId="0" borderId="0" xfId="0" applyNumberFormat="1" applyFont="1"/>
    <xf numFmtId="41" fontId="7" fillId="0" borderId="10" xfId="0" applyNumberFormat="1" applyFont="1" applyBorder="1"/>
    <xf numFmtId="41" fontId="7" fillId="0" borderId="10" xfId="0" applyNumberFormat="1" applyFont="1" applyBorder="1" applyAlignment="1">
      <alignment horizontal="center"/>
    </xf>
    <xf numFmtId="41" fontId="7" fillId="0" borderId="0" xfId="0" applyNumberFormat="1" applyFont="1" applyBorder="1" applyAlignment="1">
      <alignment horizontal="center"/>
    </xf>
    <xf numFmtId="41" fontId="16" fillId="0" borderId="10" xfId="0" applyNumberFormat="1" applyFont="1" applyFill="1" applyBorder="1"/>
    <xf numFmtId="41" fontId="7" fillId="0" borderId="13" xfId="2" applyNumberFormat="1" applyFont="1" applyFill="1" applyBorder="1"/>
    <xf numFmtId="41" fontId="7" fillId="0" borderId="0" xfId="2" applyNumberFormat="1" applyFont="1" applyFill="1" applyBorder="1"/>
    <xf numFmtId="41" fontId="7" fillId="0" borderId="0" xfId="0" applyNumberFormat="1" applyFont="1" applyFill="1" applyBorder="1"/>
    <xf numFmtId="41" fontId="7" fillId="0" borderId="16" xfId="2" applyNumberFormat="1" applyFont="1" applyBorder="1"/>
    <xf numFmtId="41" fontId="7" fillId="0" borderId="0" xfId="2" applyNumberFormat="1" applyFont="1" applyBorder="1"/>
    <xf numFmtId="37" fontId="7" fillId="5" borderId="22" xfId="12" applyNumberFormat="1" applyFont="1" applyFill="1" applyBorder="1"/>
    <xf numFmtId="37" fontId="27" fillId="0" borderId="0" xfId="12" applyNumberFormat="1" applyFont="1" applyAlignment="1">
      <alignment horizontal="left"/>
    </xf>
    <xf numFmtId="37" fontId="7" fillId="0" borderId="0" xfId="12" applyNumberFormat="1" applyFont="1" applyBorder="1"/>
    <xf numFmtId="37" fontId="8" fillId="0" borderId="0" xfId="12" applyNumberFormat="1" applyFont="1"/>
    <xf numFmtId="37" fontId="7" fillId="0" borderId="0" xfId="12" applyNumberFormat="1" applyFont="1"/>
    <xf numFmtId="10" fontId="7" fillId="0" borderId="10" xfId="14" applyNumberFormat="1" applyFont="1" applyBorder="1"/>
    <xf numFmtId="37" fontId="8" fillId="5" borderId="23" xfId="12" applyNumberFormat="1" applyFont="1" applyFill="1" applyBorder="1"/>
    <xf numFmtId="5" fontId="7" fillId="0" borderId="10" xfId="0" applyNumberFormat="1" applyFont="1" applyBorder="1"/>
    <xf numFmtId="37" fontId="8" fillId="2" borderId="0" xfId="12" applyNumberFormat="1" applyFont="1" applyFill="1"/>
    <xf numFmtId="10" fontId="27" fillId="2" borderId="0" xfId="14" applyNumberFormat="1" applyFont="1" applyFill="1"/>
    <xf numFmtId="37" fontId="7" fillId="5" borderId="24" xfId="12" applyNumberFormat="1" applyFont="1" applyFill="1" applyBorder="1"/>
    <xf numFmtId="174" fontId="7" fillId="0" borderId="0" xfId="0" applyNumberFormat="1" applyFont="1"/>
    <xf numFmtId="37" fontId="7" fillId="6" borderId="22" xfId="12" applyNumberFormat="1" applyFont="1" applyFill="1" applyBorder="1"/>
    <xf numFmtId="10" fontId="7" fillId="0" borderId="16" xfId="14" applyNumberFormat="1" applyFont="1" applyBorder="1"/>
    <xf numFmtId="10" fontId="7" fillId="0" borderId="0" xfId="14" applyNumberFormat="1" applyFont="1" applyBorder="1"/>
    <xf numFmtId="37" fontId="8" fillId="6" borderId="23" xfId="12" applyNumberFormat="1" applyFont="1" applyFill="1" applyBorder="1"/>
    <xf numFmtId="0" fontId="7" fillId="0" borderId="0" xfId="12" applyFont="1"/>
    <xf numFmtId="0" fontId="7" fillId="0" borderId="0" xfId="12" applyFont="1" applyBorder="1"/>
    <xf numFmtId="5" fontId="7" fillId="0" borderId="0" xfId="12" applyNumberFormat="1" applyFont="1" applyBorder="1"/>
    <xf numFmtId="0" fontId="8" fillId="5" borderId="19" xfId="0" applyFont="1" applyFill="1" applyBorder="1" applyAlignment="1">
      <alignment horizontal="left"/>
    </xf>
    <xf numFmtId="0" fontId="8" fillId="5" borderId="20" xfId="0" applyFont="1" applyFill="1" applyBorder="1" applyAlignment="1">
      <alignment horizontal="center"/>
    </xf>
    <xf numFmtId="0" fontId="8" fillId="5" borderId="21" xfId="0" applyFont="1" applyFill="1" applyBorder="1" applyAlignment="1">
      <alignment horizontal="center"/>
    </xf>
    <xf numFmtId="0" fontId="8" fillId="5" borderId="0" xfId="0" applyFont="1" applyFill="1" applyBorder="1" applyAlignment="1">
      <alignment horizontal="center"/>
    </xf>
    <xf numFmtId="0" fontId="8" fillId="5" borderId="10" xfId="0" applyFont="1" applyFill="1" applyBorder="1" applyAlignment="1">
      <alignment horizontal="center"/>
    </xf>
    <xf numFmtId="0" fontId="27" fillId="0" borderId="0" xfId="0" applyFont="1" applyAlignment="1">
      <alignment horizontal="left"/>
    </xf>
    <xf numFmtId="5" fontId="7" fillId="5" borderId="0" xfId="0" applyNumberFormat="1" applyFont="1" applyFill="1" applyBorder="1"/>
    <xf numFmtId="10" fontId="7" fillId="5" borderId="0" xfId="14" applyNumberFormat="1" applyFont="1" applyFill="1" applyBorder="1"/>
    <xf numFmtId="10" fontId="16" fillId="5" borderId="0" xfId="14" applyNumberFormat="1" applyFont="1" applyFill="1" applyBorder="1"/>
    <xf numFmtId="170" fontId="7" fillId="5" borderId="0" xfId="1" applyNumberFormat="1" applyFont="1" applyFill="1" applyBorder="1"/>
    <xf numFmtId="0" fontId="27" fillId="0" borderId="0" xfId="0" applyFont="1"/>
    <xf numFmtId="170" fontId="27" fillId="0" borderId="0" xfId="1" applyNumberFormat="1" applyFont="1" applyBorder="1"/>
    <xf numFmtId="10" fontId="27" fillId="0" borderId="0" xfId="14" applyNumberFormat="1" applyFont="1"/>
    <xf numFmtId="169" fontId="7" fillId="5" borderId="0" xfId="14" applyNumberFormat="1" applyFont="1" applyFill="1" applyBorder="1"/>
    <xf numFmtId="169" fontId="16" fillId="5" borderId="0" xfId="14" applyNumberFormat="1" applyFont="1" applyFill="1" applyBorder="1"/>
    <xf numFmtId="10" fontId="7" fillId="5" borderId="16" xfId="14" applyNumberFormat="1" applyFont="1" applyFill="1" applyBorder="1"/>
    <xf numFmtId="0" fontId="7" fillId="5" borderId="25" xfId="0" applyFont="1" applyFill="1" applyBorder="1"/>
    <xf numFmtId="170" fontId="7" fillId="5" borderId="25" xfId="1" applyNumberFormat="1" applyFont="1" applyFill="1" applyBorder="1"/>
    <xf numFmtId="10" fontId="7" fillId="5" borderId="25" xfId="14" applyNumberFormat="1" applyFont="1" applyFill="1" applyBorder="1"/>
    <xf numFmtId="10" fontId="16" fillId="5" borderId="25" xfId="14" applyNumberFormat="1" applyFont="1" applyFill="1" applyBorder="1"/>
    <xf numFmtId="0" fontId="8" fillId="6" borderId="19" xfId="0" applyFont="1" applyFill="1" applyBorder="1" applyAlignment="1">
      <alignment horizontal="left"/>
    </xf>
    <xf numFmtId="0" fontId="8" fillId="6" borderId="20" xfId="0" applyFont="1" applyFill="1" applyBorder="1" applyAlignment="1">
      <alignment horizontal="center"/>
    </xf>
    <xf numFmtId="0" fontId="8" fillId="6" borderId="21" xfId="0" applyFont="1" applyFill="1" applyBorder="1" applyAlignment="1">
      <alignment horizontal="center"/>
    </xf>
    <xf numFmtId="0" fontId="8" fillId="6" borderId="0" xfId="0" applyFont="1" applyFill="1" applyBorder="1" applyAlignment="1">
      <alignment horizontal="center"/>
    </xf>
    <xf numFmtId="0" fontId="8" fillId="6" borderId="10" xfId="0" applyFont="1" applyFill="1" applyBorder="1" applyAlignment="1">
      <alignment horizontal="center"/>
    </xf>
    <xf numFmtId="5" fontId="7" fillId="6" borderId="0" xfId="0" applyNumberFormat="1" applyFont="1" applyFill="1" applyBorder="1"/>
    <xf numFmtId="10" fontId="7" fillId="6" borderId="0" xfId="14" applyNumberFormat="1" applyFont="1" applyFill="1" applyBorder="1"/>
    <xf numFmtId="10" fontId="16" fillId="6" borderId="0" xfId="14" applyNumberFormat="1" applyFont="1" applyFill="1" applyBorder="1"/>
    <xf numFmtId="170" fontId="7" fillId="6" borderId="0" xfId="1" applyNumberFormat="1" applyFont="1" applyFill="1" applyBorder="1"/>
    <xf numFmtId="169" fontId="7" fillId="6" borderId="0" xfId="14" applyNumberFormat="1" applyFont="1" applyFill="1" applyBorder="1"/>
    <xf numFmtId="169" fontId="16" fillId="6" borderId="0" xfId="14" applyNumberFormat="1" applyFont="1" applyFill="1" applyBorder="1"/>
    <xf numFmtId="10" fontId="7" fillId="6" borderId="16" xfId="14" applyNumberFormat="1" applyFont="1" applyFill="1" applyBorder="1"/>
    <xf numFmtId="10" fontId="3" fillId="0" borderId="0" xfId="14" applyNumberFormat="1" applyFont="1"/>
    <xf numFmtId="10" fontId="4" fillId="0" borderId="0" xfId="14" applyNumberFormat="1" applyFont="1" applyFill="1"/>
    <xf numFmtId="0" fontId="7" fillId="0" borderId="0" xfId="0" applyFont="1" applyAlignment="1">
      <alignment horizontal="center"/>
    </xf>
    <xf numFmtId="41" fontId="43" fillId="0" borderId="0" xfId="12" applyNumberFormat="1" applyFont="1"/>
    <xf numFmtId="41" fontId="43" fillId="0" borderId="0" xfId="12" applyNumberFormat="1" applyFont="1" applyFill="1"/>
    <xf numFmtId="41" fontId="43" fillId="0" borderId="10" xfId="12" applyNumberFormat="1" applyFont="1" applyBorder="1"/>
    <xf numFmtId="41" fontId="43" fillId="0" borderId="10" xfId="12" applyNumberFormat="1" applyFont="1" applyFill="1" applyBorder="1"/>
    <xf numFmtId="41" fontId="7" fillId="0" borderId="0" xfId="0" applyNumberFormat="1" applyFont="1" applyFill="1"/>
    <xf numFmtId="0" fontId="44" fillId="0" borderId="0" xfId="0" applyFont="1" applyAlignment="1">
      <alignment horizontal="center"/>
    </xf>
    <xf numFmtId="10" fontId="8" fillId="5" borderId="23" xfId="14" applyNumberFormat="1" applyFont="1" applyFill="1" applyBorder="1" applyAlignment="1">
      <alignment horizontal="left"/>
    </xf>
    <xf numFmtId="10" fontId="8" fillId="6" borderId="23" xfId="14" applyNumberFormat="1" applyFont="1" applyFill="1" applyBorder="1" applyAlignment="1">
      <alignment horizontal="left"/>
    </xf>
    <xf numFmtId="41" fontId="4" fillId="0" borderId="5" xfId="13" applyNumberFormat="1" applyFont="1" applyBorder="1" applyAlignment="1">
      <alignment horizontal="center"/>
    </xf>
    <xf numFmtId="41" fontId="4" fillId="0" borderId="8" xfId="13" applyNumberFormat="1" applyFont="1" applyBorder="1" applyAlignment="1">
      <alignment horizontal="center"/>
    </xf>
    <xf numFmtId="3" fontId="3" fillId="0" borderId="0" xfId="6" applyNumberFormat="1" applyFont="1"/>
    <xf numFmtId="3" fontId="3" fillId="0" borderId="0" xfId="6" applyNumberFormat="1" applyFont="1" applyAlignment="1">
      <alignment horizontal="center"/>
    </xf>
    <xf numFmtId="0" fontId="3" fillId="0" borderId="0" xfId="6" applyFont="1"/>
    <xf numFmtId="3" fontId="3" fillId="0" borderId="0" xfId="6" applyNumberFormat="1" applyFont="1" applyAlignment="1">
      <alignment horizontal="left"/>
    </xf>
    <xf numFmtId="3" fontId="12" fillId="0" borderId="15" xfId="6" applyNumberFormat="1" applyFont="1" applyBorder="1" applyAlignment="1">
      <alignment horizontal="centerContinuous"/>
    </xf>
    <xf numFmtId="3" fontId="12" fillId="0" borderId="12" xfId="6" applyNumberFormat="1" applyFont="1" applyBorder="1" applyAlignment="1">
      <alignment horizontal="centerContinuous"/>
    </xf>
    <xf numFmtId="3" fontId="11" fillId="0" borderId="14" xfId="6" applyNumberFormat="1" applyFont="1" applyBorder="1" applyAlignment="1">
      <alignment horizontal="centerContinuous"/>
    </xf>
    <xf numFmtId="164" fontId="3" fillId="0" borderId="0" xfId="6" applyNumberFormat="1" applyFont="1"/>
    <xf numFmtId="5" fontId="3" fillId="0" borderId="13" xfId="6" applyNumberFormat="1" applyFont="1" applyBorder="1"/>
    <xf numFmtId="164" fontId="3" fillId="0" borderId="0" xfId="6" applyNumberFormat="1" applyFont="1" applyAlignment="1">
      <alignment horizontal="left"/>
    </xf>
    <xf numFmtId="1" fontId="3" fillId="0" borderId="0" xfId="6" applyNumberFormat="1" applyFont="1" applyAlignment="1">
      <alignment horizontal="center"/>
    </xf>
    <xf numFmtId="37" fontId="3" fillId="0" borderId="10" xfId="6" applyNumberFormat="1" applyFont="1" applyBorder="1" applyProtection="1">
      <protection locked="0"/>
    </xf>
    <xf numFmtId="37" fontId="3" fillId="0" borderId="0" xfId="6" applyNumberFormat="1" applyFont="1" applyProtection="1">
      <protection locked="0"/>
    </xf>
    <xf numFmtId="37" fontId="3" fillId="0" borderId="0" xfId="6" applyNumberFormat="1" applyFont="1" applyBorder="1" applyProtection="1">
      <protection locked="0"/>
    </xf>
    <xf numFmtId="37" fontId="3" fillId="0" borderId="0" xfId="6" applyNumberFormat="1" applyFont="1"/>
    <xf numFmtId="5" fontId="3" fillId="0" borderId="10" xfId="6" applyNumberFormat="1" applyFont="1" applyBorder="1" applyProtection="1">
      <protection locked="0"/>
    </xf>
    <xf numFmtId="5" fontId="3" fillId="0" borderId="0" xfId="6" applyNumberFormat="1" applyFont="1" applyProtection="1">
      <protection locked="0"/>
    </xf>
    <xf numFmtId="165" fontId="3" fillId="0" borderId="0" xfId="6" applyNumberFormat="1" applyFont="1"/>
    <xf numFmtId="37" fontId="3" fillId="0" borderId="10" xfId="6" applyNumberFormat="1" applyFont="1" applyBorder="1"/>
    <xf numFmtId="37" fontId="3" fillId="0" borderId="12" xfId="6" applyNumberFormat="1" applyFont="1" applyBorder="1"/>
    <xf numFmtId="37" fontId="3" fillId="0" borderId="3" xfId="6" applyNumberFormat="1" applyFont="1" applyBorder="1"/>
    <xf numFmtId="37" fontId="3" fillId="0" borderId="0" xfId="6" applyNumberFormat="1" applyFont="1" applyBorder="1"/>
    <xf numFmtId="3" fontId="5" fillId="0" borderId="0" xfId="6" applyNumberFormat="1" applyFont="1" applyAlignment="1">
      <alignment horizontal="center"/>
    </xf>
    <xf numFmtId="3" fontId="3" fillId="0" borderId="10" xfId="6" applyNumberFormat="1" applyFont="1" applyBorder="1" applyAlignment="1">
      <alignment horizontal="center"/>
    </xf>
    <xf numFmtId="3" fontId="3" fillId="0" borderId="0" xfId="6" applyNumberFormat="1" applyFont="1" applyBorder="1" applyAlignment="1">
      <alignment horizontal="centerContinuous"/>
    </xf>
    <xf numFmtId="3" fontId="4" fillId="0" borderId="0" xfId="6" applyNumberFormat="1" applyFont="1" applyBorder="1" applyAlignment="1">
      <alignment horizontal="centerContinuous"/>
    </xf>
    <xf numFmtId="3" fontId="3" fillId="0" borderId="10" xfId="6" applyNumberFormat="1" applyFont="1" applyBorder="1" applyAlignment="1">
      <alignment horizontal="centerContinuous"/>
    </xf>
    <xf numFmtId="3" fontId="4" fillId="0" borderId="10" xfId="6" applyNumberFormat="1" applyFont="1" applyBorder="1" applyAlignment="1">
      <alignment horizontal="centerContinuous"/>
    </xf>
    <xf numFmtId="3" fontId="3" fillId="0" borderId="0" xfId="6" applyNumberFormat="1" applyFont="1" applyAlignment="1">
      <alignment horizontal="centerContinuous"/>
    </xf>
    <xf numFmtId="0" fontId="3" fillId="0" borderId="0" xfId="6" applyFont="1" applyAlignment="1">
      <alignment horizontal="centerContinuous"/>
    </xf>
    <xf numFmtId="5" fontId="4" fillId="0" borderId="0" xfId="12" applyNumberFormat="1" applyFont="1" applyFill="1"/>
    <xf numFmtId="3" fontId="3" fillId="0" borderId="0" xfId="9" applyNumberFormat="1" applyFont="1" applyFill="1" applyAlignment="1">
      <alignment horizontal="center"/>
    </xf>
    <xf numFmtId="176" fontId="45" fillId="0" borderId="0" xfId="0" applyNumberFormat="1" applyFont="1" applyAlignment="1">
      <alignment horizontal="left"/>
    </xf>
    <xf numFmtId="0" fontId="45" fillId="0" borderId="0" xfId="0" applyFont="1"/>
    <xf numFmtId="3" fontId="45" fillId="0" borderId="0" xfId="0" applyNumberFormat="1" applyFont="1"/>
    <xf numFmtId="177" fontId="45" fillId="0" borderId="0" xfId="0" applyNumberFormat="1" applyFont="1" applyAlignment="1">
      <alignment horizontal="left"/>
    </xf>
    <xf numFmtId="177" fontId="45" fillId="0" borderId="0" xfId="0" applyNumberFormat="1" applyFont="1" applyFill="1" applyAlignment="1">
      <alignment horizontal="left"/>
    </xf>
    <xf numFmtId="3" fontId="45" fillId="0" borderId="0" xfId="0" applyNumberFormat="1" applyFont="1" applyFill="1"/>
    <xf numFmtId="0" fontId="45" fillId="0" borderId="0" xfId="0" applyFont="1" applyFill="1"/>
    <xf numFmtId="176" fontId="45" fillId="0" borderId="0" xfId="0" applyNumberFormat="1" applyFont="1" applyFill="1" applyAlignment="1">
      <alignment horizontal="left"/>
    </xf>
    <xf numFmtId="3" fontId="45" fillId="0" borderId="0" xfId="0" applyNumberFormat="1" applyFont="1" applyAlignment="1">
      <alignment horizontal="left"/>
    </xf>
    <xf numFmtId="176" fontId="45" fillId="0" borderId="0" xfId="0" applyNumberFormat="1" applyFont="1"/>
    <xf numFmtId="177" fontId="45" fillId="0" borderId="0" xfId="0" applyNumberFormat="1" applyFont="1" applyFill="1" applyAlignment="1">
      <alignment horizontal="center"/>
    </xf>
    <xf numFmtId="177" fontId="45" fillId="0" borderId="0" xfId="0" applyNumberFormat="1" applyFont="1" applyAlignment="1">
      <alignment horizontal="center"/>
    </xf>
    <xf numFmtId="0" fontId="45" fillId="0" borderId="0" xfId="0" applyNumberFormat="1" applyFont="1"/>
    <xf numFmtId="0" fontId="45" fillId="0" borderId="0" xfId="0" applyNumberFormat="1" applyFont="1" applyAlignment="1">
      <alignment horizontal="center"/>
    </xf>
    <xf numFmtId="176" fontId="45" fillId="0" borderId="0" xfId="0" applyNumberFormat="1" applyFont="1" applyAlignment="1">
      <alignment horizontal="center"/>
    </xf>
    <xf numFmtId="177" fontId="45" fillId="0" borderId="0" xfId="0" applyNumberFormat="1" applyFont="1"/>
    <xf numFmtId="176" fontId="45" fillId="7" borderId="0" xfId="0" applyNumberFormat="1" applyFont="1" applyFill="1"/>
    <xf numFmtId="3" fontId="45" fillId="7" borderId="0" xfId="0" applyNumberFormat="1" applyFont="1" applyFill="1"/>
    <xf numFmtId="0" fontId="45" fillId="7" borderId="0" xfId="0" applyFont="1" applyFill="1"/>
    <xf numFmtId="3" fontId="45" fillId="0" borderId="0" xfId="0" applyNumberFormat="1" applyFont="1" applyAlignment="1">
      <alignment horizontal="center"/>
    </xf>
    <xf numFmtId="3" fontId="45" fillId="0" borderId="0" xfId="0" applyNumberFormat="1" applyFont="1" applyFill="1" applyAlignment="1">
      <alignment horizontal="center"/>
    </xf>
    <xf numFmtId="3" fontId="45" fillId="7" borderId="0" xfId="0" applyNumberFormat="1" applyFont="1" applyFill="1" applyAlignment="1">
      <alignment horizontal="center"/>
    </xf>
    <xf numFmtId="176" fontId="45" fillId="0" borderId="0" xfId="0" applyNumberFormat="1" applyFont="1" applyFill="1"/>
    <xf numFmtId="3" fontId="3" fillId="0" borderId="0" xfId="6" applyNumberFormat="1" applyFont="1" applyFill="1" applyAlignment="1">
      <alignment horizontal="center"/>
    </xf>
    <xf numFmtId="41" fontId="3" fillId="0" borderId="3" xfId="12" applyNumberFormat="1" applyFont="1" applyFill="1" applyBorder="1"/>
    <xf numFmtId="41" fontId="3" fillId="0" borderId="3" xfId="12" applyNumberFormat="1" applyFont="1" applyBorder="1"/>
    <xf numFmtId="41" fontId="4" fillId="0" borderId="3" xfId="12" applyNumberFormat="1" applyFont="1" applyFill="1" applyBorder="1"/>
    <xf numFmtId="3" fontId="3" fillId="0" borderId="3" xfId="6" applyNumberFormat="1" applyFont="1" applyBorder="1"/>
    <xf numFmtId="37" fontId="3" fillId="0" borderId="10" xfId="12" applyNumberFormat="1" applyFont="1" applyFill="1" applyBorder="1"/>
    <xf numFmtId="5" fontId="3" fillId="0" borderId="13" xfId="12" applyNumberFormat="1" applyFont="1" applyFill="1" applyBorder="1"/>
    <xf numFmtId="5" fontId="43" fillId="0" borderId="0" xfId="12" applyNumberFormat="1" applyFont="1"/>
    <xf numFmtId="5" fontId="43" fillId="0" borderId="0" xfId="12" applyNumberFormat="1" applyFont="1" applyFill="1"/>
    <xf numFmtId="5" fontId="4" fillId="0" borderId="0" xfId="12" applyNumberFormat="1" applyFont="1"/>
    <xf numFmtId="37" fontId="4" fillId="0" borderId="0" xfId="12" applyNumberFormat="1" applyFont="1" applyFill="1"/>
    <xf numFmtId="37" fontId="4" fillId="0" borderId="10" xfId="12" applyNumberFormat="1" applyFont="1" applyFill="1" applyBorder="1"/>
    <xf numFmtId="37" fontId="4" fillId="0" borderId="3" xfId="12" applyNumberFormat="1" applyFont="1" applyBorder="1"/>
    <xf numFmtId="37" fontId="4" fillId="0" borderId="3" xfId="12" applyNumberFormat="1" applyFont="1" applyFill="1" applyBorder="1"/>
    <xf numFmtId="5" fontId="3" fillId="0" borderId="13" xfId="12" applyNumberFormat="1" applyFont="1" applyBorder="1"/>
    <xf numFmtId="5" fontId="39" fillId="0" borderId="13" xfId="12" applyNumberFormat="1" applyFont="1" applyBorder="1"/>
    <xf numFmtId="5" fontId="4" fillId="0" borderId="13" xfId="12" applyNumberFormat="1" applyFont="1" applyFill="1" applyBorder="1"/>
    <xf numFmtId="5" fontId="4" fillId="0" borderId="13" xfId="12" applyNumberFormat="1" applyFont="1" applyBorder="1"/>
    <xf numFmtId="5" fontId="43" fillId="0" borderId="0" xfId="10" applyNumberFormat="1" applyFont="1" applyFill="1" applyBorder="1"/>
    <xf numFmtId="5" fontId="3" fillId="0" borderId="0" xfId="10" applyNumberFormat="1" applyFont="1" applyFill="1" applyBorder="1"/>
    <xf numFmtId="2" fontId="4" fillId="0" borderId="0" xfId="12" applyNumberFormat="1" applyFont="1" applyAlignment="1">
      <alignment horizontal="center"/>
    </xf>
    <xf numFmtId="2" fontId="4" fillId="0" borderId="0" xfId="4" applyNumberFormat="1" applyFont="1" applyAlignment="1" applyProtection="1">
      <alignment horizontal="center"/>
    </xf>
    <xf numFmtId="2" fontId="42" fillId="0" borderId="0" xfId="4" applyNumberFormat="1" applyFont="1" applyAlignment="1" applyProtection="1">
      <alignment horizontal="center"/>
    </xf>
    <xf numFmtId="2" fontId="40" fillId="0" borderId="0" xfId="4" applyNumberFormat="1" applyFont="1" applyAlignment="1" applyProtection="1">
      <alignment horizontal="center"/>
    </xf>
    <xf numFmtId="2" fontId="4" fillId="0" borderId="0" xfId="4" applyNumberFormat="1" applyFont="1" applyFill="1" applyAlignment="1" applyProtection="1">
      <alignment horizontal="center"/>
    </xf>
    <xf numFmtId="2" fontId="4" fillId="0" borderId="0" xfId="4" applyNumberFormat="1" applyFont="1" applyFill="1" applyAlignment="1" applyProtection="1">
      <alignment horizontal="center"/>
      <protection locked="0"/>
    </xf>
    <xf numFmtId="2" fontId="4" fillId="0" borderId="0" xfId="12" applyNumberFormat="1" applyFont="1" applyFill="1" applyBorder="1" applyAlignment="1">
      <alignment horizontal="center"/>
    </xf>
    <xf numFmtId="2" fontId="4" fillId="0" borderId="0" xfId="4" applyNumberFormat="1" applyFont="1" applyFill="1" applyBorder="1" applyAlignment="1" applyProtection="1">
      <alignment horizontal="center"/>
    </xf>
    <xf numFmtId="2" fontId="4" fillId="0" borderId="0" xfId="12" applyNumberFormat="1" applyFont="1" applyBorder="1" applyAlignment="1">
      <alignment horizontal="center"/>
    </xf>
    <xf numFmtId="169" fontId="3" fillId="0" borderId="0" xfId="14" applyNumberFormat="1" applyFont="1" applyFill="1"/>
    <xf numFmtId="37" fontId="4" fillId="0" borderId="0" xfId="12" applyNumberFormat="1" applyFont="1" applyFill="1" applyBorder="1"/>
    <xf numFmtId="4" fontId="7" fillId="0" borderId="0" xfId="11" applyNumberFormat="1" applyFont="1" applyBorder="1" applyAlignment="1">
      <alignment horizontal="centerContinuous"/>
    </xf>
    <xf numFmtId="4" fontId="7" fillId="0" borderId="0" xfId="11" applyNumberFormat="1" applyFont="1" applyAlignment="1">
      <alignment horizontal="center"/>
    </xf>
    <xf numFmtId="4" fontId="27" fillId="0" borderId="0" xfId="11" applyNumberFormat="1" applyFont="1" applyAlignment="1">
      <alignment horizontal="center"/>
    </xf>
    <xf numFmtId="4" fontId="8" fillId="0" borderId="0" xfId="11" applyNumberFormat="1" applyFont="1" applyAlignment="1">
      <alignment horizontal="centerContinuous"/>
    </xf>
    <xf numFmtId="4" fontId="20" fillId="0" borderId="0" xfId="11" applyNumberFormat="1" applyFont="1" applyBorder="1" applyAlignment="1">
      <alignment horizontal="centerContinuous"/>
    </xf>
    <xf numFmtId="4" fontId="7" fillId="0" borderId="0" xfId="11" applyNumberFormat="1" applyFont="1" applyAlignment="1">
      <alignment horizontal="centerContinuous"/>
    </xf>
    <xf numFmtId="4" fontId="7" fillId="0" borderId="0" xfId="11" applyNumberFormat="1" applyFont="1"/>
    <xf numFmtId="3" fontId="7" fillId="0" borderId="0" xfId="11" applyNumberFormat="1" applyFont="1" applyBorder="1" applyAlignment="1">
      <alignment horizontal="left"/>
    </xf>
    <xf numFmtId="3" fontId="7" fillId="0" borderId="10" xfId="11" applyNumberFormat="1" applyFont="1" applyBorder="1" applyAlignment="1">
      <alignment horizontal="left"/>
    </xf>
    <xf numFmtId="4" fontId="7" fillId="0" borderId="0" xfId="11" applyNumberFormat="1" applyFont="1" applyAlignment="1">
      <alignment horizontal="left"/>
    </xf>
    <xf numFmtId="3" fontId="27" fillId="0" borderId="0" xfId="11" applyNumberFormat="1" applyFont="1" applyAlignment="1">
      <alignment horizontal="left"/>
    </xf>
    <xf numFmtId="0" fontId="7" fillId="0" borderId="0" xfId="11" applyFont="1" applyBorder="1"/>
    <xf numFmtId="0" fontId="7" fillId="0" borderId="10" xfId="0" applyFont="1" applyBorder="1" applyAlignment="1">
      <alignment horizontal="center"/>
    </xf>
    <xf numFmtId="0" fontId="7" fillId="0" borderId="0" xfId="0" applyFont="1" applyAlignment="1">
      <alignment horizontal="center"/>
    </xf>
    <xf numFmtId="0" fontId="7" fillId="0" borderId="0" xfId="0" applyFont="1" applyAlignment="1">
      <alignment horizontal="center"/>
    </xf>
    <xf numFmtId="3" fontId="3" fillId="0" borderId="0" xfId="6" applyNumberFormat="1" applyFont="1" applyBorder="1" applyAlignment="1">
      <alignment horizontal="center"/>
    </xf>
    <xf numFmtId="2" fontId="3" fillId="0" borderId="0" xfId="12" applyNumberFormat="1" applyFont="1" applyAlignment="1">
      <alignment horizontal="left"/>
    </xf>
    <xf numFmtId="0" fontId="4" fillId="0" borderId="0" xfId="12" applyNumberFormat="1" applyFont="1" applyBorder="1" applyAlignment="1">
      <alignment horizontal="center"/>
    </xf>
    <xf numFmtId="41" fontId="4" fillId="0" borderId="0" xfId="12" applyNumberFormat="1" applyFont="1" applyFill="1" applyBorder="1" applyAlignment="1">
      <alignment horizontal="center"/>
    </xf>
    <xf numFmtId="41" fontId="4" fillId="0" borderId="0" xfId="12" applyNumberFormat="1" applyFont="1" applyBorder="1" applyAlignment="1">
      <alignment horizontal="center"/>
    </xf>
    <xf numFmtId="41" fontId="4" fillId="0" borderId="0" xfId="10" applyNumberFormat="1" applyFont="1" applyFill="1" applyBorder="1" applyAlignment="1">
      <alignment horizontal="center"/>
    </xf>
    <xf numFmtId="41" fontId="4" fillId="0" borderId="0" xfId="13" applyNumberFormat="1" applyFont="1" applyBorder="1" applyAlignment="1">
      <alignment horizontal="center"/>
    </xf>
    <xf numFmtId="41" fontId="4" fillId="0" borderId="0" xfId="13" applyNumberFormat="1" applyFont="1" applyFill="1" applyBorder="1" applyAlignment="1">
      <alignment horizontal="center"/>
    </xf>
    <xf numFmtId="41" fontId="4" fillId="0" borderId="4" xfId="12" applyNumberFormat="1" applyFont="1" applyBorder="1" applyAlignment="1">
      <alignment horizontal="center"/>
    </xf>
    <xf numFmtId="41" fontId="4" fillId="0" borderId="7" xfId="12" applyNumberFormat="1" applyFont="1" applyBorder="1" applyAlignment="1">
      <alignment horizontal="center"/>
    </xf>
    <xf numFmtId="41" fontId="4" fillId="0" borderId="11" xfId="12" applyNumberFormat="1" applyFont="1" applyBorder="1" applyAlignment="1">
      <alignment horizontal="center"/>
    </xf>
    <xf numFmtId="0" fontId="4" fillId="0" borderId="1" xfId="12" applyFont="1" applyBorder="1" applyAlignment="1">
      <alignment horizontal="center"/>
    </xf>
    <xf numFmtId="41" fontId="4" fillId="0" borderId="10" xfId="12" applyNumberFormat="1" applyFont="1" applyFill="1" applyBorder="1" applyAlignment="1">
      <alignment horizontal="center"/>
    </xf>
    <xf numFmtId="41" fontId="4" fillId="0" borderId="10" xfId="12" applyNumberFormat="1" applyFont="1" applyBorder="1" applyAlignment="1">
      <alignment horizontal="center"/>
    </xf>
    <xf numFmtId="41" fontId="4" fillId="0" borderId="10" xfId="13" applyNumberFormat="1" applyFont="1" applyBorder="1" applyAlignment="1">
      <alignment horizontal="center"/>
    </xf>
    <xf numFmtId="41" fontId="4" fillId="0" borderId="10" xfId="13" applyNumberFormat="1" applyFont="1" applyFill="1" applyBorder="1" applyAlignment="1">
      <alignment horizontal="center"/>
    </xf>
    <xf numFmtId="41" fontId="4" fillId="0" borderId="10" xfId="12" quotePrefix="1" applyNumberFormat="1" applyFont="1" applyFill="1" applyBorder="1" applyAlignment="1">
      <alignment horizontal="center"/>
    </xf>
    <xf numFmtId="41" fontId="4" fillId="0" borderId="10" xfId="12" quotePrefix="1" applyNumberFormat="1" applyFont="1" applyBorder="1" applyAlignment="1">
      <alignment horizontal="center"/>
    </xf>
    <xf numFmtId="2" fontId="4" fillId="0" borderId="10" xfId="12" applyNumberFormat="1" applyFont="1" applyBorder="1" applyAlignment="1">
      <alignment horizontal="center"/>
    </xf>
    <xf numFmtId="2" fontId="3" fillId="0" borderId="10" xfId="12" applyNumberFormat="1" applyFont="1" applyBorder="1" applyAlignment="1">
      <alignment horizontal="left"/>
    </xf>
    <xf numFmtId="2" fontId="4" fillId="0" borderId="10" xfId="4" applyNumberFormat="1" applyFont="1" applyBorder="1" applyAlignment="1" applyProtection="1">
      <alignment horizontal="center"/>
    </xf>
    <xf numFmtId="0" fontId="4" fillId="0" borderId="10" xfId="12" applyNumberFormat="1" applyFont="1" applyBorder="1" applyAlignment="1">
      <alignment horizontal="center"/>
    </xf>
    <xf numFmtId="0" fontId="4" fillId="0" borderId="10" xfId="12" applyFont="1" applyBorder="1" applyAlignment="1">
      <alignment horizontal="left"/>
    </xf>
    <xf numFmtId="4" fontId="7" fillId="0" borderId="0" xfId="0" applyNumberFormat="1" applyFont="1" applyAlignment="1">
      <alignment horizontal="left"/>
    </xf>
    <xf numFmtId="9" fontId="3" fillId="0" borderId="0" xfId="14" applyFont="1"/>
    <xf numFmtId="41" fontId="3" fillId="0" borderId="13" xfId="12" applyNumberFormat="1" applyFont="1" applyBorder="1"/>
    <xf numFmtId="2" fontId="47" fillId="0" borderId="0" xfId="4" applyNumberFormat="1" applyFont="1" applyAlignment="1" applyProtection="1">
      <alignment horizontal="center"/>
    </xf>
    <xf numFmtId="0" fontId="8" fillId="0" borderId="19" xfId="0" applyFont="1" applyFill="1" applyBorder="1" applyAlignment="1">
      <alignment horizontal="left"/>
    </xf>
    <xf numFmtId="0" fontId="8" fillId="0" borderId="20" xfId="0" applyFont="1" applyFill="1" applyBorder="1" applyAlignment="1">
      <alignment horizontal="center"/>
    </xf>
    <xf numFmtId="0" fontId="8" fillId="0" borderId="21" xfId="0" applyFont="1" applyFill="1" applyBorder="1" applyAlignment="1">
      <alignment horizontal="center"/>
    </xf>
    <xf numFmtId="37" fontId="7" fillId="0" borderId="22" xfId="12" applyNumberFormat="1" applyFont="1" applyFill="1" applyBorder="1"/>
    <xf numFmtId="37" fontId="7" fillId="0" borderId="0" xfId="12" applyNumberFormat="1" applyFont="1" applyFill="1" applyBorder="1"/>
    <xf numFmtId="0" fontId="8" fillId="0" borderId="0" xfId="0" applyFont="1" applyFill="1" applyBorder="1" applyAlignment="1">
      <alignment horizontal="center"/>
    </xf>
    <xf numFmtId="37" fontId="16" fillId="0" borderId="0" xfId="12" applyNumberFormat="1" applyFont="1" applyFill="1" applyBorder="1"/>
    <xf numFmtId="37" fontId="7" fillId="0" borderId="23" xfId="12" applyNumberFormat="1" applyFont="1" applyFill="1" applyBorder="1"/>
    <xf numFmtId="0" fontId="8" fillId="0" borderId="10" xfId="0" applyFont="1" applyFill="1" applyBorder="1" applyAlignment="1">
      <alignment horizontal="center"/>
    </xf>
    <xf numFmtId="0" fontId="7" fillId="0" borderId="23" xfId="0" applyFont="1" applyFill="1" applyBorder="1"/>
    <xf numFmtId="5" fontId="7" fillId="0" borderId="0" xfId="0" applyNumberFormat="1" applyFont="1" applyFill="1" applyBorder="1"/>
    <xf numFmtId="10" fontId="7" fillId="0" borderId="0" xfId="14" applyNumberFormat="1" applyFont="1" applyFill="1" applyBorder="1"/>
    <xf numFmtId="10" fontId="16" fillId="0" borderId="0" xfId="14" applyNumberFormat="1" applyFont="1" applyFill="1" applyBorder="1"/>
    <xf numFmtId="10" fontId="8" fillId="0" borderId="23" xfId="14" applyNumberFormat="1" applyFont="1" applyFill="1" applyBorder="1" applyAlignment="1">
      <alignment horizontal="left"/>
    </xf>
    <xf numFmtId="169" fontId="7" fillId="0" borderId="0" xfId="14" applyNumberFormat="1" applyFont="1" applyFill="1" applyBorder="1"/>
    <xf numFmtId="169" fontId="16" fillId="0" borderId="0" xfId="14" applyNumberFormat="1" applyFont="1" applyFill="1" applyBorder="1"/>
    <xf numFmtId="10" fontId="7" fillId="0" borderId="16" xfId="14" applyNumberFormat="1" applyFont="1" applyFill="1" applyBorder="1"/>
    <xf numFmtId="37" fontId="7" fillId="0" borderId="24" xfId="12" applyNumberFormat="1" applyFont="1" applyFill="1" applyBorder="1"/>
    <xf numFmtId="0" fontId="7" fillId="0" borderId="25" xfId="0" applyFont="1" applyFill="1" applyBorder="1"/>
    <xf numFmtId="170" fontId="7" fillId="0" borderId="25" xfId="1" applyNumberFormat="1" applyFont="1" applyFill="1" applyBorder="1"/>
    <xf numFmtId="10" fontId="7" fillId="0" borderId="25" xfId="14" applyNumberFormat="1" applyFont="1" applyFill="1" applyBorder="1"/>
    <xf numFmtId="10" fontId="16" fillId="0" borderId="25" xfId="14" applyNumberFormat="1" applyFont="1" applyFill="1" applyBorder="1"/>
    <xf numFmtId="37" fontId="7" fillId="0" borderId="26" xfId="12" applyNumberFormat="1" applyFont="1" applyFill="1" applyBorder="1"/>
    <xf numFmtId="0" fontId="7" fillId="0" borderId="28" xfId="11" applyFont="1" applyBorder="1" applyAlignment="1">
      <alignment horizontal="center"/>
    </xf>
    <xf numFmtId="4" fontId="7" fillId="0" borderId="22" xfId="11" applyNumberFormat="1" applyFont="1" applyBorder="1" applyAlignment="1">
      <alignment horizontal="center"/>
    </xf>
    <xf numFmtId="0" fontId="7" fillId="0" borderId="29" xfId="11" applyFont="1" applyBorder="1" applyAlignment="1">
      <alignment horizontal="center"/>
    </xf>
    <xf numFmtId="41" fontId="7" fillId="0" borderId="22" xfId="11" applyNumberFormat="1" applyFont="1" applyBorder="1" applyAlignment="1">
      <alignment horizontal="right"/>
    </xf>
    <xf numFmtId="164" fontId="7" fillId="0" borderId="22" xfId="11" applyNumberFormat="1" applyFont="1" applyBorder="1"/>
    <xf numFmtId="170" fontId="7" fillId="0" borderId="22" xfId="1" applyNumberFormat="1" applyFont="1" applyBorder="1"/>
    <xf numFmtId="10" fontId="7" fillId="0" borderId="29" xfId="14" applyNumberFormat="1" applyFont="1" applyBorder="1"/>
    <xf numFmtId="170" fontId="16" fillId="0" borderId="29" xfId="1" applyNumberFormat="1" applyFont="1" applyFill="1" applyBorder="1"/>
    <xf numFmtId="43" fontId="7" fillId="0" borderId="29" xfId="1" applyNumberFormat="1" applyFont="1" applyBorder="1"/>
    <xf numFmtId="170" fontId="7" fillId="3" borderId="27" xfId="1" applyNumberFormat="1" applyFont="1" applyFill="1" applyBorder="1"/>
    <xf numFmtId="3" fontId="7" fillId="0" borderId="2" xfId="11" applyNumberFormat="1" applyFont="1" applyBorder="1" applyAlignment="1">
      <alignment horizontal="center"/>
    </xf>
    <xf numFmtId="3" fontId="7" fillId="0" borderId="4" xfId="11" applyNumberFormat="1" applyFont="1" applyBorder="1"/>
    <xf numFmtId="4" fontId="7" fillId="0" borderId="6" xfId="11" applyNumberFormat="1" applyFont="1" applyBorder="1" applyAlignment="1">
      <alignment horizontal="center"/>
    </xf>
    <xf numFmtId="3" fontId="7" fillId="0" borderId="7" xfId="11" applyNumberFormat="1" applyFont="1" applyBorder="1"/>
    <xf numFmtId="3" fontId="7" fillId="0" borderId="9" xfId="11" applyNumberFormat="1" applyFont="1" applyBorder="1" applyAlignment="1">
      <alignment horizontal="center"/>
    </xf>
    <xf numFmtId="3" fontId="7" fillId="0" borderId="11" xfId="11" applyNumberFormat="1" applyFont="1" applyBorder="1" applyAlignment="1">
      <alignment horizontal="center"/>
    </xf>
    <xf numFmtId="5" fontId="7" fillId="0" borderId="6" xfId="11" applyNumberFormat="1" applyFont="1" applyBorder="1" applyAlignment="1">
      <alignment horizontal="right"/>
    </xf>
    <xf numFmtId="41" fontId="7" fillId="0" borderId="6" xfId="11" applyNumberFormat="1" applyFont="1" applyBorder="1" applyAlignment="1">
      <alignment horizontal="right"/>
    </xf>
    <xf numFmtId="3" fontId="19" fillId="0" borderId="7" xfId="11" applyNumberFormat="1" applyFont="1" applyBorder="1"/>
    <xf numFmtId="170" fontId="7" fillId="0" borderId="6" xfId="1" applyNumberFormat="1" applyFont="1" applyBorder="1"/>
    <xf numFmtId="170" fontId="7" fillId="0" borderId="7" xfId="1" applyNumberFormat="1" applyFont="1" applyBorder="1"/>
    <xf numFmtId="170" fontId="7" fillId="0" borderId="6" xfId="1" applyNumberFormat="1" applyFont="1" applyBorder="1" applyAlignment="1">
      <alignment horizontal="right"/>
    </xf>
    <xf numFmtId="170" fontId="19" fillId="0" borderId="7" xfId="1" applyNumberFormat="1" applyFont="1" applyBorder="1"/>
    <xf numFmtId="10" fontId="7" fillId="0" borderId="9" xfId="14" applyNumberFormat="1" applyFont="1" applyBorder="1"/>
    <xf numFmtId="10" fontId="7" fillId="0" borderId="11" xfId="14" applyNumberFormat="1" applyFont="1" applyBorder="1"/>
    <xf numFmtId="170" fontId="16" fillId="0" borderId="9" xfId="1" applyNumberFormat="1" applyFont="1" applyFill="1" applyBorder="1"/>
    <xf numFmtId="170" fontId="7" fillId="0" borderId="11" xfId="1" applyNumberFormat="1" applyFont="1" applyBorder="1"/>
    <xf numFmtId="43" fontId="7" fillId="0" borderId="9" xfId="1" applyNumberFormat="1" applyFont="1" applyBorder="1"/>
    <xf numFmtId="170" fontId="7" fillId="0" borderId="9" xfId="1" applyNumberFormat="1" applyFont="1" applyBorder="1"/>
    <xf numFmtId="3" fontId="48" fillId="0" borderId="0" xfId="11" applyNumberFormat="1" applyFont="1" applyAlignment="1">
      <alignment horizontal="center" wrapText="1"/>
    </xf>
    <xf numFmtId="170" fontId="7" fillId="0" borderId="0" xfId="1" applyNumberFormat="1" applyFont="1" applyFill="1" applyBorder="1" applyAlignment="1">
      <alignment horizontal="center" vertical="top"/>
    </xf>
    <xf numFmtId="178" fontId="3" fillId="0" borderId="0" xfId="12" applyNumberFormat="1" applyFont="1"/>
    <xf numFmtId="0" fontId="7"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xf>
    <xf numFmtId="10" fontId="7" fillId="0" borderId="0" xfId="0" applyNumberFormat="1" applyFont="1" applyFill="1" applyBorder="1" applyAlignment="1">
      <alignment horizontal="center"/>
    </xf>
    <xf numFmtId="0" fontId="7" fillId="0" borderId="0" xfId="0" applyFont="1" applyAlignment="1">
      <alignment horizontal="center"/>
    </xf>
    <xf numFmtId="41" fontId="49" fillId="0" borderId="0" xfId="12" applyNumberFormat="1" applyFont="1" applyFill="1" applyBorder="1" applyAlignment="1">
      <alignment horizontal="center"/>
    </xf>
    <xf numFmtId="0" fontId="7" fillId="0" borderId="0" xfId="0" applyFont="1" applyAlignment="1">
      <alignment horizontal="center"/>
    </xf>
    <xf numFmtId="0" fontId="19" fillId="0" borderId="0" xfId="0" applyFont="1" applyFill="1" applyAlignment="1">
      <alignment wrapText="1"/>
    </xf>
    <xf numFmtId="0" fontId="7" fillId="0" borderId="0" xfId="0" applyFont="1" applyAlignment="1">
      <alignment horizontal="center"/>
    </xf>
    <xf numFmtId="0" fontId="7" fillId="0" borderId="0" xfId="0" applyFont="1" applyAlignment="1">
      <alignment horizontal="center"/>
    </xf>
    <xf numFmtId="37" fontId="8" fillId="0" borderId="23" xfId="12" applyNumberFormat="1" applyFont="1" applyFill="1" applyBorder="1" applyAlignment="1">
      <alignment wrapText="1"/>
    </xf>
    <xf numFmtId="0" fontId="7" fillId="0" borderId="0" xfId="0" applyFont="1" applyAlignment="1">
      <alignment horizontal="center"/>
    </xf>
    <xf numFmtId="0" fontId="7" fillId="0" borderId="0" xfId="0" applyFont="1" applyAlignment="1">
      <alignment horizontal="center"/>
    </xf>
    <xf numFmtId="41" fontId="3" fillId="0" borderId="0" xfId="12" applyNumberFormat="1" applyFont="1" applyFill="1" applyAlignment="1">
      <alignment horizontal="right"/>
    </xf>
    <xf numFmtId="41" fontId="3" fillId="5" borderId="0" xfId="12" applyNumberFormat="1" applyFont="1" applyFill="1"/>
    <xf numFmtId="41" fontId="43" fillId="7" borderId="0" xfId="12" applyNumberFormat="1" applyFont="1" applyFill="1"/>
    <xf numFmtId="0" fontId="8" fillId="0" borderId="0" xfId="0" applyFont="1" applyAlignment="1">
      <alignment horizontal="center"/>
    </xf>
    <xf numFmtId="0" fontId="7" fillId="0" borderId="0" xfId="0" applyFont="1" applyAlignment="1">
      <alignment horizontal="center"/>
    </xf>
    <xf numFmtId="0" fontId="9" fillId="0" borderId="0" xfId="0" applyFont="1" applyAlignment="1">
      <alignment horizontal="center"/>
    </xf>
    <xf numFmtId="0" fontId="8" fillId="0" borderId="0" xfId="0" applyFont="1" applyBorder="1" applyAlignment="1">
      <alignment horizontal="center"/>
    </xf>
    <xf numFmtId="0" fontId="7" fillId="0" borderId="27" xfId="11" applyFont="1" applyBorder="1" applyAlignment="1">
      <alignment horizontal="center"/>
    </xf>
    <xf numFmtId="0" fontId="7" fillId="0" borderId="30" xfId="11" applyFont="1" applyBorder="1" applyAlignment="1">
      <alignment horizontal="center"/>
    </xf>
    <xf numFmtId="0" fontId="7" fillId="0" borderId="31" xfId="11" applyFont="1" applyBorder="1" applyAlignment="1">
      <alignment horizontal="center"/>
    </xf>
    <xf numFmtId="4" fontId="14" fillId="0" borderId="0" xfId="11" applyNumberFormat="1" applyFont="1" applyBorder="1" applyAlignment="1">
      <alignment horizontal="center"/>
    </xf>
    <xf numFmtId="4" fontId="8" fillId="0" borderId="0" xfId="11" applyNumberFormat="1" applyFont="1" applyBorder="1" applyAlignment="1">
      <alignment horizontal="center"/>
    </xf>
    <xf numFmtId="4" fontId="28" fillId="0" borderId="0" xfId="11" applyNumberFormat="1" applyFont="1" applyBorder="1" applyAlignment="1">
      <alignment horizontal="center"/>
    </xf>
    <xf numFmtId="4" fontId="7" fillId="0" borderId="0" xfId="11" applyNumberFormat="1" applyFont="1" applyBorder="1" applyAlignment="1">
      <alignment horizontal="center"/>
    </xf>
  </cellXfs>
  <cellStyles count="18">
    <cellStyle name="Comma" xfId="1" builtinId="3"/>
    <cellStyle name="Currency" xfId="2" builtinId="4"/>
    <cellStyle name="Currency 2" xfId="3"/>
    <cellStyle name="Followed Hyperlink" xfId="4" builtinId="9" customBuiltin="1"/>
    <cellStyle name="Hyperlink" xfId="5" builtinId="8" customBuiltin="1"/>
    <cellStyle name="Manual-Input" xfId="17"/>
    <cellStyle name="Normal" xfId="0" builtinId="0"/>
    <cellStyle name="Normal 2" xfId="16"/>
    <cellStyle name="Normal 2 2" xfId="6"/>
    <cellStyle name="Normal 2 3" xfId="7"/>
    <cellStyle name="Normal 6" xfId="8"/>
    <cellStyle name="Normal_DFIT-WaEle_SUM" xfId="9"/>
    <cellStyle name="Normal_IDGas6_97" xfId="10"/>
    <cellStyle name="Normal_RestateDebtInt1200case" xfId="11"/>
    <cellStyle name="Normal_WAElec6_97" xfId="12"/>
    <cellStyle name="Normal_WAGas6_97"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2\2012%20WA%20GRC\Adjustment%20Information\Draft-Avista%20Electric%202012%20GRC-WA%20ELECsumm2011P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2/2012%20WA%20GRC/Adjustments/2012%20WA%20Electric%20RR%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WA"/>
      <sheetName val="RevReq_Exh_WA"/>
      <sheetName val="ConverFac_Exh-WA"/>
      <sheetName val="Retail Revenue Credit"/>
      <sheetName val="PFRstmtSheet"/>
      <sheetName val="WAElec_Summary"/>
      <sheetName val="1.01-DFIT"/>
      <sheetName val="1.02-Deferred Dr. and CR."/>
      <sheetName val="1.03-Res_Capital"/>
      <sheetName val="1.04-WrkgCap"/>
      <sheetName val="2.01-BandO"/>
      <sheetName val="2.02-PropTax"/>
      <sheetName val="2.03-UncollExp"/>
      <sheetName val="2.04-RegExp"/>
      <sheetName val="2.05-InjDam"/>
      <sheetName val="2.06-FIT"/>
      <sheetName val="2.07-ElimPowerCost"/>
      <sheetName val="2.08-NezPerce"/>
      <sheetName val="2.09-ElimAR"/>
      <sheetName val="2.10-SubSpace"/>
      <sheetName val="2.11-ExciseTax"/>
      <sheetName val="2.12-GainsLoss"/>
      <sheetName val="2.13-RevNormalztn"/>
      <sheetName val="2.14-MiscRestate"/>
      <sheetName val="2.15-Res_Incen"/>
      <sheetName val="2.16-BCKaBlck"/>
      <sheetName val="2.17-Depr. Study"/>
      <sheetName val="2.18-CS2 Colstrip"/>
      <sheetName val="2.19-Attrition"/>
      <sheetName val="2.20-DebtInt"/>
      <sheetName val="2.20a-DebtCalc"/>
      <sheetName val="PF1-PSWA"/>
      <sheetName val="PF2-Trans"/>
      <sheetName val="PF3-Labor"/>
      <sheetName val="PF4-Exec"/>
      <sheetName val="PF5-EmpBen"/>
      <sheetName val="PF6-Insur"/>
      <sheetName val="PF7-Capx2012"/>
      <sheetName val="PF8-Smart Grid"/>
      <sheetName val="PF9-Aldyl A"/>
      <sheetName val="PF10-First Wind"/>
      <sheetName val="PF11-Noxon Gen"/>
      <sheetName val="PF12-VegMgmt"/>
      <sheetName val="PF13-Perf.Exel."/>
      <sheetName val="PF14-IT Expenses"/>
      <sheetName val="PF15-Compass "/>
      <sheetName val="Revised Comparison-For sttlmnt"/>
      <sheetName val="Inputs"/>
      <sheetName val="PFProdFctr-WA-not used-formula"/>
      <sheetName val="PFProdFctr-WA calc"/>
      <sheetName val="Sheet"/>
    </sheetNames>
    <sheetDataSet>
      <sheetData sheetId="0" refreshError="1"/>
      <sheetData sheetId="1" refreshError="1"/>
      <sheetData sheetId="2" refreshError="1"/>
      <sheetData sheetId="3" refreshError="1"/>
      <sheetData sheetId="4">
        <row r="1">
          <cell r="A1" t="str">
            <v xml:space="preserve"> </v>
          </cell>
        </row>
      </sheetData>
      <sheetData sheetId="5">
        <row r="4">
          <cell r="A4" t="str">
            <v>TWELVE MONTHS ENDED DECEMBER 31, 2011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6">
          <cell r="D6" t="str">
            <v>AVISTA UTILITIES</v>
          </cell>
        </row>
      </sheetData>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
      <sheetName val="RR SUMMARY"/>
      <sheetName val="CF "/>
      <sheetName val="ADJ SUMMARY"/>
      <sheetName val="ADJ DETAIL-INPUT"/>
      <sheetName val="LEAD SHEETS-DO NOT ENTER"/>
      <sheetName val="ROO INPUT"/>
      <sheetName val="DEBT CALC"/>
      <sheetName val="RETAIL REVENUE CREDIT"/>
      <sheetName val="COMPARISON -SETTL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D86"/>
  <sheetViews>
    <sheetView tabSelected="1" view="pageBreakPreview" zoomScale="130" zoomScaleNormal="100" zoomScaleSheetLayoutView="130" workbookViewId="0">
      <pane xSplit="4" ySplit="10" topLeftCell="W11" activePane="bottomRight" state="frozen"/>
      <selection activeCell="D41" sqref="D41"/>
      <selection pane="topRight" activeCell="D41" sqref="D41"/>
      <selection pane="bottomLeft" activeCell="D41" sqref="D41"/>
      <selection pane="bottomRight" activeCell="Z6" sqref="Z6"/>
    </sheetView>
  </sheetViews>
  <sheetFormatPr defaultColWidth="10.7109375" defaultRowHeight="12.75"/>
  <cols>
    <col min="1" max="1" width="4.7109375" style="3" customWidth="1"/>
    <col min="2" max="3" width="1.7109375" style="2" customWidth="1"/>
    <col min="4" max="4" width="33.7109375" style="2" customWidth="1"/>
    <col min="5" max="5" width="13.5703125" style="175" bestFit="1" customWidth="1"/>
    <col min="6" max="6" width="14.140625" style="174" bestFit="1" customWidth="1"/>
    <col min="7" max="7" width="11.7109375" style="174" customWidth="1"/>
    <col min="8" max="8" width="10.42578125" style="175" customWidth="1"/>
    <col min="9" max="9" width="11.140625" style="176" customWidth="1"/>
    <col min="10" max="10" width="10.140625" style="174" customWidth="1"/>
    <col min="11" max="11" width="11.42578125" style="176" customWidth="1"/>
    <col min="12" max="12" width="11" style="174" customWidth="1"/>
    <col min="13" max="13" width="11.5703125" style="176" customWidth="1"/>
    <col min="14" max="14" width="11.140625" style="174" customWidth="1"/>
    <col min="15" max="15" width="11.85546875" style="174" customWidth="1"/>
    <col min="16" max="16" width="11.5703125" style="176" customWidth="1"/>
    <col min="17" max="17" width="11.140625" style="176" customWidth="1"/>
    <col min="18" max="18" width="11.85546875" style="176" bestFit="1" customWidth="1"/>
    <col min="19" max="19" width="12.28515625" style="176" customWidth="1"/>
    <col min="20" max="20" width="11.5703125" style="176" customWidth="1"/>
    <col min="21" max="21" width="13.42578125" style="174" bestFit="1" customWidth="1"/>
    <col min="22" max="22" width="9.42578125" style="175" bestFit="1" customWidth="1"/>
    <col min="23" max="23" width="11.42578125" style="175" customWidth="1"/>
    <col min="24" max="24" width="11.85546875" style="175" customWidth="1"/>
    <col min="25" max="25" width="8.140625" style="175" bestFit="1" customWidth="1"/>
    <col min="26" max="26" width="13.28515625" style="173" customWidth="1"/>
    <col min="27" max="27" width="12.5703125" style="175" hidden="1" customWidth="1"/>
    <col min="28" max="30" width="10.5703125" style="175" hidden="1" customWidth="1"/>
    <col min="31" max="31" width="10.5703125" style="174" hidden="1" customWidth="1"/>
    <col min="32" max="32" width="11.140625" style="175" hidden="1" customWidth="1"/>
    <col min="33" max="33" width="11.28515625" style="175" hidden="1" customWidth="1"/>
    <col min="34" max="34" width="10.7109375" style="175" hidden="1" customWidth="1"/>
    <col min="35" max="35" width="11.5703125" style="175" hidden="1" customWidth="1"/>
    <col min="36" max="38" width="12.140625" style="175" hidden="1" customWidth="1"/>
    <col min="39" max="39" width="10.5703125" style="175" hidden="1" customWidth="1"/>
    <col min="40" max="40" width="12.28515625" style="175" hidden="1" customWidth="1"/>
    <col min="41" max="41" width="10.5703125" style="174" hidden="1" customWidth="1"/>
    <col min="42" max="44" width="11.42578125" style="174" hidden="1" customWidth="1"/>
    <col min="45" max="45" width="13.5703125" style="177" hidden="1" customWidth="1"/>
    <col min="46" max="46" width="20.42578125" style="140" customWidth="1"/>
    <col min="47" max="47" width="14.7109375" style="101" customWidth="1"/>
    <col min="48" max="48" width="20.42578125" style="126" customWidth="1"/>
    <col min="49" max="49" width="2.85546875" style="2" customWidth="1"/>
    <col min="50" max="50" width="2.7109375" style="2" customWidth="1"/>
    <col min="51" max="51" width="10.7109375" style="2" customWidth="1"/>
    <col min="52" max="52" width="17.140625" style="101" customWidth="1"/>
    <col min="53" max="53" width="6.85546875" style="2" customWidth="1"/>
    <col min="54" max="54" width="10.7109375" style="2"/>
    <col min="56" max="56" width="16.7109375" style="101" customWidth="1"/>
    <col min="57" max="16384" width="10.7109375" style="2"/>
  </cols>
  <sheetData>
    <row r="1" spans="1:56">
      <c r="E1" s="302" t="s">
        <v>249</v>
      </c>
      <c r="F1" s="175" t="s">
        <v>255</v>
      </c>
    </row>
    <row r="2" spans="1:56">
      <c r="A2" s="1" t="s">
        <v>162</v>
      </c>
      <c r="D2" s="3"/>
      <c r="E2" s="173"/>
    </row>
    <row r="3" spans="1:56">
      <c r="A3" s="1" t="s">
        <v>556</v>
      </c>
      <c r="D3" s="3"/>
      <c r="E3" s="2"/>
      <c r="F3" s="178"/>
    </row>
    <row r="4" spans="1:56">
      <c r="A4" s="1" t="s">
        <v>552</v>
      </c>
      <c r="D4" s="3"/>
      <c r="F4" s="177"/>
      <c r="R4" s="179"/>
      <c r="V4" s="173"/>
      <c r="W4" s="173"/>
      <c r="Y4" s="180"/>
    </row>
    <row r="5" spans="1:56">
      <c r="A5" s="1" t="s">
        <v>163</v>
      </c>
      <c r="D5" s="3"/>
      <c r="N5" s="175"/>
      <c r="R5" s="179"/>
      <c r="V5" s="173"/>
      <c r="W5" s="173"/>
      <c r="Y5" s="180"/>
      <c r="AI5" s="181"/>
      <c r="AJ5" s="181"/>
      <c r="AK5" s="181"/>
      <c r="AL5" s="181"/>
      <c r="AM5" s="181"/>
      <c r="AN5" s="181"/>
      <c r="AZ5" s="7"/>
    </row>
    <row r="6" spans="1:56" s="6" customFormat="1">
      <c r="A6" s="5"/>
      <c r="D6" s="5"/>
      <c r="E6" s="181"/>
      <c r="F6" s="182"/>
      <c r="G6" s="183"/>
      <c r="H6" s="181"/>
      <c r="I6" s="184"/>
      <c r="J6" s="181"/>
      <c r="K6" s="185"/>
      <c r="L6" s="186"/>
      <c r="M6" s="185"/>
      <c r="N6" s="186"/>
      <c r="O6" s="186"/>
      <c r="P6" s="184"/>
      <c r="Q6" s="184"/>
      <c r="R6" s="184"/>
      <c r="S6" s="184"/>
      <c r="T6" s="500" t="s">
        <v>590</v>
      </c>
      <c r="U6" s="188"/>
      <c r="V6" s="500" t="s">
        <v>590</v>
      </c>
      <c r="W6" s="181"/>
      <c r="X6" s="181"/>
      <c r="Y6" s="181"/>
      <c r="Z6" s="181"/>
      <c r="AA6" s="181"/>
      <c r="AB6" s="181"/>
      <c r="AC6" s="181"/>
      <c r="AD6" s="181"/>
      <c r="AE6" s="181"/>
      <c r="AF6" s="180"/>
      <c r="AG6" s="181"/>
      <c r="AH6" s="181"/>
      <c r="AI6" s="181"/>
      <c r="AJ6" s="181"/>
      <c r="AK6" s="181"/>
      <c r="AL6" s="181"/>
      <c r="AM6" s="181"/>
      <c r="AN6" s="181"/>
      <c r="AO6" s="181"/>
      <c r="AP6" s="181"/>
      <c r="AQ6" s="181"/>
      <c r="AR6" s="181"/>
      <c r="AS6" s="181"/>
      <c r="AT6" s="4"/>
      <c r="AU6" s="7"/>
      <c r="AV6" s="13"/>
      <c r="AZ6" s="7"/>
      <c r="BD6" s="7"/>
    </row>
    <row r="7" spans="1:56" s="6" customFormat="1" ht="12" customHeight="1">
      <c r="A7" s="8"/>
      <c r="B7" s="9"/>
      <c r="C7" s="10"/>
      <c r="D7" s="10"/>
      <c r="E7" s="423"/>
      <c r="F7" s="420" t="s">
        <v>1</v>
      </c>
      <c r="G7" s="190" t="s">
        <v>1</v>
      </c>
      <c r="H7" s="191"/>
      <c r="I7" s="190" t="s">
        <v>3</v>
      </c>
      <c r="J7" s="189"/>
      <c r="K7" s="190"/>
      <c r="L7" s="190"/>
      <c r="M7" s="190" t="s">
        <v>4</v>
      </c>
      <c r="N7" s="189" t="s">
        <v>595</v>
      </c>
      <c r="O7" s="189" t="s">
        <v>3</v>
      </c>
      <c r="P7" s="189" t="s">
        <v>94</v>
      </c>
      <c r="Q7" s="190" t="s">
        <v>3</v>
      </c>
      <c r="R7" s="189" t="s">
        <v>6</v>
      </c>
      <c r="S7" s="192" t="s">
        <v>5</v>
      </c>
      <c r="T7" s="193" t="s">
        <v>200</v>
      </c>
      <c r="U7" s="192"/>
      <c r="V7" s="193"/>
      <c r="W7" s="193" t="s">
        <v>587</v>
      </c>
      <c r="X7" s="191" t="s">
        <v>581</v>
      </c>
      <c r="Y7" s="189" t="s">
        <v>5</v>
      </c>
      <c r="Z7" s="189"/>
      <c r="AA7" s="191"/>
      <c r="AB7" s="191"/>
      <c r="AC7" s="191"/>
      <c r="AD7" s="191"/>
      <c r="AE7" s="191"/>
      <c r="AF7" s="191"/>
      <c r="AG7" s="191"/>
      <c r="AH7" s="191"/>
      <c r="AI7" s="191"/>
      <c r="AJ7" s="191"/>
      <c r="AK7" s="191"/>
      <c r="AL7" s="191"/>
      <c r="AM7" s="191"/>
      <c r="AN7" s="191"/>
      <c r="AO7" s="191"/>
      <c r="AP7" s="191"/>
      <c r="AQ7" s="191"/>
      <c r="AR7" s="191"/>
      <c r="AS7" s="190"/>
      <c r="AT7" s="7"/>
      <c r="AU7" s="159"/>
      <c r="AV7" s="13"/>
      <c r="AZ7" s="159"/>
      <c r="BD7" s="159"/>
    </row>
    <row r="8" spans="1:56" s="6" customFormat="1" ht="12">
      <c r="A8" s="11" t="s">
        <v>8</v>
      </c>
      <c r="B8" s="12"/>
      <c r="C8" s="13"/>
      <c r="D8" s="13"/>
      <c r="E8" s="194" t="s">
        <v>237</v>
      </c>
      <c r="F8" s="421" t="s">
        <v>9</v>
      </c>
      <c r="G8" s="195" t="s">
        <v>235</v>
      </c>
      <c r="H8" s="194" t="s">
        <v>229</v>
      </c>
      <c r="I8" s="195" t="s">
        <v>12</v>
      </c>
      <c r="J8" s="194" t="s">
        <v>13</v>
      </c>
      <c r="K8" s="195" t="s">
        <v>14</v>
      </c>
      <c r="L8" s="195" t="s">
        <v>15</v>
      </c>
      <c r="M8" s="195" t="s">
        <v>16</v>
      </c>
      <c r="N8" s="194" t="s">
        <v>547</v>
      </c>
      <c r="O8" s="194" t="s">
        <v>92</v>
      </c>
      <c r="P8" s="194" t="s">
        <v>2</v>
      </c>
      <c r="Q8" s="195" t="s">
        <v>18</v>
      </c>
      <c r="R8" s="194" t="s">
        <v>19</v>
      </c>
      <c r="S8" s="309" t="s">
        <v>201</v>
      </c>
      <c r="T8" s="194" t="s">
        <v>233</v>
      </c>
      <c r="U8" s="195" t="s">
        <v>199</v>
      </c>
      <c r="V8" s="196" t="s">
        <v>215</v>
      </c>
      <c r="W8" s="196" t="s">
        <v>589</v>
      </c>
      <c r="X8" s="197" t="s">
        <v>11</v>
      </c>
      <c r="Y8" s="194" t="s">
        <v>17</v>
      </c>
      <c r="Z8" s="194" t="s">
        <v>20</v>
      </c>
      <c r="AA8" s="194"/>
      <c r="AB8" s="194"/>
      <c r="AC8" s="194"/>
      <c r="AD8" s="194"/>
      <c r="AE8" s="195"/>
      <c r="AF8" s="194"/>
      <c r="AG8" s="197"/>
      <c r="AH8" s="197"/>
      <c r="AI8" s="194"/>
      <c r="AJ8" s="194"/>
      <c r="AK8" s="194"/>
      <c r="AL8" s="194"/>
      <c r="AM8" s="194"/>
      <c r="AN8" s="194"/>
      <c r="AO8" s="195"/>
      <c r="AP8" s="195"/>
      <c r="AQ8" s="195"/>
      <c r="AR8" s="195"/>
      <c r="AS8" s="195"/>
      <c r="AT8" s="7"/>
      <c r="AU8" s="7"/>
      <c r="AV8" s="13"/>
      <c r="AZ8" s="7"/>
      <c r="BD8" s="7"/>
    </row>
    <row r="9" spans="1:56" s="6" customFormat="1" ht="12">
      <c r="A9" s="14" t="s">
        <v>21</v>
      </c>
      <c r="B9" s="15"/>
      <c r="C9" s="16"/>
      <c r="D9" s="16" t="s">
        <v>22</v>
      </c>
      <c r="E9" s="198" t="s">
        <v>238</v>
      </c>
      <c r="F9" s="422" t="s">
        <v>23</v>
      </c>
      <c r="G9" s="199" t="s">
        <v>236</v>
      </c>
      <c r="H9" s="198" t="s">
        <v>97</v>
      </c>
      <c r="I9" s="199" t="s">
        <v>26</v>
      </c>
      <c r="J9" s="198" t="s">
        <v>27</v>
      </c>
      <c r="K9" s="199" t="s">
        <v>28</v>
      </c>
      <c r="L9" s="199" t="s">
        <v>28</v>
      </c>
      <c r="M9" s="199" t="s">
        <v>29</v>
      </c>
      <c r="N9" s="198" t="s">
        <v>28</v>
      </c>
      <c r="O9" s="198" t="s">
        <v>93</v>
      </c>
      <c r="P9" s="198" t="s">
        <v>24</v>
      </c>
      <c r="Q9" s="199" t="s">
        <v>32</v>
      </c>
      <c r="R9" s="198" t="s">
        <v>214</v>
      </c>
      <c r="S9" s="310" t="s">
        <v>26</v>
      </c>
      <c r="T9" s="198" t="s">
        <v>234</v>
      </c>
      <c r="U9" s="199" t="s">
        <v>159</v>
      </c>
      <c r="V9" s="200" t="s">
        <v>212</v>
      </c>
      <c r="W9" s="200" t="s">
        <v>212</v>
      </c>
      <c r="X9" s="198" t="s">
        <v>25</v>
      </c>
      <c r="Y9" s="198" t="s">
        <v>30</v>
      </c>
      <c r="Z9" s="198" t="s">
        <v>33</v>
      </c>
      <c r="AA9" s="198"/>
      <c r="AB9" s="198"/>
      <c r="AC9" s="198"/>
      <c r="AD9" s="198"/>
      <c r="AE9" s="199"/>
      <c r="AF9" s="201"/>
      <c r="AG9" s="198"/>
      <c r="AH9" s="198"/>
      <c r="AI9" s="201"/>
      <c r="AJ9" s="198"/>
      <c r="AK9" s="198"/>
      <c r="AL9" s="198"/>
      <c r="AM9" s="198"/>
      <c r="AN9" s="198"/>
      <c r="AO9" s="199"/>
      <c r="AP9" s="199"/>
      <c r="AQ9" s="199"/>
      <c r="AR9" s="202"/>
      <c r="AS9" s="199" t="s">
        <v>33</v>
      </c>
      <c r="AT9" s="7"/>
      <c r="AU9" s="7"/>
      <c r="AV9" s="13"/>
      <c r="AZ9" s="7"/>
      <c r="BD9" s="7"/>
    </row>
    <row r="10" spans="1:56" s="386" customFormat="1" ht="12">
      <c r="B10" s="413" t="s">
        <v>559</v>
      </c>
      <c r="E10" s="387">
        <v>1</v>
      </c>
      <c r="F10" s="388">
        <f>1+0.01</f>
        <v>1.01</v>
      </c>
      <c r="G10" s="387">
        <f t="shared" ref="G10:H10" si="0">F10+0.01</f>
        <v>1.02</v>
      </c>
      <c r="H10" s="390">
        <f t="shared" si="0"/>
        <v>1.03</v>
      </c>
      <c r="I10" s="438">
        <v>2.0099999999999998</v>
      </c>
      <c r="J10" s="390">
        <f t="shared" ref="J10:W10" si="1">I10+0.01</f>
        <v>2.0199999999999996</v>
      </c>
      <c r="K10" s="387">
        <f t="shared" si="1"/>
        <v>2.0299999999999994</v>
      </c>
      <c r="L10" s="387">
        <f t="shared" si="1"/>
        <v>2.0399999999999991</v>
      </c>
      <c r="M10" s="387">
        <f t="shared" si="1"/>
        <v>2.0499999999999989</v>
      </c>
      <c r="N10" s="390">
        <f t="shared" si="1"/>
        <v>2.0599999999999987</v>
      </c>
      <c r="O10" s="387">
        <f t="shared" si="1"/>
        <v>2.0699999999999985</v>
      </c>
      <c r="P10" s="387">
        <f t="shared" si="1"/>
        <v>2.0799999999999983</v>
      </c>
      <c r="Q10" s="387">
        <f t="shared" si="1"/>
        <v>2.0899999999999981</v>
      </c>
      <c r="R10" s="387">
        <f t="shared" si="1"/>
        <v>2.0999999999999979</v>
      </c>
      <c r="S10" s="387">
        <f t="shared" si="1"/>
        <v>2.1099999999999977</v>
      </c>
      <c r="T10" s="387">
        <f t="shared" si="1"/>
        <v>2.1199999999999974</v>
      </c>
      <c r="U10" s="387">
        <f t="shared" si="1"/>
        <v>2.1299999999999972</v>
      </c>
      <c r="V10" s="387">
        <f t="shared" si="1"/>
        <v>2.139999999999997</v>
      </c>
      <c r="W10" s="387">
        <f t="shared" si="1"/>
        <v>2.1499999999999968</v>
      </c>
      <c r="X10" s="387">
        <f t="shared" ref="X10" si="2">W10+0.01</f>
        <v>2.1599999999999966</v>
      </c>
      <c r="Y10" s="390">
        <f t="shared" ref="Y10" si="3">X10+0.01</f>
        <v>2.1699999999999964</v>
      </c>
      <c r="Z10" s="390"/>
      <c r="AA10" s="390"/>
      <c r="AB10" s="390"/>
      <c r="AC10" s="390"/>
      <c r="AD10" s="390"/>
      <c r="AE10" s="390"/>
      <c r="AF10" s="390"/>
      <c r="AG10" s="390"/>
      <c r="AH10" s="390"/>
      <c r="AI10" s="390"/>
      <c r="AJ10" s="390"/>
      <c r="AK10" s="390"/>
      <c r="AL10" s="390"/>
      <c r="AM10" s="390"/>
      <c r="AN10" s="390"/>
      <c r="AO10" s="390"/>
      <c r="AP10" s="387"/>
      <c r="AQ10" s="387"/>
      <c r="AT10" s="392"/>
      <c r="AU10" s="393"/>
      <c r="AV10" s="394"/>
      <c r="AZ10" s="392"/>
      <c r="BD10" s="393"/>
    </row>
    <row r="11" spans="1:56" s="386" customFormat="1" ht="12">
      <c r="B11" s="413" t="s">
        <v>560</v>
      </c>
      <c r="E11" s="387" t="s">
        <v>561</v>
      </c>
      <c r="F11" s="387" t="s">
        <v>562</v>
      </c>
      <c r="G11" s="387" t="s">
        <v>563</v>
      </c>
      <c r="H11" s="387" t="s">
        <v>564</v>
      </c>
      <c r="I11" s="389" t="s">
        <v>565</v>
      </c>
      <c r="J11" s="387" t="s">
        <v>566</v>
      </c>
      <c r="K11" s="387" t="s">
        <v>567</v>
      </c>
      <c r="L11" s="387" t="s">
        <v>568</v>
      </c>
      <c r="M11" s="387" t="s">
        <v>569</v>
      </c>
      <c r="N11" s="390" t="s">
        <v>570</v>
      </c>
      <c r="O11" s="387" t="s">
        <v>571</v>
      </c>
      <c r="P11" s="387" t="s">
        <v>572</v>
      </c>
      <c r="Q11" s="387" t="s">
        <v>573</v>
      </c>
      <c r="R11" s="387" t="s">
        <v>558</v>
      </c>
      <c r="S11" s="387" t="s">
        <v>574</v>
      </c>
      <c r="T11" s="387" t="s">
        <v>575</v>
      </c>
      <c r="U11" s="387" t="s">
        <v>576</v>
      </c>
      <c r="V11" s="387" t="s">
        <v>577</v>
      </c>
      <c r="W11" s="387" t="s">
        <v>588</v>
      </c>
      <c r="X11" s="390" t="s">
        <v>579</v>
      </c>
      <c r="Y11" s="390" t="s">
        <v>578</v>
      </c>
      <c r="Z11" s="390"/>
      <c r="AA11" s="390"/>
      <c r="AB11" s="390"/>
      <c r="AC11" s="390"/>
      <c r="AD11" s="390"/>
      <c r="AE11" s="390"/>
      <c r="AF11" s="390"/>
      <c r="AG11" s="390"/>
      <c r="AH11" s="390"/>
      <c r="AI11" s="390"/>
      <c r="AJ11" s="390"/>
      <c r="AK11" s="390"/>
      <c r="AL11" s="390"/>
      <c r="AM11" s="390"/>
      <c r="AN11" s="390"/>
      <c r="AO11" s="391"/>
      <c r="AP11" s="387"/>
      <c r="AQ11" s="387"/>
      <c r="AT11" s="392"/>
      <c r="AU11" s="393"/>
      <c r="AV11" s="394"/>
      <c r="AZ11" s="392"/>
      <c r="BD11" s="393"/>
    </row>
    <row r="12" spans="1:56" s="386" customFormat="1" ht="12">
      <c r="B12" s="413"/>
      <c r="E12" s="387"/>
      <c r="F12" s="387"/>
      <c r="G12" s="387"/>
      <c r="H12" s="387"/>
      <c r="I12" s="389"/>
      <c r="J12" s="387"/>
      <c r="K12" s="387"/>
      <c r="L12" s="387"/>
      <c r="M12" s="387"/>
      <c r="N12" s="390"/>
      <c r="O12" s="387"/>
      <c r="P12" s="387"/>
      <c r="Q12" s="387"/>
      <c r="R12" s="387"/>
      <c r="S12" s="387"/>
      <c r="T12" s="387"/>
      <c r="U12" s="387"/>
      <c r="V12" s="387"/>
      <c r="W12" s="387"/>
      <c r="X12" s="390"/>
      <c r="Y12" s="387"/>
      <c r="Z12" s="390"/>
      <c r="AA12" s="390"/>
      <c r="AB12" s="390"/>
      <c r="AC12" s="390"/>
      <c r="AD12" s="390"/>
      <c r="AE12" s="390"/>
      <c r="AF12" s="390"/>
      <c r="AG12" s="390"/>
      <c r="AH12" s="390"/>
      <c r="AI12" s="390"/>
      <c r="AJ12" s="390"/>
      <c r="AK12" s="390"/>
      <c r="AL12" s="390"/>
      <c r="AM12" s="390"/>
      <c r="AN12" s="390"/>
      <c r="AO12" s="391"/>
      <c r="AP12" s="387"/>
      <c r="AQ12" s="387"/>
      <c r="AT12" s="392"/>
      <c r="AU12" s="393"/>
      <c r="AV12" s="394"/>
      <c r="AZ12" s="392"/>
      <c r="BD12" s="393"/>
    </row>
    <row r="13" spans="1:56">
      <c r="B13" s="2" t="s">
        <v>164</v>
      </c>
      <c r="N13" s="203"/>
      <c r="X13" s="203"/>
      <c r="Y13" s="203"/>
      <c r="AG13" s="203"/>
      <c r="AH13" s="203"/>
      <c r="AT13" s="101"/>
    </row>
    <row r="14" spans="1:56" s="18" customFormat="1">
      <c r="A14" s="17">
        <v>1</v>
      </c>
      <c r="B14" s="18" t="s">
        <v>165</v>
      </c>
      <c r="E14" s="215">
        <f>'ROO INPUT'!F14</f>
        <v>470571</v>
      </c>
      <c r="F14" s="384">
        <v>0</v>
      </c>
      <c r="G14" s="384">
        <v>0</v>
      </c>
      <c r="H14" s="384">
        <v>0</v>
      </c>
      <c r="I14" s="384">
        <v>-16360</v>
      </c>
      <c r="J14" s="384">
        <v>0</v>
      </c>
      <c r="K14" s="384">
        <v>0</v>
      </c>
      <c r="L14" s="384">
        <v>0</v>
      </c>
      <c r="M14" s="384">
        <v>0</v>
      </c>
      <c r="N14" s="384">
        <v>0</v>
      </c>
      <c r="O14" s="384">
        <v>0</v>
      </c>
      <c r="P14" s="384">
        <v>0</v>
      </c>
      <c r="Q14" s="384">
        <v>0</v>
      </c>
      <c r="R14" s="384">
        <v>0</v>
      </c>
      <c r="S14" s="384">
        <v>0</v>
      </c>
      <c r="T14" s="384">
        <v>0</v>
      </c>
      <c r="U14" s="384">
        <v>-2374</v>
      </c>
      <c r="V14" s="384">
        <v>0</v>
      </c>
      <c r="W14" s="384">
        <v>0</v>
      </c>
      <c r="X14" s="384">
        <v>0</v>
      </c>
      <c r="Y14" s="384">
        <v>0</v>
      </c>
      <c r="Z14" s="341">
        <f>SUM(E14:Y14)</f>
        <v>451837</v>
      </c>
      <c r="AA14" s="384"/>
      <c r="AB14" s="384"/>
      <c r="AC14" s="384"/>
      <c r="AD14" s="384"/>
      <c r="AE14" s="384"/>
      <c r="AF14" s="384"/>
      <c r="AG14" s="384"/>
      <c r="AH14" s="384"/>
      <c r="AI14" s="384"/>
      <c r="AJ14" s="384"/>
      <c r="AK14" s="384"/>
      <c r="AL14" s="384"/>
      <c r="AM14" s="384"/>
      <c r="AN14" s="384"/>
      <c r="AO14" s="384"/>
      <c r="AP14" s="385"/>
      <c r="AQ14" s="385"/>
      <c r="AR14" s="385"/>
      <c r="AS14" s="375">
        <f>SUM(Z14:AR14)</f>
        <v>451837</v>
      </c>
      <c r="AT14" s="20"/>
      <c r="AU14" s="20"/>
      <c r="AV14" s="134"/>
      <c r="AW14" s="36"/>
      <c r="AZ14" s="20"/>
      <c r="BD14" s="20"/>
    </row>
    <row r="15" spans="1:56" s="19" customFormat="1" ht="12">
      <c r="A15" s="17">
        <v>2</v>
      </c>
      <c r="B15" s="19" t="s">
        <v>166</v>
      </c>
      <c r="E15" s="99">
        <f>'ROO INPUT'!F15</f>
        <v>820</v>
      </c>
      <c r="F15" s="301">
        <v>0</v>
      </c>
      <c r="G15" s="301">
        <v>0</v>
      </c>
      <c r="H15" s="302">
        <v>0</v>
      </c>
      <c r="I15" s="301">
        <v>0</v>
      </c>
      <c r="J15" s="301">
        <v>0</v>
      </c>
      <c r="K15" s="301">
        <v>0</v>
      </c>
      <c r="L15" s="301">
        <v>0</v>
      </c>
      <c r="M15" s="301">
        <v>0</v>
      </c>
      <c r="N15" s="301">
        <v>0</v>
      </c>
      <c r="O15" s="301">
        <v>0</v>
      </c>
      <c r="P15" s="301">
        <v>0</v>
      </c>
      <c r="Q15" s="301">
        <v>0</v>
      </c>
      <c r="R15" s="301">
        <v>0</v>
      </c>
      <c r="S15" s="301">
        <v>0</v>
      </c>
      <c r="T15" s="301">
        <v>0</v>
      </c>
      <c r="U15" s="301">
        <v>0</v>
      </c>
      <c r="V15" s="302">
        <v>0</v>
      </c>
      <c r="W15" s="302">
        <v>0</v>
      </c>
      <c r="X15" s="302">
        <v>0</v>
      </c>
      <c r="Y15" s="302">
        <v>0</v>
      </c>
      <c r="Z15" s="173">
        <f>SUM(E15:Y15)</f>
        <v>820</v>
      </c>
      <c r="AA15" s="302"/>
      <c r="AB15" s="302"/>
      <c r="AC15" s="302"/>
      <c r="AD15" s="302"/>
      <c r="AE15" s="301"/>
      <c r="AF15" s="302"/>
      <c r="AG15" s="302"/>
      <c r="AH15" s="302"/>
      <c r="AI15" s="302"/>
      <c r="AJ15" s="302"/>
      <c r="AK15" s="302"/>
      <c r="AL15" s="302"/>
      <c r="AM15" s="302"/>
      <c r="AN15" s="302"/>
      <c r="AO15" s="301"/>
      <c r="AP15" s="174"/>
      <c r="AQ15" s="174"/>
      <c r="AR15" s="174"/>
      <c r="AS15" s="177">
        <f t="shared" ref="AS15:AS19" si="4">SUM(Z15:AR15)</f>
        <v>820</v>
      </c>
      <c r="AT15" s="139"/>
      <c r="AU15" s="160"/>
      <c r="AV15" s="75"/>
      <c r="AZ15" s="160"/>
      <c r="BD15" s="160"/>
    </row>
    <row r="16" spans="1:56" s="19" customFormat="1" ht="12">
      <c r="A16" s="17">
        <v>3</v>
      </c>
      <c r="B16" s="19" t="s">
        <v>167</v>
      </c>
      <c r="E16" s="371">
        <f>'ROO INPUT'!F16</f>
        <v>76991</v>
      </c>
      <c r="F16" s="303">
        <v>0</v>
      </c>
      <c r="G16" s="303">
        <v>0</v>
      </c>
      <c r="H16" s="304">
        <v>0</v>
      </c>
      <c r="I16" s="303">
        <v>0</v>
      </c>
      <c r="J16" s="303">
        <v>0</v>
      </c>
      <c r="K16" s="303">
        <v>0</v>
      </c>
      <c r="L16" s="303">
        <v>0</v>
      </c>
      <c r="M16" s="303">
        <v>0</v>
      </c>
      <c r="N16" s="303">
        <v>0</v>
      </c>
      <c r="O16" s="303">
        <v>0</v>
      </c>
      <c r="P16" s="303">
        <v>0</v>
      </c>
      <c r="Q16" s="303">
        <v>0</v>
      </c>
      <c r="R16" s="303">
        <v>0</v>
      </c>
      <c r="S16" s="303">
        <v>0</v>
      </c>
      <c r="T16" s="303">
        <v>0</v>
      </c>
      <c r="U16" s="303">
        <v>0</v>
      </c>
      <c r="V16" s="304">
        <v>0</v>
      </c>
      <c r="W16" s="304">
        <v>0</v>
      </c>
      <c r="X16" s="304">
        <v>-24387</v>
      </c>
      <c r="Y16" s="304">
        <v>0</v>
      </c>
      <c r="Z16" s="207">
        <f>SUM(E16:Y16)</f>
        <v>52604</v>
      </c>
      <c r="AA16" s="304"/>
      <c r="AB16" s="304"/>
      <c r="AC16" s="304"/>
      <c r="AD16" s="304"/>
      <c r="AE16" s="303"/>
      <c r="AF16" s="304"/>
      <c r="AG16" s="304"/>
      <c r="AH16" s="304"/>
      <c r="AI16" s="304"/>
      <c r="AJ16" s="304"/>
      <c r="AK16" s="304"/>
      <c r="AL16" s="304"/>
      <c r="AM16" s="304"/>
      <c r="AN16" s="304"/>
      <c r="AO16" s="303"/>
      <c r="AP16" s="205"/>
      <c r="AQ16" s="205"/>
      <c r="AR16" s="205"/>
      <c r="AS16" s="208">
        <f t="shared" si="4"/>
        <v>52604</v>
      </c>
      <c r="AT16" s="139"/>
      <c r="AU16" s="160"/>
      <c r="AV16" s="75"/>
      <c r="AZ16" s="160"/>
      <c r="BD16" s="160"/>
    </row>
    <row r="17" spans="1:56" s="19" customFormat="1" ht="12">
      <c r="A17" s="17">
        <v>4</v>
      </c>
      <c r="B17" s="19" t="s">
        <v>168</v>
      </c>
      <c r="E17" s="99">
        <f>SUM(E14:E16)</f>
        <v>548382</v>
      </c>
      <c r="F17" s="174">
        <f t="shared" ref="F17:G17" si="5">SUM(F14:F16)</f>
        <v>0</v>
      </c>
      <c r="G17" s="174">
        <f t="shared" si="5"/>
        <v>0</v>
      </c>
      <c r="H17" s="175">
        <f>SUM(H14:H16)</f>
        <v>0</v>
      </c>
      <c r="I17" s="176">
        <f t="shared" ref="I17:N17" si="6">SUM(I14:I16)</f>
        <v>-16360</v>
      </c>
      <c r="J17" s="174">
        <f t="shared" si="6"/>
        <v>0</v>
      </c>
      <c r="K17" s="176">
        <f t="shared" si="6"/>
        <v>0</v>
      </c>
      <c r="L17" s="174">
        <f t="shared" si="6"/>
        <v>0</v>
      </c>
      <c r="M17" s="176">
        <f t="shared" si="6"/>
        <v>0</v>
      </c>
      <c r="N17" s="174">
        <f t="shared" si="6"/>
        <v>0</v>
      </c>
      <c r="O17" s="174">
        <f t="shared" ref="O17:Y17" si="7">SUM(O14:O16)</f>
        <v>0</v>
      </c>
      <c r="P17" s="176">
        <f t="shared" si="7"/>
        <v>0</v>
      </c>
      <c r="Q17" s="176">
        <f t="shared" si="7"/>
        <v>0</v>
      </c>
      <c r="R17" s="176">
        <f t="shared" si="7"/>
        <v>0</v>
      </c>
      <c r="S17" s="176">
        <f t="shared" si="7"/>
        <v>0</v>
      </c>
      <c r="T17" s="176">
        <f t="shared" si="7"/>
        <v>0</v>
      </c>
      <c r="U17" s="174">
        <f t="shared" si="7"/>
        <v>-2374</v>
      </c>
      <c r="V17" s="175">
        <f t="shared" si="7"/>
        <v>0</v>
      </c>
      <c r="W17" s="175">
        <f t="shared" ref="W17" si="8">SUM(W14:W16)</f>
        <v>0</v>
      </c>
      <c r="X17" s="175">
        <f>SUM(X14:X16)</f>
        <v>-24387</v>
      </c>
      <c r="Y17" s="175">
        <f t="shared" si="7"/>
        <v>0</v>
      </c>
      <c r="Z17" s="173">
        <f>SUM(Z14:Z16)</f>
        <v>505261</v>
      </c>
      <c r="AA17" s="175"/>
      <c r="AB17" s="175"/>
      <c r="AC17" s="175"/>
      <c r="AD17" s="175"/>
      <c r="AE17" s="174"/>
      <c r="AF17" s="175"/>
      <c r="AG17" s="175"/>
      <c r="AH17" s="175"/>
      <c r="AI17" s="175"/>
      <c r="AJ17" s="175"/>
      <c r="AK17" s="175"/>
      <c r="AL17" s="175"/>
      <c r="AM17" s="175"/>
      <c r="AN17" s="175"/>
      <c r="AO17" s="174"/>
      <c r="AP17" s="174"/>
      <c r="AQ17" s="174"/>
      <c r="AR17" s="174"/>
      <c r="AS17" s="177">
        <f t="shared" si="4"/>
        <v>505261</v>
      </c>
      <c r="AT17" s="75"/>
      <c r="AU17" s="133"/>
      <c r="AV17" s="75"/>
      <c r="AZ17" s="133"/>
      <c r="BD17" s="133"/>
    </row>
    <row r="18" spans="1:56" s="19" customFormat="1" ht="12">
      <c r="A18" s="17">
        <v>5</v>
      </c>
      <c r="B18" s="19" t="s">
        <v>169</v>
      </c>
      <c r="E18" s="371">
        <f>'ROO INPUT'!F18</f>
        <v>130741</v>
      </c>
      <c r="F18" s="303">
        <v>0</v>
      </c>
      <c r="G18" s="303">
        <v>0</v>
      </c>
      <c r="H18" s="304">
        <v>0</v>
      </c>
      <c r="I18" s="303">
        <v>-17</v>
      </c>
      <c r="J18" s="303">
        <v>0</v>
      </c>
      <c r="K18" s="303">
        <v>0</v>
      </c>
      <c r="L18" s="303">
        <v>0</v>
      </c>
      <c r="M18" s="303">
        <v>0</v>
      </c>
      <c r="N18" s="303">
        <v>0</v>
      </c>
      <c r="O18" s="303">
        <v>0</v>
      </c>
      <c r="P18" s="303">
        <v>0</v>
      </c>
      <c r="Q18" s="303">
        <v>0</v>
      </c>
      <c r="R18" s="303">
        <v>0</v>
      </c>
      <c r="S18" s="303">
        <v>0</v>
      </c>
      <c r="T18" s="303">
        <v>0</v>
      </c>
      <c r="U18" s="303"/>
      <c r="V18" s="304">
        <v>0</v>
      </c>
      <c r="W18" s="304">
        <v>0</v>
      </c>
      <c r="X18" s="304">
        <v>-117058</v>
      </c>
      <c r="Y18" s="304">
        <v>0</v>
      </c>
      <c r="Z18" s="207">
        <f>SUM(E18:Y18)</f>
        <v>13666</v>
      </c>
      <c r="AA18" s="304"/>
      <c r="AB18" s="304"/>
      <c r="AC18" s="304"/>
      <c r="AD18" s="304"/>
      <c r="AE18" s="303"/>
      <c r="AF18" s="304"/>
      <c r="AG18" s="304"/>
      <c r="AH18" s="304"/>
      <c r="AI18" s="304"/>
      <c r="AJ18" s="304"/>
      <c r="AK18" s="304"/>
      <c r="AL18" s="304"/>
      <c r="AM18" s="304"/>
      <c r="AN18" s="304"/>
      <c r="AO18" s="303"/>
      <c r="AP18" s="205"/>
      <c r="AQ18" s="205"/>
      <c r="AR18" s="205"/>
      <c r="AS18" s="208">
        <f t="shared" si="4"/>
        <v>13666</v>
      </c>
      <c r="AT18" s="139"/>
      <c r="AU18" s="160"/>
      <c r="AV18" s="75"/>
      <c r="AZ18" s="160"/>
      <c r="BD18" s="160"/>
    </row>
    <row r="19" spans="1:56" s="19" customFormat="1" ht="12">
      <c r="A19" s="17">
        <v>6</v>
      </c>
      <c r="B19" s="19" t="s">
        <v>170</v>
      </c>
      <c r="E19" s="99">
        <f t="shared" ref="E19:G19" si="9">SUM(E17:E18)</f>
        <v>679123</v>
      </c>
      <c r="F19" s="174">
        <f t="shared" si="9"/>
        <v>0</v>
      </c>
      <c r="G19" s="174">
        <f t="shared" si="9"/>
        <v>0</v>
      </c>
      <c r="H19" s="175">
        <f>SUM(H17:H18)</f>
        <v>0</v>
      </c>
      <c r="I19" s="176">
        <f t="shared" ref="I19:N19" si="10">SUM(I17:I18)</f>
        <v>-16377</v>
      </c>
      <c r="J19" s="174">
        <f t="shared" si="10"/>
        <v>0</v>
      </c>
      <c r="K19" s="176">
        <f t="shared" si="10"/>
        <v>0</v>
      </c>
      <c r="L19" s="174">
        <f t="shared" si="10"/>
        <v>0</v>
      </c>
      <c r="M19" s="176">
        <f t="shared" si="10"/>
        <v>0</v>
      </c>
      <c r="N19" s="174">
        <f t="shared" si="10"/>
        <v>0</v>
      </c>
      <c r="O19" s="174">
        <f t="shared" ref="O19:Y19" si="11">SUM(O17:O18)</f>
        <v>0</v>
      </c>
      <c r="P19" s="176">
        <f t="shared" si="11"/>
        <v>0</v>
      </c>
      <c r="Q19" s="176">
        <f t="shared" si="11"/>
        <v>0</v>
      </c>
      <c r="R19" s="176">
        <f t="shared" si="11"/>
        <v>0</v>
      </c>
      <c r="S19" s="176">
        <f t="shared" si="11"/>
        <v>0</v>
      </c>
      <c r="T19" s="176">
        <f t="shared" si="11"/>
        <v>0</v>
      </c>
      <c r="U19" s="174">
        <f t="shared" si="11"/>
        <v>-2374</v>
      </c>
      <c r="V19" s="175">
        <f t="shared" si="11"/>
        <v>0</v>
      </c>
      <c r="W19" s="175">
        <f t="shared" ref="W19" si="12">SUM(W17:W18)</f>
        <v>0</v>
      </c>
      <c r="X19" s="175">
        <f>SUM(X17:X18)</f>
        <v>-141445</v>
      </c>
      <c r="Y19" s="175">
        <f t="shared" si="11"/>
        <v>0</v>
      </c>
      <c r="Z19" s="173">
        <f t="shared" ref="Z19" si="13">SUM(Z17:Z18)</f>
        <v>518927</v>
      </c>
      <c r="AA19" s="175"/>
      <c r="AB19" s="175"/>
      <c r="AC19" s="175"/>
      <c r="AD19" s="175"/>
      <c r="AE19" s="174"/>
      <c r="AF19" s="175"/>
      <c r="AG19" s="175"/>
      <c r="AH19" s="175"/>
      <c r="AI19" s="175"/>
      <c r="AJ19" s="175"/>
      <c r="AK19" s="175"/>
      <c r="AL19" s="175"/>
      <c r="AM19" s="175"/>
      <c r="AN19" s="175"/>
      <c r="AO19" s="174"/>
      <c r="AP19" s="174"/>
      <c r="AQ19" s="174"/>
      <c r="AR19" s="174"/>
      <c r="AS19" s="177">
        <f t="shared" si="4"/>
        <v>518927</v>
      </c>
      <c r="AT19" s="75"/>
      <c r="AU19" s="133"/>
      <c r="AV19" s="75"/>
      <c r="AZ19" s="133"/>
      <c r="BD19" s="133"/>
    </row>
    <row r="20" spans="1:56" s="19" customFormat="1" ht="12">
      <c r="A20" s="17"/>
      <c r="E20" s="99"/>
      <c r="F20" s="174"/>
      <c r="G20" s="174"/>
      <c r="H20" s="175"/>
      <c r="I20" s="176"/>
      <c r="J20" s="174"/>
      <c r="K20" s="176"/>
      <c r="L20" s="174"/>
      <c r="M20" s="176"/>
      <c r="N20" s="174"/>
      <c r="O20" s="174"/>
      <c r="P20" s="176"/>
      <c r="Q20" s="176"/>
      <c r="R20" s="176"/>
      <c r="S20" s="176"/>
      <c r="T20" s="176"/>
      <c r="U20" s="174"/>
      <c r="V20" s="175"/>
      <c r="W20" s="175"/>
      <c r="X20" s="175"/>
      <c r="Y20" s="175"/>
      <c r="Z20" s="173"/>
      <c r="AA20" s="175"/>
      <c r="AB20" s="175"/>
      <c r="AC20" s="175"/>
      <c r="AD20" s="175"/>
      <c r="AE20" s="174"/>
      <c r="AF20" s="175"/>
      <c r="AG20" s="175"/>
      <c r="AH20" s="175"/>
      <c r="AI20" s="175"/>
      <c r="AJ20" s="175"/>
      <c r="AK20" s="175"/>
      <c r="AL20" s="175"/>
      <c r="AM20" s="175"/>
      <c r="AN20" s="175"/>
      <c r="AO20" s="174"/>
      <c r="AP20" s="174"/>
      <c r="AQ20" s="174"/>
      <c r="AR20" s="174"/>
      <c r="AS20" s="177"/>
      <c r="AT20" s="139"/>
      <c r="AU20" s="160"/>
      <c r="AV20" s="75"/>
      <c r="AZ20" s="160"/>
      <c r="BD20" s="160"/>
    </row>
    <row r="21" spans="1:56" s="19" customFormat="1" ht="12">
      <c r="A21" s="17"/>
      <c r="B21" s="19" t="s">
        <v>171</v>
      </c>
      <c r="E21" s="99"/>
      <c r="F21" s="174"/>
      <c r="G21" s="174"/>
      <c r="H21" s="175"/>
      <c r="I21" s="176"/>
      <c r="J21" s="174"/>
      <c r="K21" s="176"/>
      <c r="L21" s="174"/>
      <c r="M21" s="176"/>
      <c r="N21" s="174"/>
      <c r="O21" s="174"/>
      <c r="P21" s="176"/>
      <c r="Q21" s="176"/>
      <c r="R21" s="176"/>
      <c r="S21" s="176"/>
      <c r="T21" s="176"/>
      <c r="U21" s="174"/>
      <c r="V21" s="175"/>
      <c r="W21" s="175"/>
      <c r="X21" s="175"/>
      <c r="Y21" s="175"/>
      <c r="Z21" s="173"/>
      <c r="AA21" s="175"/>
      <c r="AB21" s="175"/>
      <c r="AC21" s="175"/>
      <c r="AD21" s="175"/>
      <c r="AE21" s="174"/>
      <c r="AF21" s="175"/>
      <c r="AG21" s="175"/>
      <c r="AH21" s="175"/>
      <c r="AI21" s="175"/>
      <c r="AJ21" s="175"/>
      <c r="AK21" s="175"/>
      <c r="AL21" s="175"/>
      <c r="AM21" s="175"/>
      <c r="AN21" s="175"/>
      <c r="AO21" s="174"/>
      <c r="AP21" s="174"/>
      <c r="AQ21" s="174"/>
      <c r="AR21" s="174"/>
      <c r="AS21" s="177"/>
      <c r="AT21" s="139"/>
      <c r="AU21" s="160"/>
      <c r="AV21" s="75"/>
      <c r="AZ21" s="160"/>
      <c r="BD21" s="160"/>
    </row>
    <row r="22" spans="1:56" s="19" customFormat="1" ht="12">
      <c r="A22" s="17"/>
      <c r="B22" s="19" t="s">
        <v>172</v>
      </c>
      <c r="E22" s="99"/>
      <c r="F22" s="174"/>
      <c r="G22" s="174"/>
      <c r="H22" s="175"/>
      <c r="I22" s="176"/>
      <c r="J22" s="174"/>
      <c r="K22" s="176"/>
      <c r="L22" s="174"/>
      <c r="M22" s="176"/>
      <c r="N22" s="174"/>
      <c r="O22" s="174"/>
      <c r="P22" s="176"/>
      <c r="Q22" s="176"/>
      <c r="R22" s="176"/>
      <c r="S22" s="176"/>
      <c r="T22" s="176"/>
      <c r="U22" s="174"/>
      <c r="V22" s="175"/>
      <c r="W22" s="175"/>
      <c r="X22" s="175"/>
      <c r="Y22" s="175"/>
      <c r="Z22" s="173"/>
      <c r="AA22" s="175"/>
      <c r="AB22" s="175"/>
      <c r="AC22" s="175"/>
      <c r="AD22" s="175"/>
      <c r="AE22" s="174"/>
      <c r="AF22" s="175"/>
      <c r="AG22" s="175"/>
      <c r="AH22" s="175"/>
      <c r="AI22" s="175"/>
      <c r="AJ22" s="175"/>
      <c r="AK22" s="175"/>
      <c r="AL22" s="175"/>
      <c r="AM22" s="175"/>
      <c r="AN22" s="175"/>
      <c r="AO22" s="174"/>
      <c r="AP22" s="174"/>
      <c r="AQ22" s="174"/>
      <c r="AR22" s="174"/>
      <c r="AS22" s="177">
        <f t="shared" ref="AS22:AS27" si="14">SUM(Z22:AR22)</f>
        <v>0</v>
      </c>
      <c r="AT22" s="139"/>
      <c r="AU22" s="160"/>
      <c r="AV22" s="75"/>
      <c r="AZ22" s="160"/>
      <c r="BD22" s="160"/>
    </row>
    <row r="23" spans="1:56" s="19" customFormat="1" ht="12">
      <c r="A23" s="17">
        <v>7</v>
      </c>
      <c r="C23" s="19" t="s">
        <v>173</v>
      </c>
      <c r="E23" s="99">
        <f>'ROO INPUT'!F23</f>
        <v>252926</v>
      </c>
      <c r="F23" s="301">
        <v>0</v>
      </c>
      <c r="G23" s="301">
        <v>0</v>
      </c>
      <c r="H23" s="302">
        <v>0</v>
      </c>
      <c r="I23" s="301">
        <v>0</v>
      </c>
      <c r="J23" s="301">
        <v>0</v>
      </c>
      <c r="K23" s="301">
        <v>0</v>
      </c>
      <c r="L23" s="301">
        <v>0</v>
      </c>
      <c r="M23" s="301">
        <v>0</v>
      </c>
      <c r="N23" s="301">
        <v>0</v>
      </c>
      <c r="O23" s="301">
        <v>-12788</v>
      </c>
      <c r="P23" s="301">
        <v>14</v>
      </c>
      <c r="Q23" s="301">
        <v>0</v>
      </c>
      <c r="R23" s="301">
        <v>0</v>
      </c>
      <c r="S23" s="301">
        <v>0</v>
      </c>
      <c r="T23" s="301">
        <v>0</v>
      </c>
      <c r="U23" s="301"/>
      <c r="V23" s="302">
        <v>-6</v>
      </c>
      <c r="W23" s="302">
        <v>0</v>
      </c>
      <c r="X23" s="302">
        <f>-127640-X24</f>
        <v>-94512</v>
      </c>
      <c r="Y23" s="302">
        <v>0</v>
      </c>
      <c r="Z23" s="173">
        <f>SUM(E23:Y23)</f>
        <v>145634</v>
      </c>
      <c r="AA23" s="302"/>
      <c r="AB23" s="302"/>
      <c r="AC23" s="302"/>
      <c r="AD23" s="302"/>
      <c r="AE23" s="301"/>
      <c r="AF23" s="302"/>
      <c r="AG23" s="302"/>
      <c r="AH23" s="302"/>
      <c r="AI23" s="302"/>
      <c r="AJ23" s="302"/>
      <c r="AK23" s="302"/>
      <c r="AL23" s="302"/>
      <c r="AM23" s="302"/>
      <c r="AN23" s="302"/>
      <c r="AO23" s="301"/>
      <c r="AP23" s="174"/>
      <c r="AQ23" s="174"/>
      <c r="AR23" s="174"/>
      <c r="AS23" s="177">
        <f t="shared" si="14"/>
        <v>145634</v>
      </c>
      <c r="AT23" s="139"/>
      <c r="AU23" s="160"/>
      <c r="AV23" s="75"/>
      <c r="AZ23" s="160"/>
      <c r="BD23" s="160"/>
    </row>
    <row r="24" spans="1:56" s="19" customFormat="1" ht="12">
      <c r="A24" s="17">
        <v>8</v>
      </c>
      <c r="C24" s="19" t="s">
        <v>174</v>
      </c>
      <c r="E24" s="99">
        <f>'ROO INPUT'!F24</f>
        <v>124270</v>
      </c>
      <c r="F24" s="301">
        <v>0</v>
      </c>
      <c r="G24" s="301"/>
      <c r="H24" s="302">
        <v>0</v>
      </c>
      <c r="I24" s="301">
        <v>0</v>
      </c>
      <c r="J24" s="301">
        <v>0</v>
      </c>
      <c r="K24" s="301">
        <v>0</v>
      </c>
      <c r="L24" s="301">
        <v>0</v>
      </c>
      <c r="M24" s="301">
        <v>0</v>
      </c>
      <c r="N24" s="301">
        <v>0</v>
      </c>
      <c r="O24" s="301">
        <v>0</v>
      </c>
      <c r="P24" s="301">
        <v>0</v>
      </c>
      <c r="Q24" s="301">
        <v>0</v>
      </c>
      <c r="R24" s="301">
        <v>0</v>
      </c>
      <c r="S24" s="301">
        <v>0</v>
      </c>
      <c r="T24" s="301">
        <v>0</v>
      </c>
      <c r="U24" s="301">
        <v>0</v>
      </c>
      <c r="V24" s="302">
        <v>0</v>
      </c>
      <c r="W24" s="302">
        <v>0</v>
      </c>
      <c r="X24" s="302">
        <v>-33128</v>
      </c>
      <c r="Y24" s="302">
        <v>0</v>
      </c>
      <c r="Z24" s="173">
        <f>SUM(E24:Y24)</f>
        <v>91142</v>
      </c>
      <c r="AA24" s="302"/>
      <c r="AB24" s="302"/>
      <c r="AC24" s="302"/>
      <c r="AD24" s="302"/>
      <c r="AE24" s="301"/>
      <c r="AF24" s="302"/>
      <c r="AG24" s="302"/>
      <c r="AH24" s="302"/>
      <c r="AI24" s="302"/>
      <c r="AJ24" s="302"/>
      <c r="AK24" s="302"/>
      <c r="AL24" s="302"/>
      <c r="AM24" s="302"/>
      <c r="AN24" s="302"/>
      <c r="AO24" s="301"/>
      <c r="AP24" s="174"/>
      <c r="AQ24" s="174"/>
      <c r="AR24" s="174"/>
      <c r="AS24" s="177">
        <f t="shared" si="14"/>
        <v>91142</v>
      </c>
      <c r="AT24" s="139"/>
      <c r="AU24" s="160"/>
      <c r="AV24" s="75"/>
      <c r="AZ24" s="160"/>
      <c r="BD24" s="160"/>
    </row>
    <row r="25" spans="1:56" s="19" customFormat="1" ht="12">
      <c r="A25" s="17">
        <v>9</v>
      </c>
      <c r="C25" s="19" t="s">
        <v>545</v>
      </c>
      <c r="E25" s="99">
        <f>'ROO INPUT'!F25</f>
        <v>25349</v>
      </c>
      <c r="F25" s="301">
        <v>0</v>
      </c>
      <c r="G25" s="301">
        <v>-191</v>
      </c>
      <c r="H25" s="302">
        <v>0</v>
      </c>
      <c r="I25" s="301">
        <v>0</v>
      </c>
      <c r="J25" s="301">
        <v>0</v>
      </c>
      <c r="K25" s="301">
        <v>0</v>
      </c>
      <c r="L25" s="301">
        <v>0</v>
      </c>
      <c r="M25" s="301">
        <v>0</v>
      </c>
      <c r="N25" s="301">
        <v>0</v>
      </c>
      <c r="O25" s="301">
        <v>0</v>
      </c>
      <c r="P25" s="301">
        <v>0</v>
      </c>
      <c r="Q25" s="301">
        <v>0</v>
      </c>
      <c r="R25" s="301">
        <v>0</v>
      </c>
      <c r="S25" s="301">
        <v>0</v>
      </c>
      <c r="T25" s="301">
        <v>0</v>
      </c>
      <c r="U25" s="301"/>
      <c r="V25" s="302">
        <v>0</v>
      </c>
      <c r="W25" s="302">
        <v>0</v>
      </c>
      <c r="X25" s="302">
        <v>0</v>
      </c>
      <c r="Y25" s="302">
        <v>0</v>
      </c>
      <c r="Z25" s="173">
        <f>SUM(E25:Y25)</f>
        <v>25158</v>
      </c>
      <c r="AA25" s="302"/>
      <c r="AB25" s="302"/>
      <c r="AC25" s="302"/>
      <c r="AD25" s="302"/>
      <c r="AE25" s="301"/>
      <c r="AF25" s="302"/>
      <c r="AG25" s="302"/>
      <c r="AH25" s="302"/>
      <c r="AI25" s="302"/>
      <c r="AJ25" s="302"/>
      <c r="AK25" s="302"/>
      <c r="AL25" s="302"/>
      <c r="AM25" s="302"/>
      <c r="AN25" s="302"/>
      <c r="AO25" s="301"/>
      <c r="AP25" s="174"/>
      <c r="AQ25" s="174"/>
      <c r="AR25" s="174"/>
      <c r="AS25" s="177">
        <f t="shared" si="14"/>
        <v>25158</v>
      </c>
      <c r="AT25" s="139"/>
      <c r="AU25" s="160"/>
      <c r="AV25" s="75"/>
      <c r="AZ25" s="160"/>
      <c r="BD25" s="160"/>
    </row>
    <row r="26" spans="1:56" s="19" customFormat="1" ht="12">
      <c r="A26" s="17">
        <v>10</v>
      </c>
      <c r="C26" s="99" t="s">
        <v>541</v>
      </c>
      <c r="D26" s="99"/>
      <c r="E26" s="99">
        <f>'ROO INPUT'!F26</f>
        <v>403</v>
      </c>
      <c r="F26" s="302">
        <v>0</v>
      </c>
      <c r="G26" s="302">
        <v>0</v>
      </c>
      <c r="H26" s="302">
        <v>0</v>
      </c>
      <c r="I26" s="302">
        <v>0</v>
      </c>
      <c r="J26" s="302">
        <v>0</v>
      </c>
      <c r="K26" s="302">
        <v>0</v>
      </c>
      <c r="L26" s="302">
        <v>0</v>
      </c>
      <c r="M26" s="302">
        <v>0</v>
      </c>
      <c r="N26" s="302">
        <v>0</v>
      </c>
      <c r="O26" s="302">
        <v>0</v>
      </c>
      <c r="P26" s="302">
        <v>0</v>
      </c>
      <c r="Q26" s="302">
        <v>0</v>
      </c>
      <c r="R26" s="302">
        <v>0</v>
      </c>
      <c r="S26" s="302">
        <v>0</v>
      </c>
      <c r="T26" s="302">
        <v>0</v>
      </c>
      <c r="U26" s="302">
        <v>0</v>
      </c>
      <c r="V26" s="302">
        <v>0</v>
      </c>
      <c r="W26" s="302">
        <v>0</v>
      </c>
      <c r="X26" s="302"/>
      <c r="Y26" s="302">
        <v>0</v>
      </c>
      <c r="Z26" s="173">
        <f>SUM(E26:Y26)</f>
        <v>403</v>
      </c>
      <c r="AA26" s="302"/>
      <c r="AB26" s="302"/>
      <c r="AC26" s="302"/>
      <c r="AD26" s="302"/>
      <c r="AE26" s="302"/>
      <c r="AF26" s="302"/>
      <c r="AG26" s="302"/>
      <c r="AH26" s="302"/>
      <c r="AI26" s="302"/>
      <c r="AJ26" s="302"/>
      <c r="AK26" s="302"/>
      <c r="AL26" s="302"/>
      <c r="AM26" s="302"/>
      <c r="AN26" s="302"/>
      <c r="AO26" s="302"/>
      <c r="AP26" s="175"/>
      <c r="AQ26" s="175"/>
      <c r="AR26" s="175"/>
      <c r="AS26" s="177">
        <f>SUM(Z26:AR26)</f>
        <v>403</v>
      </c>
      <c r="AT26" s="160"/>
      <c r="AU26" s="160"/>
      <c r="AV26" s="75"/>
      <c r="AZ26" s="160"/>
      <c r="BD26" s="160"/>
    </row>
    <row r="27" spans="1:56" s="19" customFormat="1" ht="12">
      <c r="A27" s="17">
        <v>11</v>
      </c>
      <c r="C27" s="19" t="s">
        <v>175</v>
      </c>
      <c r="E27" s="371">
        <f>'ROO INPUT'!F27</f>
        <v>10780</v>
      </c>
      <c r="F27" s="303">
        <v>0</v>
      </c>
      <c r="G27" s="303">
        <v>0</v>
      </c>
      <c r="H27" s="304">
        <v>0</v>
      </c>
      <c r="I27" s="303">
        <v>0</v>
      </c>
      <c r="J27" s="303">
        <v>66</v>
      </c>
      <c r="K27" s="303">
        <v>0</v>
      </c>
      <c r="L27" s="303">
        <v>0</v>
      </c>
      <c r="M27" s="303">
        <v>0</v>
      </c>
      <c r="N27" s="303">
        <v>0</v>
      </c>
      <c r="O27" s="303">
        <v>0</v>
      </c>
      <c r="P27" s="303">
        <v>0</v>
      </c>
      <c r="Q27" s="303">
        <v>0</v>
      </c>
      <c r="R27" s="303">
        <v>0</v>
      </c>
      <c r="S27" s="303">
        <v>0</v>
      </c>
      <c r="T27" s="303">
        <v>0</v>
      </c>
      <c r="U27" s="303">
        <v>0</v>
      </c>
      <c r="V27" s="304">
        <v>0</v>
      </c>
      <c r="W27" s="304">
        <v>0</v>
      </c>
      <c r="X27" s="304">
        <v>0</v>
      </c>
      <c r="Y27" s="304">
        <v>0</v>
      </c>
      <c r="Z27" s="207">
        <f>SUM(E27:Y27)</f>
        <v>10846</v>
      </c>
      <c r="AA27" s="304"/>
      <c r="AB27" s="304"/>
      <c r="AC27" s="304"/>
      <c r="AD27" s="304"/>
      <c r="AE27" s="303"/>
      <c r="AF27" s="304"/>
      <c r="AG27" s="304"/>
      <c r="AH27" s="304"/>
      <c r="AI27" s="304"/>
      <c r="AJ27" s="304"/>
      <c r="AK27" s="304"/>
      <c r="AL27" s="304"/>
      <c r="AM27" s="304"/>
      <c r="AN27" s="304"/>
      <c r="AO27" s="303"/>
      <c r="AP27" s="205"/>
      <c r="AQ27" s="205"/>
      <c r="AR27" s="205"/>
      <c r="AS27" s="208">
        <f t="shared" si="14"/>
        <v>10846</v>
      </c>
      <c r="AT27" s="139"/>
      <c r="AU27" s="160"/>
      <c r="AV27" s="75"/>
      <c r="AZ27" s="160"/>
      <c r="BD27" s="160"/>
    </row>
    <row r="28" spans="1:56" s="19" customFormat="1" ht="12">
      <c r="A28" s="17">
        <v>12</v>
      </c>
      <c r="B28" s="19" t="s">
        <v>176</v>
      </c>
      <c r="E28" s="99">
        <f t="shared" ref="E28:G28" si="15">SUM(E23:E27)</f>
        <v>413728</v>
      </c>
      <c r="F28" s="174">
        <f t="shared" si="15"/>
        <v>0</v>
      </c>
      <c r="G28" s="174">
        <f t="shared" si="15"/>
        <v>-191</v>
      </c>
      <c r="H28" s="175">
        <f>SUM(H23:H27)</f>
        <v>0</v>
      </c>
      <c r="I28" s="176">
        <f t="shared" ref="I28:N28" si="16">SUM(I23:I27)</f>
        <v>0</v>
      </c>
      <c r="J28" s="174">
        <f t="shared" si="16"/>
        <v>66</v>
      </c>
      <c r="K28" s="176">
        <f t="shared" si="16"/>
        <v>0</v>
      </c>
      <c r="L28" s="174">
        <f t="shared" si="16"/>
        <v>0</v>
      </c>
      <c r="M28" s="176">
        <f t="shared" si="16"/>
        <v>0</v>
      </c>
      <c r="N28" s="174">
        <f t="shared" si="16"/>
        <v>0</v>
      </c>
      <c r="O28" s="174">
        <f t="shared" ref="O28:Y28" si="17">SUM(O23:O27)</f>
        <v>-12788</v>
      </c>
      <c r="P28" s="176">
        <f t="shared" si="17"/>
        <v>14</v>
      </c>
      <c r="Q28" s="176">
        <f t="shared" si="17"/>
        <v>0</v>
      </c>
      <c r="R28" s="176">
        <f t="shared" si="17"/>
        <v>0</v>
      </c>
      <c r="S28" s="176">
        <f t="shared" si="17"/>
        <v>0</v>
      </c>
      <c r="T28" s="176">
        <f t="shared" si="17"/>
        <v>0</v>
      </c>
      <c r="U28" s="174">
        <f t="shared" si="17"/>
        <v>0</v>
      </c>
      <c r="V28" s="175">
        <f t="shared" si="17"/>
        <v>-6</v>
      </c>
      <c r="W28" s="175">
        <f t="shared" ref="W28" si="18">SUM(W23:W27)</f>
        <v>0</v>
      </c>
      <c r="X28" s="175">
        <f>SUM(X23:X27)</f>
        <v>-127640</v>
      </c>
      <c r="Y28" s="175">
        <f t="shared" si="17"/>
        <v>0</v>
      </c>
      <c r="Z28" s="173">
        <f t="shared" ref="Z28" si="19">SUM(Z23:Z27)</f>
        <v>273183</v>
      </c>
      <c r="AA28" s="175"/>
      <c r="AB28" s="175"/>
      <c r="AC28" s="175"/>
      <c r="AD28" s="175"/>
      <c r="AE28" s="174"/>
      <c r="AF28" s="175"/>
      <c r="AG28" s="175"/>
      <c r="AH28" s="175"/>
      <c r="AI28" s="175"/>
      <c r="AJ28" s="175"/>
      <c r="AK28" s="175"/>
      <c r="AL28" s="175"/>
      <c r="AM28" s="175"/>
      <c r="AN28" s="175"/>
      <c r="AO28" s="174"/>
      <c r="AP28" s="174"/>
      <c r="AQ28" s="174"/>
      <c r="AR28" s="174"/>
      <c r="AS28" s="177">
        <f>SUM(Z28:AR28)</f>
        <v>273183</v>
      </c>
      <c r="AT28" s="75"/>
      <c r="AU28" s="133"/>
      <c r="AV28" s="75"/>
      <c r="AZ28" s="133"/>
      <c r="BD28" s="133"/>
    </row>
    <row r="29" spans="1:56" s="19" customFormat="1" ht="12">
      <c r="A29" s="17"/>
      <c r="E29" s="99"/>
      <c r="F29" s="174"/>
      <c r="G29" s="174"/>
      <c r="H29" s="175"/>
      <c r="I29" s="176"/>
      <c r="J29" s="174"/>
      <c r="K29" s="176"/>
      <c r="L29" s="174"/>
      <c r="M29" s="176"/>
      <c r="N29" s="174"/>
      <c r="O29" s="174"/>
      <c r="P29" s="176"/>
      <c r="Q29" s="176"/>
      <c r="R29" s="176"/>
      <c r="S29" s="176"/>
      <c r="T29" s="176"/>
      <c r="U29" s="174"/>
      <c r="V29" s="175"/>
      <c r="W29" s="175"/>
      <c r="X29" s="175"/>
      <c r="Y29" s="175"/>
      <c r="Z29" s="173"/>
      <c r="AA29" s="175"/>
      <c r="AB29" s="175"/>
      <c r="AC29" s="175"/>
      <c r="AD29" s="175"/>
      <c r="AE29" s="174"/>
      <c r="AF29" s="175"/>
      <c r="AG29" s="175"/>
      <c r="AH29" s="175"/>
      <c r="AI29" s="175"/>
      <c r="AJ29" s="175"/>
      <c r="AK29" s="175"/>
      <c r="AL29" s="175"/>
      <c r="AM29" s="175"/>
      <c r="AN29" s="175"/>
      <c r="AO29" s="174"/>
      <c r="AP29" s="174"/>
      <c r="AQ29" s="174"/>
      <c r="AR29" s="174"/>
      <c r="AS29" s="177"/>
      <c r="AT29" s="139"/>
      <c r="AU29" s="160"/>
      <c r="AV29" s="75"/>
      <c r="AZ29" s="160"/>
      <c r="BD29" s="160"/>
    </row>
    <row r="30" spans="1:56" s="19" customFormat="1" ht="12">
      <c r="A30" s="17"/>
      <c r="B30" s="19" t="s">
        <v>177</v>
      </c>
      <c r="E30" s="99"/>
      <c r="F30" s="174"/>
      <c r="G30" s="174"/>
      <c r="H30" s="175"/>
      <c r="I30" s="176"/>
      <c r="J30" s="174"/>
      <c r="K30" s="176"/>
      <c r="L30" s="174"/>
      <c r="M30" s="176"/>
      <c r="N30" s="174"/>
      <c r="O30" s="174"/>
      <c r="P30" s="176"/>
      <c r="Q30" s="176"/>
      <c r="R30" s="176"/>
      <c r="S30" s="176"/>
      <c r="T30" s="176"/>
      <c r="U30" s="174"/>
      <c r="V30" s="175"/>
      <c r="W30" s="175"/>
      <c r="X30" s="175"/>
      <c r="Y30" s="175"/>
      <c r="Z30" s="173"/>
      <c r="AA30" s="175"/>
      <c r="AB30" s="175"/>
      <c r="AC30" s="175"/>
      <c r="AD30" s="175"/>
      <c r="AE30" s="174"/>
      <c r="AF30" s="175"/>
      <c r="AG30" s="175"/>
      <c r="AH30" s="175"/>
      <c r="AI30" s="175"/>
      <c r="AJ30" s="175"/>
      <c r="AK30" s="175"/>
      <c r="AL30" s="175"/>
      <c r="AM30" s="175"/>
      <c r="AN30" s="175"/>
      <c r="AO30" s="174"/>
      <c r="AP30" s="174"/>
      <c r="AQ30" s="174"/>
      <c r="AR30" s="174"/>
      <c r="AS30" s="177">
        <f>SUM(Z30:AR30)</f>
        <v>0</v>
      </c>
      <c r="AT30" s="139"/>
      <c r="AU30" s="160"/>
      <c r="AV30" s="75"/>
      <c r="AZ30" s="160"/>
      <c r="BD30" s="160"/>
    </row>
    <row r="31" spans="1:56" s="19" customFormat="1" ht="12">
      <c r="A31" s="17">
        <v>13</v>
      </c>
      <c r="C31" s="19" t="s">
        <v>173</v>
      </c>
      <c r="E31" s="133">
        <f>'ROO INPUT'!F31</f>
        <v>20360</v>
      </c>
      <c r="F31" s="301">
        <v>0</v>
      </c>
      <c r="G31" s="301">
        <v>0</v>
      </c>
      <c r="H31" s="302">
        <v>0</v>
      </c>
      <c r="I31" s="301">
        <v>0</v>
      </c>
      <c r="J31" s="301">
        <v>0</v>
      </c>
      <c r="K31" s="301">
        <v>0</v>
      </c>
      <c r="L31" s="301">
        <v>0</v>
      </c>
      <c r="M31" s="301">
        <v>0</v>
      </c>
      <c r="N31" s="301">
        <v>0</v>
      </c>
      <c r="O31" s="301">
        <v>0</v>
      </c>
      <c r="P31" s="301">
        <v>0</v>
      </c>
      <c r="Q31" s="301">
        <v>0</v>
      </c>
      <c r="R31" s="301">
        <v>0</v>
      </c>
      <c r="S31" s="301">
        <v>0</v>
      </c>
      <c r="T31" s="301">
        <v>0</v>
      </c>
      <c r="U31" s="301">
        <v>0</v>
      </c>
      <c r="V31" s="302">
        <v>-1</v>
      </c>
      <c r="W31" s="302">
        <v>-1278</v>
      </c>
      <c r="X31" s="302">
        <v>0</v>
      </c>
      <c r="Y31" s="302">
        <v>0</v>
      </c>
      <c r="Z31" s="173">
        <f>SUM(E31:Y31)</f>
        <v>19081</v>
      </c>
      <c r="AA31" s="302"/>
      <c r="AB31" s="302"/>
      <c r="AC31" s="302"/>
      <c r="AD31" s="302"/>
      <c r="AE31" s="301"/>
      <c r="AF31" s="302"/>
      <c r="AG31" s="302"/>
      <c r="AH31" s="302"/>
      <c r="AI31" s="302"/>
      <c r="AJ31" s="302"/>
      <c r="AK31" s="302"/>
      <c r="AL31" s="302"/>
      <c r="AM31" s="302"/>
      <c r="AN31" s="302"/>
      <c r="AO31" s="301"/>
      <c r="AP31" s="174"/>
      <c r="AQ31" s="174"/>
      <c r="AR31" s="174"/>
      <c r="AS31" s="177">
        <f>SUM(Z31:AR31)</f>
        <v>19081</v>
      </c>
      <c r="AT31" s="139"/>
      <c r="AU31" s="160"/>
      <c r="AV31" s="75"/>
      <c r="AZ31" s="160"/>
      <c r="BD31" s="160"/>
    </row>
    <row r="32" spans="1:56" s="19" customFormat="1" ht="12">
      <c r="A32" s="17">
        <v>14</v>
      </c>
      <c r="C32" s="19" t="s">
        <v>544</v>
      </c>
      <c r="E32" s="133">
        <f>'ROO INPUT'!F32</f>
        <v>19320</v>
      </c>
      <c r="F32" s="301">
        <v>0</v>
      </c>
      <c r="G32" s="301">
        <v>0</v>
      </c>
      <c r="H32" s="302">
        <v>0</v>
      </c>
      <c r="I32" s="301">
        <v>0</v>
      </c>
      <c r="J32" s="301">
        <v>0</v>
      </c>
      <c r="K32" s="301">
        <v>0</v>
      </c>
      <c r="L32" s="301">
        <v>0</v>
      </c>
      <c r="M32" s="301">
        <v>0</v>
      </c>
      <c r="N32" s="301">
        <v>0</v>
      </c>
      <c r="O32" s="301">
        <v>0</v>
      </c>
      <c r="P32" s="301">
        <v>0</v>
      </c>
      <c r="Q32" s="301">
        <v>0</v>
      </c>
      <c r="R32" s="301">
        <v>0</v>
      </c>
      <c r="S32" s="301">
        <v>0</v>
      </c>
      <c r="T32" s="301">
        <v>-80</v>
      </c>
      <c r="U32" s="301">
        <v>0</v>
      </c>
      <c r="V32" s="302">
        <v>0</v>
      </c>
      <c r="W32" s="302">
        <v>0</v>
      </c>
      <c r="X32" s="302">
        <v>0</v>
      </c>
      <c r="Y32" s="302">
        <v>0</v>
      </c>
      <c r="Z32" s="173">
        <f>SUM(E32:Y32)</f>
        <v>19240</v>
      </c>
      <c r="AA32" s="302"/>
      <c r="AB32" s="302"/>
      <c r="AC32" s="302"/>
      <c r="AD32" s="302"/>
      <c r="AE32" s="301"/>
      <c r="AF32" s="302"/>
      <c r="AG32" s="302"/>
      <c r="AH32" s="302"/>
      <c r="AI32" s="302"/>
      <c r="AJ32" s="302"/>
      <c r="AK32" s="302"/>
      <c r="AL32" s="302"/>
      <c r="AM32" s="302"/>
      <c r="AN32" s="302"/>
      <c r="AO32" s="301"/>
      <c r="AP32" s="174"/>
      <c r="AQ32" s="174"/>
      <c r="AR32" s="174"/>
      <c r="AS32" s="177">
        <f>SUM(Z32:AR32)</f>
        <v>19240</v>
      </c>
      <c r="AT32" s="139"/>
      <c r="AU32" s="160"/>
      <c r="AV32" s="75"/>
      <c r="AZ32" s="160"/>
      <c r="BD32" s="160"/>
    </row>
    <row r="33" spans="1:56" s="19" customFormat="1" ht="12">
      <c r="A33" s="17">
        <v>15</v>
      </c>
      <c r="C33" s="19" t="s">
        <v>175</v>
      </c>
      <c r="E33" s="371">
        <f>'ROO INPUT'!F33</f>
        <v>38896</v>
      </c>
      <c r="F33" s="303">
        <v>0</v>
      </c>
      <c r="G33" s="303">
        <v>0</v>
      </c>
      <c r="H33" s="304">
        <v>0</v>
      </c>
      <c r="I33" s="303">
        <v>-16308</v>
      </c>
      <c r="J33" s="303">
        <v>0</v>
      </c>
      <c r="K33" s="303">
        <v>0</v>
      </c>
      <c r="L33" s="303">
        <v>0</v>
      </c>
      <c r="M33" s="303">
        <v>0</v>
      </c>
      <c r="N33" s="303">
        <v>0</v>
      </c>
      <c r="O33" s="303">
        <v>0</v>
      </c>
      <c r="P33" s="303">
        <v>0</v>
      </c>
      <c r="Q33" s="303">
        <v>0</v>
      </c>
      <c r="R33" s="303">
        <v>0</v>
      </c>
      <c r="S33" s="303">
        <v>-103</v>
      </c>
      <c r="T33" s="303">
        <v>0</v>
      </c>
      <c r="U33" s="303">
        <f>U$14*'CF '!E16</f>
        <v>-91.546188000000001</v>
      </c>
      <c r="V33" s="304">
        <v>0</v>
      </c>
      <c r="W33" s="304">
        <v>0</v>
      </c>
      <c r="X33" s="304">
        <v>0</v>
      </c>
      <c r="Y33" s="304">
        <v>0</v>
      </c>
      <c r="Z33" s="207">
        <f>SUM(E33:Y33)</f>
        <v>22393.453812</v>
      </c>
      <c r="AA33" s="304"/>
      <c r="AB33" s="304"/>
      <c r="AC33" s="304"/>
      <c r="AD33" s="304"/>
      <c r="AE33" s="303"/>
      <c r="AF33" s="304"/>
      <c r="AG33" s="304"/>
      <c r="AH33" s="304"/>
      <c r="AI33" s="304"/>
      <c r="AJ33" s="304"/>
      <c r="AK33" s="304"/>
      <c r="AL33" s="304"/>
      <c r="AM33" s="304"/>
      <c r="AN33" s="304"/>
      <c r="AO33" s="303"/>
      <c r="AP33" s="205"/>
      <c r="AQ33" s="205"/>
      <c r="AR33" s="205"/>
      <c r="AS33" s="208">
        <f>SUM(Z33:AR33)</f>
        <v>22393.453812</v>
      </c>
      <c r="AT33" s="139"/>
      <c r="AU33" s="160"/>
      <c r="AV33" s="75"/>
      <c r="AZ33" s="160"/>
      <c r="BD33" s="160"/>
    </row>
    <row r="34" spans="1:56" s="19" customFormat="1" ht="12">
      <c r="A34" s="17">
        <v>16</v>
      </c>
      <c r="B34" s="19" t="s">
        <v>178</v>
      </c>
      <c r="E34" s="99">
        <f t="shared" ref="E34:G34" si="20">SUM(E31:E33)</f>
        <v>78576</v>
      </c>
      <c r="F34" s="174">
        <f t="shared" si="20"/>
        <v>0</v>
      </c>
      <c r="G34" s="174">
        <f t="shared" si="20"/>
        <v>0</v>
      </c>
      <c r="H34" s="175">
        <f>SUM(H31:H33)</f>
        <v>0</v>
      </c>
      <c r="I34" s="176">
        <f t="shared" ref="I34:N34" si="21">SUM(I31:I33)</f>
        <v>-16308</v>
      </c>
      <c r="J34" s="174">
        <f t="shared" si="21"/>
        <v>0</v>
      </c>
      <c r="K34" s="176">
        <f t="shared" si="21"/>
        <v>0</v>
      </c>
      <c r="L34" s="174">
        <f t="shared" si="21"/>
        <v>0</v>
      </c>
      <c r="M34" s="176">
        <f t="shared" si="21"/>
        <v>0</v>
      </c>
      <c r="N34" s="174">
        <f t="shared" si="21"/>
        <v>0</v>
      </c>
      <c r="O34" s="174">
        <f t="shared" ref="O34:Y34" si="22">SUM(O31:O33)</f>
        <v>0</v>
      </c>
      <c r="P34" s="176">
        <f t="shared" si="22"/>
        <v>0</v>
      </c>
      <c r="Q34" s="176">
        <f t="shared" si="22"/>
        <v>0</v>
      </c>
      <c r="R34" s="176">
        <f t="shared" si="22"/>
        <v>0</v>
      </c>
      <c r="S34" s="176">
        <f t="shared" si="22"/>
        <v>-103</v>
      </c>
      <c r="T34" s="176">
        <f t="shared" si="22"/>
        <v>-80</v>
      </c>
      <c r="U34" s="174">
        <f t="shared" si="22"/>
        <v>-91.546188000000001</v>
      </c>
      <c r="V34" s="175">
        <f t="shared" si="22"/>
        <v>-1</v>
      </c>
      <c r="W34" s="175">
        <f t="shared" ref="W34" si="23">SUM(W31:W33)</f>
        <v>-1278</v>
      </c>
      <c r="X34" s="175">
        <f>SUM(X31:X33)</f>
        <v>0</v>
      </c>
      <c r="Y34" s="175">
        <f t="shared" si="22"/>
        <v>0</v>
      </c>
      <c r="Z34" s="173">
        <f t="shared" ref="Z34" si="24">SUM(Z31:Z33)</f>
        <v>60714.453812</v>
      </c>
      <c r="AA34" s="175"/>
      <c r="AB34" s="175"/>
      <c r="AC34" s="175"/>
      <c r="AD34" s="175"/>
      <c r="AE34" s="174"/>
      <c r="AF34" s="175"/>
      <c r="AG34" s="175"/>
      <c r="AH34" s="175"/>
      <c r="AI34" s="175"/>
      <c r="AJ34" s="175"/>
      <c r="AK34" s="175"/>
      <c r="AL34" s="175"/>
      <c r="AM34" s="175"/>
      <c r="AN34" s="175"/>
      <c r="AO34" s="174"/>
      <c r="AP34" s="174"/>
      <c r="AQ34" s="174"/>
      <c r="AR34" s="174"/>
      <c r="AS34" s="177">
        <f>SUM(Z34:AR34)</f>
        <v>60714.453812</v>
      </c>
      <c r="AT34" s="75"/>
      <c r="AU34" s="133"/>
      <c r="AV34" s="75"/>
      <c r="AZ34" s="133"/>
      <c r="BD34" s="133"/>
    </row>
    <row r="35" spans="1:56" s="19" customFormat="1" ht="12">
      <c r="E35" s="99"/>
      <c r="F35" s="174"/>
      <c r="G35" s="174"/>
      <c r="H35" s="175"/>
      <c r="I35" s="176"/>
      <c r="J35" s="174"/>
      <c r="K35" s="176"/>
      <c r="L35" s="174"/>
      <c r="M35" s="176"/>
      <c r="N35" s="174"/>
      <c r="O35" s="174"/>
      <c r="P35" s="176"/>
      <c r="Q35" s="176"/>
      <c r="R35" s="176"/>
      <c r="S35" s="176"/>
      <c r="T35" s="176"/>
      <c r="U35" s="174"/>
      <c r="V35" s="175"/>
      <c r="W35" s="175"/>
      <c r="X35" s="175"/>
      <c r="Y35" s="175"/>
      <c r="Z35" s="173"/>
      <c r="AA35" s="175"/>
      <c r="AB35" s="175"/>
      <c r="AC35" s="175"/>
      <c r="AD35" s="175"/>
      <c r="AE35" s="174"/>
      <c r="AF35" s="175"/>
      <c r="AG35" s="175"/>
      <c r="AH35" s="175"/>
      <c r="AI35" s="175"/>
      <c r="AJ35" s="175"/>
      <c r="AK35" s="175"/>
      <c r="AL35" s="175"/>
      <c r="AM35" s="175"/>
      <c r="AN35" s="175"/>
      <c r="AO35" s="174"/>
      <c r="AP35" s="174"/>
      <c r="AQ35" s="174"/>
      <c r="AR35" s="174"/>
      <c r="AS35" s="177"/>
      <c r="AT35" s="139"/>
      <c r="AU35" s="160"/>
      <c r="AV35" s="75"/>
      <c r="AZ35" s="160"/>
      <c r="BD35" s="160"/>
    </row>
    <row r="36" spans="1:56" s="19" customFormat="1" ht="12">
      <c r="A36" s="17">
        <v>17</v>
      </c>
      <c r="B36" s="19" t="s">
        <v>179</v>
      </c>
      <c r="E36" s="133">
        <f>'ROO INPUT'!F36</f>
        <v>9960</v>
      </c>
      <c r="F36" s="301">
        <v>0</v>
      </c>
      <c r="G36" s="301">
        <v>10</v>
      </c>
      <c r="H36" s="302">
        <v>0</v>
      </c>
      <c r="I36" s="301">
        <v>0</v>
      </c>
      <c r="J36" s="301">
        <v>0</v>
      </c>
      <c r="K36" s="301">
        <v>317</v>
      </c>
      <c r="L36" s="301">
        <v>0</v>
      </c>
      <c r="M36" s="301">
        <v>0</v>
      </c>
      <c r="N36" s="301">
        <v>0</v>
      </c>
      <c r="O36" s="301">
        <v>0</v>
      </c>
      <c r="P36" s="301">
        <v>0</v>
      </c>
      <c r="Q36" s="301">
        <v>-2</v>
      </c>
      <c r="R36" s="301">
        <v>0</v>
      </c>
      <c r="S36" s="301">
        <v>0</v>
      </c>
      <c r="T36" s="301">
        <v>0</v>
      </c>
      <c r="U36" s="301">
        <f>U$14*'CF '!E12</f>
        <v>-10.298411999999999</v>
      </c>
      <c r="V36" s="302">
        <v>0</v>
      </c>
      <c r="W36" s="302">
        <v>0</v>
      </c>
      <c r="X36" s="302">
        <v>0</v>
      </c>
      <c r="Y36" s="302">
        <v>0</v>
      </c>
      <c r="Z36" s="173">
        <f>SUM(E36:Y36)</f>
        <v>10274.701588</v>
      </c>
      <c r="AA36" s="302"/>
      <c r="AB36" s="302"/>
      <c r="AC36" s="302"/>
      <c r="AD36" s="302"/>
      <c r="AE36" s="301"/>
      <c r="AF36" s="302"/>
      <c r="AG36" s="302"/>
      <c r="AH36" s="302"/>
      <c r="AI36" s="302"/>
      <c r="AJ36" s="302"/>
      <c r="AK36" s="302"/>
      <c r="AL36" s="302"/>
      <c r="AM36" s="302"/>
      <c r="AN36" s="302"/>
      <c r="AO36" s="301"/>
      <c r="AP36" s="174"/>
      <c r="AQ36" s="174"/>
      <c r="AR36" s="174"/>
      <c r="AS36" s="177">
        <f>SUM(Z36:AR36)</f>
        <v>10274.701588</v>
      </c>
      <c r="AT36" s="139"/>
      <c r="AU36" s="160"/>
      <c r="AV36" s="141"/>
      <c r="AW36" s="137"/>
      <c r="AZ36" s="160"/>
      <c r="BD36" s="160"/>
    </row>
    <row r="37" spans="1:56" s="19" customFormat="1" ht="12">
      <c r="A37" s="17">
        <v>18</v>
      </c>
      <c r="B37" s="19" t="s">
        <v>180</v>
      </c>
      <c r="E37" s="133">
        <f>'ROO INPUT'!F37</f>
        <v>21300</v>
      </c>
      <c r="F37" s="301">
        <v>0</v>
      </c>
      <c r="G37" s="301">
        <v>0</v>
      </c>
      <c r="H37" s="302">
        <v>0</v>
      </c>
      <c r="I37" s="301">
        <v>0</v>
      </c>
      <c r="J37" s="301">
        <v>0</v>
      </c>
      <c r="K37" s="301">
        <v>0</v>
      </c>
      <c r="L37" s="301">
        <v>0</v>
      </c>
      <c r="M37" s="301">
        <v>0</v>
      </c>
      <c r="N37" s="301">
        <v>0</v>
      </c>
      <c r="O37" s="301">
        <v>0</v>
      </c>
      <c r="P37" s="301">
        <v>0</v>
      </c>
      <c r="Q37" s="301">
        <v>0</v>
      </c>
      <c r="R37" s="301">
        <v>0</v>
      </c>
      <c r="S37" s="301">
        <v>0</v>
      </c>
      <c r="T37" s="301">
        <v>0</v>
      </c>
      <c r="U37" s="301">
        <v>0</v>
      </c>
      <c r="V37" s="302">
        <v>-8</v>
      </c>
      <c r="W37" s="302">
        <v>0</v>
      </c>
      <c r="X37" s="302">
        <v>0</v>
      </c>
      <c r="Y37" s="302">
        <v>0</v>
      </c>
      <c r="Z37" s="173">
        <f>SUM(E37:Y37)</f>
        <v>21292</v>
      </c>
      <c r="AA37" s="302"/>
      <c r="AB37" s="302"/>
      <c r="AC37" s="302"/>
      <c r="AD37" s="302"/>
      <c r="AE37" s="301"/>
      <c r="AF37" s="302"/>
      <c r="AG37" s="302"/>
      <c r="AH37" s="302"/>
      <c r="AI37" s="302"/>
      <c r="AJ37" s="302"/>
      <c r="AK37" s="302"/>
      <c r="AL37" s="302"/>
      <c r="AM37" s="302"/>
      <c r="AN37" s="302"/>
      <c r="AO37" s="301"/>
      <c r="AP37" s="174"/>
      <c r="AQ37" s="174"/>
      <c r="AR37" s="174"/>
      <c r="AS37" s="177">
        <f>SUM(Z37:AR37)</f>
        <v>21292</v>
      </c>
      <c r="AT37" s="139"/>
      <c r="AU37" s="160"/>
      <c r="AV37" s="75"/>
      <c r="AZ37" s="160"/>
      <c r="BD37" s="160"/>
    </row>
    <row r="38" spans="1:56" s="19" customFormat="1" ht="12">
      <c r="A38" s="17">
        <v>19</v>
      </c>
      <c r="B38" s="19" t="s">
        <v>181</v>
      </c>
      <c r="E38" s="133">
        <f>'ROO INPUT'!F38</f>
        <v>4</v>
      </c>
      <c r="F38" s="301">
        <v>0</v>
      </c>
      <c r="G38" s="301">
        <v>0</v>
      </c>
      <c r="H38" s="302">
        <v>0</v>
      </c>
      <c r="I38" s="301">
        <v>0</v>
      </c>
      <c r="J38" s="301">
        <v>0</v>
      </c>
      <c r="K38" s="301">
        <v>0</v>
      </c>
      <c r="L38" s="301">
        <v>0</v>
      </c>
      <c r="M38" s="301">
        <v>0</v>
      </c>
      <c r="N38" s="301">
        <v>0</v>
      </c>
      <c r="O38" s="301">
        <v>0</v>
      </c>
      <c r="P38" s="301">
        <v>0</v>
      </c>
      <c r="Q38" s="301">
        <v>0</v>
      </c>
      <c r="R38" s="301">
        <v>0</v>
      </c>
      <c r="S38" s="301">
        <v>0</v>
      </c>
      <c r="T38" s="301">
        <v>0</v>
      </c>
      <c r="U38" s="301">
        <v>0</v>
      </c>
      <c r="V38" s="302">
        <v>0</v>
      </c>
      <c r="W38" s="302">
        <v>0</v>
      </c>
      <c r="X38" s="302">
        <v>0</v>
      </c>
      <c r="Y38" s="302">
        <v>0</v>
      </c>
      <c r="Z38" s="173">
        <f>SUM(E38:Y38)</f>
        <v>4</v>
      </c>
      <c r="AA38" s="302"/>
      <c r="AB38" s="302"/>
      <c r="AC38" s="302"/>
      <c r="AD38" s="302"/>
      <c r="AE38" s="301"/>
      <c r="AF38" s="302"/>
      <c r="AG38" s="302"/>
      <c r="AH38" s="302"/>
      <c r="AI38" s="302"/>
      <c r="AJ38" s="302"/>
      <c r="AK38" s="302"/>
      <c r="AL38" s="302"/>
      <c r="AM38" s="302"/>
      <c r="AN38" s="302"/>
      <c r="AO38" s="301"/>
      <c r="AP38" s="174"/>
      <c r="AQ38" s="174"/>
      <c r="AR38" s="174"/>
      <c r="AS38" s="177">
        <f>SUM(Z38:AR38)</f>
        <v>4</v>
      </c>
      <c r="AT38" s="139"/>
      <c r="AU38" s="160"/>
      <c r="AV38" s="75"/>
      <c r="AZ38" s="160"/>
      <c r="BD38" s="160"/>
    </row>
    <row r="39" spans="1:56" s="19" customFormat="1" ht="12">
      <c r="A39" s="17"/>
      <c r="E39" s="99"/>
      <c r="F39" s="301"/>
      <c r="G39" s="301"/>
      <c r="H39" s="302"/>
      <c r="I39" s="301"/>
      <c r="J39" s="301"/>
      <c r="K39" s="301"/>
      <c r="L39" s="301"/>
      <c r="M39" s="301"/>
      <c r="N39" s="301"/>
      <c r="O39" s="301"/>
      <c r="P39" s="301"/>
      <c r="Q39" s="301"/>
      <c r="R39" s="301"/>
      <c r="S39" s="301"/>
      <c r="T39" s="301"/>
      <c r="U39" s="301"/>
      <c r="V39" s="302"/>
      <c r="W39" s="302"/>
      <c r="X39" s="175"/>
      <c r="Y39" s="302"/>
      <c r="Z39" s="173"/>
      <c r="AA39" s="175"/>
      <c r="AB39" s="175"/>
      <c r="AC39" s="175"/>
      <c r="AD39" s="175"/>
      <c r="AE39" s="174"/>
      <c r="AF39" s="175"/>
      <c r="AG39" s="175"/>
      <c r="AH39" s="175"/>
      <c r="AI39" s="175"/>
      <c r="AJ39" s="175"/>
      <c r="AK39" s="175"/>
      <c r="AL39" s="175"/>
      <c r="AM39" s="175"/>
      <c r="AN39" s="175"/>
      <c r="AO39" s="174"/>
      <c r="AP39" s="174"/>
      <c r="AQ39" s="174"/>
      <c r="AR39" s="174"/>
      <c r="AS39" s="177"/>
      <c r="AT39" s="139"/>
      <c r="AU39" s="160"/>
      <c r="AV39" s="75"/>
      <c r="AZ39" s="160"/>
      <c r="BD39" s="160"/>
    </row>
    <row r="40" spans="1:56" s="19" customFormat="1" ht="12">
      <c r="B40" s="19" t="s">
        <v>182</v>
      </c>
      <c r="E40" s="99"/>
      <c r="F40" s="301"/>
      <c r="G40" s="301"/>
      <c r="H40" s="302"/>
      <c r="I40" s="301"/>
      <c r="J40" s="301"/>
      <c r="K40" s="301"/>
      <c r="L40" s="301"/>
      <c r="M40" s="301"/>
      <c r="N40" s="301"/>
      <c r="O40" s="301"/>
      <c r="P40" s="301"/>
      <c r="Q40" s="301"/>
      <c r="R40" s="301"/>
      <c r="S40" s="301"/>
      <c r="T40" s="301"/>
      <c r="U40" s="301"/>
      <c r="V40" s="302"/>
      <c r="W40" s="302"/>
      <c r="X40" s="175"/>
      <c r="Y40" s="302"/>
      <c r="Z40" s="173"/>
      <c r="AA40" s="175"/>
      <c r="AB40" s="175"/>
      <c r="AC40" s="175"/>
      <c r="AD40" s="175"/>
      <c r="AE40" s="174"/>
      <c r="AF40" s="175"/>
      <c r="AG40" s="175"/>
      <c r="AH40" s="175"/>
      <c r="AI40" s="175"/>
      <c r="AJ40" s="175"/>
      <c r="AK40" s="175"/>
      <c r="AL40" s="175"/>
      <c r="AM40" s="175"/>
      <c r="AN40" s="175"/>
      <c r="AO40" s="174"/>
      <c r="AP40" s="174"/>
      <c r="AQ40" s="174"/>
      <c r="AR40" s="174"/>
      <c r="AS40" s="177"/>
      <c r="AT40" s="139"/>
      <c r="AU40" s="160"/>
      <c r="AV40" s="75"/>
      <c r="AZ40" s="160"/>
      <c r="BD40" s="160"/>
    </row>
    <row r="41" spans="1:56" s="19" customFormat="1" ht="12">
      <c r="A41" s="17">
        <v>20</v>
      </c>
      <c r="C41" s="19" t="s">
        <v>173</v>
      </c>
      <c r="E41" s="133">
        <f>'ROO INPUT'!F41</f>
        <v>45046</v>
      </c>
      <c r="F41" s="301">
        <v>0</v>
      </c>
      <c r="G41" s="301">
        <v>0</v>
      </c>
      <c r="H41" s="302">
        <v>0</v>
      </c>
      <c r="I41" s="301">
        <v>0</v>
      </c>
      <c r="J41" s="301">
        <v>0</v>
      </c>
      <c r="K41" s="301">
        <v>0</v>
      </c>
      <c r="L41" s="301">
        <v>48</v>
      </c>
      <c r="M41" s="301">
        <v>-230</v>
      </c>
      <c r="N41" s="301">
        <v>0</v>
      </c>
      <c r="O41" s="301">
        <v>0</v>
      </c>
      <c r="P41" s="301">
        <v>0</v>
      </c>
      <c r="Q41" s="301">
        <v>0</v>
      </c>
      <c r="R41" s="301">
        <v>-5</v>
      </c>
      <c r="S41" s="301">
        <v>0</v>
      </c>
      <c r="T41" s="301">
        <v>0</v>
      </c>
      <c r="U41" s="301">
        <f>U$14*'CF '!E14</f>
        <v>-4.7480000000000002</v>
      </c>
      <c r="V41" s="302">
        <v>-75</v>
      </c>
      <c r="W41" s="302">
        <v>0</v>
      </c>
      <c r="X41" s="302">
        <v>0</v>
      </c>
      <c r="Y41" s="302">
        <v>0</v>
      </c>
      <c r="Z41" s="173">
        <f>SUM(E41:Y41)</f>
        <v>44779.252</v>
      </c>
      <c r="AA41" s="302"/>
      <c r="AB41" s="302"/>
      <c r="AC41" s="302"/>
      <c r="AD41" s="302"/>
      <c r="AE41" s="301"/>
      <c r="AF41" s="302"/>
      <c r="AG41" s="302"/>
      <c r="AH41" s="302"/>
      <c r="AI41" s="302"/>
      <c r="AJ41" s="302"/>
      <c r="AK41" s="302"/>
      <c r="AL41" s="302"/>
      <c r="AM41" s="302"/>
      <c r="AN41" s="302"/>
      <c r="AO41" s="301"/>
      <c r="AP41" s="174"/>
      <c r="AQ41" s="174"/>
      <c r="AR41" s="174"/>
      <c r="AS41" s="177">
        <f t="shared" ref="AS41:AS45" si="25">SUM(Z41:AR41)</f>
        <v>44779.252</v>
      </c>
      <c r="AT41" s="139"/>
      <c r="AU41" s="160"/>
      <c r="AV41" s="75"/>
      <c r="AZ41" s="160"/>
      <c r="BD41" s="160"/>
    </row>
    <row r="42" spans="1:56" s="19" customFormat="1" ht="12">
      <c r="A42" s="17">
        <v>21</v>
      </c>
      <c r="C42" s="19" t="s">
        <v>544</v>
      </c>
      <c r="E42" s="133">
        <f>'ROO INPUT'!F42</f>
        <v>10906</v>
      </c>
      <c r="F42" s="301">
        <v>0</v>
      </c>
      <c r="G42" s="301">
        <v>0</v>
      </c>
      <c r="H42" s="302">
        <v>0</v>
      </c>
      <c r="I42" s="301">
        <v>0</v>
      </c>
      <c r="J42" s="301">
        <v>0</v>
      </c>
      <c r="K42" s="301">
        <v>0</v>
      </c>
      <c r="L42" s="301">
        <v>0</v>
      </c>
      <c r="M42" s="301">
        <v>0</v>
      </c>
      <c r="N42" s="301">
        <v>0</v>
      </c>
      <c r="O42" s="301">
        <v>0</v>
      </c>
      <c r="P42" s="301">
        <v>0</v>
      </c>
      <c r="Q42" s="301">
        <v>0</v>
      </c>
      <c r="R42" s="301">
        <v>0</v>
      </c>
      <c r="S42" s="301">
        <v>0</v>
      </c>
      <c r="T42" s="301">
        <v>0</v>
      </c>
      <c r="U42" s="301">
        <v>0</v>
      </c>
      <c r="V42" s="302">
        <v>0</v>
      </c>
      <c r="W42" s="302">
        <v>0</v>
      </c>
      <c r="X42" s="302">
        <v>0</v>
      </c>
      <c r="Y42" s="302">
        <v>0</v>
      </c>
      <c r="Z42" s="173">
        <f>SUM(E42:Y42)</f>
        <v>10906</v>
      </c>
      <c r="AA42" s="302"/>
      <c r="AB42" s="302"/>
      <c r="AC42" s="302"/>
      <c r="AD42" s="302"/>
      <c r="AE42" s="301"/>
      <c r="AF42" s="302"/>
      <c r="AG42" s="302"/>
      <c r="AH42" s="302"/>
      <c r="AI42" s="302"/>
      <c r="AJ42" s="302"/>
      <c r="AK42" s="302"/>
      <c r="AL42" s="302"/>
      <c r="AM42" s="302"/>
      <c r="AN42" s="302"/>
      <c r="AO42" s="301"/>
      <c r="AP42" s="174"/>
      <c r="AQ42" s="174"/>
      <c r="AR42" s="174"/>
      <c r="AS42" s="177">
        <f t="shared" si="25"/>
        <v>10906</v>
      </c>
      <c r="AT42" s="139"/>
      <c r="AU42" s="160"/>
      <c r="AV42" s="75"/>
      <c r="AZ42" s="160"/>
      <c r="BD42" s="160"/>
    </row>
    <row r="43" spans="1:56" s="19" customFormat="1" ht="12">
      <c r="A43" s="214">
        <v>22</v>
      </c>
      <c r="C43" s="19" t="s">
        <v>175</v>
      </c>
      <c r="E43" s="371">
        <f>'ROO INPUT'!F43</f>
        <v>0</v>
      </c>
      <c r="F43" s="303">
        <v>0</v>
      </c>
      <c r="G43" s="303">
        <v>0</v>
      </c>
      <c r="H43" s="304">
        <v>0</v>
      </c>
      <c r="I43" s="303">
        <v>0</v>
      </c>
      <c r="J43" s="303">
        <v>0</v>
      </c>
      <c r="K43" s="303">
        <v>0</v>
      </c>
      <c r="L43" s="303">
        <v>0</v>
      </c>
      <c r="M43" s="303">
        <v>0</v>
      </c>
      <c r="N43" s="303">
        <v>0</v>
      </c>
      <c r="O43" s="303">
        <v>0</v>
      </c>
      <c r="P43" s="303">
        <v>0</v>
      </c>
      <c r="Q43" s="303">
        <v>0</v>
      </c>
      <c r="R43" s="303">
        <v>0</v>
      </c>
      <c r="S43" s="303">
        <v>0</v>
      </c>
      <c r="T43" s="303">
        <v>0</v>
      </c>
      <c r="U43" s="303">
        <v>0</v>
      </c>
      <c r="V43" s="304">
        <v>0</v>
      </c>
      <c r="W43" s="304">
        <v>0</v>
      </c>
      <c r="X43" s="304">
        <v>0</v>
      </c>
      <c r="Y43" s="304">
        <v>0</v>
      </c>
      <c r="Z43" s="207">
        <f>SUM(E43:Y43)</f>
        <v>0</v>
      </c>
      <c r="AA43" s="304"/>
      <c r="AB43" s="304"/>
      <c r="AC43" s="304"/>
      <c r="AD43" s="304"/>
      <c r="AE43" s="303"/>
      <c r="AF43" s="304"/>
      <c r="AG43" s="304"/>
      <c r="AH43" s="304"/>
      <c r="AI43" s="304"/>
      <c r="AJ43" s="304"/>
      <c r="AK43" s="304"/>
      <c r="AL43" s="304"/>
      <c r="AM43" s="304"/>
      <c r="AN43" s="304"/>
      <c r="AO43" s="303"/>
      <c r="AP43" s="205"/>
      <c r="AQ43" s="205"/>
      <c r="AR43" s="205"/>
      <c r="AS43" s="208">
        <f t="shared" si="25"/>
        <v>0</v>
      </c>
      <c r="AT43" s="139"/>
      <c r="AU43" s="160"/>
      <c r="AV43" s="75"/>
      <c r="AZ43" s="160"/>
      <c r="BD43" s="160"/>
    </row>
    <row r="44" spans="1:56" s="19" customFormat="1" ht="12">
      <c r="A44" s="17">
        <v>23</v>
      </c>
      <c r="B44" s="19" t="s">
        <v>183</v>
      </c>
      <c r="E44" s="371">
        <f t="shared" ref="E44:Y44" si="26">SUM(E41:E43)</f>
        <v>55952</v>
      </c>
      <c r="F44" s="205">
        <f t="shared" si="26"/>
        <v>0</v>
      </c>
      <c r="G44" s="205">
        <f t="shared" si="26"/>
        <v>0</v>
      </c>
      <c r="H44" s="204">
        <f t="shared" si="26"/>
        <v>0</v>
      </c>
      <c r="I44" s="206">
        <f t="shared" si="26"/>
        <v>0</v>
      </c>
      <c r="J44" s="205">
        <f t="shared" si="26"/>
        <v>0</v>
      </c>
      <c r="K44" s="206">
        <f t="shared" si="26"/>
        <v>0</v>
      </c>
      <c r="L44" s="205">
        <f t="shared" si="26"/>
        <v>48</v>
      </c>
      <c r="M44" s="206">
        <f t="shared" si="26"/>
        <v>-230</v>
      </c>
      <c r="N44" s="205">
        <f t="shared" si="26"/>
        <v>0</v>
      </c>
      <c r="O44" s="205">
        <f t="shared" si="26"/>
        <v>0</v>
      </c>
      <c r="P44" s="206">
        <f t="shared" si="26"/>
        <v>0</v>
      </c>
      <c r="Q44" s="206">
        <f t="shared" si="26"/>
        <v>0</v>
      </c>
      <c r="R44" s="206">
        <f t="shared" si="26"/>
        <v>-5</v>
      </c>
      <c r="S44" s="206">
        <f t="shared" si="26"/>
        <v>0</v>
      </c>
      <c r="T44" s="206">
        <f t="shared" si="26"/>
        <v>0</v>
      </c>
      <c r="U44" s="205">
        <f t="shared" si="26"/>
        <v>-4.7480000000000002</v>
      </c>
      <c r="V44" s="204">
        <f t="shared" si="26"/>
        <v>-75</v>
      </c>
      <c r="W44" s="204">
        <f t="shared" ref="W44" si="27">SUM(W41:W43)</f>
        <v>0</v>
      </c>
      <c r="X44" s="204">
        <f>SUM(X41:X43)</f>
        <v>0</v>
      </c>
      <c r="Y44" s="204">
        <f t="shared" si="26"/>
        <v>0</v>
      </c>
      <c r="Z44" s="207">
        <f t="shared" ref="Z44" si="28">SUM(Z41:Z43)</f>
        <v>55685.252</v>
      </c>
      <c r="AA44" s="204"/>
      <c r="AB44" s="204"/>
      <c r="AC44" s="204"/>
      <c r="AD44" s="204"/>
      <c r="AE44" s="205"/>
      <c r="AF44" s="204"/>
      <c r="AG44" s="204"/>
      <c r="AH44" s="204"/>
      <c r="AI44" s="204"/>
      <c r="AJ44" s="204"/>
      <c r="AK44" s="204"/>
      <c r="AL44" s="204"/>
      <c r="AM44" s="204"/>
      <c r="AN44" s="204"/>
      <c r="AO44" s="205"/>
      <c r="AP44" s="205"/>
      <c r="AQ44" s="205"/>
      <c r="AR44" s="205"/>
      <c r="AS44" s="208">
        <f t="shared" si="25"/>
        <v>55685.252</v>
      </c>
      <c r="AT44" s="75"/>
      <c r="AU44" s="133"/>
      <c r="AV44" s="75"/>
      <c r="AZ44" s="133"/>
      <c r="BD44" s="133"/>
    </row>
    <row r="45" spans="1:56" s="19" customFormat="1" ht="18" customHeight="1">
      <c r="A45" s="17">
        <v>24</v>
      </c>
      <c r="B45" s="19" t="s">
        <v>184</v>
      </c>
      <c r="E45" s="371">
        <f t="shared" ref="E45:Y45" si="29">E44+E38+E37+E36+E34+E28</f>
        <v>579520</v>
      </c>
      <c r="F45" s="205">
        <f t="shared" si="29"/>
        <v>0</v>
      </c>
      <c r="G45" s="205">
        <f t="shared" si="29"/>
        <v>-181</v>
      </c>
      <c r="H45" s="204">
        <f t="shared" si="29"/>
        <v>0</v>
      </c>
      <c r="I45" s="206">
        <f t="shared" si="29"/>
        <v>-16308</v>
      </c>
      <c r="J45" s="205">
        <f t="shared" si="29"/>
        <v>66</v>
      </c>
      <c r="K45" s="206">
        <f t="shared" si="29"/>
        <v>317</v>
      </c>
      <c r="L45" s="205">
        <f t="shared" si="29"/>
        <v>48</v>
      </c>
      <c r="M45" s="206">
        <f t="shared" si="29"/>
        <v>-230</v>
      </c>
      <c r="N45" s="205">
        <f t="shared" si="29"/>
        <v>0</v>
      </c>
      <c r="O45" s="205">
        <f t="shared" si="29"/>
        <v>-12788</v>
      </c>
      <c r="P45" s="206">
        <f t="shared" si="29"/>
        <v>14</v>
      </c>
      <c r="Q45" s="206">
        <f t="shared" si="29"/>
        <v>-2</v>
      </c>
      <c r="R45" s="206">
        <f t="shared" si="29"/>
        <v>-5</v>
      </c>
      <c r="S45" s="206">
        <f t="shared" si="29"/>
        <v>-103</v>
      </c>
      <c r="T45" s="206">
        <f t="shared" si="29"/>
        <v>-80</v>
      </c>
      <c r="U45" s="205">
        <f t="shared" si="29"/>
        <v>-106.5926</v>
      </c>
      <c r="V45" s="204">
        <f t="shared" si="29"/>
        <v>-90</v>
      </c>
      <c r="W45" s="204">
        <f t="shared" ref="W45" si="30">W44+W38+W37+W36+W34+W28</f>
        <v>-1278</v>
      </c>
      <c r="X45" s="204">
        <f>X44+X38+X37+X36+X34+X28</f>
        <v>-127640</v>
      </c>
      <c r="Y45" s="204">
        <f t="shared" si="29"/>
        <v>0</v>
      </c>
      <c r="Z45" s="207">
        <f t="shared" ref="Z45" si="31">Z44+Z38+Z37+Z36+Z34+Z28</f>
        <v>421153.40740000003</v>
      </c>
      <c r="AA45" s="204"/>
      <c r="AB45" s="204"/>
      <c r="AC45" s="204"/>
      <c r="AD45" s="204"/>
      <c r="AE45" s="205"/>
      <c r="AF45" s="204"/>
      <c r="AG45" s="204"/>
      <c r="AH45" s="204"/>
      <c r="AI45" s="204"/>
      <c r="AJ45" s="204"/>
      <c r="AK45" s="204"/>
      <c r="AL45" s="204"/>
      <c r="AM45" s="204"/>
      <c r="AN45" s="204"/>
      <c r="AO45" s="205"/>
      <c r="AP45" s="205"/>
      <c r="AQ45" s="205"/>
      <c r="AR45" s="205"/>
      <c r="AS45" s="208">
        <f t="shared" si="25"/>
        <v>421153.40740000003</v>
      </c>
      <c r="AT45" s="75"/>
      <c r="AU45" s="133"/>
      <c r="AV45" s="75"/>
      <c r="AZ45" s="133"/>
      <c r="BD45" s="133"/>
    </row>
    <row r="46" spans="1:56" s="19" customFormat="1" ht="12">
      <c r="E46" s="99"/>
      <c r="F46" s="174"/>
      <c r="G46" s="174"/>
      <c r="H46" s="175"/>
      <c r="I46" s="176"/>
      <c r="J46" s="174"/>
      <c r="K46" s="176"/>
      <c r="L46" s="174"/>
      <c r="M46" s="176"/>
      <c r="N46" s="174"/>
      <c r="O46" s="174"/>
      <c r="P46" s="176"/>
      <c r="Q46" s="176"/>
      <c r="R46" s="176"/>
      <c r="S46" s="176"/>
      <c r="T46" s="176"/>
      <c r="U46" s="493"/>
      <c r="V46" s="175"/>
      <c r="W46" s="175"/>
      <c r="X46" s="175"/>
      <c r="Y46" s="175"/>
      <c r="Z46" s="173"/>
      <c r="AA46" s="175"/>
      <c r="AB46" s="175"/>
      <c r="AC46" s="175"/>
      <c r="AD46" s="175"/>
      <c r="AE46" s="174"/>
      <c r="AF46" s="175"/>
      <c r="AG46" s="175"/>
      <c r="AH46" s="175"/>
      <c r="AI46" s="175"/>
      <c r="AJ46" s="175"/>
      <c r="AK46" s="175"/>
      <c r="AL46" s="175"/>
      <c r="AM46" s="175"/>
      <c r="AN46" s="175"/>
      <c r="AO46" s="174"/>
      <c r="AP46" s="174"/>
      <c r="AQ46" s="174"/>
      <c r="AR46" s="174"/>
      <c r="AS46" s="177"/>
      <c r="AT46" s="75"/>
      <c r="AU46" s="133"/>
      <c r="AV46" s="75"/>
      <c r="AZ46" s="133"/>
      <c r="BD46" s="133"/>
    </row>
    <row r="47" spans="1:56" s="19" customFormat="1" ht="12">
      <c r="A47" s="17">
        <v>25</v>
      </c>
      <c r="B47" s="19" t="s">
        <v>185</v>
      </c>
      <c r="E47" s="99">
        <f t="shared" ref="E47:Y47" si="32">E19-E45</f>
        <v>99603</v>
      </c>
      <c r="F47" s="174">
        <f t="shared" si="32"/>
        <v>0</v>
      </c>
      <c r="G47" s="174">
        <f t="shared" si="32"/>
        <v>181</v>
      </c>
      <c r="H47" s="175">
        <f t="shared" si="32"/>
        <v>0</v>
      </c>
      <c r="I47" s="176">
        <f t="shared" si="32"/>
        <v>-69</v>
      </c>
      <c r="J47" s="174">
        <f t="shared" si="32"/>
        <v>-66</v>
      </c>
      <c r="K47" s="176">
        <f t="shared" si="32"/>
        <v>-317</v>
      </c>
      <c r="L47" s="174">
        <f t="shared" si="32"/>
        <v>-48</v>
      </c>
      <c r="M47" s="176">
        <f t="shared" si="32"/>
        <v>230</v>
      </c>
      <c r="N47" s="174">
        <f t="shared" si="32"/>
        <v>0</v>
      </c>
      <c r="O47" s="174">
        <f t="shared" si="32"/>
        <v>12788</v>
      </c>
      <c r="P47" s="176">
        <f t="shared" si="32"/>
        <v>-14</v>
      </c>
      <c r="Q47" s="176">
        <f t="shared" si="32"/>
        <v>2</v>
      </c>
      <c r="R47" s="176">
        <f t="shared" si="32"/>
        <v>5</v>
      </c>
      <c r="S47" s="176">
        <f t="shared" si="32"/>
        <v>103</v>
      </c>
      <c r="T47" s="176">
        <f t="shared" si="32"/>
        <v>80</v>
      </c>
      <c r="U47" s="174">
        <f t="shared" si="32"/>
        <v>-2267.4074000000001</v>
      </c>
      <c r="V47" s="175">
        <f t="shared" si="32"/>
        <v>90</v>
      </c>
      <c r="W47" s="175">
        <f t="shared" ref="W47" si="33">W19-W45</f>
        <v>1278</v>
      </c>
      <c r="X47" s="175">
        <f>X19-X45</f>
        <v>-13805</v>
      </c>
      <c r="Y47" s="175">
        <f t="shared" si="32"/>
        <v>0</v>
      </c>
      <c r="Z47" s="173">
        <f t="shared" ref="Z47" si="34">Z19-Z45</f>
        <v>97773.592599999974</v>
      </c>
      <c r="AA47" s="175"/>
      <c r="AB47" s="175"/>
      <c r="AC47" s="175"/>
      <c r="AD47" s="175"/>
      <c r="AE47" s="174"/>
      <c r="AF47" s="175"/>
      <c r="AG47" s="175"/>
      <c r="AH47" s="175"/>
      <c r="AI47" s="175"/>
      <c r="AJ47" s="175"/>
      <c r="AK47" s="175"/>
      <c r="AL47" s="175"/>
      <c r="AM47" s="175"/>
      <c r="AN47" s="175"/>
      <c r="AO47" s="174"/>
      <c r="AP47" s="174"/>
      <c r="AQ47" s="174"/>
      <c r="AR47" s="174"/>
      <c r="AS47" s="177">
        <f>SUM(Z47:AR47)</f>
        <v>97773.592599999974</v>
      </c>
      <c r="AT47" s="75"/>
      <c r="AU47" s="133"/>
      <c r="AV47" s="75"/>
      <c r="AZ47" s="133"/>
      <c r="BD47" s="133"/>
    </row>
    <row r="48" spans="1:56" s="19" customFormat="1" ht="12">
      <c r="A48" s="17"/>
      <c r="E48" s="99"/>
      <c r="F48" s="174"/>
      <c r="G48" s="174"/>
      <c r="H48" s="175"/>
      <c r="I48" s="176"/>
      <c r="J48" s="174"/>
      <c r="K48" s="176"/>
      <c r="L48" s="174"/>
      <c r="M48" s="176"/>
      <c r="N48" s="175"/>
      <c r="O48" s="174"/>
      <c r="P48" s="176"/>
      <c r="Q48" s="176"/>
      <c r="R48" s="176"/>
      <c r="S48" s="176"/>
      <c r="T48" s="176"/>
      <c r="U48" s="174"/>
      <c r="V48" s="175"/>
      <c r="W48" s="175"/>
      <c r="X48" s="175"/>
      <c r="Y48" s="175"/>
      <c r="Z48" s="173"/>
      <c r="AA48" s="175"/>
      <c r="AB48" s="175"/>
      <c r="AC48" s="175"/>
      <c r="AD48" s="175"/>
      <c r="AE48" s="174"/>
      <c r="AF48" s="175"/>
      <c r="AG48" s="175"/>
      <c r="AH48" s="175"/>
      <c r="AI48" s="175"/>
      <c r="AJ48" s="175"/>
      <c r="AK48" s="175"/>
      <c r="AL48" s="175"/>
      <c r="AM48" s="175"/>
      <c r="AN48" s="175"/>
      <c r="AO48" s="174"/>
      <c r="AP48" s="174"/>
      <c r="AQ48" s="174"/>
      <c r="AR48" s="174"/>
      <c r="AS48" s="177"/>
      <c r="AT48" s="139"/>
      <c r="AU48" s="160"/>
      <c r="AV48" s="75"/>
      <c r="AZ48" s="160"/>
      <c r="BD48" s="160"/>
    </row>
    <row r="49" spans="1:56" s="19" customFormat="1" ht="12">
      <c r="A49" s="22"/>
      <c r="B49" s="19" t="s">
        <v>186</v>
      </c>
      <c r="E49" s="99"/>
      <c r="F49" s="174"/>
      <c r="G49" s="174"/>
      <c r="H49" s="175"/>
      <c r="I49" s="176"/>
      <c r="J49" s="174"/>
      <c r="K49" s="176"/>
      <c r="L49" s="174"/>
      <c r="M49" s="176"/>
      <c r="N49" s="175"/>
      <c r="O49" s="174"/>
      <c r="P49" s="176"/>
      <c r="Q49" s="176"/>
      <c r="R49" s="176"/>
      <c r="S49" s="176"/>
      <c r="T49" s="176"/>
      <c r="U49" s="174"/>
      <c r="V49" s="175"/>
      <c r="W49" s="175"/>
      <c r="X49" s="175"/>
      <c r="Y49" s="175"/>
      <c r="Z49" s="173"/>
      <c r="AA49" s="175"/>
      <c r="AB49" s="175"/>
      <c r="AC49" s="175"/>
      <c r="AD49" s="175"/>
      <c r="AE49" s="175"/>
      <c r="AF49" s="175"/>
      <c r="AG49" s="175"/>
      <c r="AH49" s="175"/>
      <c r="AI49" s="175"/>
      <c r="AJ49" s="175"/>
      <c r="AK49" s="175"/>
      <c r="AL49" s="175"/>
      <c r="AM49" s="175"/>
      <c r="AN49" s="175"/>
      <c r="AO49" s="175"/>
      <c r="AP49" s="175"/>
      <c r="AQ49" s="175"/>
      <c r="AR49" s="175"/>
      <c r="AS49" s="173"/>
      <c r="AT49" s="139"/>
      <c r="AU49" s="160"/>
      <c r="AV49" s="75"/>
      <c r="AZ49" s="160"/>
      <c r="BD49" s="160"/>
    </row>
    <row r="50" spans="1:56" s="19" customFormat="1" ht="12">
      <c r="A50" s="214">
        <v>26</v>
      </c>
      <c r="B50" s="19" t="s">
        <v>580</v>
      </c>
      <c r="D50" s="436"/>
      <c r="E50" s="133">
        <f>'ROO INPUT'!F50</f>
        <v>11899</v>
      </c>
      <c r="F50" s="174">
        <f>F47*0.35</f>
        <v>0</v>
      </c>
      <c r="G50" s="301">
        <f>G47*0.35-67</f>
        <v>-3.6500000000000057</v>
      </c>
      <c r="H50" s="174">
        <f t="shared" ref="H50:V50" si="35">H47*0.35</f>
        <v>0</v>
      </c>
      <c r="I50" s="174">
        <f t="shared" si="35"/>
        <v>-24.15</v>
      </c>
      <c r="J50" s="174">
        <f t="shared" si="35"/>
        <v>-23.099999999999998</v>
      </c>
      <c r="K50" s="174">
        <f t="shared" si="35"/>
        <v>-110.94999999999999</v>
      </c>
      <c r="L50" s="174">
        <f t="shared" si="35"/>
        <v>-16.799999999999997</v>
      </c>
      <c r="M50" s="174">
        <f t="shared" si="35"/>
        <v>80.5</v>
      </c>
      <c r="N50" s="509">
        <v>-147</v>
      </c>
      <c r="O50" s="509"/>
      <c r="P50" s="174">
        <f t="shared" si="35"/>
        <v>-4.8999999999999995</v>
      </c>
      <c r="Q50" s="174">
        <f t="shared" si="35"/>
        <v>0.7</v>
      </c>
      <c r="R50" s="174">
        <f t="shared" si="35"/>
        <v>1.75</v>
      </c>
      <c r="S50" s="174">
        <f t="shared" si="35"/>
        <v>36.049999999999997</v>
      </c>
      <c r="T50" s="174">
        <f t="shared" si="35"/>
        <v>28</v>
      </c>
      <c r="U50" s="174">
        <f t="shared" si="35"/>
        <v>-793.59258999999997</v>
      </c>
      <c r="V50" s="174">
        <f t="shared" si="35"/>
        <v>31.499999999999996</v>
      </c>
      <c r="W50" s="174">
        <f t="shared" ref="W50" si="36">W47*0.35</f>
        <v>447.29999999999995</v>
      </c>
      <c r="X50" s="174">
        <f>X47*0.35</f>
        <v>-4831.75</v>
      </c>
      <c r="Y50" s="175">
        <f>Y47*0.35</f>
        <v>0</v>
      </c>
      <c r="Z50" s="173">
        <f>SUM(E50:Y50)</f>
        <v>6568.9074099999998</v>
      </c>
      <c r="AA50" s="175"/>
      <c r="AB50" s="175"/>
      <c r="AC50" s="175"/>
      <c r="AD50" s="175"/>
      <c r="AE50" s="175"/>
      <c r="AF50" s="175"/>
      <c r="AG50" s="175"/>
      <c r="AH50" s="175"/>
      <c r="AI50" s="175"/>
      <c r="AJ50" s="175"/>
      <c r="AK50" s="175"/>
      <c r="AL50" s="175"/>
      <c r="AM50" s="175"/>
      <c r="AN50" s="175"/>
      <c r="AO50" s="175"/>
      <c r="AP50" s="175"/>
      <c r="AQ50" s="175"/>
      <c r="AR50" s="175"/>
      <c r="AS50" s="173">
        <f>SUM(Z50:AR50)</f>
        <v>6568.9074099999998</v>
      </c>
      <c r="AT50" s="139"/>
      <c r="AU50" s="160"/>
      <c r="AV50" s="75"/>
      <c r="AX50" s="18"/>
      <c r="AZ50" s="160"/>
      <c r="BD50" s="160"/>
    </row>
    <row r="51" spans="1:56" s="99" customFormat="1" ht="12">
      <c r="A51" s="17">
        <v>27</v>
      </c>
      <c r="B51" s="99" t="s">
        <v>240</v>
      </c>
      <c r="E51" s="133">
        <f>'ROO INPUT'!F51</f>
        <v>0</v>
      </c>
      <c r="F51" s="175">
        <f>(F79*$E$81)*-0.35</f>
        <v>-2.8428749999999998</v>
      </c>
      <c r="G51" s="175">
        <f t="shared" ref="G51:X51" si="37">(G79*$E$81)*-0.35</f>
        <v>0.21944999999999998</v>
      </c>
      <c r="H51" s="175">
        <f t="shared" si="37"/>
        <v>-136.547775</v>
      </c>
      <c r="I51" s="175">
        <f t="shared" si="37"/>
        <v>0</v>
      </c>
      <c r="J51" s="175">
        <f t="shared" si="37"/>
        <v>0</v>
      </c>
      <c r="K51" s="175">
        <f t="shared" si="37"/>
        <v>0</v>
      </c>
      <c r="L51" s="175">
        <f t="shared" si="37"/>
        <v>0</v>
      </c>
      <c r="M51" s="175">
        <f t="shared" si="37"/>
        <v>0</v>
      </c>
      <c r="N51" s="175">
        <f t="shared" si="37"/>
        <v>0</v>
      </c>
      <c r="O51" s="175">
        <f t="shared" si="37"/>
        <v>0</v>
      </c>
      <c r="P51" s="175">
        <f t="shared" si="37"/>
        <v>0</v>
      </c>
      <c r="Q51" s="175">
        <f t="shared" si="37"/>
        <v>0</v>
      </c>
      <c r="R51" s="175">
        <f t="shared" si="37"/>
        <v>0</v>
      </c>
      <c r="S51" s="175">
        <f t="shared" si="37"/>
        <v>0</v>
      </c>
      <c r="T51" s="175">
        <f t="shared" si="37"/>
        <v>0</v>
      </c>
      <c r="U51" s="175">
        <f t="shared" si="37"/>
        <v>0</v>
      </c>
      <c r="V51" s="175">
        <f>(V79*'[2]RR SUMMARY'!$N$12)*-0.35</f>
        <v>0</v>
      </c>
      <c r="W51" s="175">
        <f t="shared" ref="W51" si="38">(W79*$E$81)*-0.35</f>
        <v>0</v>
      </c>
      <c r="X51" s="175">
        <f t="shared" si="37"/>
        <v>0</v>
      </c>
      <c r="Y51" s="175">
        <f>'DEBT CALC'!E48</f>
        <v>346</v>
      </c>
      <c r="Z51" s="173">
        <f>SUM(E51:Y51)</f>
        <v>206.8288</v>
      </c>
      <c r="AA51" s="175"/>
      <c r="AB51" s="175"/>
      <c r="AC51" s="175"/>
      <c r="AD51" s="175"/>
      <c r="AE51" s="175"/>
      <c r="AF51" s="175"/>
      <c r="AG51" s="175"/>
      <c r="AH51" s="175"/>
      <c r="AI51" s="175"/>
      <c r="AJ51" s="175"/>
      <c r="AK51" s="175"/>
      <c r="AL51" s="175"/>
      <c r="AM51" s="175"/>
      <c r="AN51" s="175"/>
      <c r="AO51" s="175"/>
      <c r="AP51" s="175"/>
      <c r="AQ51" s="175"/>
      <c r="AR51" s="175"/>
      <c r="AS51" s="173">
        <f>SUM(Z51:AR51)</f>
        <v>206.8288</v>
      </c>
      <c r="AT51" s="160"/>
      <c r="AU51" s="160"/>
      <c r="AV51" s="133"/>
      <c r="AX51" s="215"/>
      <c r="AZ51" s="160"/>
      <c r="BD51" s="160"/>
    </row>
    <row r="52" spans="1:56" s="19" customFormat="1" ht="12">
      <c r="A52" s="17">
        <v>28</v>
      </c>
      <c r="B52" s="19" t="s">
        <v>187</v>
      </c>
      <c r="E52" s="133">
        <f>'ROO INPUT'!F52</f>
        <v>11779</v>
      </c>
      <c r="F52" s="301">
        <v>0</v>
      </c>
      <c r="G52" s="301">
        <v>0</v>
      </c>
      <c r="H52" s="302">
        <v>0</v>
      </c>
      <c r="I52" s="301">
        <v>0</v>
      </c>
      <c r="J52" s="301">
        <v>0</v>
      </c>
      <c r="K52" s="301">
        <v>0</v>
      </c>
      <c r="L52" s="301">
        <v>0</v>
      </c>
      <c r="M52" s="301">
        <v>0</v>
      </c>
      <c r="N52" s="510">
        <v>147</v>
      </c>
      <c r="O52" s="301">
        <v>4476</v>
      </c>
      <c r="P52" s="301">
        <v>0</v>
      </c>
      <c r="Q52" s="301">
        <v>0</v>
      </c>
      <c r="R52" s="301">
        <v>0</v>
      </c>
      <c r="S52" s="301">
        <v>0</v>
      </c>
      <c r="T52" s="301">
        <v>0</v>
      </c>
      <c r="U52" s="301">
        <v>0</v>
      </c>
      <c r="V52" s="302">
        <v>0</v>
      </c>
      <c r="W52" s="302">
        <v>0</v>
      </c>
      <c r="X52" s="302">
        <v>0</v>
      </c>
      <c r="Y52" s="302">
        <v>0</v>
      </c>
      <c r="Z52" s="173">
        <f>SUM(E52:Y52)</f>
        <v>16402</v>
      </c>
      <c r="AA52" s="302"/>
      <c r="AB52" s="302"/>
      <c r="AC52" s="302"/>
      <c r="AD52" s="302"/>
      <c r="AE52" s="301"/>
      <c r="AF52" s="302"/>
      <c r="AG52" s="302"/>
      <c r="AH52" s="302"/>
      <c r="AI52" s="302"/>
      <c r="AJ52" s="302"/>
      <c r="AK52" s="302"/>
      <c r="AL52" s="302"/>
      <c r="AM52" s="302"/>
      <c r="AN52" s="302"/>
      <c r="AO52" s="301"/>
      <c r="AP52" s="174"/>
      <c r="AQ52" s="174"/>
      <c r="AR52" s="174"/>
      <c r="AS52" s="177">
        <f>SUM(Z52:AR52)</f>
        <v>16402</v>
      </c>
      <c r="AT52" s="139"/>
      <c r="AU52" s="160"/>
      <c r="AV52" s="75"/>
      <c r="AX52" s="2"/>
      <c r="AZ52" s="160"/>
      <c r="BD52" s="160"/>
    </row>
    <row r="53" spans="1:56" s="19" customFormat="1" ht="12">
      <c r="A53" s="22">
        <v>29</v>
      </c>
      <c r="B53" s="19" t="s">
        <v>226</v>
      </c>
      <c r="E53" s="371">
        <f>'ROO INPUT'!F53</f>
        <v>-99</v>
      </c>
      <c r="F53" s="303">
        <v>0</v>
      </c>
      <c r="G53" s="303">
        <v>0</v>
      </c>
      <c r="H53" s="304">
        <v>0</v>
      </c>
      <c r="I53" s="303">
        <v>0</v>
      </c>
      <c r="J53" s="303">
        <v>0</v>
      </c>
      <c r="K53" s="303">
        <v>0</v>
      </c>
      <c r="L53" s="303">
        <v>0</v>
      </c>
      <c r="M53" s="303">
        <v>0</v>
      </c>
      <c r="N53" s="304">
        <v>0</v>
      </c>
      <c r="O53" s="303">
        <v>0</v>
      </c>
      <c r="P53" s="303">
        <v>0</v>
      </c>
      <c r="Q53" s="303">
        <v>0</v>
      </c>
      <c r="R53" s="303">
        <v>0</v>
      </c>
      <c r="S53" s="303">
        <v>0</v>
      </c>
      <c r="T53" s="303">
        <v>0</v>
      </c>
      <c r="U53" s="303">
        <v>0</v>
      </c>
      <c r="V53" s="304">
        <v>0</v>
      </c>
      <c r="W53" s="304">
        <v>0</v>
      </c>
      <c r="X53" s="304">
        <v>0</v>
      </c>
      <c r="Y53" s="304">
        <v>0</v>
      </c>
      <c r="Z53" s="207">
        <f>SUM(E53:Y53)</f>
        <v>-99</v>
      </c>
      <c r="AA53" s="304"/>
      <c r="AB53" s="304"/>
      <c r="AC53" s="304"/>
      <c r="AD53" s="304"/>
      <c r="AE53" s="303"/>
      <c r="AF53" s="304"/>
      <c r="AG53" s="304"/>
      <c r="AH53" s="304"/>
      <c r="AI53" s="304"/>
      <c r="AJ53" s="304"/>
      <c r="AK53" s="304"/>
      <c r="AL53" s="304"/>
      <c r="AM53" s="304"/>
      <c r="AN53" s="304"/>
      <c r="AO53" s="303"/>
      <c r="AP53" s="205"/>
      <c r="AQ53" s="205"/>
      <c r="AR53" s="205"/>
      <c r="AS53" s="208">
        <f>SUM(Z53:AR53)</f>
        <v>-99</v>
      </c>
      <c r="AT53" s="139"/>
      <c r="AU53" s="160"/>
      <c r="AV53" s="75"/>
      <c r="AX53" s="2"/>
      <c r="AZ53" s="160"/>
      <c r="BD53" s="160"/>
    </row>
    <row r="54" spans="1:56">
      <c r="N54" s="175"/>
    </row>
    <row r="55" spans="1:56" s="18" customFormat="1" thickBot="1">
      <c r="A55" s="21">
        <v>30</v>
      </c>
      <c r="B55" s="18" t="s">
        <v>188</v>
      </c>
      <c r="E55" s="372">
        <f t="shared" ref="E55:U55" si="39">E47-SUM(E50:E53)</f>
        <v>76024</v>
      </c>
      <c r="F55" s="380">
        <f t="shared" si="39"/>
        <v>2.8428749999999998</v>
      </c>
      <c r="G55" s="437">
        <f>G47-SUM(G50:G53)</f>
        <v>184.43055000000001</v>
      </c>
      <c r="H55" s="372">
        <f t="shared" si="39"/>
        <v>136.547775</v>
      </c>
      <c r="I55" s="381">
        <f t="shared" si="39"/>
        <v>-44.85</v>
      </c>
      <c r="J55" s="380">
        <f t="shared" si="39"/>
        <v>-42.900000000000006</v>
      </c>
      <c r="K55" s="381">
        <f t="shared" si="39"/>
        <v>-206.05</v>
      </c>
      <c r="L55" s="380">
        <f t="shared" si="39"/>
        <v>-31.200000000000003</v>
      </c>
      <c r="M55" s="381">
        <f t="shared" si="39"/>
        <v>149.5</v>
      </c>
      <c r="N55" s="380">
        <f t="shared" si="39"/>
        <v>0</v>
      </c>
      <c r="O55" s="380">
        <f t="shared" si="39"/>
        <v>8312</v>
      </c>
      <c r="P55" s="381">
        <f t="shared" si="39"/>
        <v>-9.1000000000000014</v>
      </c>
      <c r="Q55" s="381">
        <f t="shared" si="39"/>
        <v>1.3</v>
      </c>
      <c r="R55" s="381">
        <f t="shared" si="39"/>
        <v>3.25</v>
      </c>
      <c r="S55" s="381">
        <f t="shared" si="39"/>
        <v>66.95</v>
      </c>
      <c r="T55" s="381">
        <f t="shared" si="39"/>
        <v>52</v>
      </c>
      <c r="U55" s="380">
        <f t="shared" si="39"/>
        <v>-1473.8148100000001</v>
      </c>
      <c r="V55" s="372">
        <f t="shared" ref="V55" si="40">V47-SUM(V50:V53)</f>
        <v>58.5</v>
      </c>
      <c r="W55" s="372">
        <f t="shared" ref="W55" si="41">W47-SUM(W50:W53)</f>
        <v>830.7</v>
      </c>
      <c r="X55" s="372">
        <f>X47-SUM(X50:X53)</f>
        <v>-8973.25</v>
      </c>
      <c r="Y55" s="372">
        <f>Y47-SUM(Y51:Y53)</f>
        <v>-346</v>
      </c>
      <c r="Z55" s="382">
        <f t="shared" ref="Z55" si="42">Z47-SUM(Z50:Z53)</f>
        <v>74694.856389999972</v>
      </c>
      <c r="AA55" s="372"/>
      <c r="AB55" s="372"/>
      <c r="AC55" s="372"/>
      <c r="AD55" s="372"/>
      <c r="AE55" s="380"/>
      <c r="AF55" s="372"/>
      <c r="AG55" s="372"/>
      <c r="AH55" s="372"/>
      <c r="AI55" s="372"/>
      <c r="AJ55" s="372"/>
      <c r="AK55" s="372"/>
      <c r="AL55" s="372"/>
      <c r="AM55" s="372"/>
      <c r="AN55" s="372"/>
      <c r="AO55" s="380"/>
      <c r="AP55" s="380"/>
      <c r="AQ55" s="380"/>
      <c r="AR55" s="380"/>
      <c r="AS55" s="383">
        <f>SUM(Z55:AR55)</f>
        <v>74694.856389999972</v>
      </c>
      <c r="AT55" s="127"/>
      <c r="AU55" s="161"/>
      <c r="AV55" s="127"/>
      <c r="AX55" s="2"/>
      <c r="AZ55" s="161"/>
      <c r="BD55" s="161"/>
    </row>
    <row r="56" spans="1:56" ht="13.5" thickTop="1">
      <c r="A56" s="21"/>
    </row>
    <row r="57" spans="1:56">
      <c r="A57" s="21"/>
      <c r="B57" s="2" t="s">
        <v>189</v>
      </c>
    </row>
    <row r="58" spans="1:56">
      <c r="B58" s="2" t="s">
        <v>190</v>
      </c>
    </row>
    <row r="59" spans="1:56" s="18" customFormat="1" ht="12">
      <c r="A59" s="342">
        <v>31</v>
      </c>
      <c r="C59" s="18" t="s">
        <v>191</v>
      </c>
      <c r="E59" s="161">
        <f>'ROO INPUT'!F59</f>
        <v>84081</v>
      </c>
      <c r="F59" s="373">
        <v>0</v>
      </c>
      <c r="G59" s="373">
        <v>0</v>
      </c>
      <c r="H59" s="374">
        <v>0</v>
      </c>
      <c r="I59" s="373">
        <v>0</v>
      </c>
      <c r="J59" s="373">
        <v>0</v>
      </c>
      <c r="K59" s="373">
        <v>0</v>
      </c>
      <c r="L59" s="373">
        <v>0</v>
      </c>
      <c r="M59" s="373">
        <v>0</v>
      </c>
      <c r="N59" s="373">
        <v>0</v>
      </c>
      <c r="O59" s="373">
        <v>0</v>
      </c>
      <c r="P59" s="373">
        <v>0</v>
      </c>
      <c r="Q59" s="373">
        <v>0</v>
      </c>
      <c r="R59" s="373">
        <v>0</v>
      </c>
      <c r="S59" s="373">
        <v>0</v>
      </c>
      <c r="T59" s="373">
        <v>0</v>
      </c>
      <c r="U59" s="373">
        <v>0</v>
      </c>
      <c r="V59" s="374">
        <v>0</v>
      </c>
      <c r="W59" s="374">
        <v>0</v>
      </c>
      <c r="X59" s="374">
        <v>0</v>
      </c>
      <c r="Y59" s="374">
        <v>0</v>
      </c>
      <c r="Z59" s="341">
        <f>SUM(E59:Y59)</f>
        <v>84081</v>
      </c>
      <c r="AA59" s="374"/>
      <c r="AB59" s="374"/>
      <c r="AC59" s="374"/>
      <c r="AD59" s="374"/>
      <c r="AE59" s="373"/>
      <c r="AF59" s="374"/>
      <c r="AG59" s="374"/>
      <c r="AH59" s="374"/>
      <c r="AI59" s="374"/>
      <c r="AJ59" s="374"/>
      <c r="AK59" s="374"/>
      <c r="AL59" s="374"/>
      <c r="AM59" s="374"/>
      <c r="AN59" s="374"/>
      <c r="AO59" s="373"/>
      <c r="AS59" s="375">
        <f t="shared" ref="AS59:AS77" si="43">SUM(Z59:AR59)</f>
        <v>84081</v>
      </c>
      <c r="AT59" s="142"/>
      <c r="AU59" s="162"/>
      <c r="AV59" s="127"/>
      <c r="AX59" s="2"/>
      <c r="AZ59" s="162"/>
      <c r="BD59" s="162"/>
    </row>
    <row r="60" spans="1:56" s="19" customFormat="1" ht="12">
      <c r="A60" s="21">
        <v>32</v>
      </c>
      <c r="C60" s="19" t="s">
        <v>192</v>
      </c>
      <c r="E60" s="133">
        <f>'ROO INPUT'!F60</f>
        <v>706894</v>
      </c>
      <c r="F60" s="301">
        <v>0</v>
      </c>
      <c r="G60" s="301">
        <v>0</v>
      </c>
      <c r="H60" s="302">
        <v>0</v>
      </c>
      <c r="I60" s="301">
        <v>0</v>
      </c>
      <c r="J60" s="301">
        <v>0</v>
      </c>
      <c r="K60" s="301">
        <v>0</v>
      </c>
      <c r="L60" s="301">
        <v>0</v>
      </c>
      <c r="M60" s="301">
        <v>0</v>
      </c>
      <c r="N60" s="301">
        <v>0</v>
      </c>
      <c r="O60" s="301">
        <v>0</v>
      </c>
      <c r="P60" s="301">
        <v>0</v>
      </c>
      <c r="Q60" s="301">
        <v>0</v>
      </c>
      <c r="R60" s="301">
        <v>0</v>
      </c>
      <c r="S60" s="301">
        <v>0</v>
      </c>
      <c r="T60" s="301">
        <v>0</v>
      </c>
      <c r="U60" s="301">
        <v>0</v>
      </c>
      <c r="V60" s="302">
        <v>0</v>
      </c>
      <c r="W60" s="302">
        <v>0</v>
      </c>
      <c r="X60" s="302">
        <v>0</v>
      </c>
      <c r="Y60" s="302">
        <v>0</v>
      </c>
      <c r="Z60" s="376">
        <f>SUM(E60:Y60)</f>
        <v>706894</v>
      </c>
      <c r="AA60" s="302"/>
      <c r="AB60" s="302"/>
      <c r="AC60" s="302"/>
      <c r="AD60" s="302"/>
      <c r="AE60" s="301"/>
      <c r="AF60" s="302"/>
      <c r="AG60" s="302"/>
      <c r="AH60" s="302"/>
      <c r="AI60" s="302"/>
      <c r="AJ60" s="302"/>
      <c r="AK60" s="302"/>
      <c r="AL60" s="302"/>
      <c r="AM60" s="302"/>
      <c r="AN60" s="302"/>
      <c r="AO60" s="301"/>
      <c r="AP60" s="174"/>
      <c r="AQ60" s="174"/>
      <c r="AR60" s="174"/>
      <c r="AS60" s="177">
        <f>SUM(Z60:AR60)</f>
        <v>706894</v>
      </c>
      <c r="AT60" s="139"/>
      <c r="AU60" s="160"/>
      <c r="AV60" s="75"/>
      <c r="AX60" s="2"/>
      <c r="AZ60" s="160"/>
      <c r="BD60" s="160"/>
    </row>
    <row r="61" spans="1:56" s="19" customFormat="1" ht="12">
      <c r="A61" s="21">
        <v>33</v>
      </c>
      <c r="C61" s="19" t="s">
        <v>193</v>
      </c>
      <c r="E61" s="133">
        <f>'ROO INPUT'!F61</f>
        <v>328012</v>
      </c>
      <c r="F61" s="301">
        <v>0</v>
      </c>
      <c r="G61" s="301">
        <v>0</v>
      </c>
      <c r="H61" s="302">
        <v>0</v>
      </c>
      <c r="I61" s="301">
        <v>0</v>
      </c>
      <c r="J61" s="301">
        <v>0</v>
      </c>
      <c r="K61" s="301">
        <v>0</v>
      </c>
      <c r="L61" s="301">
        <v>0</v>
      </c>
      <c r="M61" s="301">
        <v>0</v>
      </c>
      <c r="N61" s="301">
        <v>0</v>
      </c>
      <c r="O61" s="301">
        <v>0</v>
      </c>
      <c r="P61" s="301">
        <v>0</v>
      </c>
      <c r="Q61" s="301">
        <v>0</v>
      </c>
      <c r="R61" s="301">
        <v>0</v>
      </c>
      <c r="S61" s="301">
        <v>0</v>
      </c>
      <c r="T61" s="301">
        <v>0</v>
      </c>
      <c r="U61" s="301">
        <v>0</v>
      </c>
      <c r="V61" s="302">
        <v>0</v>
      </c>
      <c r="W61" s="302">
        <v>0</v>
      </c>
      <c r="X61" s="302">
        <v>0</v>
      </c>
      <c r="Y61" s="302">
        <v>0</v>
      </c>
      <c r="Z61" s="376">
        <f>SUM(E61:Y61)</f>
        <v>328012</v>
      </c>
      <c r="AA61" s="302"/>
      <c r="AB61" s="302"/>
      <c r="AC61" s="302"/>
      <c r="AD61" s="302"/>
      <c r="AE61" s="301"/>
      <c r="AF61" s="302"/>
      <c r="AG61" s="302"/>
      <c r="AH61" s="302"/>
      <c r="AI61" s="302"/>
      <c r="AJ61" s="302"/>
      <c r="AK61" s="302"/>
      <c r="AL61" s="302"/>
      <c r="AM61" s="302"/>
      <c r="AN61" s="302"/>
      <c r="AO61" s="301"/>
      <c r="AP61" s="174"/>
      <c r="AQ61" s="174"/>
      <c r="AR61" s="174"/>
      <c r="AS61" s="177">
        <f t="shared" si="43"/>
        <v>328012</v>
      </c>
      <c r="AT61" s="139"/>
      <c r="AU61" s="160"/>
      <c r="AV61" s="75"/>
      <c r="AX61" s="2"/>
      <c r="AZ61" s="160"/>
      <c r="BD61" s="160"/>
    </row>
    <row r="62" spans="1:56" s="19" customFormat="1" ht="12">
      <c r="A62" s="21">
        <v>34</v>
      </c>
      <c r="C62" s="19" t="s">
        <v>177</v>
      </c>
      <c r="E62" s="133">
        <f>'ROO INPUT'!F62</f>
        <v>696082</v>
      </c>
      <c r="F62" s="301">
        <v>0</v>
      </c>
      <c r="G62" s="301">
        <v>0</v>
      </c>
      <c r="H62" s="302">
        <v>0</v>
      </c>
      <c r="I62" s="301">
        <v>0</v>
      </c>
      <c r="J62" s="301">
        <v>0</v>
      </c>
      <c r="K62" s="301">
        <v>0</v>
      </c>
      <c r="L62" s="301">
        <v>0</v>
      </c>
      <c r="M62" s="301">
        <v>0</v>
      </c>
      <c r="N62" s="301">
        <v>0</v>
      </c>
      <c r="O62" s="301">
        <v>0</v>
      </c>
      <c r="P62" s="301">
        <v>0</v>
      </c>
      <c r="Q62" s="301">
        <v>0</v>
      </c>
      <c r="R62" s="301">
        <v>0</v>
      </c>
      <c r="S62" s="301">
        <v>0</v>
      </c>
      <c r="T62" s="301">
        <v>0</v>
      </c>
      <c r="U62" s="301">
        <v>0</v>
      </c>
      <c r="V62" s="302">
        <v>0</v>
      </c>
      <c r="W62" s="302">
        <v>0</v>
      </c>
      <c r="X62" s="302">
        <v>0</v>
      </c>
      <c r="Y62" s="302">
        <v>0</v>
      </c>
      <c r="Z62" s="376">
        <f>SUM(E62:Y62)</f>
        <v>696082</v>
      </c>
      <c r="AA62" s="302"/>
      <c r="AB62" s="302"/>
      <c r="AC62" s="302"/>
      <c r="AD62" s="302"/>
      <c r="AE62" s="301"/>
      <c r="AF62" s="302"/>
      <c r="AG62" s="302"/>
      <c r="AH62" s="302"/>
      <c r="AI62" s="302"/>
      <c r="AJ62" s="302"/>
      <c r="AK62" s="302"/>
      <c r="AL62" s="302"/>
      <c r="AM62" s="302"/>
      <c r="AN62" s="302"/>
      <c r="AO62" s="301"/>
      <c r="AP62" s="174"/>
      <c r="AQ62" s="174"/>
      <c r="AR62" s="174"/>
      <c r="AS62" s="177">
        <f t="shared" si="43"/>
        <v>696082</v>
      </c>
      <c r="AT62" s="139"/>
      <c r="AU62" s="160"/>
      <c r="AV62" s="75"/>
      <c r="AX62" s="2"/>
      <c r="AZ62" s="160"/>
      <c r="BD62" s="160"/>
    </row>
    <row r="63" spans="1:56" s="19" customFormat="1" ht="12">
      <c r="A63" s="21">
        <v>35</v>
      </c>
      <c r="C63" s="19" t="s">
        <v>194</v>
      </c>
      <c r="E63" s="371">
        <f>'ROO INPUT'!F63</f>
        <v>140218</v>
      </c>
      <c r="F63" s="303">
        <v>0</v>
      </c>
      <c r="G63" s="303">
        <v>0</v>
      </c>
      <c r="H63" s="304">
        <v>0</v>
      </c>
      <c r="I63" s="303">
        <v>0</v>
      </c>
      <c r="J63" s="303">
        <v>0</v>
      </c>
      <c r="K63" s="303">
        <v>0</v>
      </c>
      <c r="L63" s="303">
        <v>0</v>
      </c>
      <c r="M63" s="303">
        <v>0</v>
      </c>
      <c r="N63" s="303">
        <v>0</v>
      </c>
      <c r="O63" s="303">
        <v>0</v>
      </c>
      <c r="P63" s="303">
        <v>0</v>
      </c>
      <c r="Q63" s="303">
        <v>0</v>
      </c>
      <c r="R63" s="303">
        <v>0</v>
      </c>
      <c r="S63" s="303">
        <v>0</v>
      </c>
      <c r="T63" s="303">
        <v>0</v>
      </c>
      <c r="U63" s="303">
        <v>0</v>
      </c>
      <c r="V63" s="304">
        <v>0</v>
      </c>
      <c r="W63" s="304">
        <v>0</v>
      </c>
      <c r="X63" s="304">
        <v>0</v>
      </c>
      <c r="Y63" s="304">
        <v>0</v>
      </c>
      <c r="Z63" s="377">
        <f>SUM(E63:Y63)</f>
        <v>140218</v>
      </c>
      <c r="AA63" s="304"/>
      <c r="AB63" s="304"/>
      <c r="AC63" s="304"/>
      <c r="AD63" s="304"/>
      <c r="AE63" s="303"/>
      <c r="AF63" s="304"/>
      <c r="AG63" s="304"/>
      <c r="AH63" s="304"/>
      <c r="AI63" s="304"/>
      <c r="AJ63" s="304"/>
      <c r="AK63" s="304"/>
      <c r="AL63" s="304"/>
      <c r="AM63" s="304"/>
      <c r="AN63" s="304"/>
      <c r="AO63" s="303"/>
      <c r="AP63" s="205"/>
      <c r="AQ63" s="205"/>
      <c r="AR63" s="205"/>
      <c r="AS63" s="208">
        <f t="shared" si="43"/>
        <v>140218</v>
      </c>
      <c r="AT63" s="139"/>
      <c r="AU63" s="160"/>
      <c r="AV63" s="75"/>
      <c r="AX63" s="2"/>
      <c r="AZ63" s="160"/>
      <c r="BD63" s="160"/>
    </row>
    <row r="64" spans="1:56" s="19" customFormat="1" ht="12">
      <c r="A64" s="21">
        <v>36</v>
      </c>
      <c r="B64" s="19" t="s">
        <v>195</v>
      </c>
      <c r="E64" s="175">
        <f t="shared" ref="E64:G64" si="44">SUM(E59:E63)</f>
        <v>1955287</v>
      </c>
      <c r="F64" s="174">
        <f t="shared" si="44"/>
        <v>0</v>
      </c>
      <c r="G64" s="174">
        <f t="shared" si="44"/>
        <v>0</v>
      </c>
      <c r="H64" s="175">
        <f>SUM(H59:H63)</f>
        <v>0</v>
      </c>
      <c r="I64" s="176">
        <f t="shared" ref="I64:N64" si="45">SUM(I59:I63)</f>
        <v>0</v>
      </c>
      <c r="J64" s="174">
        <f t="shared" si="45"/>
        <v>0</v>
      </c>
      <c r="K64" s="176">
        <f t="shared" si="45"/>
        <v>0</v>
      </c>
      <c r="L64" s="174">
        <f t="shared" si="45"/>
        <v>0</v>
      </c>
      <c r="M64" s="176">
        <f t="shared" si="45"/>
        <v>0</v>
      </c>
      <c r="N64" s="174">
        <f t="shared" si="45"/>
        <v>0</v>
      </c>
      <c r="O64" s="174">
        <f t="shared" ref="O64:Y64" si="46">SUM(O59:O63)</f>
        <v>0</v>
      </c>
      <c r="P64" s="176">
        <f t="shared" si="46"/>
        <v>0</v>
      </c>
      <c r="Q64" s="176">
        <f t="shared" si="46"/>
        <v>0</v>
      </c>
      <c r="R64" s="176">
        <f t="shared" si="46"/>
        <v>0</v>
      </c>
      <c r="S64" s="176">
        <f t="shared" si="46"/>
        <v>0</v>
      </c>
      <c r="T64" s="176">
        <f t="shared" si="46"/>
        <v>0</v>
      </c>
      <c r="U64" s="174">
        <f t="shared" si="46"/>
        <v>0</v>
      </c>
      <c r="V64" s="175">
        <f t="shared" si="46"/>
        <v>0</v>
      </c>
      <c r="W64" s="175">
        <f t="shared" ref="W64" si="47">SUM(W59:W63)</f>
        <v>0</v>
      </c>
      <c r="X64" s="175">
        <f>SUM(X59:X63)</f>
        <v>0</v>
      </c>
      <c r="Y64" s="175">
        <f t="shared" si="46"/>
        <v>0</v>
      </c>
      <c r="Z64" s="376">
        <f t="shared" ref="Z64" si="48">SUM(Z59:Z63)</f>
        <v>1955287</v>
      </c>
      <c r="AA64" s="175"/>
      <c r="AB64" s="175"/>
      <c r="AC64" s="175"/>
      <c r="AD64" s="175"/>
      <c r="AE64" s="174"/>
      <c r="AF64" s="175"/>
      <c r="AG64" s="175"/>
      <c r="AH64" s="175"/>
      <c r="AI64" s="175"/>
      <c r="AJ64" s="175"/>
      <c r="AK64" s="175"/>
      <c r="AL64" s="175"/>
      <c r="AM64" s="175"/>
      <c r="AN64" s="175"/>
      <c r="AO64" s="174"/>
      <c r="AP64" s="174"/>
      <c r="AQ64" s="174"/>
      <c r="AR64" s="174"/>
      <c r="AS64" s="177">
        <f t="shared" si="43"/>
        <v>1955287</v>
      </c>
      <c r="AT64" s="75"/>
      <c r="AU64" s="133"/>
      <c r="AV64" s="75"/>
      <c r="AX64" s="2"/>
      <c r="AZ64" s="133"/>
      <c r="BD64" s="133"/>
    </row>
    <row r="65" spans="1:56" s="19" customFormat="1" ht="18" customHeight="1">
      <c r="A65" s="21"/>
      <c r="B65" s="19" t="s">
        <v>550</v>
      </c>
      <c r="E65" s="175"/>
      <c r="F65" s="301"/>
      <c r="G65" s="301"/>
      <c r="H65" s="302"/>
      <c r="I65" s="301"/>
      <c r="J65" s="301"/>
      <c r="K65" s="301"/>
      <c r="L65" s="301"/>
      <c r="M65" s="301"/>
      <c r="N65" s="301"/>
      <c r="O65" s="301"/>
      <c r="P65" s="301"/>
      <c r="Q65" s="301"/>
      <c r="R65" s="301"/>
      <c r="S65" s="301"/>
      <c r="T65" s="301"/>
      <c r="U65" s="301"/>
      <c r="V65" s="302"/>
      <c r="W65" s="302"/>
      <c r="X65" s="302">
        <v>0</v>
      </c>
      <c r="Y65" s="302"/>
      <c r="Z65" s="376"/>
      <c r="AA65" s="302"/>
      <c r="AB65" s="302"/>
      <c r="AC65" s="302"/>
      <c r="AD65" s="302"/>
      <c r="AE65" s="301"/>
      <c r="AF65" s="302"/>
      <c r="AG65" s="302"/>
      <c r="AH65" s="302"/>
      <c r="AI65" s="302"/>
      <c r="AJ65" s="302"/>
      <c r="AK65" s="302"/>
      <c r="AL65" s="302"/>
      <c r="AM65" s="302"/>
      <c r="AN65" s="302"/>
      <c r="AO65" s="301"/>
      <c r="AP65" s="174"/>
      <c r="AQ65" s="174"/>
      <c r="AR65" s="174"/>
      <c r="AS65" s="177"/>
      <c r="AT65" s="139"/>
      <c r="AU65" s="160"/>
      <c r="AV65" s="75"/>
      <c r="AX65" s="2"/>
      <c r="AZ65" s="160"/>
      <c r="BD65" s="160"/>
    </row>
    <row r="66" spans="1:56" s="19" customFormat="1" ht="12">
      <c r="A66" s="21">
        <v>37</v>
      </c>
      <c r="C66" s="18" t="s">
        <v>191</v>
      </c>
      <c r="E66" s="133">
        <f>'ROO INPUT'!F66</f>
        <v>3744</v>
      </c>
      <c r="F66" s="301">
        <v>0</v>
      </c>
      <c r="G66" s="301">
        <v>0</v>
      </c>
      <c r="H66" s="302">
        <v>0</v>
      </c>
      <c r="I66" s="301">
        <v>0</v>
      </c>
      <c r="J66" s="301">
        <v>0</v>
      </c>
      <c r="K66" s="301">
        <v>0</v>
      </c>
      <c r="L66" s="301">
        <v>0</v>
      </c>
      <c r="M66" s="301">
        <v>0</v>
      </c>
      <c r="N66" s="301">
        <v>0</v>
      </c>
      <c r="O66" s="301">
        <v>0</v>
      </c>
      <c r="P66" s="301">
        <v>0</v>
      </c>
      <c r="Q66" s="301">
        <v>0</v>
      </c>
      <c r="R66" s="301">
        <v>0</v>
      </c>
      <c r="S66" s="301">
        <v>0</v>
      </c>
      <c r="T66" s="301">
        <v>0</v>
      </c>
      <c r="U66" s="301">
        <v>0</v>
      </c>
      <c r="V66" s="301">
        <v>0</v>
      </c>
      <c r="W66" s="301">
        <v>0</v>
      </c>
      <c r="X66" s="301">
        <v>0</v>
      </c>
      <c r="Y66" s="301">
        <v>0</v>
      </c>
      <c r="Z66" s="376">
        <f>SUM(E66:Y66)</f>
        <v>3744</v>
      </c>
      <c r="AA66" s="301"/>
      <c r="AB66" s="301"/>
      <c r="AC66" s="301"/>
      <c r="AD66" s="301"/>
      <c r="AE66" s="301"/>
      <c r="AF66" s="301"/>
      <c r="AG66" s="301"/>
      <c r="AH66" s="301"/>
      <c r="AI66" s="302"/>
      <c r="AJ66" s="301"/>
      <c r="AK66" s="301"/>
      <c r="AL66" s="301"/>
      <c r="AM66" s="301"/>
      <c r="AN66" s="301"/>
      <c r="AO66" s="301"/>
      <c r="AP66" s="174"/>
      <c r="AQ66" s="174"/>
      <c r="AR66" s="174"/>
      <c r="AS66" s="177">
        <f t="shared" si="43"/>
        <v>3744</v>
      </c>
      <c r="AT66" s="139"/>
      <c r="AU66" s="160"/>
      <c r="AV66" s="75"/>
      <c r="AX66" s="2"/>
      <c r="AZ66" s="160"/>
      <c r="BD66" s="160"/>
    </row>
    <row r="67" spans="1:56" s="19" customFormat="1" ht="12">
      <c r="A67" s="21">
        <v>38</v>
      </c>
      <c r="C67" s="19" t="s">
        <v>192</v>
      </c>
      <c r="E67" s="133">
        <f>'ROO INPUT'!F67</f>
        <v>286300</v>
      </c>
      <c r="F67" s="301">
        <v>0</v>
      </c>
      <c r="G67" s="301">
        <v>0</v>
      </c>
      <c r="H67" s="302">
        <v>0</v>
      </c>
      <c r="I67" s="301">
        <v>0</v>
      </c>
      <c r="J67" s="301">
        <v>0</v>
      </c>
      <c r="K67" s="301">
        <v>0</v>
      </c>
      <c r="L67" s="301">
        <v>0</v>
      </c>
      <c r="M67" s="301">
        <v>0</v>
      </c>
      <c r="N67" s="301">
        <v>0</v>
      </c>
      <c r="O67" s="301">
        <v>0</v>
      </c>
      <c r="P67" s="301">
        <v>0</v>
      </c>
      <c r="Q67" s="301">
        <v>0</v>
      </c>
      <c r="R67" s="301">
        <v>0</v>
      </c>
      <c r="S67" s="301">
        <v>0</v>
      </c>
      <c r="T67" s="301">
        <v>0</v>
      </c>
      <c r="U67" s="301">
        <v>0</v>
      </c>
      <c r="V67" s="301">
        <v>0</v>
      </c>
      <c r="W67" s="301">
        <v>0</v>
      </c>
      <c r="X67" s="301">
        <v>0</v>
      </c>
      <c r="Y67" s="301">
        <v>0</v>
      </c>
      <c r="Z67" s="376">
        <f>SUM(E67:Y67)</f>
        <v>286300</v>
      </c>
      <c r="AA67" s="301"/>
      <c r="AB67" s="301"/>
      <c r="AC67" s="301"/>
      <c r="AD67" s="301"/>
      <c r="AE67" s="301"/>
      <c r="AF67" s="301"/>
      <c r="AG67" s="301"/>
      <c r="AH67" s="301"/>
      <c r="AI67" s="301"/>
      <c r="AJ67" s="301"/>
      <c r="AK67" s="301"/>
      <c r="AL67" s="301"/>
      <c r="AM67" s="301"/>
      <c r="AN67" s="301"/>
      <c r="AO67" s="301"/>
      <c r="AP67" s="174"/>
      <c r="AQ67" s="174"/>
      <c r="AR67" s="174"/>
      <c r="AS67" s="341">
        <f>SUM(Z67:AR67)</f>
        <v>286300</v>
      </c>
      <c r="AT67" s="139"/>
      <c r="AU67" s="160"/>
      <c r="AV67" s="75"/>
      <c r="AX67" s="2"/>
      <c r="AZ67" s="160"/>
      <c r="BD67" s="160"/>
    </row>
    <row r="68" spans="1:56" s="19" customFormat="1" ht="12">
      <c r="A68" s="21">
        <v>39</v>
      </c>
      <c r="C68" s="19" t="s">
        <v>193</v>
      </c>
      <c r="E68" s="133">
        <f>'ROO INPUT'!F68</f>
        <v>111144</v>
      </c>
      <c r="F68" s="301">
        <v>0</v>
      </c>
      <c r="G68" s="301">
        <v>0</v>
      </c>
      <c r="H68" s="302">
        <v>0</v>
      </c>
      <c r="I68" s="301">
        <v>0</v>
      </c>
      <c r="J68" s="301">
        <v>0</v>
      </c>
      <c r="K68" s="301">
        <v>0</v>
      </c>
      <c r="L68" s="301">
        <v>0</v>
      </c>
      <c r="M68" s="301">
        <v>0</v>
      </c>
      <c r="N68" s="301">
        <v>0</v>
      </c>
      <c r="O68" s="301">
        <v>0</v>
      </c>
      <c r="P68" s="301">
        <v>0</v>
      </c>
      <c r="Q68" s="301">
        <v>0</v>
      </c>
      <c r="R68" s="301">
        <v>0</v>
      </c>
      <c r="S68" s="301">
        <v>0</v>
      </c>
      <c r="T68" s="301">
        <v>0</v>
      </c>
      <c r="U68" s="301">
        <v>0</v>
      </c>
      <c r="V68" s="301">
        <v>0</v>
      </c>
      <c r="W68" s="301">
        <v>0</v>
      </c>
      <c r="X68" s="301">
        <v>0</v>
      </c>
      <c r="Y68" s="301">
        <v>0</v>
      </c>
      <c r="Z68" s="376">
        <f>SUM(E68:Y68)</f>
        <v>111144</v>
      </c>
      <c r="AA68" s="301"/>
      <c r="AB68" s="301"/>
      <c r="AC68" s="301"/>
      <c r="AD68" s="301"/>
      <c r="AE68" s="301"/>
      <c r="AF68" s="301"/>
      <c r="AG68" s="301"/>
      <c r="AH68" s="301"/>
      <c r="AI68" s="301"/>
      <c r="AJ68" s="301"/>
      <c r="AK68" s="301"/>
      <c r="AL68" s="301"/>
      <c r="AM68" s="301"/>
      <c r="AN68" s="301"/>
      <c r="AO68" s="301"/>
      <c r="AP68" s="174"/>
      <c r="AQ68" s="174"/>
      <c r="AR68" s="174"/>
      <c r="AS68" s="177">
        <f t="shared" si="43"/>
        <v>111144</v>
      </c>
      <c r="AT68" s="139"/>
      <c r="AU68" s="160"/>
      <c r="AV68" s="75"/>
      <c r="AX68" s="2"/>
      <c r="AZ68" s="160"/>
      <c r="BD68" s="160"/>
    </row>
    <row r="69" spans="1:56" s="19" customFormat="1" ht="12">
      <c r="A69" s="21">
        <v>40</v>
      </c>
      <c r="C69" s="19" t="s">
        <v>177</v>
      </c>
      <c r="E69" s="133">
        <f>'ROO INPUT'!F69</f>
        <v>209101</v>
      </c>
      <c r="F69" s="301">
        <v>0</v>
      </c>
      <c r="G69" s="301">
        <v>0</v>
      </c>
      <c r="H69" s="302">
        <v>0</v>
      </c>
      <c r="I69" s="301">
        <v>0</v>
      </c>
      <c r="J69" s="301">
        <v>0</v>
      </c>
      <c r="K69" s="301">
        <v>0</v>
      </c>
      <c r="L69" s="301">
        <v>0</v>
      </c>
      <c r="M69" s="301">
        <v>0</v>
      </c>
      <c r="N69" s="301">
        <v>0</v>
      </c>
      <c r="O69" s="301">
        <v>0</v>
      </c>
      <c r="P69" s="301">
        <v>0</v>
      </c>
      <c r="Q69" s="301">
        <v>0</v>
      </c>
      <c r="R69" s="301">
        <v>0</v>
      </c>
      <c r="S69" s="301">
        <v>0</v>
      </c>
      <c r="T69" s="301">
        <v>0</v>
      </c>
      <c r="U69" s="301">
        <v>0</v>
      </c>
      <c r="V69" s="301">
        <v>0</v>
      </c>
      <c r="W69" s="301">
        <v>0</v>
      </c>
      <c r="X69" s="301">
        <v>0</v>
      </c>
      <c r="Y69" s="301">
        <v>0</v>
      </c>
      <c r="Z69" s="376">
        <f>SUM(E69:Y69)</f>
        <v>209101</v>
      </c>
      <c r="AA69" s="301"/>
      <c r="AB69" s="301"/>
      <c r="AC69" s="301"/>
      <c r="AD69" s="301"/>
      <c r="AE69" s="301"/>
      <c r="AF69" s="301"/>
      <c r="AG69" s="301"/>
      <c r="AH69" s="301"/>
      <c r="AI69" s="301"/>
      <c r="AJ69" s="301"/>
      <c r="AK69" s="301"/>
      <c r="AL69" s="301"/>
      <c r="AM69" s="301"/>
      <c r="AN69" s="301"/>
      <c r="AO69" s="301"/>
      <c r="AP69" s="174"/>
      <c r="AQ69" s="174"/>
      <c r="AR69" s="174"/>
      <c r="AS69" s="177">
        <f t="shared" si="43"/>
        <v>209101</v>
      </c>
      <c r="AT69" s="139"/>
      <c r="AU69" s="160"/>
      <c r="AV69" s="75"/>
      <c r="AX69" s="2"/>
      <c r="AZ69" s="160"/>
      <c r="BD69" s="160"/>
    </row>
    <row r="70" spans="1:56" s="19" customFormat="1" ht="12">
      <c r="A70" s="21">
        <v>41</v>
      </c>
      <c r="C70" s="19" t="s">
        <v>194</v>
      </c>
      <c r="E70" s="133">
        <f>'ROO INPUT'!F70</f>
        <v>56694</v>
      </c>
      <c r="F70" s="301">
        <v>0</v>
      </c>
      <c r="G70" s="301">
        <v>0</v>
      </c>
      <c r="H70" s="302">
        <v>0</v>
      </c>
      <c r="I70" s="301">
        <v>0</v>
      </c>
      <c r="J70" s="301">
        <v>0</v>
      </c>
      <c r="K70" s="301">
        <v>0</v>
      </c>
      <c r="L70" s="301">
        <v>0</v>
      </c>
      <c r="M70" s="301">
        <v>0</v>
      </c>
      <c r="N70" s="301">
        <v>0</v>
      </c>
      <c r="O70" s="301">
        <v>0</v>
      </c>
      <c r="P70" s="301">
        <v>0</v>
      </c>
      <c r="Q70" s="301">
        <v>0</v>
      </c>
      <c r="R70" s="301">
        <v>0</v>
      </c>
      <c r="S70" s="301">
        <v>0</v>
      </c>
      <c r="T70" s="301">
        <v>0</v>
      </c>
      <c r="U70" s="301">
        <v>0</v>
      </c>
      <c r="V70" s="301">
        <v>0</v>
      </c>
      <c r="W70" s="301">
        <v>0</v>
      </c>
      <c r="X70" s="301">
        <v>0</v>
      </c>
      <c r="Y70" s="301">
        <v>0</v>
      </c>
      <c r="Z70" s="376">
        <f>SUM(E70:Y70)</f>
        <v>56694</v>
      </c>
      <c r="AA70" s="301"/>
      <c r="AB70" s="301"/>
      <c r="AC70" s="301"/>
      <c r="AD70" s="301"/>
      <c r="AE70" s="301"/>
      <c r="AF70" s="301"/>
      <c r="AG70" s="301"/>
      <c r="AH70" s="301"/>
      <c r="AI70" s="301"/>
      <c r="AJ70" s="301"/>
      <c r="AK70" s="301"/>
      <c r="AL70" s="301"/>
      <c r="AM70" s="301"/>
      <c r="AN70" s="301"/>
      <c r="AO70" s="301"/>
      <c r="AP70" s="174"/>
      <c r="AQ70" s="174"/>
      <c r="AR70" s="174"/>
      <c r="AS70" s="208">
        <f t="shared" si="43"/>
        <v>56694</v>
      </c>
      <c r="AT70" s="139"/>
      <c r="AU70" s="160"/>
      <c r="AV70" s="75"/>
      <c r="AX70" s="2"/>
      <c r="AZ70" s="160"/>
      <c r="BD70" s="160"/>
    </row>
    <row r="71" spans="1:56" s="19" customFormat="1" ht="12">
      <c r="A71" s="21">
        <v>42</v>
      </c>
      <c r="B71" s="19" t="s">
        <v>250</v>
      </c>
      <c r="E71" s="367">
        <f>SUM(E66:E70)</f>
        <v>666983</v>
      </c>
      <c r="F71" s="367">
        <f t="shared" ref="F71:Y71" si="49">SUM(F66:F70)</f>
        <v>0</v>
      </c>
      <c r="G71" s="367">
        <f>SUM(G66:G70)</f>
        <v>0</v>
      </c>
      <c r="H71" s="367">
        <f t="shared" si="49"/>
        <v>0</v>
      </c>
      <c r="I71" s="367">
        <f t="shared" si="49"/>
        <v>0</v>
      </c>
      <c r="J71" s="367">
        <f t="shared" si="49"/>
        <v>0</v>
      </c>
      <c r="K71" s="367">
        <f t="shared" si="49"/>
        <v>0</v>
      </c>
      <c r="L71" s="367">
        <f t="shared" si="49"/>
        <v>0</v>
      </c>
      <c r="M71" s="367">
        <f t="shared" si="49"/>
        <v>0</v>
      </c>
      <c r="N71" s="367">
        <f t="shared" si="49"/>
        <v>0</v>
      </c>
      <c r="O71" s="367">
        <f t="shared" si="49"/>
        <v>0</v>
      </c>
      <c r="P71" s="367">
        <f t="shared" si="49"/>
        <v>0</v>
      </c>
      <c r="Q71" s="367">
        <f t="shared" si="49"/>
        <v>0</v>
      </c>
      <c r="R71" s="367">
        <f t="shared" si="49"/>
        <v>0</v>
      </c>
      <c r="S71" s="367">
        <f t="shared" si="49"/>
        <v>0</v>
      </c>
      <c r="T71" s="367">
        <f t="shared" si="49"/>
        <v>0</v>
      </c>
      <c r="U71" s="367">
        <f t="shared" si="49"/>
        <v>0</v>
      </c>
      <c r="V71" s="367">
        <f t="shared" si="49"/>
        <v>0</v>
      </c>
      <c r="W71" s="367">
        <f t="shared" ref="W71" si="50">SUM(W66:W70)</f>
        <v>0</v>
      </c>
      <c r="X71" s="367">
        <f t="shared" ref="X71" si="51">SUM(X66:X70)</f>
        <v>0</v>
      </c>
      <c r="Y71" s="367">
        <f t="shared" si="49"/>
        <v>0</v>
      </c>
      <c r="Z71" s="378">
        <f>SUM(Z66:Z70)</f>
        <v>666983</v>
      </c>
      <c r="AA71" s="367"/>
      <c r="AB71" s="367"/>
      <c r="AC71" s="367"/>
      <c r="AD71" s="367"/>
      <c r="AE71" s="367"/>
      <c r="AF71" s="367"/>
      <c r="AG71" s="367"/>
      <c r="AH71" s="367"/>
      <c r="AI71" s="367"/>
      <c r="AJ71" s="367"/>
      <c r="AK71" s="367"/>
      <c r="AL71" s="367"/>
      <c r="AM71" s="367"/>
      <c r="AN71" s="367"/>
      <c r="AO71" s="367"/>
      <c r="AP71" s="368"/>
      <c r="AQ71" s="368"/>
      <c r="AR71" s="368"/>
      <c r="AS71" s="177">
        <f t="shared" si="43"/>
        <v>666983</v>
      </c>
      <c r="AT71" s="139"/>
      <c r="AU71" s="160"/>
      <c r="AV71" s="75"/>
      <c r="AX71" s="2"/>
      <c r="AZ71" s="160"/>
      <c r="BD71" s="160"/>
    </row>
    <row r="72" spans="1:56" s="19" customFormat="1" ht="12">
      <c r="A72" s="21">
        <v>43</v>
      </c>
      <c r="B72" s="19" t="s">
        <v>251</v>
      </c>
      <c r="E72" s="367">
        <f>E64-E71</f>
        <v>1288304</v>
      </c>
      <c r="F72" s="367">
        <f t="shared" ref="F72:AR72" si="52">F64-F71</f>
        <v>0</v>
      </c>
      <c r="G72" s="367">
        <f>G64-G71</f>
        <v>0</v>
      </c>
      <c r="H72" s="367">
        <f t="shared" si="52"/>
        <v>0</v>
      </c>
      <c r="I72" s="367">
        <f t="shared" si="52"/>
        <v>0</v>
      </c>
      <c r="J72" s="367">
        <f t="shared" si="52"/>
        <v>0</v>
      </c>
      <c r="K72" s="367">
        <f t="shared" si="52"/>
        <v>0</v>
      </c>
      <c r="L72" s="367">
        <f t="shared" si="52"/>
        <v>0</v>
      </c>
      <c r="M72" s="367">
        <f t="shared" si="52"/>
        <v>0</v>
      </c>
      <c r="N72" s="367">
        <f t="shared" si="52"/>
        <v>0</v>
      </c>
      <c r="O72" s="367">
        <f t="shared" si="52"/>
        <v>0</v>
      </c>
      <c r="P72" s="367">
        <f t="shared" si="52"/>
        <v>0</v>
      </c>
      <c r="Q72" s="367">
        <f t="shared" si="52"/>
        <v>0</v>
      </c>
      <c r="R72" s="367">
        <f t="shared" si="52"/>
        <v>0</v>
      </c>
      <c r="S72" s="367">
        <f t="shared" si="52"/>
        <v>0</v>
      </c>
      <c r="T72" s="367">
        <f t="shared" si="52"/>
        <v>0</v>
      </c>
      <c r="U72" s="367">
        <f t="shared" si="52"/>
        <v>0</v>
      </c>
      <c r="V72" s="367">
        <f t="shared" si="52"/>
        <v>0</v>
      </c>
      <c r="W72" s="367">
        <f t="shared" ref="W72" si="53">W64-W71</f>
        <v>0</v>
      </c>
      <c r="X72" s="367">
        <f>X64-X71</f>
        <v>0</v>
      </c>
      <c r="Y72" s="367">
        <f t="shared" si="52"/>
        <v>0</v>
      </c>
      <c r="Z72" s="379">
        <f t="shared" si="52"/>
        <v>1288304</v>
      </c>
      <c r="AA72" s="367"/>
      <c r="AB72" s="367"/>
      <c r="AC72" s="367"/>
      <c r="AD72" s="367"/>
      <c r="AE72" s="367"/>
      <c r="AF72" s="367"/>
      <c r="AG72" s="367"/>
      <c r="AH72" s="367"/>
      <c r="AI72" s="367"/>
      <c r="AJ72" s="367"/>
      <c r="AK72" s="367"/>
      <c r="AL72" s="367"/>
      <c r="AM72" s="367"/>
      <c r="AN72" s="367"/>
      <c r="AO72" s="367"/>
      <c r="AP72" s="367">
        <f t="shared" si="52"/>
        <v>0</v>
      </c>
      <c r="AQ72" s="367">
        <f t="shared" si="52"/>
        <v>0</v>
      </c>
      <c r="AR72" s="367">
        <f t="shared" si="52"/>
        <v>0</v>
      </c>
      <c r="AS72" s="369">
        <f>AS64-AS71</f>
        <v>1288304</v>
      </c>
      <c r="AT72" s="139"/>
      <c r="AU72" s="160"/>
      <c r="AV72" s="75"/>
      <c r="AX72" s="2"/>
      <c r="AZ72" s="160"/>
      <c r="BD72" s="160"/>
    </row>
    <row r="73" spans="1:56" s="19" customFormat="1" ht="6.75" customHeight="1">
      <c r="A73" s="21"/>
      <c r="E73" s="203"/>
      <c r="F73" s="203"/>
      <c r="G73" s="203"/>
      <c r="H73" s="203"/>
      <c r="I73" s="203"/>
      <c r="J73" s="203"/>
      <c r="K73" s="203"/>
      <c r="L73" s="203"/>
      <c r="M73" s="203"/>
      <c r="N73" s="203"/>
      <c r="O73" s="203"/>
      <c r="P73" s="203"/>
      <c r="Q73" s="203"/>
      <c r="R73" s="203"/>
      <c r="S73" s="203"/>
      <c r="T73" s="203"/>
      <c r="U73" s="203"/>
      <c r="V73" s="203"/>
      <c r="W73" s="203"/>
      <c r="X73" s="203"/>
      <c r="Y73" s="203"/>
      <c r="Z73" s="396"/>
      <c r="AA73" s="203"/>
      <c r="AB73" s="203"/>
      <c r="AC73" s="203"/>
      <c r="AD73" s="203"/>
      <c r="AE73" s="203"/>
      <c r="AF73" s="203"/>
      <c r="AG73" s="203"/>
      <c r="AH73" s="203"/>
      <c r="AI73" s="203"/>
      <c r="AJ73" s="203"/>
      <c r="AK73" s="203"/>
      <c r="AL73" s="203"/>
      <c r="AM73" s="203"/>
      <c r="AN73" s="203"/>
      <c r="AO73" s="203"/>
      <c r="AP73" s="203"/>
      <c r="AQ73" s="203"/>
      <c r="AR73" s="203"/>
      <c r="AS73" s="212"/>
      <c r="AT73" s="139"/>
      <c r="AU73" s="160"/>
      <c r="AV73" s="75"/>
      <c r="AX73" s="2"/>
      <c r="AZ73" s="160"/>
      <c r="BD73" s="160"/>
    </row>
    <row r="74" spans="1:56" s="19" customFormat="1" ht="12">
      <c r="A74" s="22">
        <v>44</v>
      </c>
      <c r="B74" s="19" t="s">
        <v>196</v>
      </c>
      <c r="E74" s="204">
        <f>'ROO INPUT'!F74</f>
        <v>-201448</v>
      </c>
      <c r="F74" s="303">
        <v>285</v>
      </c>
      <c r="G74" s="303">
        <v>0</v>
      </c>
      <c r="H74" s="304">
        <v>0</v>
      </c>
      <c r="I74" s="303">
        <v>0</v>
      </c>
      <c r="J74" s="303">
        <v>0</v>
      </c>
      <c r="K74" s="303">
        <v>0</v>
      </c>
      <c r="L74" s="303">
        <v>0</v>
      </c>
      <c r="M74" s="303">
        <v>0</v>
      </c>
      <c r="N74" s="303">
        <v>0</v>
      </c>
      <c r="O74" s="303">
        <v>0</v>
      </c>
      <c r="P74" s="303">
        <v>0</v>
      </c>
      <c r="Q74" s="303">
        <v>0</v>
      </c>
      <c r="R74" s="303">
        <v>0</v>
      </c>
      <c r="S74" s="303">
        <v>0</v>
      </c>
      <c r="T74" s="303">
        <v>0</v>
      </c>
      <c r="U74" s="303">
        <v>0</v>
      </c>
      <c r="V74" s="304">
        <v>0</v>
      </c>
      <c r="W74" s="304">
        <v>0</v>
      </c>
      <c r="X74" s="304">
        <v>0</v>
      </c>
      <c r="Y74" s="304">
        <v>0</v>
      </c>
      <c r="Z74" s="377">
        <f>SUM(E74:Y74)</f>
        <v>-201163</v>
      </c>
      <c r="AA74" s="304"/>
      <c r="AB74" s="304"/>
      <c r="AC74" s="304"/>
      <c r="AD74" s="304"/>
      <c r="AE74" s="303"/>
      <c r="AF74" s="304"/>
      <c r="AG74" s="304"/>
      <c r="AH74" s="304"/>
      <c r="AI74" s="304"/>
      <c r="AJ74" s="304"/>
      <c r="AK74" s="304"/>
      <c r="AL74" s="304"/>
      <c r="AM74" s="304"/>
      <c r="AN74" s="304"/>
      <c r="AO74" s="303"/>
      <c r="AP74" s="205"/>
      <c r="AQ74" s="205"/>
      <c r="AR74" s="205"/>
      <c r="AS74" s="208">
        <f t="shared" ref="AS74" si="54">SUM(Z74:AR74)</f>
        <v>-201163</v>
      </c>
      <c r="AT74" s="139"/>
      <c r="AU74" s="160"/>
      <c r="AV74" s="75"/>
      <c r="AX74" s="2"/>
      <c r="AZ74" s="160"/>
      <c r="BD74" s="160"/>
    </row>
    <row r="75" spans="1:56" s="19" customFormat="1" ht="12">
      <c r="A75" s="22">
        <v>45</v>
      </c>
      <c r="C75" s="19" t="s">
        <v>551</v>
      </c>
      <c r="E75" s="203">
        <f>SUM(E72:E74)</f>
        <v>1086856</v>
      </c>
      <c r="F75" s="203">
        <f t="shared" ref="F75:AS75" si="55">SUM(F72:F74)</f>
        <v>285</v>
      </c>
      <c r="G75" s="203">
        <f t="shared" si="55"/>
        <v>0</v>
      </c>
      <c r="H75" s="203">
        <f t="shared" si="55"/>
        <v>0</v>
      </c>
      <c r="I75" s="203">
        <f t="shared" si="55"/>
        <v>0</v>
      </c>
      <c r="J75" s="203">
        <f t="shared" si="55"/>
        <v>0</v>
      </c>
      <c r="K75" s="203">
        <f t="shared" si="55"/>
        <v>0</v>
      </c>
      <c r="L75" s="203">
        <f t="shared" si="55"/>
        <v>0</v>
      </c>
      <c r="M75" s="203">
        <f t="shared" si="55"/>
        <v>0</v>
      </c>
      <c r="N75" s="203">
        <f t="shared" si="55"/>
        <v>0</v>
      </c>
      <c r="O75" s="203">
        <f t="shared" si="55"/>
        <v>0</v>
      </c>
      <c r="P75" s="203">
        <f t="shared" si="55"/>
        <v>0</v>
      </c>
      <c r="Q75" s="203">
        <f t="shared" si="55"/>
        <v>0</v>
      </c>
      <c r="R75" s="203">
        <f t="shared" si="55"/>
        <v>0</v>
      </c>
      <c r="S75" s="203">
        <f t="shared" si="55"/>
        <v>0</v>
      </c>
      <c r="T75" s="203">
        <f t="shared" si="55"/>
        <v>0</v>
      </c>
      <c r="U75" s="203">
        <f t="shared" si="55"/>
        <v>0</v>
      </c>
      <c r="V75" s="203">
        <f t="shared" si="55"/>
        <v>0</v>
      </c>
      <c r="W75" s="203">
        <f t="shared" ref="W75" si="56">SUM(W72:W74)</f>
        <v>0</v>
      </c>
      <c r="X75" s="203">
        <f>SUM(X72:X74)</f>
        <v>0</v>
      </c>
      <c r="Y75" s="203">
        <f t="shared" si="55"/>
        <v>0</v>
      </c>
      <c r="Z75" s="396">
        <f t="shared" si="55"/>
        <v>1087141</v>
      </c>
      <c r="AA75" s="203"/>
      <c r="AB75" s="203"/>
      <c r="AC75" s="203"/>
      <c r="AD75" s="203"/>
      <c r="AE75" s="203"/>
      <c r="AF75" s="203"/>
      <c r="AG75" s="203"/>
      <c r="AH75" s="203"/>
      <c r="AI75" s="203"/>
      <c r="AJ75" s="203"/>
      <c r="AK75" s="203"/>
      <c r="AL75" s="203"/>
      <c r="AM75" s="203"/>
      <c r="AN75" s="203"/>
      <c r="AO75" s="203"/>
      <c r="AP75" s="203">
        <f t="shared" si="55"/>
        <v>0</v>
      </c>
      <c r="AQ75" s="203">
        <f t="shared" si="55"/>
        <v>0</v>
      </c>
      <c r="AR75" s="203">
        <f t="shared" si="55"/>
        <v>0</v>
      </c>
      <c r="AS75" s="212">
        <f t="shared" si="55"/>
        <v>1087141</v>
      </c>
      <c r="AT75" s="139"/>
      <c r="AU75" s="160"/>
      <c r="AV75" s="75"/>
      <c r="AX75" s="2"/>
      <c r="AZ75" s="160"/>
      <c r="BD75" s="160"/>
    </row>
    <row r="76" spans="1:56" s="19" customFormat="1" ht="12">
      <c r="A76" s="21">
        <v>46</v>
      </c>
      <c r="B76" s="19" t="s">
        <v>252</v>
      </c>
      <c r="E76" s="203">
        <f>'ROO INPUT'!F76</f>
        <v>18867</v>
      </c>
      <c r="F76" s="301">
        <v>0</v>
      </c>
      <c r="G76" s="301">
        <v>-22</v>
      </c>
      <c r="H76" s="302">
        <v>13689</v>
      </c>
      <c r="I76" s="301">
        <v>0</v>
      </c>
      <c r="J76" s="301">
        <v>0</v>
      </c>
      <c r="K76" s="301">
        <v>0</v>
      </c>
      <c r="L76" s="301">
        <v>0</v>
      </c>
      <c r="M76" s="301">
        <v>0</v>
      </c>
      <c r="N76" s="301">
        <v>0</v>
      </c>
      <c r="O76" s="301">
        <v>0</v>
      </c>
      <c r="P76" s="301">
        <v>0</v>
      </c>
      <c r="Q76" s="301">
        <v>0</v>
      </c>
      <c r="R76" s="301">
        <v>0</v>
      </c>
      <c r="S76" s="301">
        <v>0</v>
      </c>
      <c r="T76" s="301">
        <v>0</v>
      </c>
      <c r="U76" s="301">
        <v>0</v>
      </c>
      <c r="V76" s="302">
        <v>0</v>
      </c>
      <c r="W76" s="302">
        <v>0</v>
      </c>
      <c r="X76" s="302">
        <v>0</v>
      </c>
      <c r="Y76" s="302">
        <v>0</v>
      </c>
      <c r="Z76" s="376">
        <v>18845</v>
      </c>
      <c r="AA76" s="302"/>
      <c r="AB76" s="302"/>
      <c r="AC76" s="302"/>
      <c r="AD76" s="302"/>
      <c r="AE76" s="301"/>
      <c r="AF76" s="302"/>
      <c r="AG76" s="302"/>
      <c r="AH76" s="302"/>
      <c r="AI76" s="302"/>
      <c r="AJ76" s="302"/>
      <c r="AK76" s="302"/>
      <c r="AL76" s="302"/>
      <c r="AM76" s="302"/>
      <c r="AN76" s="302"/>
      <c r="AO76" s="301"/>
      <c r="AP76" s="174"/>
      <c r="AQ76" s="174"/>
      <c r="AR76" s="174"/>
      <c r="AS76" s="177">
        <f t="shared" si="43"/>
        <v>18845</v>
      </c>
      <c r="AT76" s="139"/>
      <c r="AU76" s="160"/>
      <c r="AV76" s="75"/>
      <c r="AX76" s="2"/>
      <c r="AZ76" s="160"/>
      <c r="BD76" s="160"/>
    </row>
    <row r="77" spans="1:56" s="19" customFormat="1" ht="12">
      <c r="A77" s="21">
        <v>47</v>
      </c>
      <c r="B77" s="19" t="s">
        <v>228</v>
      </c>
      <c r="E77" s="203">
        <f>'ROO INPUT'!F77</f>
        <v>18188</v>
      </c>
      <c r="F77" s="303">
        <v>0</v>
      </c>
      <c r="G77" s="303">
        <v>0</v>
      </c>
      <c r="H77" s="304">
        <v>0</v>
      </c>
      <c r="I77" s="303">
        <v>0</v>
      </c>
      <c r="J77" s="303">
        <v>0</v>
      </c>
      <c r="K77" s="303">
        <v>0</v>
      </c>
      <c r="L77" s="303">
        <v>0</v>
      </c>
      <c r="M77" s="303">
        <v>0</v>
      </c>
      <c r="N77" s="303">
        <v>0</v>
      </c>
      <c r="O77" s="303">
        <v>0</v>
      </c>
      <c r="P77" s="303">
        <v>0</v>
      </c>
      <c r="Q77" s="303">
        <v>0</v>
      </c>
      <c r="R77" s="303">
        <v>0</v>
      </c>
      <c r="S77" s="303">
        <v>0</v>
      </c>
      <c r="T77" s="303">
        <v>0</v>
      </c>
      <c r="U77" s="303">
        <v>0</v>
      </c>
      <c r="V77" s="304">
        <v>0</v>
      </c>
      <c r="W77" s="304">
        <v>0</v>
      </c>
      <c r="X77" s="304">
        <v>0</v>
      </c>
      <c r="Y77" s="304">
        <v>0</v>
      </c>
      <c r="Z77" s="377">
        <v>31877</v>
      </c>
      <c r="AA77" s="304"/>
      <c r="AB77" s="304"/>
      <c r="AC77" s="304"/>
      <c r="AD77" s="304"/>
      <c r="AE77" s="303"/>
      <c r="AF77" s="304"/>
      <c r="AG77" s="304"/>
      <c r="AH77" s="304"/>
      <c r="AI77" s="304"/>
      <c r="AJ77" s="304"/>
      <c r="AK77" s="304"/>
      <c r="AL77" s="304"/>
      <c r="AM77" s="304"/>
      <c r="AN77" s="304"/>
      <c r="AO77" s="303"/>
      <c r="AP77" s="205"/>
      <c r="AQ77" s="205"/>
      <c r="AR77" s="205"/>
      <c r="AS77" s="208">
        <f t="shared" si="43"/>
        <v>31877</v>
      </c>
      <c r="AT77" s="139"/>
      <c r="AU77" s="160"/>
      <c r="AV77" s="75"/>
      <c r="AX77" s="2"/>
      <c r="AZ77" s="160"/>
      <c r="BD77" s="160"/>
    </row>
    <row r="78" spans="1:56" s="19" customFormat="1" ht="12">
      <c r="A78" s="22"/>
      <c r="E78" s="367"/>
      <c r="F78" s="174"/>
      <c r="G78" s="174"/>
      <c r="H78" s="175"/>
      <c r="I78" s="176"/>
      <c r="J78" s="174"/>
      <c r="K78" s="176"/>
      <c r="L78" s="174"/>
      <c r="M78" s="176"/>
      <c r="N78" s="174"/>
      <c r="O78" s="174"/>
      <c r="P78" s="176"/>
      <c r="Q78" s="176"/>
      <c r="R78" s="176"/>
      <c r="S78" s="176"/>
      <c r="T78" s="176"/>
      <c r="U78" s="174"/>
      <c r="V78" s="175"/>
      <c r="W78" s="175"/>
      <c r="X78" s="175"/>
      <c r="Y78" s="175"/>
      <c r="Z78" s="173"/>
      <c r="AA78" s="175"/>
      <c r="AB78" s="175"/>
      <c r="AC78" s="175"/>
      <c r="AD78" s="175"/>
      <c r="AE78" s="174"/>
      <c r="AF78" s="175"/>
      <c r="AG78" s="175"/>
      <c r="AH78" s="175"/>
      <c r="AI78" s="175"/>
      <c r="AJ78" s="175"/>
      <c r="AK78" s="175"/>
      <c r="AL78" s="175"/>
      <c r="AM78" s="175"/>
      <c r="AN78" s="175"/>
      <c r="AO78" s="174"/>
      <c r="AP78" s="174"/>
      <c r="AQ78" s="174"/>
      <c r="AR78" s="174"/>
      <c r="AS78" s="177"/>
      <c r="AT78" s="75"/>
      <c r="AU78" s="133"/>
      <c r="AV78" s="75"/>
      <c r="AX78" s="2"/>
      <c r="AZ78" s="133"/>
      <c r="BD78" s="133"/>
    </row>
    <row r="79" spans="1:56" s="18" customFormat="1" thickBot="1">
      <c r="A79" s="17">
        <v>48</v>
      </c>
      <c r="B79" s="18" t="s">
        <v>197</v>
      </c>
      <c r="E79" s="372">
        <f>SUM(E75:E77)</f>
        <v>1123911</v>
      </c>
      <c r="F79" s="372">
        <f t="shared" ref="F79:AS79" si="57">SUM(F75:F77)</f>
        <v>285</v>
      </c>
      <c r="G79" s="372">
        <f t="shared" si="57"/>
        <v>-22</v>
      </c>
      <c r="H79" s="372">
        <f t="shared" si="57"/>
        <v>13689</v>
      </c>
      <c r="I79" s="372">
        <f t="shared" si="57"/>
        <v>0</v>
      </c>
      <c r="J79" s="372">
        <f t="shared" si="57"/>
        <v>0</v>
      </c>
      <c r="K79" s="372">
        <f t="shared" si="57"/>
        <v>0</v>
      </c>
      <c r="L79" s="372">
        <f t="shared" si="57"/>
        <v>0</v>
      </c>
      <c r="M79" s="372">
        <f t="shared" si="57"/>
        <v>0</v>
      </c>
      <c r="N79" s="372">
        <f t="shared" si="57"/>
        <v>0</v>
      </c>
      <c r="O79" s="372">
        <f t="shared" si="57"/>
        <v>0</v>
      </c>
      <c r="P79" s="372">
        <f t="shared" si="57"/>
        <v>0</v>
      </c>
      <c r="Q79" s="372">
        <f t="shared" si="57"/>
        <v>0</v>
      </c>
      <c r="R79" s="372">
        <f t="shared" si="57"/>
        <v>0</v>
      </c>
      <c r="S79" s="372">
        <f t="shared" si="57"/>
        <v>0</v>
      </c>
      <c r="T79" s="372">
        <f t="shared" si="57"/>
        <v>0</v>
      </c>
      <c r="U79" s="372">
        <f t="shared" si="57"/>
        <v>0</v>
      </c>
      <c r="V79" s="372">
        <f t="shared" si="57"/>
        <v>0</v>
      </c>
      <c r="W79" s="372">
        <f t="shared" ref="W79" si="58">SUM(W75:W77)</f>
        <v>0</v>
      </c>
      <c r="X79" s="372">
        <f>SUM(X75:X77)</f>
        <v>0</v>
      </c>
      <c r="Y79" s="372">
        <f t="shared" si="57"/>
        <v>0</v>
      </c>
      <c r="Z79" s="382">
        <f>SUM(Z75:Z77)</f>
        <v>1137863</v>
      </c>
      <c r="AA79" s="372"/>
      <c r="AB79" s="372"/>
      <c r="AC79" s="372"/>
      <c r="AD79" s="372"/>
      <c r="AE79" s="372"/>
      <c r="AF79" s="372"/>
      <c r="AG79" s="372"/>
      <c r="AH79" s="372"/>
      <c r="AI79" s="372"/>
      <c r="AJ79" s="372"/>
      <c r="AK79" s="372"/>
      <c r="AL79" s="372"/>
      <c r="AM79" s="372"/>
      <c r="AN79" s="372"/>
      <c r="AO79" s="372"/>
      <c r="AP79" s="372">
        <f t="shared" si="57"/>
        <v>0</v>
      </c>
      <c r="AQ79" s="372">
        <f t="shared" si="57"/>
        <v>0</v>
      </c>
      <c r="AR79" s="372">
        <f t="shared" si="57"/>
        <v>0</v>
      </c>
      <c r="AS79" s="382">
        <f t="shared" si="57"/>
        <v>1137863</v>
      </c>
      <c r="AT79" s="127"/>
      <c r="AU79" s="161"/>
      <c r="AV79" s="127"/>
      <c r="AX79" s="2"/>
      <c r="AZ79" s="161"/>
      <c r="BD79" s="161"/>
    </row>
    <row r="80" spans="1:56" ht="18" customHeight="1" thickTop="1">
      <c r="A80" s="17">
        <v>49</v>
      </c>
      <c r="B80" s="2" t="s">
        <v>198</v>
      </c>
      <c r="E80" s="298">
        <f>(E55/E79)</f>
        <v>6.764236669985435E-2</v>
      </c>
      <c r="H80" s="175" t="s">
        <v>592</v>
      </c>
      <c r="Y80" s="508"/>
      <c r="Z80" s="299">
        <f>ROUND(Z55/Z79,4)</f>
        <v>6.5600000000000006E-2</v>
      </c>
      <c r="AS80" s="236">
        <f>ROUND(AS55/AS79,4)</f>
        <v>6.5600000000000006E-2</v>
      </c>
    </row>
    <row r="81" spans="1:56">
      <c r="D81" s="2" t="s">
        <v>584</v>
      </c>
      <c r="E81" s="100">
        <f>'DEBT CALC'!N21</f>
        <v>2.8500000000000001E-2</v>
      </c>
    </row>
    <row r="82" spans="1:56">
      <c r="D82" s="2" t="s">
        <v>147</v>
      </c>
      <c r="E82" s="395">
        <f>'CF '!E26</f>
        <v>0.62082000000000004</v>
      </c>
    </row>
    <row r="84" spans="1:56" s="126" customFormat="1">
      <c r="A84" s="166"/>
      <c r="E84" s="203"/>
      <c r="F84" s="210"/>
      <c r="G84" s="210"/>
      <c r="H84" s="203"/>
      <c r="I84" s="211"/>
      <c r="J84" s="210"/>
      <c r="K84" s="211"/>
      <c r="L84" s="210"/>
      <c r="M84" s="211"/>
      <c r="N84" s="210"/>
      <c r="O84" s="210"/>
      <c r="P84" s="211"/>
      <c r="Q84" s="211"/>
      <c r="R84" s="211"/>
      <c r="S84" s="211"/>
      <c r="T84" s="211"/>
      <c r="U84" s="210"/>
      <c r="V84" s="203"/>
      <c r="W84" s="203"/>
      <c r="X84" s="203"/>
      <c r="Y84" s="203"/>
      <c r="Z84" s="212"/>
      <c r="AA84" s="203"/>
      <c r="AB84" s="203"/>
      <c r="AC84" s="203"/>
      <c r="AD84" s="203"/>
      <c r="AE84" s="210"/>
      <c r="AF84" s="203"/>
      <c r="AG84" s="203"/>
      <c r="AH84" s="203"/>
      <c r="AI84" s="203"/>
      <c r="AJ84" s="203"/>
      <c r="AK84" s="203"/>
      <c r="AL84" s="203"/>
      <c r="AM84" s="203"/>
      <c r="AN84" s="203"/>
      <c r="AO84" s="210"/>
      <c r="AP84" s="210"/>
      <c r="AQ84" s="210"/>
      <c r="AR84" s="210"/>
      <c r="AS84" s="213"/>
      <c r="AT84" s="140"/>
      <c r="AU84" s="101"/>
      <c r="AZ84" s="101"/>
      <c r="BC84" s="167"/>
      <c r="BD84" s="101"/>
    </row>
    <row r="85" spans="1:56">
      <c r="D85" s="100"/>
      <c r="E85" s="174"/>
    </row>
    <row r="86" spans="1:56">
      <c r="E86" s="174"/>
      <c r="H86" s="174"/>
      <c r="I86" s="174"/>
      <c r="K86" s="174"/>
      <c r="M86" s="174"/>
      <c r="P86" s="174"/>
      <c r="Q86" s="174"/>
      <c r="R86" s="174"/>
      <c r="S86" s="174"/>
      <c r="T86" s="174"/>
      <c r="V86" s="174"/>
      <c r="W86" s="174"/>
      <c r="X86" s="174"/>
      <c r="Y86" s="174"/>
      <c r="Z86" s="177"/>
      <c r="AA86" s="174"/>
      <c r="AB86" s="174"/>
      <c r="AC86" s="174"/>
      <c r="AD86" s="174"/>
      <c r="AF86" s="174"/>
      <c r="AG86" s="174"/>
      <c r="AH86" s="174"/>
      <c r="AI86" s="174"/>
      <c r="AJ86" s="174"/>
      <c r="AK86" s="174"/>
      <c r="AL86" s="174"/>
      <c r="AM86" s="174"/>
      <c r="AN86" s="174"/>
    </row>
  </sheetData>
  <customSheetViews>
    <customSheetView guid="{A15D1962-B049-11D2-8670-0000832CEEE8}" scale="75" showPageBreaks="1" showGridLines="0" hiddenColumns="1" showRuler="0" topLeftCell="AF1">
      <selection activeCell="AG1" sqref="AG1:AO65536"/>
      <colBreaks count="5" manualBreakCount="5">
        <brk id="11" max="70" man="1"/>
        <brk id="18" max="70" man="1"/>
        <brk id="25" max="70" man="1"/>
        <brk id="32" max="1048575" man="1"/>
        <brk id="52" max="1048575" man="1"/>
      </colBreaks>
      <pageMargins left="0.75" right="0.51" top="0.75" bottom="0.5" header="0.5" footer="0.5"/>
      <pageSetup scale="76" orientation="portrait" horizontalDpi="300" verticalDpi="300" r:id="rId1"/>
      <headerFooter alignWithMargins="0">
        <oddHeader>&amp;L&amp;"Times,Regular"&amp;9KM  File: &amp;F&amp;R&amp;"Times,Regular"&amp;9Page &amp;P of &amp;N  &amp;D</oddHeader>
      </headerFooter>
    </customSheetView>
    <customSheetView guid="{6E1B8C45-B07F-11D2-B0DC-0000832CDFF0}" scale="75" showPageBreaks="1" showGridLines="0" printArea="1" hiddenColumns="1" showRuler="0">
      <selection sqref="A1:IV65536"/>
      <colBreaks count="5" manualBreakCount="5">
        <brk id="11" max="70" man="1"/>
        <brk id="18" max="70" man="1"/>
        <brk id="25" max="70" man="1"/>
        <brk id="32" max="1048575" man="1"/>
        <brk id="40" max="1048575" man="1"/>
      </colBreaks>
      <pageMargins left="0.75" right="0.51" top="0.75" bottom="0.5" header="0.5" footer="0.5"/>
      <pageSetup scale="76" orientation="portrait" horizontalDpi="300" verticalDpi="300" r:id="rId2"/>
      <headerFooter alignWithMargins="0">
        <oddHeader>&amp;L&amp;"Times,Regular"&amp;9KM  File: &amp;F&amp;R&amp;"Times,Regular"&amp;9Page &amp;P of &amp;N  &amp;D</oddHeader>
      </headerFooter>
    </customSheetView>
  </customSheetViews>
  <phoneticPr fontId="0" type="noConversion"/>
  <hyperlinks>
    <hyperlink ref="I10" location="BandO!A1" display="t"/>
  </hyperlinks>
  <pageMargins left="0.7" right="0.51" top="0.75" bottom="0.5" header="0.5" footer="0.5"/>
  <pageSetup scale="70" firstPageNumber="4" fitToWidth="3" orientation="portrait" r:id="rId3"/>
  <headerFooter scaleWithDoc="0" alignWithMargins="0">
    <oddHeader xml:space="preserve">&amp;RExhibit No. ____(EMA-2) </oddHeader>
    <oddFooter>&amp;RPage &amp;P of &amp;N</oddFooter>
  </headerFooter>
  <colBreaks count="3" manualBreakCount="3">
    <brk id="12" min="1" max="81" man="1"/>
    <brk id="20" max="1048575" man="1"/>
    <brk id="45" max="1048575" man="1"/>
  </colBreak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FF0000"/>
    <pageSetUpPr fitToPage="1"/>
  </sheetPr>
  <dimension ref="A1:AC68"/>
  <sheetViews>
    <sheetView workbookViewId="0">
      <selection activeCell="K23" sqref="K23"/>
    </sheetView>
  </sheetViews>
  <sheetFormatPr defaultRowHeight="12.75"/>
  <cols>
    <col min="1" max="1" width="11.5703125" style="23" customWidth="1"/>
    <col min="2" max="2" width="9.140625" style="23"/>
    <col min="3" max="3" width="42" style="23" customWidth="1"/>
    <col min="4" max="4" width="5.85546875" style="23" customWidth="1"/>
    <col min="5" max="5" width="20.140625" style="76" customWidth="1"/>
    <col min="6" max="6" width="19.85546875" style="23" bestFit="1" customWidth="1"/>
    <col min="7" max="38" width="9.140625" style="23"/>
    <col min="39" max="39" width="11.42578125" style="23" customWidth="1"/>
    <col min="40" max="16384" width="9.140625" style="23"/>
  </cols>
  <sheetData>
    <row r="1" spans="1:29" ht="13.5">
      <c r="A1" s="80" t="s">
        <v>91</v>
      </c>
      <c r="B1" s="80"/>
      <c r="C1" s="80"/>
      <c r="D1" s="80"/>
      <c r="E1" s="87"/>
      <c r="G1" s="81"/>
    </row>
    <row r="2" spans="1:29" ht="13.5">
      <c r="A2" s="80" t="s">
        <v>147</v>
      </c>
      <c r="B2" s="80"/>
      <c r="C2" s="80"/>
      <c r="D2" s="80"/>
      <c r="E2" s="87"/>
      <c r="G2" s="81"/>
    </row>
    <row r="3" spans="1:29" ht="13.5">
      <c r="A3" s="80" t="s">
        <v>146</v>
      </c>
      <c r="B3" s="80"/>
      <c r="C3" s="80"/>
      <c r="D3" s="80"/>
      <c r="E3" s="87"/>
      <c r="G3" s="81"/>
    </row>
    <row r="4" spans="1:29" ht="13.5">
      <c r="A4" s="80" t="str">
        <f>'ADJ DETAIL-INPUT'!A4</f>
        <v>TWELVE MONTHS ENDED DECEMBER 31, 2011</v>
      </c>
      <c r="B4" s="80"/>
      <c r="C4" s="80"/>
      <c r="D4" s="80"/>
      <c r="E4" s="87"/>
      <c r="G4" s="81"/>
    </row>
    <row r="5" spans="1:29">
      <c r="G5" s="81"/>
    </row>
    <row r="6" spans="1:29" s="24" customFormat="1" ht="13.5">
      <c r="A6" s="24" t="s">
        <v>95</v>
      </c>
      <c r="E6" s="88"/>
      <c r="G6" s="82"/>
    </row>
    <row r="7" spans="1:29" s="24" customFormat="1" ht="13.5">
      <c r="A7" s="83" t="s">
        <v>21</v>
      </c>
      <c r="C7" s="83" t="s">
        <v>57</v>
      </c>
      <c r="D7" s="26"/>
      <c r="E7" s="89" t="s">
        <v>148</v>
      </c>
      <c r="G7" s="82"/>
    </row>
    <row r="8" spans="1:29">
      <c r="G8" s="81"/>
    </row>
    <row r="9" spans="1:29">
      <c r="A9" s="27">
        <v>1</v>
      </c>
      <c r="C9" s="84" t="s">
        <v>31</v>
      </c>
      <c r="E9" s="90">
        <v>1</v>
      </c>
    </row>
    <row r="10" spans="1:29">
      <c r="A10" s="27"/>
      <c r="E10" s="90"/>
    </row>
    <row r="11" spans="1:29">
      <c r="A11" s="27"/>
      <c r="C11" s="77" t="s">
        <v>149</v>
      </c>
      <c r="D11" s="78"/>
      <c r="E11" s="90"/>
    </row>
    <row r="12" spans="1:29">
      <c r="A12" s="27">
        <v>2</v>
      </c>
      <c r="C12" s="78" t="s">
        <v>150</v>
      </c>
      <c r="D12" s="78"/>
      <c r="E12" s="91">
        <v>4.3379999999999998E-3</v>
      </c>
    </row>
    <row r="13" spans="1:29">
      <c r="A13" s="27"/>
      <c r="C13" s="78"/>
      <c r="D13" s="78"/>
      <c r="E13" s="90"/>
    </row>
    <row r="14" spans="1:29">
      <c r="A14" s="27">
        <v>3</v>
      </c>
      <c r="C14" s="78" t="s">
        <v>151</v>
      </c>
      <c r="D14" s="78"/>
      <c r="E14" s="90">
        <v>2E-3</v>
      </c>
    </row>
    <row r="15" spans="1:29">
      <c r="A15" s="27"/>
      <c r="C15" s="78"/>
      <c r="D15" s="78"/>
      <c r="E15" s="90"/>
      <c r="AC15" s="157"/>
    </row>
    <row r="16" spans="1:29">
      <c r="A16" s="27">
        <v>4</v>
      </c>
      <c r="C16" s="78" t="s">
        <v>152</v>
      </c>
      <c r="D16" s="78"/>
      <c r="E16" s="90">
        <v>3.8561999999999999E-2</v>
      </c>
    </row>
    <row r="17" spans="1:29">
      <c r="A17" s="27"/>
      <c r="C17" s="78"/>
      <c r="D17" s="78"/>
      <c r="E17" s="90"/>
    </row>
    <row r="18" spans="1:29">
      <c r="A18" s="27">
        <v>5</v>
      </c>
      <c r="C18" s="78" t="s">
        <v>153</v>
      </c>
      <c r="D18" s="78"/>
      <c r="E18" s="92">
        <v>0</v>
      </c>
    </row>
    <row r="19" spans="1:29">
      <c r="A19" s="27"/>
      <c r="C19" s="78"/>
      <c r="D19" s="78"/>
      <c r="E19" s="92"/>
    </row>
    <row r="20" spans="1:29">
      <c r="A20" s="27">
        <v>6</v>
      </c>
      <c r="C20" s="78" t="s">
        <v>154</v>
      </c>
      <c r="D20" s="78"/>
      <c r="E20" s="93">
        <f>SUM(E12:E18)</f>
        <v>4.4899999999999995E-2</v>
      </c>
    </row>
    <row r="21" spans="1:29">
      <c r="C21" s="78"/>
      <c r="D21" s="78"/>
      <c r="E21" s="92"/>
    </row>
    <row r="22" spans="1:29">
      <c r="A22" s="27">
        <v>7</v>
      </c>
      <c r="C22" s="78" t="s">
        <v>155</v>
      </c>
      <c r="D22" s="78"/>
      <c r="E22" s="92">
        <f>E9-E20</f>
        <v>0.95510000000000006</v>
      </c>
      <c r="AC22" s="157"/>
    </row>
    <row r="23" spans="1:29">
      <c r="C23" s="78"/>
      <c r="D23" s="78"/>
      <c r="E23" s="92"/>
    </row>
    <row r="24" spans="1:29">
      <c r="A24" s="27">
        <v>8</v>
      </c>
      <c r="C24" s="78" t="s">
        <v>156</v>
      </c>
      <c r="D24" s="79"/>
      <c r="E24" s="94">
        <f>ROUND(E22*0.35,6)</f>
        <v>0.334285</v>
      </c>
      <c r="G24" s="81"/>
    </row>
    <row r="25" spans="1:29">
      <c r="C25" s="78"/>
      <c r="D25" s="78"/>
      <c r="E25" s="92"/>
      <c r="G25" s="81"/>
    </row>
    <row r="26" spans="1:29" ht="13.5" thickBot="1">
      <c r="A26" s="27">
        <v>9</v>
      </c>
      <c r="C26" s="77" t="s">
        <v>157</v>
      </c>
      <c r="D26" s="78"/>
      <c r="E26" s="136">
        <f>ROUND(E22-E24,5)</f>
        <v>0.62082000000000004</v>
      </c>
    </row>
    <row r="27" spans="1:29" ht="13.5" thickTop="1"/>
    <row r="32" spans="1:29">
      <c r="A32" s="511"/>
      <c r="B32" s="511"/>
      <c r="C32" s="511"/>
      <c r="D32" s="511"/>
      <c r="E32" s="511"/>
    </row>
    <row r="33" spans="1:29" s="25" customFormat="1" ht="15.75" customHeight="1">
      <c r="A33" s="514"/>
      <c r="B33" s="514"/>
      <c r="C33" s="514"/>
      <c r="D33" s="514"/>
      <c r="E33" s="514"/>
    </row>
    <row r="34" spans="1:29" s="25" customFormat="1">
      <c r="A34" s="514"/>
      <c r="B34" s="514"/>
      <c r="C34" s="514"/>
      <c r="D34" s="514"/>
      <c r="E34" s="514"/>
    </row>
    <row r="35" spans="1:29" s="25" customFormat="1">
      <c r="E35" s="129"/>
    </row>
    <row r="36" spans="1:29" s="25" customFormat="1">
      <c r="E36" s="129"/>
    </row>
    <row r="37" spans="1:29" s="25" customFormat="1">
      <c r="E37" s="129"/>
    </row>
    <row r="38" spans="1:29" s="25" customFormat="1">
      <c r="E38" s="92"/>
    </row>
    <row r="39" spans="1:29" s="25" customFormat="1">
      <c r="E39" s="92"/>
    </row>
    <row r="40" spans="1:29" s="25" customFormat="1">
      <c r="E40" s="92"/>
    </row>
    <row r="41" spans="1:29" s="25" customFormat="1">
      <c r="E41" s="92"/>
    </row>
    <row r="42" spans="1:29" s="25" customFormat="1">
      <c r="E42" s="92"/>
    </row>
    <row r="43" spans="1:29" s="25" customFormat="1">
      <c r="E43" s="92"/>
      <c r="F43" s="92"/>
    </row>
    <row r="44" spans="1:29" s="25" customFormat="1"/>
    <row r="45" spans="1:29" s="25" customFormat="1">
      <c r="E45" s="92"/>
    </row>
    <row r="46" spans="1:29" s="25" customFormat="1">
      <c r="E46" s="92"/>
    </row>
    <row r="47" spans="1:29" s="25" customFormat="1">
      <c r="E47" s="92"/>
    </row>
    <row r="48" spans="1:29" s="25" customFormat="1">
      <c r="E48" s="130"/>
      <c r="AC48" s="158"/>
    </row>
    <row r="49" spans="5:29" s="25" customFormat="1">
      <c r="E49" s="92"/>
    </row>
    <row r="50" spans="5:29" s="25" customFormat="1">
      <c r="E50" s="92"/>
    </row>
    <row r="51" spans="5:29" s="25" customFormat="1">
      <c r="E51" s="92"/>
    </row>
    <row r="52" spans="5:29" s="25" customFormat="1">
      <c r="E52" s="92"/>
    </row>
    <row r="53" spans="5:29" s="25" customFormat="1">
      <c r="E53" s="92"/>
    </row>
    <row r="54" spans="5:29" s="25" customFormat="1">
      <c r="E54" s="130"/>
    </row>
    <row r="55" spans="5:29" s="25" customFormat="1">
      <c r="E55" s="129"/>
    </row>
    <row r="58" spans="5:29">
      <c r="AC58" s="156"/>
    </row>
    <row r="63" spans="5:29">
      <c r="AC63" s="156"/>
    </row>
    <row r="68" spans="29:29">
      <c r="AC68" s="156"/>
    </row>
  </sheetData>
  <mergeCells count="3">
    <mergeCell ref="A32:E32"/>
    <mergeCell ref="A33:E33"/>
    <mergeCell ref="A34:E34"/>
  </mergeCells>
  <phoneticPr fontId="0" type="noConversion"/>
  <pageMargins left="0.75" right="0.51" top="0.75" bottom="0.5" header="0.5" footer="0.5"/>
  <pageSetup firstPageNumber="4" orientation="portrait" r:id="rId1"/>
  <headerFooter scaleWithDoc="0" alignWithMargins="0">
    <oddHeader xml:space="preserve">&amp;RExhibit No. ____(EMA-2) </oddHead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4"/>
  <sheetViews>
    <sheetView zoomScaleNormal="100" workbookViewId="0">
      <selection activeCell="A3" sqref="A3:F3"/>
    </sheetView>
  </sheetViews>
  <sheetFormatPr defaultColWidth="11.42578125" defaultRowHeight="12.75"/>
  <cols>
    <col min="1" max="2" width="8.140625" style="23" customWidth="1"/>
    <col min="3" max="3" width="34.140625" style="23" customWidth="1"/>
    <col min="4" max="4" width="11.42578125" style="237" customWidth="1"/>
    <col min="5" max="5" width="12.5703125" style="237" customWidth="1"/>
    <col min="6" max="6" width="8.7109375" style="37" customWidth="1"/>
    <col min="7" max="7" width="11.42578125" style="27" hidden="1" customWidth="1"/>
    <col min="8" max="8" width="11.42578125" style="146" hidden="1" customWidth="1"/>
    <col min="9" max="9" width="11.42578125" style="165"/>
    <col min="10" max="10" width="15.5703125" style="149" customWidth="1"/>
    <col min="11" max="16384" width="11.42578125" style="23"/>
  </cols>
  <sheetData>
    <row r="1" spans="1:11">
      <c r="A1" s="511" t="str">
        <f>'ADJ DETAIL-INPUT'!A2</f>
        <v xml:space="preserve">AVISTA UTILITIES  </v>
      </c>
      <c r="B1" s="511"/>
      <c r="C1" s="511"/>
      <c r="D1" s="511"/>
      <c r="E1" s="511"/>
      <c r="F1" s="511"/>
    </row>
    <row r="2" spans="1:11">
      <c r="A2" s="512" t="s">
        <v>54</v>
      </c>
      <c r="B2" s="512"/>
      <c r="C2" s="512"/>
      <c r="D2" s="512"/>
      <c r="E2" s="512"/>
      <c r="F2" s="512"/>
    </row>
    <row r="3" spans="1:11">
      <c r="A3" s="512" t="s">
        <v>55</v>
      </c>
      <c r="B3" s="512"/>
      <c r="C3" s="512"/>
      <c r="D3" s="512"/>
      <c r="E3" s="512"/>
      <c r="F3" s="512"/>
    </row>
    <row r="4" spans="1:11">
      <c r="A4" s="512" t="s">
        <v>596</v>
      </c>
      <c r="B4" s="512"/>
      <c r="C4" s="512"/>
      <c r="D4" s="512"/>
      <c r="E4" s="512"/>
      <c r="F4" s="512"/>
      <c r="G4" s="512"/>
      <c r="H4" s="512"/>
      <c r="I4" s="507"/>
    </row>
    <row r="5" spans="1:11">
      <c r="A5" s="513" t="str">
        <f>'ADJ DETAIL-INPUT'!A4</f>
        <v>TWELVE MONTHS ENDED DECEMBER 31, 2011</v>
      </c>
      <c r="B5" s="513"/>
      <c r="C5" s="513"/>
      <c r="D5" s="513"/>
      <c r="E5" s="513"/>
      <c r="F5" s="513"/>
    </row>
    <row r="6" spans="1:11" ht="5.25" customHeight="1"/>
    <row r="8" spans="1:11">
      <c r="D8" s="238"/>
      <c r="E8" s="239" t="s">
        <v>55</v>
      </c>
      <c r="F8" s="38"/>
      <c r="G8" s="33" t="s">
        <v>217</v>
      </c>
      <c r="H8" s="143" t="s">
        <v>218</v>
      </c>
    </row>
    <row r="9" spans="1:11">
      <c r="A9" s="28" t="s">
        <v>56</v>
      </c>
      <c r="B9" s="409" t="s">
        <v>557</v>
      </c>
      <c r="C9" s="38" t="s">
        <v>119</v>
      </c>
      <c r="D9" s="239" t="s">
        <v>58</v>
      </c>
      <c r="E9" s="239" t="s">
        <v>23</v>
      </c>
      <c r="F9" s="38" t="s">
        <v>59</v>
      </c>
    </row>
    <row r="10" spans="1:11">
      <c r="A10" s="144" t="s">
        <v>239</v>
      </c>
      <c r="B10" s="144"/>
      <c r="C10" s="40"/>
      <c r="D10" s="240"/>
      <c r="E10" s="240"/>
      <c r="F10" s="40"/>
      <c r="I10" s="306" t="s">
        <v>217</v>
      </c>
      <c r="J10" s="163" t="s">
        <v>218</v>
      </c>
      <c r="K10" s="23" t="s">
        <v>582</v>
      </c>
    </row>
    <row r="11" spans="1:11">
      <c r="A11" s="216">
        <f>'ADJ DETAIL-INPUT'!E$10</f>
        <v>1</v>
      </c>
      <c r="B11" s="435" t="str">
        <f>'ADJ DETAIL-INPUT'!E$11</f>
        <v>E-ROO</v>
      </c>
      <c r="C11" s="30" t="str">
        <f>TRIM(CONCATENATE('ADJ DETAIL-INPUT'!E$7," ",'ADJ DETAIL-INPUT'!E$8," ",'ADJ DETAIL-INPUT'!E$9))</f>
        <v>Results of Operations</v>
      </c>
      <c r="D11" s="237">
        <f>'ADJ DETAIL-INPUT'!E$55</f>
        <v>76024</v>
      </c>
      <c r="E11" s="237">
        <f>'ADJ DETAIL-INPUT'!E$79</f>
        <v>1123911</v>
      </c>
      <c r="F11" s="498">
        <f>D11/E11</f>
        <v>6.764236669985435E-2</v>
      </c>
      <c r="G11" s="27" t="s">
        <v>223</v>
      </c>
      <c r="I11" s="495" t="s">
        <v>220</v>
      </c>
    </row>
    <row r="12" spans="1:11" s="35" customFormat="1">
      <c r="A12" s="216">
        <f>'ADJ DETAIL-INPUT'!F$10</f>
        <v>1.01</v>
      </c>
      <c r="B12" s="435" t="str">
        <f>'ADJ DETAIL-INPUT'!F$11</f>
        <v>E-DFIT</v>
      </c>
      <c r="C12" s="30" t="str">
        <f>TRIM(CONCATENATE('ADJ DETAIL-INPUT'!F$7," ",'ADJ DETAIL-INPUT'!F$8," ",'ADJ DETAIL-INPUT'!F$9))</f>
        <v>Deferred FIT Rate Base</v>
      </c>
      <c r="D12" s="237">
        <f>'ADJ DETAIL-INPUT'!F$55</f>
        <v>2.8428749999999998</v>
      </c>
      <c r="E12" s="237">
        <f>'ADJ DETAIL-INPUT'!F$79</f>
        <v>285</v>
      </c>
      <c r="F12" s="106"/>
      <c r="G12" s="27" t="s">
        <v>216</v>
      </c>
      <c r="I12" s="496" t="s">
        <v>244</v>
      </c>
      <c r="K12" s="35" t="s">
        <v>593</v>
      </c>
    </row>
    <row r="13" spans="1:11" s="35" customFormat="1">
      <c r="A13" s="216">
        <f>'ADJ DETAIL-INPUT'!G$10</f>
        <v>1.02</v>
      </c>
      <c r="B13" s="435" t="str">
        <f>'ADJ DETAIL-INPUT'!G$11</f>
        <v>E-DDC</v>
      </c>
      <c r="C13" s="30" t="str">
        <f>TRIM(CONCATENATE('ADJ DETAIL-INPUT'!G$7," ",'ADJ DETAIL-INPUT'!G$8," ",'ADJ DETAIL-INPUT'!G$9))</f>
        <v>Deferred Debits and Credits</v>
      </c>
      <c r="D13" s="237">
        <f>'ADJ DETAIL-INPUT'!G$55</f>
        <v>184.43055000000001</v>
      </c>
      <c r="E13" s="237">
        <f>'ADJ DETAIL-INPUT'!G$79</f>
        <v>-22</v>
      </c>
      <c r="F13" s="106"/>
      <c r="G13" s="27" t="s">
        <v>223</v>
      </c>
      <c r="H13" s="146"/>
      <c r="I13" s="495" t="s">
        <v>232</v>
      </c>
      <c r="J13" s="149"/>
      <c r="K13" s="35" t="s">
        <v>593</v>
      </c>
    </row>
    <row r="14" spans="1:11" s="104" customFormat="1">
      <c r="A14" s="216">
        <f>'ADJ DETAIL-INPUT'!H$10</f>
        <v>1.03</v>
      </c>
      <c r="B14" s="435" t="str">
        <f>'ADJ DETAIL-INPUT'!H$11</f>
        <v xml:space="preserve">E-WC </v>
      </c>
      <c r="C14" s="30" t="str">
        <f>TRIM(CONCATENATE('ADJ DETAIL-INPUT'!H$7," ",'ADJ DETAIL-INPUT'!H$8," ",'ADJ DETAIL-INPUT'!H$9))</f>
        <v>Working Capital</v>
      </c>
      <c r="D14" s="237">
        <f>'ADJ DETAIL-INPUT'!H$55</f>
        <v>136.547775</v>
      </c>
      <c r="E14" s="305">
        <f>'ADJ DETAIL-INPUT'!H$79</f>
        <v>13689</v>
      </c>
      <c r="F14" s="105"/>
      <c r="G14" s="27" t="s">
        <v>223</v>
      </c>
      <c r="H14" s="146"/>
      <c r="I14" s="503" t="s">
        <v>223</v>
      </c>
      <c r="K14" s="35" t="s">
        <v>593</v>
      </c>
    </row>
    <row r="15" spans="1:11" s="34" customFormat="1">
      <c r="A15" s="216">
        <f>'ADJ DETAIL-INPUT'!I$10</f>
        <v>2.0099999999999998</v>
      </c>
      <c r="B15" s="435" t="str">
        <f>'ADJ DETAIL-INPUT'!I$11</f>
        <v>E-EBO</v>
      </c>
      <c r="C15" s="30" t="str">
        <f>TRIM(CONCATENATE('ADJ DETAIL-INPUT'!I$7," ",'ADJ DETAIL-INPUT'!I$8," ",'ADJ DETAIL-INPUT'!I$9))</f>
        <v>Eliminate B &amp; O Taxes</v>
      </c>
      <c r="D15" s="237">
        <f>'ADJ DETAIL-INPUT'!I$55</f>
        <v>-44.85</v>
      </c>
      <c r="E15" s="237">
        <f>'ADJ DETAIL-INPUT'!I$79</f>
        <v>0</v>
      </c>
      <c r="F15" s="37"/>
      <c r="G15" s="27" t="s">
        <v>223</v>
      </c>
      <c r="H15" s="146"/>
      <c r="I15" s="495" t="s">
        <v>245</v>
      </c>
      <c r="K15" s="35" t="s">
        <v>593</v>
      </c>
    </row>
    <row r="16" spans="1:11" s="34" customFormat="1">
      <c r="A16" s="216">
        <f>'ADJ DETAIL-INPUT'!J$10</f>
        <v>2.0199999999999996</v>
      </c>
      <c r="B16" s="435" t="str">
        <f>'ADJ DETAIL-INPUT'!J$11</f>
        <v>E-PT</v>
      </c>
      <c r="C16" s="30" t="str">
        <f>TRIM(CONCATENATE('ADJ DETAIL-INPUT'!J$7," ",'ADJ DETAIL-INPUT'!J$8," ",'ADJ DETAIL-INPUT'!J$9))</f>
        <v>Property Tax</v>
      </c>
      <c r="D16" s="237">
        <f>'ADJ DETAIL-INPUT'!J$55</f>
        <v>-42.900000000000006</v>
      </c>
      <c r="E16" s="237">
        <f>'ADJ DETAIL-INPUT'!J$79</f>
        <v>0</v>
      </c>
      <c r="F16" s="37"/>
      <c r="G16" s="27" t="s">
        <v>224</v>
      </c>
      <c r="H16" s="146"/>
      <c r="I16" s="501" t="s">
        <v>244</v>
      </c>
      <c r="K16" s="35" t="s">
        <v>593</v>
      </c>
    </row>
    <row r="17" spans="1:11" s="34" customFormat="1">
      <c r="A17" s="216">
        <f>'ADJ DETAIL-INPUT'!K$10</f>
        <v>2.0299999999999994</v>
      </c>
      <c r="B17" s="435" t="str">
        <f>'ADJ DETAIL-INPUT'!K$11</f>
        <v>E-UE</v>
      </c>
      <c r="C17" s="30" t="str">
        <f>TRIM(CONCATENATE('ADJ DETAIL-INPUT'!K$7," ",'ADJ DETAIL-INPUT'!K$8," ",'ADJ DETAIL-INPUT'!K$9))</f>
        <v>Uncollect. Expense</v>
      </c>
      <c r="D17" s="237">
        <f>'ADJ DETAIL-INPUT'!K$55</f>
        <v>-206.05</v>
      </c>
      <c r="E17" s="237">
        <f>'ADJ DETAIL-INPUT'!K$79</f>
        <v>0</v>
      </c>
      <c r="F17" s="37"/>
      <c r="G17" s="27" t="s">
        <v>223</v>
      </c>
      <c r="H17" s="146"/>
      <c r="I17" s="495" t="s">
        <v>232</v>
      </c>
      <c r="J17" s="149"/>
      <c r="K17" s="35" t="s">
        <v>593</v>
      </c>
    </row>
    <row r="18" spans="1:11" s="34" customFormat="1">
      <c r="A18" s="216">
        <f>'ADJ DETAIL-INPUT'!L$10</f>
        <v>2.0399999999999991</v>
      </c>
      <c r="B18" s="435" t="str">
        <f>'ADJ DETAIL-INPUT'!L$11</f>
        <v>E-RE</v>
      </c>
      <c r="C18" s="30" t="str">
        <f>TRIM(CONCATENATE('ADJ DETAIL-INPUT'!L$7," ",'ADJ DETAIL-INPUT'!L$8," ",'ADJ DETAIL-INPUT'!L$9))</f>
        <v>Regulatory Expense</v>
      </c>
      <c r="D18" s="237">
        <f>'ADJ DETAIL-INPUT'!L$55</f>
        <v>-31.200000000000003</v>
      </c>
      <c r="E18" s="237">
        <f>'ADJ DETAIL-INPUT'!L$79</f>
        <v>0</v>
      </c>
      <c r="F18" s="37"/>
      <c r="G18" s="27" t="s">
        <v>224</v>
      </c>
      <c r="H18" s="146"/>
      <c r="I18" s="495" t="s">
        <v>232</v>
      </c>
      <c r="J18" s="149"/>
      <c r="K18" s="35" t="s">
        <v>593</v>
      </c>
    </row>
    <row r="19" spans="1:11" s="34" customFormat="1">
      <c r="A19" s="216">
        <f>'ADJ DETAIL-INPUT'!M$10</f>
        <v>2.0499999999999989</v>
      </c>
      <c r="B19" s="435" t="str">
        <f>'ADJ DETAIL-INPUT'!M$11</f>
        <v>E-ID</v>
      </c>
      <c r="C19" s="30" t="str">
        <f>TRIM(CONCATENATE('ADJ DETAIL-INPUT'!M$7," ",'ADJ DETAIL-INPUT'!M$8," ",'ADJ DETAIL-INPUT'!M$9))</f>
        <v>Injuries and Damages</v>
      </c>
      <c r="D19" s="237">
        <f>'ADJ DETAIL-INPUT'!M$55</f>
        <v>149.5</v>
      </c>
      <c r="E19" s="237">
        <f>'ADJ DETAIL-INPUT'!M$79</f>
        <v>0</v>
      </c>
      <c r="F19" s="37"/>
      <c r="G19" s="27" t="s">
        <v>224</v>
      </c>
      <c r="H19" s="146"/>
      <c r="I19" s="495" t="s">
        <v>232</v>
      </c>
      <c r="J19" s="149"/>
      <c r="K19" s="35" t="s">
        <v>593</v>
      </c>
    </row>
    <row r="20" spans="1:11" s="104" customFormat="1">
      <c r="A20" s="216">
        <f>'ADJ DETAIL-INPUT'!N$10</f>
        <v>2.0599999999999987</v>
      </c>
      <c r="B20" s="435" t="str">
        <f>'ADJ DETAIL-INPUT'!N$11</f>
        <v xml:space="preserve">E-FIT </v>
      </c>
      <c r="C20" s="30" t="str">
        <f>TRIM(CONCATENATE('ADJ DETAIL-INPUT'!N$7," ",'ADJ DETAIL-INPUT'!N$8," ",'ADJ DETAIL-INPUT'!N$9))</f>
        <v>FIT / DFIT Expense</v>
      </c>
      <c r="D20" s="305">
        <f>'ADJ DETAIL-INPUT'!N$55</f>
        <v>0</v>
      </c>
      <c r="E20" s="237">
        <f>'ADJ DETAIL-INPUT'!N$79</f>
        <v>0</v>
      </c>
      <c r="F20" s="105"/>
      <c r="G20" s="27" t="s">
        <v>216</v>
      </c>
      <c r="I20" s="506" t="s">
        <v>244</v>
      </c>
      <c r="J20" s="149"/>
      <c r="K20" s="35" t="s">
        <v>593</v>
      </c>
    </row>
    <row r="21" spans="1:11" s="34" customFormat="1">
      <c r="A21" s="216">
        <f>'ADJ DETAIL-INPUT'!O$10</f>
        <v>2.0699999999999985</v>
      </c>
      <c r="B21" s="435" t="str">
        <f>'ADJ DETAIL-INPUT'!O$11</f>
        <v>E-EWPC</v>
      </c>
      <c r="C21" s="30" t="str">
        <f>TRIM(CONCATENATE('ADJ DETAIL-INPUT'!O$7," ",'ADJ DETAIL-INPUT'!O$8," ",'ADJ DETAIL-INPUT'!O$9))</f>
        <v>Eliminate WA Power Cost Defer</v>
      </c>
      <c r="D21" s="237">
        <f>'ADJ DETAIL-INPUT'!O$55</f>
        <v>8312</v>
      </c>
      <c r="E21" s="237">
        <f>'ADJ DETAIL-INPUT'!O$79</f>
        <v>0</v>
      </c>
      <c r="F21" s="37"/>
      <c r="G21" s="27" t="s">
        <v>219</v>
      </c>
      <c r="H21" s="148" t="s">
        <v>225</v>
      </c>
      <c r="I21" s="495" t="s">
        <v>219</v>
      </c>
      <c r="J21" s="149"/>
      <c r="K21" s="35" t="s">
        <v>593</v>
      </c>
    </row>
    <row r="22" spans="1:11" s="34" customFormat="1">
      <c r="A22" s="216">
        <f>'ADJ DETAIL-INPUT'!P$10</f>
        <v>2.0799999999999983</v>
      </c>
      <c r="B22" s="435" t="str">
        <f>'ADJ DETAIL-INPUT'!P$11</f>
        <v>E-NPS</v>
      </c>
      <c r="C22" s="30" t="str">
        <f>TRIM(CONCATENATE('ADJ DETAIL-INPUT'!P$7," ",'ADJ DETAIL-INPUT'!P$8," ",'ADJ DETAIL-INPUT'!P$9))</f>
        <v>Nez Perce Settlement Adjustment</v>
      </c>
      <c r="D22" s="237">
        <f>'ADJ DETAIL-INPUT'!P$55</f>
        <v>-9.1000000000000014</v>
      </c>
      <c r="E22" s="237">
        <f>'ADJ DETAIL-INPUT'!P$79</f>
        <v>0</v>
      </c>
      <c r="F22" s="37"/>
      <c r="G22" s="27" t="s">
        <v>223</v>
      </c>
      <c r="H22" s="146"/>
      <c r="I22" s="495" t="s">
        <v>245</v>
      </c>
      <c r="K22" s="35" t="s">
        <v>593</v>
      </c>
    </row>
    <row r="23" spans="1:11" s="104" customFormat="1">
      <c r="A23" s="216">
        <f>'ADJ DETAIL-INPUT'!Q$10</f>
        <v>2.0899999999999981</v>
      </c>
      <c r="B23" s="435" t="str">
        <f>'ADJ DETAIL-INPUT'!Q$11</f>
        <v>E-EAR</v>
      </c>
      <c r="C23" s="30" t="str">
        <f>TRIM(CONCATENATE('ADJ DETAIL-INPUT'!Q$7," ",'ADJ DETAIL-INPUT'!Q$8," ",'ADJ DETAIL-INPUT'!Q$9))</f>
        <v>Eliminate A/R Expenses</v>
      </c>
      <c r="D23" s="237">
        <f>'ADJ DETAIL-INPUT'!Q$55</f>
        <v>1.3</v>
      </c>
      <c r="E23" s="237">
        <f>'ADJ DETAIL-INPUT'!Q$79</f>
        <v>0</v>
      </c>
      <c r="F23" s="105"/>
      <c r="G23" s="27" t="s">
        <v>223</v>
      </c>
      <c r="H23" s="146"/>
      <c r="I23" s="495" t="s">
        <v>245</v>
      </c>
      <c r="K23" s="35" t="s">
        <v>593</v>
      </c>
    </row>
    <row r="24" spans="1:11">
      <c r="A24" s="216">
        <f>'ADJ DETAIL-INPUT'!R$10</f>
        <v>2.0999999999999979</v>
      </c>
      <c r="B24" s="435" t="str">
        <f>'ADJ DETAIL-INPUT'!R$11</f>
        <v>OSC</v>
      </c>
      <c r="C24" s="30" t="str">
        <f>TRIM(CONCATENATE('ADJ DETAIL-INPUT'!R$7," ",'ADJ DETAIL-INPUT'!R$8," ",'ADJ DETAIL-INPUT'!R$9))</f>
        <v>Office Space Charges to Subsidiaries</v>
      </c>
      <c r="D24" s="237">
        <f>'ADJ DETAIL-INPUT'!R$55</f>
        <v>3.25</v>
      </c>
      <c r="E24" s="237">
        <f>'ADJ DETAIL-INPUT'!R$79</f>
        <v>0</v>
      </c>
      <c r="G24" s="27" t="s">
        <v>223</v>
      </c>
      <c r="I24" s="495" t="s">
        <v>245</v>
      </c>
      <c r="K24" s="35" t="s">
        <v>593</v>
      </c>
    </row>
    <row r="25" spans="1:11" s="104" customFormat="1">
      <c r="A25" s="216">
        <f>'ADJ DETAIL-INPUT'!S$10</f>
        <v>2.1099999999999977</v>
      </c>
      <c r="B25" s="435" t="str">
        <f>'ADJ DETAIL-INPUT'!S$11</f>
        <v>E-RET</v>
      </c>
      <c r="C25" s="30" t="str">
        <f>TRIM(CONCATENATE('ADJ DETAIL-INPUT'!S$7," ",'ADJ DETAIL-INPUT'!S$8," ",'ADJ DETAIL-INPUT'!S$9))</f>
        <v>Restate Excise Taxes</v>
      </c>
      <c r="D25" s="237">
        <f>'ADJ DETAIL-INPUT'!S$55</f>
        <v>66.95</v>
      </c>
      <c r="E25" s="237">
        <f>'ADJ DETAIL-INPUT'!S$79</f>
        <v>0</v>
      </c>
      <c r="F25" s="106"/>
      <c r="G25" s="27" t="s">
        <v>223</v>
      </c>
      <c r="H25" s="146"/>
      <c r="I25" s="495" t="s">
        <v>245</v>
      </c>
      <c r="K25" s="35" t="s">
        <v>593</v>
      </c>
    </row>
    <row r="26" spans="1:11" s="104" customFormat="1">
      <c r="A26" s="216">
        <f>'ADJ DETAIL-INPUT'!T$10</f>
        <v>2.1199999999999974</v>
      </c>
      <c r="B26" s="435" t="str">
        <f>'ADJ DETAIL-INPUT'!T$11</f>
        <v>E-NGL</v>
      </c>
      <c r="C26" s="30" t="str">
        <f>TRIM(CONCATENATE('ADJ DETAIL-INPUT'!T$7," ",'ADJ DETAIL-INPUT'!T$8," ",'ADJ DETAIL-INPUT'!T$9))</f>
        <v>Net Gains / Losses</v>
      </c>
      <c r="D26" s="237">
        <f>'ADJ DETAIL-INPUT'!T$55</f>
        <v>52</v>
      </c>
      <c r="E26" s="237">
        <f>'ADJ DETAIL-INPUT'!T$79</f>
        <v>0</v>
      </c>
      <c r="F26" s="106"/>
      <c r="G26" s="27" t="s">
        <v>224</v>
      </c>
      <c r="H26" s="146"/>
      <c r="I26" s="497" t="s">
        <v>245</v>
      </c>
      <c r="J26" s="149"/>
      <c r="K26" s="35" t="s">
        <v>593</v>
      </c>
    </row>
    <row r="27" spans="1:11">
      <c r="A27" s="216">
        <f>'ADJ DETAIL-INPUT'!U$10</f>
        <v>2.1299999999999972</v>
      </c>
      <c r="B27" s="435" t="str">
        <f>'ADJ DETAIL-INPUT'!U$11</f>
        <v>E-RN</v>
      </c>
      <c r="C27" s="30" t="str">
        <f>TRIM(CONCATENATE('ADJ DETAIL-INPUT'!U$7," ",'ADJ DETAIL-INPUT'!U$8," ",'ADJ DETAIL-INPUT'!U$9))</f>
        <v>Revenue Normalization</v>
      </c>
      <c r="D27" s="237">
        <f>'ADJ DETAIL-INPUT'!U$55</f>
        <v>-1473.8148100000001</v>
      </c>
      <c r="E27" s="237">
        <f>'ADJ DETAIL-INPUT'!U$79</f>
        <v>0</v>
      </c>
      <c r="F27" s="39"/>
      <c r="G27" s="27" t="s">
        <v>221</v>
      </c>
      <c r="I27" s="495" t="s">
        <v>232</v>
      </c>
      <c r="K27" s="35" t="s">
        <v>593</v>
      </c>
    </row>
    <row r="28" spans="1:11" s="104" customFormat="1">
      <c r="A28" s="216">
        <f>'ADJ DETAIL-INPUT'!V$10</f>
        <v>2.139999999999997</v>
      </c>
      <c r="B28" s="435" t="str">
        <f>'ADJ DETAIL-INPUT'!V$11</f>
        <v>E-MR</v>
      </c>
      <c r="C28" s="30" t="str">
        <f>TRIM(CONCATENATE('ADJ DETAIL-INPUT'!V$7," ",'ADJ DETAIL-INPUT'!V$8," ",'ADJ DETAIL-INPUT'!V$9))</f>
        <v>Misc Restating</v>
      </c>
      <c r="D28" s="305">
        <f>'ADJ DETAIL-INPUT'!V$55</f>
        <v>58.5</v>
      </c>
      <c r="E28" s="237">
        <f>'ADJ DETAIL-INPUT'!V$79</f>
        <v>0</v>
      </c>
      <c r="F28" s="105"/>
      <c r="G28" s="27" t="s">
        <v>227</v>
      </c>
      <c r="H28" s="149"/>
      <c r="I28" s="499" t="s">
        <v>245</v>
      </c>
      <c r="J28" s="149"/>
      <c r="K28" s="35" t="s">
        <v>593</v>
      </c>
    </row>
    <row r="29" spans="1:11" s="104" customFormat="1">
      <c r="A29" s="216">
        <f>'ADJ DETAIL-INPUT'!W$10</f>
        <v>2.1499999999999968</v>
      </c>
      <c r="B29" s="435" t="str">
        <f>'ADJ DETAIL-INPUT'!W$11</f>
        <v>E-PCB</v>
      </c>
      <c r="C29" s="30" t="str">
        <f>TRIM(CONCATENATE('ADJ DETAIL-INPUT'!W$7," ",'ADJ DETAIL-INPUT'!W$8," ",'ADJ DETAIL-INPUT'!W$9))</f>
        <v>PCB Transformer Restating</v>
      </c>
      <c r="D29" s="135">
        <f>'ADJ DETAIL-INPUT'!W$55</f>
        <v>830.7</v>
      </c>
      <c r="E29" s="31">
        <f>'ADJ DETAIL-INPUT'!W$79</f>
        <v>0</v>
      </c>
      <c r="F29" s="105"/>
      <c r="G29" s="496" t="s">
        <v>227</v>
      </c>
      <c r="H29" s="149"/>
      <c r="I29" s="496" t="s">
        <v>220</v>
      </c>
      <c r="J29" s="149"/>
      <c r="K29" s="35" t="s">
        <v>593</v>
      </c>
    </row>
    <row r="30" spans="1:11">
      <c r="A30" s="217">
        <f>'ADJ DETAIL-INPUT'!X$10</f>
        <v>2.1599999999999966</v>
      </c>
      <c r="B30" s="435" t="str">
        <f>'ADJ DETAIL-INPUT'!X$11</f>
        <v>E-PPS</v>
      </c>
      <c r="C30" s="151" t="str">
        <f>TRIM(CONCATENATE('ADJ DETAIL-INPUT'!X$7," ",'ADJ DETAIL-INPUT'!X$8," ",'ADJ DETAIL-INPUT'!X$9))</f>
        <v>Normalizing Power Supply</v>
      </c>
      <c r="D30" s="305">
        <f>'ADJ DETAIL-INPUT'!X$55</f>
        <v>-8973.25</v>
      </c>
      <c r="E30" s="305">
        <f>'ADJ DETAIL-INPUT'!X$79</f>
        <v>0</v>
      </c>
      <c r="F30" s="120"/>
      <c r="G30" s="152" t="s">
        <v>222</v>
      </c>
      <c r="H30" s="147"/>
      <c r="I30" s="495" t="s">
        <v>222</v>
      </c>
      <c r="K30" s="35" t="s">
        <v>593</v>
      </c>
    </row>
    <row r="31" spans="1:11" s="118" customFormat="1">
      <c r="A31" s="217">
        <f>'ADJ DETAIL-INPUT'!Y$10</f>
        <v>2.1699999999999964</v>
      </c>
      <c r="B31" s="435" t="str">
        <f>'ADJ DETAIL-INPUT'!Y$11</f>
        <v>E-RDI</v>
      </c>
      <c r="C31" s="151" t="str">
        <f>TRIM(CONCATENATE('ADJ DETAIL-INPUT'!Y$7," ",'ADJ DETAIL-INPUT'!Y$8," ",'ADJ DETAIL-INPUT'!Y$9))</f>
        <v>Restate Debt Interest</v>
      </c>
      <c r="D31" s="244">
        <f>'ADJ DETAIL-INPUT'!Y$55</f>
        <v>-346</v>
      </c>
      <c r="E31" s="244">
        <f>'ADJ DETAIL-INPUT'!Y$79</f>
        <v>0</v>
      </c>
      <c r="F31" s="119"/>
      <c r="G31" s="152" t="s">
        <v>222</v>
      </c>
      <c r="H31" s="147"/>
      <c r="I31" s="504" t="s">
        <v>594</v>
      </c>
      <c r="J31" s="502"/>
      <c r="K31" s="35" t="s">
        <v>593</v>
      </c>
    </row>
    <row r="32" spans="1:11" s="86" customFormat="1" ht="12.75" customHeight="1">
      <c r="A32" s="153"/>
      <c r="B32" s="153"/>
      <c r="C32" s="117"/>
      <c r="D32" s="241"/>
      <c r="E32" s="241"/>
      <c r="F32" s="121"/>
      <c r="G32" s="32"/>
      <c r="H32" s="147"/>
      <c r="I32" s="495"/>
      <c r="J32" s="149"/>
    </row>
    <row r="33" spans="1:10" ht="12.75" customHeight="1" thickBot="1">
      <c r="A33" s="32"/>
      <c r="B33" s="32"/>
      <c r="C33" s="115" t="s">
        <v>60</v>
      </c>
      <c r="D33" s="242">
        <f>SUM(D11:D32)</f>
        <v>74694.856390000001</v>
      </c>
      <c r="E33" s="242">
        <f>SUM(E11:E32)</f>
        <v>1137863</v>
      </c>
      <c r="F33" s="154">
        <f>D33/E33</f>
        <v>6.5644859170216452E-2</v>
      </c>
      <c r="G33" s="32"/>
      <c r="H33" s="147"/>
      <c r="I33" s="495"/>
    </row>
    <row r="34" spans="1:10" ht="13.5" hidden="1" thickTop="1">
      <c r="A34" s="145" t="s">
        <v>256</v>
      </c>
      <c r="B34" s="145"/>
      <c r="C34" s="115"/>
      <c r="D34" s="243"/>
      <c r="E34" s="244"/>
      <c r="F34" s="155"/>
      <c r="G34" s="32"/>
      <c r="H34" s="147"/>
    </row>
    <row r="35" spans="1:10" hidden="1">
      <c r="A35" s="216">
        <f>'ADJ DETAIL-INPUT'!AA$10</f>
        <v>0</v>
      </c>
      <c r="B35" s="435">
        <f>'ADJ DETAIL-INPUT'!AA$11</f>
        <v>0</v>
      </c>
      <c r="C35" s="30" t="str">
        <f>TRIM(CONCATENATE('ADJ DETAIL-INPUT'!AA$7," ",'ADJ DETAIL-INPUT'!AA$8," ",'ADJ DETAIL-INPUT'!AA$9))</f>
        <v/>
      </c>
      <c r="D35" s="237">
        <f>'ADJ DETAIL-INPUT'!AA$55</f>
        <v>0</v>
      </c>
      <c r="E35" s="237">
        <f>'ADJ DETAIL-INPUT'!AA$79</f>
        <v>0</v>
      </c>
      <c r="G35" s="150" t="s">
        <v>222</v>
      </c>
      <c r="I35" s="169"/>
      <c r="J35" s="149" t="s">
        <v>223</v>
      </c>
    </row>
    <row r="36" spans="1:10" s="115" customFormat="1" hidden="1">
      <c r="A36" s="217">
        <f>'ADJ DETAIL-INPUT'!AB$10</f>
        <v>0</v>
      </c>
      <c r="B36" s="435">
        <f>'ADJ DETAIL-INPUT'!AB$11</f>
        <v>0</v>
      </c>
      <c r="C36" s="151" t="str">
        <f>TRIM(CONCATENATE('ADJ DETAIL-INPUT'!AB$7," ",'ADJ DETAIL-INPUT'!AB$8," ",'ADJ DETAIL-INPUT'!AB$9))</f>
        <v/>
      </c>
      <c r="D36" s="305">
        <f>'ADJ DETAIL-INPUT'!AB$55</f>
        <v>0</v>
      </c>
      <c r="E36" s="305">
        <f>'ADJ DETAIL-INPUT'!AB$79</f>
        <v>0</v>
      </c>
      <c r="F36" s="120"/>
      <c r="G36" s="152" t="s">
        <v>222</v>
      </c>
      <c r="H36" s="147"/>
      <c r="I36" s="32"/>
      <c r="J36" s="164" t="s">
        <v>246</v>
      </c>
    </row>
    <row r="37" spans="1:10" hidden="1">
      <c r="A37" s="216">
        <f>'ADJ DETAIL-INPUT'!AC$10</f>
        <v>0</v>
      </c>
      <c r="B37" s="435">
        <f>'ADJ DETAIL-INPUT'!AC$11</f>
        <v>0</v>
      </c>
      <c r="C37" s="30" t="str">
        <f>TRIM(CONCATENATE('ADJ DETAIL-INPUT'!AC$7," ",'ADJ DETAIL-INPUT'!AC$8," ",'ADJ DETAIL-INPUT'!AC$9))</f>
        <v/>
      </c>
      <c r="D37" s="237">
        <f>'ADJ DETAIL-INPUT'!AC$55</f>
        <v>0</v>
      </c>
      <c r="E37" s="237">
        <f>'ADJ DETAIL-INPUT'!AC$79</f>
        <v>0</v>
      </c>
      <c r="G37" s="27" t="s">
        <v>224</v>
      </c>
      <c r="J37" s="149" t="s">
        <v>246</v>
      </c>
    </row>
    <row r="38" spans="1:10" hidden="1">
      <c r="A38" s="216">
        <f>'ADJ DETAIL-INPUT'!AD$10</f>
        <v>0</v>
      </c>
      <c r="B38" s="435">
        <f>'ADJ DETAIL-INPUT'!AD$11</f>
        <v>0</v>
      </c>
      <c r="C38" s="30" t="str">
        <f>TRIM(CONCATENATE('ADJ DETAIL-INPUT'!AD$7," ",'ADJ DETAIL-INPUT'!AD$8," ",'ADJ DETAIL-INPUT'!AD$9))</f>
        <v/>
      </c>
      <c r="D38" s="237">
        <f>'ADJ DETAIL-INPUT'!AD$55</f>
        <v>0</v>
      </c>
      <c r="E38" s="237">
        <f>'ADJ DETAIL-INPUT'!AD$79</f>
        <v>0</v>
      </c>
      <c r="G38" s="27" t="s">
        <v>224</v>
      </c>
      <c r="J38" s="149" t="s">
        <v>246</v>
      </c>
    </row>
    <row r="39" spans="1:10" hidden="1">
      <c r="A39" s="216">
        <f>'ADJ DETAIL-INPUT'!AE$10</f>
        <v>0</v>
      </c>
      <c r="B39" s="435">
        <f>'ADJ DETAIL-INPUT'!AE$11</f>
        <v>0</v>
      </c>
      <c r="C39" s="30" t="str">
        <f>TRIM(CONCATENATE('ADJ DETAIL-INPUT'!AE$7," ",'ADJ DETAIL-INPUT'!AE$8," ",'ADJ DETAIL-INPUT'!AE$9))</f>
        <v/>
      </c>
      <c r="D39" s="237">
        <f>'ADJ DETAIL-INPUT'!AE$55</f>
        <v>0</v>
      </c>
      <c r="E39" s="237">
        <f>'ADJ DETAIL-INPUT'!AE$79</f>
        <v>0</v>
      </c>
      <c r="G39" s="27" t="s">
        <v>220</v>
      </c>
      <c r="I39" s="170"/>
      <c r="J39" s="149" t="s">
        <v>223</v>
      </c>
    </row>
    <row r="40" spans="1:10" hidden="1">
      <c r="A40" s="216">
        <f>'ADJ DETAIL-INPUT'!AF$10</f>
        <v>0</v>
      </c>
      <c r="B40" s="435">
        <f>'ADJ DETAIL-INPUT'!AF$11</f>
        <v>0</v>
      </c>
      <c r="C40" s="30" t="str">
        <f>TRIM(CONCATENATE('ADJ DETAIL-INPUT'!AF$7," ",'ADJ DETAIL-INPUT'!AF$8," ",'ADJ DETAIL-INPUT'!AF$9))</f>
        <v/>
      </c>
      <c r="D40" s="237">
        <f>'ADJ DETAIL-INPUT'!AF$55</f>
        <v>0</v>
      </c>
      <c r="E40" s="237">
        <f>'ADJ DETAIL-INPUT'!AF$79</f>
        <v>0</v>
      </c>
      <c r="G40" s="27" t="s">
        <v>220</v>
      </c>
      <c r="I40" s="168"/>
      <c r="J40" s="149" t="s">
        <v>247</v>
      </c>
    </row>
    <row r="41" spans="1:10" hidden="1">
      <c r="A41" s="216">
        <f>'ADJ DETAIL-INPUT'!AG$10</f>
        <v>0</v>
      </c>
      <c r="B41" s="435">
        <f>'ADJ DETAIL-INPUT'!AG$11</f>
        <v>0</v>
      </c>
      <c r="C41" s="30" t="str">
        <f>TRIM(CONCATENATE('ADJ DETAIL-INPUT'!AG$7," ",'ADJ DETAIL-INPUT'!AG$8," ",'ADJ DETAIL-INPUT'!AG$9))</f>
        <v/>
      </c>
      <c r="D41" s="237">
        <f>'ADJ DETAIL-INPUT'!AG$55</f>
        <v>0</v>
      </c>
      <c r="E41" s="237">
        <f>'ADJ DETAIL-INPUT'!AG$79</f>
        <v>0</v>
      </c>
      <c r="G41" s="150" t="s">
        <v>222</v>
      </c>
      <c r="H41" s="103"/>
      <c r="I41" s="171"/>
      <c r="J41" s="149" t="s">
        <v>247</v>
      </c>
    </row>
    <row r="42" spans="1:10" hidden="1">
      <c r="A42" s="216">
        <f>'ADJ DETAIL-INPUT'!AH$10</f>
        <v>0</v>
      </c>
      <c r="B42" s="435">
        <f>'ADJ DETAIL-INPUT'!AH$11</f>
        <v>0</v>
      </c>
      <c r="C42" s="30" t="str">
        <f>TRIM(CONCATENATE('ADJ DETAIL-INPUT'!AH$7," ",'ADJ DETAIL-INPUT'!AH$8," ",'ADJ DETAIL-INPUT'!AH$9))</f>
        <v/>
      </c>
      <c r="D42" s="237">
        <f>'ADJ DETAIL-INPUT'!AH$55</f>
        <v>0</v>
      </c>
      <c r="E42" s="237">
        <f>'ADJ DETAIL-INPUT'!AH$79</f>
        <v>0</v>
      </c>
      <c r="G42" s="27" t="s">
        <v>220</v>
      </c>
      <c r="J42" s="149" t="s">
        <v>247</v>
      </c>
    </row>
    <row r="43" spans="1:10" hidden="1">
      <c r="A43" s="216">
        <f>'ADJ DETAIL-INPUT'!AI$10</f>
        <v>0</v>
      </c>
      <c r="B43" s="435">
        <f>'ADJ DETAIL-INPUT'!AI$11</f>
        <v>0</v>
      </c>
      <c r="C43" s="30" t="str">
        <f>TRIM(CONCATENATE('ADJ DETAIL-INPUT'!AI$7," ",'ADJ DETAIL-INPUT'!AI$8," ",'ADJ DETAIL-INPUT'!AI$9))</f>
        <v/>
      </c>
      <c r="D43" s="237">
        <f>'ADJ DETAIL-INPUT'!AI$55</f>
        <v>0</v>
      </c>
      <c r="E43" s="237">
        <f>'ADJ DETAIL-INPUT'!AI$79</f>
        <v>0</v>
      </c>
      <c r="G43" s="172" t="s">
        <v>220</v>
      </c>
      <c r="I43" s="172"/>
      <c r="J43" s="149" t="s">
        <v>247</v>
      </c>
    </row>
    <row r="44" spans="1:10" hidden="1">
      <c r="A44" s="216">
        <f>'ADJ DETAIL-INPUT'!AJ$10</f>
        <v>0</v>
      </c>
      <c r="B44" s="435">
        <f>'ADJ DETAIL-INPUT'!AJ$11</f>
        <v>0</v>
      </c>
      <c r="C44" s="30" t="str">
        <f>TRIM(CONCATENATE('ADJ DETAIL-INPUT'!AJ$7," ",'ADJ DETAIL-INPUT'!AJ$8," ",'ADJ DETAIL-INPUT'!AJ$9))</f>
        <v/>
      </c>
      <c r="D44" s="237">
        <f>'ADJ DETAIL-INPUT'!AJ$55</f>
        <v>0</v>
      </c>
      <c r="E44" s="237">
        <f>'ADJ DETAIL-INPUT'!AJ$79</f>
        <v>0</v>
      </c>
      <c r="G44" s="300" t="s">
        <v>220</v>
      </c>
      <c r="I44" s="300"/>
      <c r="J44" s="149" t="s">
        <v>248</v>
      </c>
    </row>
    <row r="45" spans="1:10" hidden="1">
      <c r="A45" s="216">
        <f>'ADJ DETAIL-INPUT'!AK$10</f>
        <v>0</v>
      </c>
      <c r="B45" s="435">
        <f>'ADJ DETAIL-INPUT'!AK$11</f>
        <v>0</v>
      </c>
      <c r="C45" s="30" t="str">
        <f>TRIM(CONCATENATE('ADJ DETAIL-INPUT'!AK$7," ",'ADJ DETAIL-INPUT'!AK$8," ",'ADJ DETAIL-INPUT'!AK$9))</f>
        <v/>
      </c>
      <c r="D45" s="237">
        <f>'ADJ DETAIL-INPUT'!AK$55</f>
        <v>0</v>
      </c>
      <c r="E45" s="237">
        <f>'ADJ DETAIL-INPUT'!AK$79</f>
        <v>0</v>
      </c>
      <c r="G45" s="411"/>
      <c r="I45" s="411"/>
      <c r="J45" s="149" t="s">
        <v>219</v>
      </c>
    </row>
    <row r="46" spans="1:10" hidden="1">
      <c r="A46" s="216">
        <f>'ADJ DETAIL-INPUT'!AL$10</f>
        <v>0</v>
      </c>
      <c r="B46" s="435">
        <f>'ADJ DETAIL-INPUT'!AL$11</f>
        <v>0</v>
      </c>
      <c r="C46" s="30" t="str">
        <f>TRIM(CONCATENATE('ADJ DETAIL-INPUT'!AL$7," ",'ADJ DETAIL-INPUT'!AL$8," ",'ADJ DETAIL-INPUT'!AL$9))</f>
        <v/>
      </c>
      <c r="D46" s="237">
        <f>'ADJ DETAIL-INPUT'!AL$55</f>
        <v>0</v>
      </c>
      <c r="E46" s="237">
        <f>'ADJ DETAIL-INPUT'!AL$79</f>
        <v>0</v>
      </c>
      <c r="G46" s="172" t="s">
        <v>220</v>
      </c>
      <c r="I46" s="172"/>
      <c r="J46" s="149" t="s">
        <v>246</v>
      </c>
    </row>
    <row r="47" spans="1:10" hidden="1">
      <c r="A47" s="216">
        <f>'ADJ DETAIL-INPUT'!AM$10</f>
        <v>0</v>
      </c>
      <c r="B47" s="435">
        <f>'ADJ DETAIL-INPUT'!AM$11</f>
        <v>0</v>
      </c>
      <c r="C47" s="30" t="str">
        <f>TRIM(CONCATENATE('ADJ DETAIL-INPUT'!AM$7," ",'ADJ DETAIL-INPUT'!AM$8," ",'ADJ DETAIL-INPUT'!AM$9))</f>
        <v/>
      </c>
      <c r="D47" s="237">
        <f>'ADJ DETAIL-INPUT'!AM$55</f>
        <v>0</v>
      </c>
      <c r="E47" s="237">
        <f>'ADJ DETAIL-INPUT'!AM$79</f>
        <v>0</v>
      </c>
      <c r="G47" s="172" t="s">
        <v>220</v>
      </c>
      <c r="I47" s="172"/>
      <c r="J47" s="149" t="s">
        <v>223</v>
      </c>
    </row>
    <row r="48" spans="1:10" ht="14.25" hidden="1" customHeight="1">
      <c r="A48" s="216">
        <f>'ADJ DETAIL-INPUT'!AN$10</f>
        <v>0</v>
      </c>
      <c r="B48" s="435">
        <f>'ADJ DETAIL-INPUT'!AN$11</f>
        <v>0</v>
      </c>
      <c r="C48" s="30" t="str">
        <f>TRIM(CONCATENATE('ADJ DETAIL-INPUT'!AN$7," ",'ADJ DETAIL-INPUT'!AN$8," ",'ADJ DETAIL-INPUT'!AN$9))</f>
        <v/>
      </c>
      <c r="D48" s="237">
        <f>'ADJ DETAIL-INPUT'!AN$55</f>
        <v>0</v>
      </c>
      <c r="E48" s="237">
        <f>'ADJ DETAIL-INPUT'!AN$79</f>
        <v>0</v>
      </c>
      <c r="J48" s="149" t="s">
        <v>223</v>
      </c>
    </row>
    <row r="49" spans="1:10" hidden="1">
      <c r="A49" s="216">
        <f>'ADJ DETAIL-INPUT'!AO$10</f>
        <v>0</v>
      </c>
      <c r="B49" s="435">
        <f>'ADJ DETAIL-INPUT'!AO$11</f>
        <v>0</v>
      </c>
      <c r="C49" s="30" t="str">
        <f>TRIM(CONCATENATE('ADJ DETAIL-INPUT'!AO$7," ",'ADJ DETAIL-INPUT'!AO$8," ",'ADJ DETAIL-INPUT'!AO$9))</f>
        <v/>
      </c>
      <c r="D49" s="237">
        <f>'ADJ DETAIL-INPUT'!AO$55</f>
        <v>0</v>
      </c>
      <c r="E49" s="237">
        <f>'ADJ DETAIL-INPUT'!AO$79</f>
        <v>0</v>
      </c>
      <c r="F49" s="38"/>
      <c r="J49" s="149" t="s">
        <v>223</v>
      </c>
    </row>
    <row r="50" spans="1:10" ht="14.25" hidden="1" customHeight="1" thickBot="1">
      <c r="A50" s="27"/>
      <c r="B50" s="410"/>
      <c r="C50" s="25" t="s">
        <v>161</v>
      </c>
      <c r="D50" s="245">
        <f>SUM(D33:D49)</f>
        <v>74694.856390000001</v>
      </c>
      <c r="E50" s="245">
        <f>SUM(E33:E49)</f>
        <v>1137863</v>
      </c>
      <c r="F50" s="131">
        <f>D50/E50</f>
        <v>6.5644859170216452E-2</v>
      </c>
    </row>
    <row r="51" spans="1:10" ht="13.5" hidden="1" thickTop="1">
      <c r="A51" s="27"/>
      <c r="B51" s="410"/>
      <c r="C51" s="25"/>
      <c r="D51" s="246"/>
      <c r="E51" s="246"/>
      <c r="F51" s="97"/>
      <c r="G51" s="23"/>
      <c r="H51" s="23"/>
    </row>
    <row r="52" spans="1:10" ht="13.5" thickTop="1">
      <c r="A52" s="27"/>
      <c r="B52" s="410"/>
    </row>
    <row r="53" spans="1:10">
      <c r="A53" s="27"/>
      <c r="B53" s="410"/>
      <c r="C53" s="25" t="s">
        <v>113</v>
      </c>
      <c r="D53" s="246"/>
      <c r="E53" s="246"/>
      <c r="F53" s="97"/>
      <c r="G53" s="23"/>
      <c r="H53" s="23"/>
      <c r="I53" s="494" t="s">
        <v>232</v>
      </c>
    </row>
    <row r="54" spans="1:10">
      <c r="A54" s="27"/>
      <c r="B54" s="410"/>
    </row>
  </sheetData>
  <customSheetViews>
    <customSheetView guid="{A15D1962-B049-11D2-8670-0000832CEEE8}" scale="75" showPageBreaks="1" hiddenRows="1" showRuler="0" topLeftCell="A20">
      <selection activeCell="A42" sqref="A42:IV47"/>
      <rowBreaks count="1" manualBreakCount="1">
        <brk id="48" max="65535" man="1"/>
      </rowBreaks>
      <pageMargins left="0.75" right="0.75" top="1" bottom="1" header="0.5" footer="0.5"/>
      <pageSetup orientation="portrait" horizontalDpi="4294967292" verticalDpi="0" r:id="rId1"/>
      <headerFooter alignWithMargins="0">
        <oddHeader xml:space="preserve">&amp;C
</oddHeader>
        <oddFooter xml:space="preserve">&amp;C
</oddFooter>
      </headerFooter>
    </customSheetView>
    <customSheetView guid="{6E1B8C45-B07F-11D2-B0DC-0000832CDFF0}" scale="75" showPageBreaks="1" printArea="1" hiddenRows="1" showRuler="0" topLeftCell="A49">
      <selection activeCell="O30" sqref="O30"/>
      <rowBreaks count="1" manualBreakCount="1">
        <brk id="48" max="65535" man="1"/>
      </rowBreaks>
      <pageMargins left="0.75" right="0.75" top="1" bottom="1" header="0.5" footer="0.5"/>
      <pageSetup orientation="portrait" horizontalDpi="4294967292" verticalDpi="0" r:id="rId2"/>
      <headerFooter alignWithMargins="0">
        <oddHeader xml:space="preserve">&amp;C
</oddHeader>
        <oddFooter xml:space="preserve">&amp;C
</oddFooter>
      </headerFooter>
    </customSheetView>
  </customSheetViews>
  <mergeCells count="5">
    <mergeCell ref="A1:F1"/>
    <mergeCell ref="A2:F2"/>
    <mergeCell ref="A3:F3"/>
    <mergeCell ref="A5:F5"/>
    <mergeCell ref="A4:H4"/>
  </mergeCells>
  <phoneticPr fontId="0" type="noConversion"/>
  <pageMargins left="1.1000000000000001" right="0.75" top="1.1299999999999999" bottom="0.75" header="0.5" footer="0.5"/>
  <pageSetup orientation="portrait" horizontalDpi="4294967292" r:id="rId3"/>
  <headerFooter alignWithMargins="0">
    <oddHeader xml:space="preserve">&amp;C
</oddHeader>
    <oddFooter xml:space="preserve">&amp;C
</oddFooter>
  </headerFooter>
  <rowBreaks count="1" manualBreakCount="1">
    <brk id="5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2"/>
  <sheetViews>
    <sheetView view="pageBreakPreview" zoomScale="90" zoomScaleNormal="100" zoomScaleSheetLayoutView="90" workbookViewId="0">
      <pane xSplit="4" ySplit="10" topLeftCell="E11" activePane="bottomRight" state="frozen"/>
      <selection activeCell="D41" sqref="D41"/>
      <selection pane="topRight" activeCell="D41" sqref="D41"/>
      <selection pane="bottomLeft" activeCell="D41" sqref="D41"/>
      <selection pane="bottomRight" activeCell="N8" sqref="N8"/>
    </sheetView>
  </sheetViews>
  <sheetFormatPr defaultColWidth="10.7109375" defaultRowHeight="12.75"/>
  <cols>
    <col min="1" max="1" width="4.7109375" style="3" customWidth="1"/>
    <col min="2" max="3" width="1.7109375" style="2" customWidth="1"/>
    <col min="4" max="4" width="33.7109375" style="2" customWidth="1"/>
    <col min="5" max="5" width="13.5703125" style="175" bestFit="1" customWidth="1"/>
    <col min="6" max="6" width="14.140625" style="174" bestFit="1" customWidth="1"/>
    <col min="7" max="7" width="10.7109375" style="174" bestFit="1" customWidth="1"/>
    <col min="8" max="8" width="8.85546875" style="175" bestFit="1" customWidth="1"/>
    <col min="9" max="9" width="9.7109375" style="176" bestFit="1" customWidth="1"/>
    <col min="10" max="10" width="8.7109375" style="174" bestFit="1" customWidth="1"/>
    <col min="11" max="11" width="9.7109375" style="176" bestFit="1" customWidth="1"/>
    <col min="12" max="12" width="10.5703125" style="174" bestFit="1" customWidth="1"/>
    <col min="13" max="13" width="9.140625" style="176" bestFit="1" customWidth="1"/>
    <col min="14" max="14" width="9.140625" style="174" customWidth="1"/>
    <col min="15" max="15" width="10.42578125" style="174" bestFit="1" customWidth="1"/>
    <col min="16" max="16" width="11" style="176" bestFit="1" customWidth="1"/>
    <col min="17" max="17" width="9.7109375" style="176" bestFit="1" customWidth="1"/>
    <col min="18" max="18" width="11.85546875" style="176" bestFit="1" customWidth="1"/>
    <col min="19" max="19" width="11" style="176" customWidth="1"/>
    <col min="20" max="20" width="10.42578125" style="176" customWidth="1"/>
    <col min="21" max="21" width="13.42578125" style="174" bestFit="1" customWidth="1"/>
    <col min="22" max="23" width="12.5703125" style="175" customWidth="1"/>
    <col min="24" max="24" width="15.28515625" style="175" customWidth="1"/>
    <col min="25" max="25" width="13.28515625" style="175" customWidth="1"/>
    <col min="26" max="26" width="10.28515625" style="173" bestFit="1" customWidth="1"/>
    <col min="27" max="30" width="10.85546875" style="175" customWidth="1"/>
    <col min="31" max="31" width="10.85546875" style="174" customWidth="1"/>
    <col min="32" max="40" width="10.85546875" style="175" customWidth="1"/>
    <col min="41" max="41" width="10.85546875" style="174" customWidth="1"/>
    <col min="42" max="44" width="3.5703125" style="174" bestFit="1" customWidth="1"/>
    <col min="45" max="45" width="11" style="177" bestFit="1" customWidth="1"/>
    <col min="46" max="46" width="10.85546875" style="140" customWidth="1"/>
    <col min="47" max="47" width="14.7109375" style="101" customWidth="1"/>
    <col min="48" max="48" width="20.42578125" style="126" customWidth="1"/>
    <col min="49" max="49" width="2.85546875" style="2" customWidth="1"/>
    <col min="50" max="50" width="2.7109375" style="2" customWidth="1"/>
    <col min="51" max="51" width="10.7109375" style="2" customWidth="1"/>
    <col min="52" max="52" width="17.140625" style="101" customWidth="1"/>
    <col min="53" max="53" width="6.85546875" style="2" customWidth="1"/>
    <col min="54" max="54" width="10.7109375" style="2"/>
    <col min="56" max="56" width="16.7109375" style="101" customWidth="1"/>
    <col min="57" max="16384" width="10.7109375" style="2"/>
  </cols>
  <sheetData>
    <row r="1" spans="1:56">
      <c r="E1" s="302" t="s">
        <v>249</v>
      </c>
      <c r="F1" s="175" t="s">
        <v>255</v>
      </c>
    </row>
    <row r="2" spans="1:56" ht="5.25" customHeight="1">
      <c r="D2" s="3"/>
      <c r="E2" s="173"/>
    </row>
    <row r="3" spans="1:56">
      <c r="A3" s="1" t="str">
        <f>'ADJ DETAIL-INPUT'!A2</f>
        <v xml:space="preserve">AVISTA UTILITIES  </v>
      </c>
      <c r="D3" s="3"/>
      <c r="E3" s="2"/>
      <c r="F3" s="178"/>
    </row>
    <row r="4" spans="1:56">
      <c r="A4" s="1" t="str">
        <f>'ADJ DETAIL-INPUT'!A3</f>
        <v xml:space="preserve">WASHINGTON ELECTRIC RESULTS  </v>
      </c>
      <c r="D4" s="3"/>
      <c r="F4" s="177"/>
      <c r="R4" s="179"/>
      <c r="V4" s="173"/>
      <c r="W4" s="173"/>
      <c r="Y4" s="180"/>
    </row>
    <row r="5" spans="1:56">
      <c r="A5" s="1" t="str">
        <f>'ADJ DETAIL-INPUT'!A4</f>
        <v>TWELVE MONTHS ENDED DECEMBER 31, 2011</v>
      </c>
      <c r="D5" s="3"/>
      <c r="R5" s="179"/>
      <c r="V5" s="173"/>
      <c r="W5" s="173"/>
      <c r="Y5" s="180"/>
      <c r="AI5" s="181"/>
      <c r="AJ5" s="181"/>
      <c r="AK5" s="181"/>
      <c r="AL5" s="181"/>
      <c r="AM5" s="181"/>
      <c r="AN5" s="181"/>
      <c r="AZ5" s="7"/>
    </row>
    <row r="6" spans="1:56" s="6" customFormat="1">
      <c r="A6" s="1" t="str">
        <f>'ADJ DETAIL-INPUT'!A5</f>
        <v xml:space="preserve">(000'S OF DOLLARS)  </v>
      </c>
      <c r="D6" s="5"/>
      <c r="E6" s="181"/>
      <c r="F6" s="182"/>
      <c r="G6" s="183"/>
      <c r="H6" s="181"/>
      <c r="I6" s="184"/>
      <c r="J6" s="181"/>
      <c r="K6" s="185"/>
      <c r="L6" s="186"/>
      <c r="M6" s="185"/>
      <c r="N6" s="186"/>
      <c r="O6" s="186"/>
      <c r="P6" s="184"/>
      <c r="Q6" s="184"/>
      <c r="R6" s="184"/>
      <c r="S6" s="184"/>
      <c r="T6" s="187"/>
      <c r="U6" s="188"/>
      <c r="V6" s="181"/>
      <c r="W6" s="181"/>
      <c r="X6" s="181"/>
      <c r="Y6" s="181"/>
      <c r="Z6" s="181"/>
      <c r="AA6" s="181"/>
      <c r="AB6" s="181"/>
      <c r="AC6" s="181"/>
      <c r="AD6" s="181"/>
      <c r="AE6" s="181"/>
      <c r="AF6" s="180"/>
      <c r="AG6" s="181"/>
      <c r="AH6" s="181"/>
      <c r="AI6" s="181"/>
      <c r="AJ6" s="181"/>
      <c r="AK6" s="181"/>
      <c r="AL6" s="181"/>
      <c r="AM6" s="181"/>
      <c r="AN6" s="181"/>
      <c r="AO6" s="181"/>
      <c r="AP6" s="181"/>
      <c r="AQ6" s="181"/>
      <c r="AR6" s="181"/>
      <c r="AS6" s="181"/>
      <c r="AT6" s="4"/>
      <c r="AU6" s="7"/>
      <c r="AV6" s="13"/>
      <c r="AZ6" s="7"/>
      <c r="BD6" s="7"/>
    </row>
    <row r="7" spans="1:56" s="6" customFormat="1" ht="12" customHeight="1">
      <c r="A7" s="414"/>
      <c r="B7" s="13"/>
      <c r="C7" s="13"/>
      <c r="D7" s="13"/>
      <c r="F7" s="416" t="s">
        <v>1</v>
      </c>
      <c r="G7" s="416" t="s">
        <v>1</v>
      </c>
      <c r="H7" s="417"/>
      <c r="I7" s="416" t="s">
        <v>3</v>
      </c>
      <c r="J7" s="416"/>
      <c r="K7" s="416"/>
      <c r="L7" s="416"/>
      <c r="M7" s="416" t="s">
        <v>4</v>
      </c>
      <c r="N7" s="416" t="s">
        <v>595</v>
      </c>
      <c r="O7" s="415" t="s">
        <v>3</v>
      </c>
      <c r="P7" s="415" t="s">
        <v>94</v>
      </c>
      <c r="Q7" s="416" t="s">
        <v>3</v>
      </c>
      <c r="R7" s="415" t="s">
        <v>6</v>
      </c>
      <c r="S7" s="418" t="s">
        <v>5</v>
      </c>
      <c r="T7" s="418" t="s">
        <v>200</v>
      </c>
      <c r="U7" s="418"/>
      <c r="V7" s="419"/>
      <c r="W7" s="419" t="s">
        <v>587</v>
      </c>
      <c r="X7" s="417" t="s">
        <v>581</v>
      </c>
      <c r="Y7" s="415" t="s">
        <v>5</v>
      </c>
      <c r="Z7" s="415"/>
      <c r="AA7" s="417"/>
      <c r="AB7" s="417"/>
      <c r="AC7" s="417"/>
      <c r="AD7" s="417"/>
      <c r="AE7" s="417"/>
      <c r="AF7" s="417"/>
      <c r="AG7" s="417"/>
      <c r="AH7" s="417"/>
      <c r="AI7" s="417"/>
      <c r="AJ7" s="417"/>
      <c r="AK7" s="417"/>
      <c r="AL7" s="417"/>
      <c r="AM7" s="417"/>
      <c r="AN7" s="417"/>
      <c r="AO7" s="417"/>
      <c r="AP7" s="417"/>
      <c r="AQ7" s="417"/>
      <c r="AR7" s="417"/>
      <c r="AS7" s="416"/>
      <c r="AT7" s="7"/>
      <c r="AU7" s="159"/>
      <c r="AV7" s="13"/>
      <c r="AZ7" s="159"/>
      <c r="BD7" s="159"/>
    </row>
    <row r="8" spans="1:56" s="6" customFormat="1" ht="12">
      <c r="A8" s="414" t="str">
        <f>'ADJ DETAIL-INPUT'!A8</f>
        <v>Line</v>
      </c>
      <c r="B8" s="13"/>
      <c r="C8" s="13"/>
      <c r="D8" s="13"/>
      <c r="E8" s="415" t="s">
        <v>237</v>
      </c>
      <c r="F8" s="416" t="s">
        <v>9</v>
      </c>
      <c r="G8" s="416" t="s">
        <v>235</v>
      </c>
      <c r="H8" s="415" t="s">
        <v>229</v>
      </c>
      <c r="I8" s="416" t="s">
        <v>12</v>
      </c>
      <c r="J8" s="416" t="s">
        <v>13</v>
      </c>
      <c r="K8" s="416" t="s">
        <v>14</v>
      </c>
      <c r="L8" s="416" t="s">
        <v>15</v>
      </c>
      <c r="M8" s="416" t="s">
        <v>16</v>
      </c>
      <c r="N8" s="416" t="s">
        <v>547</v>
      </c>
      <c r="O8" s="415" t="s">
        <v>92</v>
      </c>
      <c r="P8" s="415" t="s">
        <v>2</v>
      </c>
      <c r="Q8" s="416" t="s">
        <v>18</v>
      </c>
      <c r="R8" s="415" t="s">
        <v>19</v>
      </c>
      <c r="S8" s="418" t="s">
        <v>201</v>
      </c>
      <c r="T8" s="416" t="s">
        <v>233</v>
      </c>
      <c r="U8" s="416" t="s">
        <v>199</v>
      </c>
      <c r="V8" s="419" t="s">
        <v>215</v>
      </c>
      <c r="W8" s="419" t="s">
        <v>589</v>
      </c>
      <c r="X8" s="417" t="s">
        <v>11</v>
      </c>
      <c r="Y8" s="415" t="s">
        <v>17</v>
      </c>
      <c r="Z8" s="415" t="s">
        <v>20</v>
      </c>
      <c r="AA8" s="415"/>
      <c r="AB8" s="415"/>
      <c r="AC8" s="415"/>
      <c r="AD8" s="415"/>
      <c r="AE8" s="416"/>
      <c r="AF8" s="415"/>
      <c r="AG8" s="417"/>
      <c r="AH8" s="417"/>
      <c r="AI8" s="415"/>
      <c r="AJ8" s="415"/>
      <c r="AK8" s="415"/>
      <c r="AL8" s="415"/>
      <c r="AM8" s="415"/>
      <c r="AN8" s="415"/>
      <c r="AO8" s="416"/>
      <c r="AP8" s="416"/>
      <c r="AQ8" s="416"/>
      <c r="AR8" s="416"/>
      <c r="AS8" s="416" t="s">
        <v>7</v>
      </c>
      <c r="AT8" s="7"/>
      <c r="AU8" s="7"/>
      <c r="AV8" s="13"/>
      <c r="AZ8" s="7"/>
      <c r="BD8" s="7"/>
    </row>
    <row r="9" spans="1:56" s="6" customFormat="1" ht="11.25" customHeight="1">
      <c r="A9" s="433" t="str">
        <f>'ADJ DETAIL-INPUT'!A9</f>
        <v>No.</v>
      </c>
      <c r="B9" s="16"/>
      <c r="C9" s="434" t="s">
        <v>22</v>
      </c>
      <c r="D9" s="16"/>
      <c r="E9" s="424" t="s">
        <v>238</v>
      </c>
      <c r="F9" s="425" t="s">
        <v>23</v>
      </c>
      <c r="G9" s="425" t="s">
        <v>236</v>
      </c>
      <c r="H9" s="424" t="s">
        <v>97</v>
      </c>
      <c r="I9" s="425" t="s">
        <v>26</v>
      </c>
      <c r="J9" s="425" t="s">
        <v>27</v>
      </c>
      <c r="K9" s="425" t="s">
        <v>28</v>
      </c>
      <c r="L9" s="425" t="s">
        <v>28</v>
      </c>
      <c r="M9" s="425" t="s">
        <v>29</v>
      </c>
      <c r="N9" s="425" t="s">
        <v>28</v>
      </c>
      <c r="O9" s="424" t="s">
        <v>93</v>
      </c>
      <c r="P9" s="424" t="s">
        <v>24</v>
      </c>
      <c r="Q9" s="425" t="s">
        <v>32</v>
      </c>
      <c r="R9" s="424" t="s">
        <v>214</v>
      </c>
      <c r="S9" s="426" t="s">
        <v>26</v>
      </c>
      <c r="T9" s="425" t="s">
        <v>234</v>
      </c>
      <c r="U9" s="425" t="s">
        <v>159</v>
      </c>
      <c r="V9" s="427" t="s">
        <v>212</v>
      </c>
      <c r="W9" s="427" t="s">
        <v>212</v>
      </c>
      <c r="X9" s="424" t="s">
        <v>25</v>
      </c>
      <c r="Y9" s="424" t="s">
        <v>30</v>
      </c>
      <c r="Z9" s="424" t="s">
        <v>33</v>
      </c>
      <c r="AA9" s="424"/>
      <c r="AB9" s="424"/>
      <c r="AC9" s="424"/>
      <c r="AD9" s="424"/>
      <c r="AE9" s="425"/>
      <c r="AF9" s="428"/>
      <c r="AG9" s="424"/>
      <c r="AH9" s="424"/>
      <c r="AI9" s="428"/>
      <c r="AJ9" s="424"/>
      <c r="AK9" s="424"/>
      <c r="AL9" s="424"/>
      <c r="AM9" s="424"/>
      <c r="AN9" s="424"/>
      <c r="AO9" s="425"/>
      <c r="AP9" s="425"/>
      <c r="AQ9" s="425"/>
      <c r="AR9" s="429"/>
      <c r="AS9" s="425" t="s">
        <v>33</v>
      </c>
      <c r="AT9" s="7"/>
      <c r="AU9" s="7"/>
      <c r="AV9" s="13"/>
      <c r="AZ9" s="7"/>
      <c r="BD9" s="7"/>
    </row>
    <row r="10" spans="1:56" s="386" customFormat="1" ht="12">
      <c r="B10" s="413" t="s">
        <v>559</v>
      </c>
      <c r="E10" s="387">
        <v>1</v>
      </c>
      <c r="F10" s="388">
        <f>1+0.01</f>
        <v>1.01</v>
      </c>
      <c r="G10" s="387">
        <f t="shared" ref="G10:H10" si="0">F10+0.01</f>
        <v>1.02</v>
      </c>
      <c r="H10" s="387">
        <f t="shared" si="0"/>
        <v>1.03</v>
      </c>
      <c r="I10" s="389">
        <v>2.0099999999999998</v>
      </c>
      <c r="J10" s="387">
        <f t="shared" ref="J10:W10" si="1">I10+0.01</f>
        <v>2.0199999999999996</v>
      </c>
      <c r="K10" s="387">
        <f t="shared" si="1"/>
        <v>2.0299999999999994</v>
      </c>
      <c r="L10" s="387">
        <f t="shared" si="1"/>
        <v>2.0399999999999991</v>
      </c>
      <c r="M10" s="387">
        <f t="shared" si="1"/>
        <v>2.0499999999999989</v>
      </c>
      <c r="N10" s="387">
        <f t="shared" si="1"/>
        <v>2.0599999999999987</v>
      </c>
      <c r="O10" s="387">
        <f t="shared" si="1"/>
        <v>2.0699999999999985</v>
      </c>
      <c r="P10" s="387">
        <f t="shared" si="1"/>
        <v>2.0799999999999983</v>
      </c>
      <c r="Q10" s="387">
        <f t="shared" si="1"/>
        <v>2.0899999999999981</v>
      </c>
      <c r="R10" s="387">
        <f t="shared" si="1"/>
        <v>2.0999999999999979</v>
      </c>
      <c r="S10" s="387">
        <f t="shared" si="1"/>
        <v>2.1099999999999977</v>
      </c>
      <c r="T10" s="387">
        <f t="shared" si="1"/>
        <v>2.1199999999999974</v>
      </c>
      <c r="U10" s="387">
        <f t="shared" si="1"/>
        <v>2.1299999999999972</v>
      </c>
      <c r="V10" s="387">
        <f t="shared" si="1"/>
        <v>2.139999999999997</v>
      </c>
      <c r="W10" s="387">
        <f t="shared" si="1"/>
        <v>2.1499999999999968</v>
      </c>
      <c r="X10" s="387">
        <f t="shared" ref="X10" si="2">W10+0.01</f>
        <v>2.1599999999999966</v>
      </c>
      <c r="Y10" s="387">
        <f t="shared" ref="Y10" si="3">X10+0.01</f>
        <v>2.1699999999999964</v>
      </c>
      <c r="Z10" s="390"/>
      <c r="AA10" s="390"/>
      <c r="AB10" s="390"/>
      <c r="AC10" s="390"/>
      <c r="AD10" s="390"/>
      <c r="AE10" s="390"/>
      <c r="AF10" s="390"/>
      <c r="AG10" s="390"/>
      <c r="AH10" s="390"/>
      <c r="AI10" s="390"/>
      <c r="AJ10" s="390"/>
      <c r="AK10" s="390"/>
      <c r="AL10" s="390"/>
      <c r="AM10" s="390"/>
      <c r="AN10" s="390"/>
      <c r="AO10" s="390"/>
      <c r="AP10" s="387"/>
      <c r="AQ10" s="387"/>
      <c r="AT10" s="392"/>
      <c r="AU10" s="393"/>
      <c r="AV10" s="394"/>
      <c r="AZ10" s="392"/>
      <c r="BD10" s="393"/>
    </row>
    <row r="11" spans="1:56" s="386" customFormat="1" ht="12">
      <c r="A11" s="430"/>
      <c r="B11" s="431" t="s">
        <v>560</v>
      </c>
      <c r="C11" s="430"/>
      <c r="D11" s="430"/>
      <c r="E11" s="432" t="str">
        <f>'ADJ DETAIL-INPUT'!E11</f>
        <v>E-ROO</v>
      </c>
      <c r="F11" s="432" t="str">
        <f>'ADJ DETAIL-INPUT'!F11</f>
        <v>E-DFIT</v>
      </c>
      <c r="G11" s="432" t="str">
        <f>'ADJ DETAIL-INPUT'!G11</f>
        <v>E-DDC</v>
      </c>
      <c r="H11" s="432" t="str">
        <f>'ADJ DETAIL-INPUT'!H11</f>
        <v xml:space="preserve">E-WC </v>
      </c>
      <c r="I11" s="432" t="str">
        <f>'ADJ DETAIL-INPUT'!I11</f>
        <v>E-EBO</v>
      </c>
      <c r="J11" s="432" t="str">
        <f>'ADJ DETAIL-INPUT'!J11</f>
        <v>E-PT</v>
      </c>
      <c r="K11" s="432" t="str">
        <f>'ADJ DETAIL-INPUT'!K11</f>
        <v>E-UE</v>
      </c>
      <c r="L11" s="432" t="str">
        <f>'ADJ DETAIL-INPUT'!L11</f>
        <v>E-RE</v>
      </c>
      <c r="M11" s="432" t="str">
        <f>'ADJ DETAIL-INPUT'!M11</f>
        <v>E-ID</v>
      </c>
      <c r="N11" s="432" t="str">
        <f>'ADJ DETAIL-INPUT'!N11</f>
        <v xml:space="preserve">E-FIT </v>
      </c>
      <c r="O11" s="432" t="str">
        <f>'ADJ DETAIL-INPUT'!O11</f>
        <v>E-EWPC</v>
      </c>
      <c r="P11" s="432" t="str">
        <f>'ADJ DETAIL-INPUT'!P11</f>
        <v>E-NPS</v>
      </c>
      <c r="Q11" s="432" t="str">
        <f>'ADJ DETAIL-INPUT'!Q11</f>
        <v>E-EAR</v>
      </c>
      <c r="R11" s="432" t="str">
        <f>'ADJ DETAIL-INPUT'!R11</f>
        <v>OSC</v>
      </c>
      <c r="S11" s="432" t="str">
        <f>'ADJ DETAIL-INPUT'!S11</f>
        <v>E-RET</v>
      </c>
      <c r="T11" s="432" t="str">
        <f>'ADJ DETAIL-INPUT'!T11</f>
        <v>E-NGL</v>
      </c>
      <c r="U11" s="432" t="str">
        <f>'ADJ DETAIL-INPUT'!U11</f>
        <v>E-RN</v>
      </c>
      <c r="V11" s="432" t="str">
        <f>'ADJ DETAIL-INPUT'!V11</f>
        <v>E-MR</v>
      </c>
      <c r="W11" s="432" t="s">
        <v>588</v>
      </c>
      <c r="X11" s="432" t="str">
        <f>'ADJ DETAIL-INPUT'!X11</f>
        <v>E-PPS</v>
      </c>
      <c r="Y11" s="432" t="str">
        <f>'ADJ DETAIL-INPUT'!Y11</f>
        <v>E-RDI</v>
      </c>
      <c r="Z11" s="432">
        <f>'ADJ DETAIL-INPUT'!Z11</f>
        <v>0</v>
      </c>
      <c r="AA11" s="432"/>
      <c r="AB11" s="432"/>
      <c r="AC11" s="432"/>
      <c r="AD11" s="432"/>
      <c r="AE11" s="432"/>
      <c r="AF11" s="432"/>
      <c r="AG11" s="432"/>
      <c r="AH11" s="432"/>
      <c r="AI11" s="432"/>
      <c r="AJ11" s="432"/>
      <c r="AK11" s="432"/>
      <c r="AL11" s="432"/>
      <c r="AM11" s="432"/>
      <c r="AN11" s="432"/>
      <c r="AO11" s="432"/>
      <c r="AP11" s="432"/>
      <c r="AQ11" s="432"/>
      <c r="AR11" s="430"/>
      <c r="AS11" s="430"/>
      <c r="AT11" s="392"/>
      <c r="AU11" s="393"/>
      <c r="AV11" s="394"/>
      <c r="AZ11" s="392"/>
      <c r="BD11" s="393"/>
    </row>
    <row r="12" spans="1:56" s="386" customFormat="1" ht="6" customHeight="1">
      <c r="B12" s="413"/>
      <c r="E12" s="387"/>
      <c r="F12" s="387"/>
      <c r="G12" s="387"/>
      <c r="H12" s="387"/>
      <c r="I12" s="389"/>
      <c r="J12" s="387"/>
      <c r="K12" s="387"/>
      <c r="L12" s="387"/>
      <c r="M12" s="387"/>
      <c r="N12" s="387"/>
      <c r="O12" s="387"/>
      <c r="P12" s="387"/>
      <c r="Q12" s="387"/>
      <c r="R12" s="387"/>
      <c r="S12" s="387"/>
      <c r="T12" s="387"/>
      <c r="U12" s="387"/>
      <c r="V12" s="387"/>
      <c r="W12" s="387"/>
      <c r="X12" s="390"/>
      <c r="Y12" s="387"/>
      <c r="Z12" s="390"/>
      <c r="AA12" s="390"/>
      <c r="AB12" s="390"/>
      <c r="AC12" s="390"/>
      <c r="AD12" s="390"/>
      <c r="AE12" s="390"/>
      <c r="AF12" s="390"/>
      <c r="AG12" s="390"/>
      <c r="AH12" s="390"/>
      <c r="AI12" s="390"/>
      <c r="AJ12" s="390"/>
      <c r="AK12" s="390"/>
      <c r="AL12" s="390"/>
      <c r="AM12" s="390"/>
      <c r="AN12" s="390"/>
      <c r="AO12" s="391"/>
      <c r="AP12" s="387"/>
      <c r="AQ12" s="387"/>
      <c r="AT12" s="392"/>
      <c r="AU12" s="393"/>
      <c r="AV12" s="394"/>
      <c r="AZ12" s="392"/>
      <c r="BD12" s="393"/>
    </row>
    <row r="13" spans="1:56">
      <c r="B13" s="2" t="str">
        <f>'ADJ DETAIL-INPUT'!B13</f>
        <v xml:space="preserve">REVENUES  </v>
      </c>
      <c r="N13" s="203"/>
      <c r="X13" s="203"/>
      <c r="Y13" s="203"/>
      <c r="AG13" s="203"/>
      <c r="AH13" s="203"/>
      <c r="AT13" s="101"/>
    </row>
    <row r="14" spans="1:56" s="18" customFormat="1">
      <c r="A14" s="17">
        <f>'ADJ DETAIL-INPUT'!A14</f>
        <v>1</v>
      </c>
      <c r="B14" s="18" t="str">
        <f>'ADJ DETAIL-INPUT'!B14</f>
        <v xml:space="preserve">Total General Business  </v>
      </c>
      <c r="E14" s="215">
        <f>'ADJ DETAIL-INPUT'!E14</f>
        <v>470571</v>
      </c>
      <c r="F14" s="384">
        <f>'ADJ DETAIL-INPUT'!F14</f>
        <v>0</v>
      </c>
      <c r="G14" s="384">
        <f>'ADJ DETAIL-INPUT'!G14</f>
        <v>0</v>
      </c>
      <c r="H14" s="384">
        <f>'ADJ DETAIL-INPUT'!H14</f>
        <v>0</v>
      </c>
      <c r="I14" s="384">
        <f>'ADJ DETAIL-INPUT'!I14</f>
        <v>-16360</v>
      </c>
      <c r="J14" s="384">
        <f>'ADJ DETAIL-INPUT'!J14</f>
        <v>0</v>
      </c>
      <c r="K14" s="384">
        <f>'ADJ DETAIL-INPUT'!K14</f>
        <v>0</v>
      </c>
      <c r="L14" s="384">
        <f>'ADJ DETAIL-INPUT'!L14</f>
        <v>0</v>
      </c>
      <c r="M14" s="384">
        <f>'ADJ DETAIL-INPUT'!M14</f>
        <v>0</v>
      </c>
      <c r="N14" s="384">
        <f>'ADJ DETAIL-INPUT'!N14</f>
        <v>0</v>
      </c>
      <c r="O14" s="384">
        <f>'ADJ DETAIL-INPUT'!O14</f>
        <v>0</v>
      </c>
      <c r="P14" s="384">
        <f>'ADJ DETAIL-INPUT'!P14</f>
        <v>0</v>
      </c>
      <c r="Q14" s="384">
        <f>'ADJ DETAIL-INPUT'!Q14</f>
        <v>0</v>
      </c>
      <c r="R14" s="384">
        <f>'ADJ DETAIL-INPUT'!R14</f>
        <v>0</v>
      </c>
      <c r="S14" s="384">
        <f>'ADJ DETAIL-INPUT'!S14</f>
        <v>0</v>
      </c>
      <c r="T14" s="384">
        <f>'ADJ DETAIL-INPUT'!T14</f>
        <v>0</v>
      </c>
      <c r="U14" s="384">
        <f>'ADJ DETAIL-INPUT'!U14</f>
        <v>-2374</v>
      </c>
      <c r="V14" s="384">
        <f>'ADJ DETAIL-INPUT'!V14</f>
        <v>0</v>
      </c>
      <c r="W14" s="384">
        <f>'ADJ DETAIL-INPUT'!W14</f>
        <v>0</v>
      </c>
      <c r="X14" s="384">
        <f>'ADJ DETAIL-INPUT'!X14</f>
        <v>0</v>
      </c>
      <c r="Y14" s="384">
        <f>'ADJ DETAIL-INPUT'!Y14</f>
        <v>0</v>
      </c>
      <c r="Z14" s="341">
        <f>'ADJ DETAIL-INPUT'!Z14</f>
        <v>451837</v>
      </c>
      <c r="AA14" s="384"/>
      <c r="AB14" s="384"/>
      <c r="AC14" s="384"/>
      <c r="AD14" s="384"/>
      <c r="AE14" s="384"/>
      <c r="AF14" s="384"/>
      <c r="AG14" s="384"/>
      <c r="AH14" s="384"/>
      <c r="AI14" s="384"/>
      <c r="AJ14" s="384"/>
      <c r="AK14" s="384"/>
      <c r="AL14" s="384"/>
      <c r="AM14" s="384"/>
      <c r="AN14" s="384"/>
      <c r="AO14" s="384"/>
      <c r="AP14" s="385">
        <f>'ADJ DETAIL-INPUT'!AP14</f>
        <v>0</v>
      </c>
      <c r="AQ14" s="385">
        <f>'ADJ DETAIL-INPUT'!AQ14</f>
        <v>0</v>
      </c>
      <c r="AR14" s="385">
        <f>'ADJ DETAIL-INPUT'!AR14</f>
        <v>0</v>
      </c>
      <c r="AS14" s="375">
        <f>'ADJ DETAIL-INPUT'!AS14</f>
        <v>451837</v>
      </c>
      <c r="AT14" s="20"/>
      <c r="AU14" s="20"/>
      <c r="AV14" s="134"/>
      <c r="AW14" s="36"/>
      <c r="AZ14" s="20"/>
      <c r="BD14" s="20"/>
    </row>
    <row r="15" spans="1:56" s="19" customFormat="1" ht="12">
      <c r="A15" s="17">
        <f>'ADJ DETAIL-INPUT'!A15</f>
        <v>2</v>
      </c>
      <c r="B15" s="19" t="str">
        <f>'ADJ DETAIL-INPUT'!B15</f>
        <v xml:space="preserve">Interdepartmental Sales  </v>
      </c>
      <c r="E15" s="99">
        <f>'ADJ DETAIL-INPUT'!E15</f>
        <v>820</v>
      </c>
      <c r="F15" s="301">
        <f>'ADJ DETAIL-INPUT'!F15</f>
        <v>0</v>
      </c>
      <c r="G15" s="301">
        <f>'ADJ DETAIL-INPUT'!G15</f>
        <v>0</v>
      </c>
      <c r="H15" s="302">
        <f>'ADJ DETAIL-INPUT'!H15</f>
        <v>0</v>
      </c>
      <c r="I15" s="301">
        <f>'ADJ DETAIL-INPUT'!I15</f>
        <v>0</v>
      </c>
      <c r="J15" s="301">
        <f>'ADJ DETAIL-INPUT'!J15</f>
        <v>0</v>
      </c>
      <c r="K15" s="301">
        <f>'ADJ DETAIL-INPUT'!K15</f>
        <v>0</v>
      </c>
      <c r="L15" s="301">
        <f>'ADJ DETAIL-INPUT'!L15</f>
        <v>0</v>
      </c>
      <c r="M15" s="301">
        <f>'ADJ DETAIL-INPUT'!M15</f>
        <v>0</v>
      </c>
      <c r="N15" s="301">
        <f>'ADJ DETAIL-INPUT'!N15</f>
        <v>0</v>
      </c>
      <c r="O15" s="301">
        <f>'ADJ DETAIL-INPUT'!O15</f>
        <v>0</v>
      </c>
      <c r="P15" s="301">
        <f>'ADJ DETAIL-INPUT'!P15</f>
        <v>0</v>
      </c>
      <c r="Q15" s="301">
        <f>'ADJ DETAIL-INPUT'!Q15</f>
        <v>0</v>
      </c>
      <c r="R15" s="301">
        <f>'ADJ DETAIL-INPUT'!R15</f>
        <v>0</v>
      </c>
      <c r="S15" s="301">
        <f>'ADJ DETAIL-INPUT'!S15</f>
        <v>0</v>
      </c>
      <c r="T15" s="301">
        <f>'ADJ DETAIL-INPUT'!T15</f>
        <v>0</v>
      </c>
      <c r="U15" s="301">
        <f>'ADJ DETAIL-INPUT'!U15</f>
        <v>0</v>
      </c>
      <c r="V15" s="302">
        <f>'ADJ DETAIL-INPUT'!V15</f>
        <v>0</v>
      </c>
      <c r="W15" s="302">
        <f>'ADJ DETAIL-INPUT'!W15</f>
        <v>0</v>
      </c>
      <c r="X15" s="302">
        <f>'ADJ DETAIL-INPUT'!X15</f>
        <v>0</v>
      </c>
      <c r="Y15" s="302">
        <f>'ADJ DETAIL-INPUT'!Y15</f>
        <v>0</v>
      </c>
      <c r="Z15" s="173">
        <f>'ADJ DETAIL-INPUT'!Z15</f>
        <v>820</v>
      </c>
      <c r="AA15" s="302"/>
      <c r="AB15" s="302"/>
      <c r="AC15" s="302"/>
      <c r="AD15" s="302"/>
      <c r="AE15" s="301"/>
      <c r="AF15" s="302"/>
      <c r="AG15" s="302"/>
      <c r="AH15" s="302"/>
      <c r="AI15" s="302"/>
      <c r="AJ15" s="302"/>
      <c r="AK15" s="302"/>
      <c r="AL15" s="302"/>
      <c r="AM15" s="302"/>
      <c r="AN15" s="302"/>
      <c r="AO15" s="301"/>
      <c r="AP15" s="174">
        <f>'ADJ DETAIL-INPUT'!AP15</f>
        <v>0</v>
      </c>
      <c r="AQ15" s="174">
        <f>'ADJ DETAIL-INPUT'!AQ15</f>
        <v>0</v>
      </c>
      <c r="AR15" s="174">
        <f>'ADJ DETAIL-INPUT'!AR15</f>
        <v>0</v>
      </c>
      <c r="AS15" s="177">
        <f>'ADJ DETAIL-INPUT'!AS15</f>
        <v>820</v>
      </c>
      <c r="AT15" s="139"/>
      <c r="AU15" s="160"/>
      <c r="AV15" s="75"/>
      <c r="AZ15" s="160"/>
      <c r="BD15" s="160"/>
    </row>
    <row r="16" spans="1:56" s="19" customFormat="1" ht="12">
      <c r="A16" s="17">
        <f>'ADJ DETAIL-INPUT'!A16</f>
        <v>3</v>
      </c>
      <c r="B16" s="19" t="str">
        <f>'ADJ DETAIL-INPUT'!B16</f>
        <v xml:space="preserve">Sales for Resale  </v>
      </c>
      <c r="E16" s="371">
        <f>'ADJ DETAIL-INPUT'!E16</f>
        <v>76991</v>
      </c>
      <c r="F16" s="303">
        <f>'ADJ DETAIL-INPUT'!F16</f>
        <v>0</v>
      </c>
      <c r="G16" s="303">
        <f>'ADJ DETAIL-INPUT'!G16</f>
        <v>0</v>
      </c>
      <c r="H16" s="304">
        <f>'ADJ DETAIL-INPUT'!H16</f>
        <v>0</v>
      </c>
      <c r="I16" s="303">
        <f>'ADJ DETAIL-INPUT'!I16</f>
        <v>0</v>
      </c>
      <c r="J16" s="303">
        <f>'ADJ DETAIL-INPUT'!J16</f>
        <v>0</v>
      </c>
      <c r="K16" s="303">
        <f>'ADJ DETAIL-INPUT'!K16</f>
        <v>0</v>
      </c>
      <c r="L16" s="303">
        <f>'ADJ DETAIL-INPUT'!L16</f>
        <v>0</v>
      </c>
      <c r="M16" s="303">
        <f>'ADJ DETAIL-INPUT'!M16</f>
        <v>0</v>
      </c>
      <c r="N16" s="303">
        <f>'ADJ DETAIL-INPUT'!N16</f>
        <v>0</v>
      </c>
      <c r="O16" s="303">
        <f>'ADJ DETAIL-INPUT'!O16</f>
        <v>0</v>
      </c>
      <c r="P16" s="303">
        <f>'ADJ DETAIL-INPUT'!P16</f>
        <v>0</v>
      </c>
      <c r="Q16" s="303">
        <f>'ADJ DETAIL-INPUT'!Q16</f>
        <v>0</v>
      </c>
      <c r="R16" s="303">
        <f>'ADJ DETAIL-INPUT'!R16</f>
        <v>0</v>
      </c>
      <c r="S16" s="303">
        <f>'ADJ DETAIL-INPUT'!S16</f>
        <v>0</v>
      </c>
      <c r="T16" s="303">
        <f>'ADJ DETAIL-INPUT'!T16</f>
        <v>0</v>
      </c>
      <c r="U16" s="303">
        <f>'ADJ DETAIL-INPUT'!U16</f>
        <v>0</v>
      </c>
      <c r="V16" s="304">
        <f>'ADJ DETAIL-INPUT'!V16</f>
        <v>0</v>
      </c>
      <c r="W16" s="304">
        <f>'ADJ DETAIL-INPUT'!W16</f>
        <v>0</v>
      </c>
      <c r="X16" s="304">
        <f>'ADJ DETAIL-INPUT'!X16</f>
        <v>-24387</v>
      </c>
      <c r="Y16" s="304">
        <f>'ADJ DETAIL-INPUT'!Y16</f>
        <v>0</v>
      </c>
      <c r="Z16" s="207">
        <f>'ADJ DETAIL-INPUT'!Z16</f>
        <v>52604</v>
      </c>
      <c r="AA16" s="304"/>
      <c r="AB16" s="304"/>
      <c r="AC16" s="304"/>
      <c r="AD16" s="304"/>
      <c r="AE16" s="303"/>
      <c r="AF16" s="304"/>
      <c r="AG16" s="304"/>
      <c r="AH16" s="304"/>
      <c r="AI16" s="304"/>
      <c r="AJ16" s="304"/>
      <c r="AK16" s="304"/>
      <c r="AL16" s="304"/>
      <c r="AM16" s="304"/>
      <c r="AN16" s="304"/>
      <c r="AO16" s="303"/>
      <c r="AP16" s="205">
        <f>'ADJ DETAIL-INPUT'!AP16</f>
        <v>0</v>
      </c>
      <c r="AQ16" s="205">
        <f>'ADJ DETAIL-INPUT'!AQ16</f>
        <v>0</v>
      </c>
      <c r="AR16" s="205">
        <f>'ADJ DETAIL-INPUT'!AR16</f>
        <v>0</v>
      </c>
      <c r="AS16" s="208">
        <f>'ADJ DETAIL-INPUT'!AS16</f>
        <v>52604</v>
      </c>
      <c r="AT16" s="139"/>
      <c r="AU16" s="160"/>
      <c r="AV16" s="75"/>
      <c r="AZ16" s="160"/>
      <c r="BD16" s="160"/>
    </row>
    <row r="17" spans="1:56" s="19" customFormat="1" ht="12">
      <c r="A17" s="17">
        <f>'ADJ DETAIL-INPUT'!A17</f>
        <v>4</v>
      </c>
      <c r="B17" s="19" t="str">
        <f>'ADJ DETAIL-INPUT'!B17</f>
        <v xml:space="preserve">Total Sales of Electricity  </v>
      </c>
      <c r="E17" s="99">
        <f>'ADJ DETAIL-INPUT'!E17</f>
        <v>548382</v>
      </c>
      <c r="F17" s="174">
        <f>'ADJ DETAIL-INPUT'!F17</f>
        <v>0</v>
      </c>
      <c r="G17" s="174">
        <f>'ADJ DETAIL-INPUT'!G17</f>
        <v>0</v>
      </c>
      <c r="H17" s="175">
        <f>'ADJ DETAIL-INPUT'!H17</f>
        <v>0</v>
      </c>
      <c r="I17" s="176">
        <f>'ADJ DETAIL-INPUT'!I17</f>
        <v>-16360</v>
      </c>
      <c r="J17" s="174">
        <f>'ADJ DETAIL-INPUT'!J17</f>
        <v>0</v>
      </c>
      <c r="K17" s="176">
        <f>'ADJ DETAIL-INPUT'!K17</f>
        <v>0</v>
      </c>
      <c r="L17" s="174">
        <f>'ADJ DETAIL-INPUT'!L17</f>
        <v>0</v>
      </c>
      <c r="M17" s="176">
        <f>'ADJ DETAIL-INPUT'!M17</f>
        <v>0</v>
      </c>
      <c r="N17" s="174">
        <f>'ADJ DETAIL-INPUT'!N17</f>
        <v>0</v>
      </c>
      <c r="O17" s="174">
        <f>'ADJ DETAIL-INPUT'!O17</f>
        <v>0</v>
      </c>
      <c r="P17" s="176">
        <f>'ADJ DETAIL-INPUT'!P17</f>
        <v>0</v>
      </c>
      <c r="Q17" s="176">
        <f>'ADJ DETAIL-INPUT'!Q17</f>
        <v>0</v>
      </c>
      <c r="R17" s="176">
        <f>'ADJ DETAIL-INPUT'!R17</f>
        <v>0</v>
      </c>
      <c r="S17" s="176">
        <f>'ADJ DETAIL-INPUT'!S17</f>
        <v>0</v>
      </c>
      <c r="T17" s="176">
        <f>'ADJ DETAIL-INPUT'!T17</f>
        <v>0</v>
      </c>
      <c r="U17" s="174">
        <f>'ADJ DETAIL-INPUT'!U17</f>
        <v>-2374</v>
      </c>
      <c r="V17" s="175">
        <f>'ADJ DETAIL-INPUT'!V17</f>
        <v>0</v>
      </c>
      <c r="W17" s="175">
        <f>'ADJ DETAIL-INPUT'!W17</f>
        <v>0</v>
      </c>
      <c r="X17" s="175">
        <f>'ADJ DETAIL-INPUT'!X17</f>
        <v>-24387</v>
      </c>
      <c r="Y17" s="175">
        <f>'ADJ DETAIL-INPUT'!Y17</f>
        <v>0</v>
      </c>
      <c r="Z17" s="173">
        <f>'ADJ DETAIL-INPUT'!Z17</f>
        <v>505261</v>
      </c>
      <c r="AA17" s="175"/>
      <c r="AB17" s="175"/>
      <c r="AC17" s="175"/>
      <c r="AD17" s="175"/>
      <c r="AE17" s="174"/>
      <c r="AF17" s="175"/>
      <c r="AG17" s="175"/>
      <c r="AH17" s="175"/>
      <c r="AI17" s="175"/>
      <c r="AJ17" s="175"/>
      <c r="AK17" s="175"/>
      <c r="AL17" s="175"/>
      <c r="AM17" s="175"/>
      <c r="AN17" s="175"/>
      <c r="AO17" s="174"/>
      <c r="AP17" s="174">
        <f>'ADJ DETAIL-INPUT'!AP17</f>
        <v>0</v>
      </c>
      <c r="AQ17" s="174">
        <f>'ADJ DETAIL-INPUT'!AQ17</f>
        <v>0</v>
      </c>
      <c r="AR17" s="174">
        <f>'ADJ DETAIL-INPUT'!AR17</f>
        <v>0</v>
      </c>
      <c r="AS17" s="177">
        <f>'ADJ DETAIL-INPUT'!AS17</f>
        <v>505261</v>
      </c>
      <c r="AT17" s="75"/>
      <c r="AU17" s="133"/>
      <c r="AV17" s="75"/>
      <c r="AZ17" s="133"/>
      <c r="BD17" s="133"/>
    </row>
    <row r="18" spans="1:56" s="19" customFormat="1" ht="12">
      <c r="A18" s="17">
        <f>'ADJ DETAIL-INPUT'!A18</f>
        <v>5</v>
      </c>
      <c r="B18" s="19" t="str">
        <f>'ADJ DETAIL-INPUT'!B18</f>
        <v xml:space="preserve">Other Revenue  </v>
      </c>
      <c r="E18" s="371">
        <f>'ADJ DETAIL-INPUT'!E18</f>
        <v>130741</v>
      </c>
      <c r="F18" s="303">
        <f>'ADJ DETAIL-INPUT'!F18</f>
        <v>0</v>
      </c>
      <c r="G18" s="303">
        <f>'ADJ DETAIL-INPUT'!G18</f>
        <v>0</v>
      </c>
      <c r="H18" s="304">
        <f>'ADJ DETAIL-INPUT'!H18</f>
        <v>0</v>
      </c>
      <c r="I18" s="303">
        <f>'ADJ DETAIL-INPUT'!I18</f>
        <v>-17</v>
      </c>
      <c r="J18" s="303">
        <f>'ADJ DETAIL-INPUT'!J18</f>
        <v>0</v>
      </c>
      <c r="K18" s="303">
        <f>'ADJ DETAIL-INPUT'!K18</f>
        <v>0</v>
      </c>
      <c r="L18" s="303">
        <f>'ADJ DETAIL-INPUT'!L18</f>
        <v>0</v>
      </c>
      <c r="M18" s="303">
        <f>'ADJ DETAIL-INPUT'!M18</f>
        <v>0</v>
      </c>
      <c r="N18" s="303">
        <f>'ADJ DETAIL-INPUT'!N18</f>
        <v>0</v>
      </c>
      <c r="O18" s="303">
        <f>'ADJ DETAIL-INPUT'!O18</f>
        <v>0</v>
      </c>
      <c r="P18" s="303">
        <f>'ADJ DETAIL-INPUT'!P18</f>
        <v>0</v>
      </c>
      <c r="Q18" s="303">
        <f>'ADJ DETAIL-INPUT'!Q18</f>
        <v>0</v>
      </c>
      <c r="R18" s="303">
        <f>'ADJ DETAIL-INPUT'!R18</f>
        <v>0</v>
      </c>
      <c r="S18" s="303">
        <f>'ADJ DETAIL-INPUT'!S18</f>
        <v>0</v>
      </c>
      <c r="T18" s="303">
        <f>'ADJ DETAIL-INPUT'!T18</f>
        <v>0</v>
      </c>
      <c r="U18" s="303">
        <f>'ADJ DETAIL-INPUT'!U18</f>
        <v>0</v>
      </c>
      <c r="V18" s="304">
        <f>'ADJ DETAIL-INPUT'!V18</f>
        <v>0</v>
      </c>
      <c r="W18" s="304">
        <f>'ADJ DETAIL-INPUT'!W18</f>
        <v>0</v>
      </c>
      <c r="X18" s="304">
        <f>'ADJ DETAIL-INPUT'!X18</f>
        <v>-117058</v>
      </c>
      <c r="Y18" s="304">
        <f>'ADJ DETAIL-INPUT'!Y18</f>
        <v>0</v>
      </c>
      <c r="Z18" s="207">
        <f>'ADJ DETAIL-INPUT'!Z18</f>
        <v>13666</v>
      </c>
      <c r="AA18" s="304"/>
      <c r="AB18" s="304"/>
      <c r="AC18" s="304"/>
      <c r="AD18" s="304"/>
      <c r="AE18" s="303"/>
      <c r="AF18" s="304"/>
      <c r="AG18" s="304"/>
      <c r="AH18" s="304"/>
      <c r="AI18" s="304"/>
      <c r="AJ18" s="304"/>
      <c r="AK18" s="304"/>
      <c r="AL18" s="304"/>
      <c r="AM18" s="304"/>
      <c r="AN18" s="304"/>
      <c r="AO18" s="303"/>
      <c r="AP18" s="205">
        <f>'ADJ DETAIL-INPUT'!AP18</f>
        <v>0</v>
      </c>
      <c r="AQ18" s="205">
        <f>'ADJ DETAIL-INPUT'!AQ18</f>
        <v>0</v>
      </c>
      <c r="AR18" s="205">
        <f>'ADJ DETAIL-INPUT'!AR18</f>
        <v>0</v>
      </c>
      <c r="AS18" s="208">
        <f>'ADJ DETAIL-INPUT'!AS18</f>
        <v>13666</v>
      </c>
      <c r="AT18" s="139"/>
      <c r="AU18" s="160"/>
      <c r="AV18" s="75"/>
      <c r="AZ18" s="160"/>
      <c r="BD18" s="160"/>
    </row>
    <row r="19" spans="1:56" s="19" customFormat="1" ht="12">
      <c r="A19" s="17">
        <f>'ADJ DETAIL-INPUT'!A19</f>
        <v>6</v>
      </c>
      <c r="B19" s="19" t="str">
        <f>'ADJ DETAIL-INPUT'!B19</f>
        <v xml:space="preserve">Total Electric Revenue  </v>
      </c>
      <c r="E19" s="99">
        <f>'ADJ DETAIL-INPUT'!E19</f>
        <v>679123</v>
      </c>
      <c r="F19" s="174">
        <f>'ADJ DETAIL-INPUT'!F19</f>
        <v>0</v>
      </c>
      <c r="G19" s="174">
        <f>'ADJ DETAIL-INPUT'!G19</f>
        <v>0</v>
      </c>
      <c r="H19" s="175">
        <f>'ADJ DETAIL-INPUT'!H19</f>
        <v>0</v>
      </c>
      <c r="I19" s="176">
        <f>'ADJ DETAIL-INPUT'!I19</f>
        <v>-16377</v>
      </c>
      <c r="J19" s="174">
        <f>'ADJ DETAIL-INPUT'!J19</f>
        <v>0</v>
      </c>
      <c r="K19" s="176">
        <f>'ADJ DETAIL-INPUT'!K19</f>
        <v>0</v>
      </c>
      <c r="L19" s="174">
        <f>'ADJ DETAIL-INPUT'!L19</f>
        <v>0</v>
      </c>
      <c r="M19" s="176">
        <f>'ADJ DETAIL-INPUT'!M19</f>
        <v>0</v>
      </c>
      <c r="N19" s="174">
        <f>'ADJ DETAIL-INPUT'!N19</f>
        <v>0</v>
      </c>
      <c r="O19" s="174">
        <f>'ADJ DETAIL-INPUT'!O19</f>
        <v>0</v>
      </c>
      <c r="P19" s="176">
        <f>'ADJ DETAIL-INPUT'!P19</f>
        <v>0</v>
      </c>
      <c r="Q19" s="176">
        <f>'ADJ DETAIL-INPUT'!Q19</f>
        <v>0</v>
      </c>
      <c r="R19" s="176">
        <f>'ADJ DETAIL-INPUT'!R19</f>
        <v>0</v>
      </c>
      <c r="S19" s="176">
        <f>'ADJ DETAIL-INPUT'!S19</f>
        <v>0</v>
      </c>
      <c r="T19" s="176">
        <f>'ADJ DETAIL-INPUT'!T19</f>
        <v>0</v>
      </c>
      <c r="U19" s="174">
        <f>'ADJ DETAIL-INPUT'!U19</f>
        <v>-2374</v>
      </c>
      <c r="V19" s="175">
        <f>'ADJ DETAIL-INPUT'!V19</f>
        <v>0</v>
      </c>
      <c r="W19" s="175">
        <f>'ADJ DETAIL-INPUT'!W19</f>
        <v>0</v>
      </c>
      <c r="X19" s="175">
        <f>'ADJ DETAIL-INPUT'!X19</f>
        <v>-141445</v>
      </c>
      <c r="Y19" s="175">
        <f>'ADJ DETAIL-INPUT'!Y19</f>
        <v>0</v>
      </c>
      <c r="Z19" s="173">
        <f>'ADJ DETAIL-INPUT'!Z19</f>
        <v>518927</v>
      </c>
      <c r="AA19" s="175"/>
      <c r="AB19" s="175"/>
      <c r="AC19" s="175"/>
      <c r="AD19" s="175"/>
      <c r="AE19" s="174"/>
      <c r="AF19" s="175"/>
      <c r="AG19" s="175"/>
      <c r="AH19" s="175"/>
      <c r="AI19" s="175"/>
      <c r="AJ19" s="175"/>
      <c r="AK19" s="175"/>
      <c r="AL19" s="175"/>
      <c r="AM19" s="175"/>
      <c r="AN19" s="175"/>
      <c r="AO19" s="174"/>
      <c r="AP19" s="174">
        <f>'ADJ DETAIL-INPUT'!AP19</f>
        <v>0</v>
      </c>
      <c r="AQ19" s="174">
        <f>'ADJ DETAIL-INPUT'!AQ19</f>
        <v>0</v>
      </c>
      <c r="AR19" s="174">
        <f>'ADJ DETAIL-INPUT'!AR19</f>
        <v>0</v>
      </c>
      <c r="AS19" s="177">
        <f>'ADJ DETAIL-INPUT'!AS19</f>
        <v>518927</v>
      </c>
      <c r="AT19" s="75"/>
      <c r="AU19" s="133"/>
      <c r="AV19" s="75"/>
      <c r="AZ19" s="133"/>
      <c r="BD19" s="133"/>
    </row>
    <row r="20" spans="1:56" s="19" customFormat="1" ht="6.75" customHeight="1">
      <c r="A20" s="17"/>
      <c r="E20" s="99"/>
      <c r="F20" s="174"/>
      <c r="G20" s="174"/>
      <c r="H20" s="175"/>
      <c r="I20" s="176"/>
      <c r="J20" s="174"/>
      <c r="K20" s="176"/>
      <c r="L20" s="174"/>
      <c r="M20" s="176"/>
      <c r="N20" s="174"/>
      <c r="O20" s="174"/>
      <c r="P20" s="176"/>
      <c r="Q20" s="176"/>
      <c r="R20" s="176"/>
      <c r="S20" s="176"/>
      <c r="T20" s="176"/>
      <c r="U20" s="174"/>
      <c r="V20" s="175"/>
      <c r="W20" s="175"/>
      <c r="X20" s="175"/>
      <c r="Y20" s="175"/>
      <c r="Z20" s="173"/>
      <c r="AA20" s="175"/>
      <c r="AB20" s="175"/>
      <c r="AC20" s="175"/>
      <c r="AD20" s="175"/>
      <c r="AE20" s="174"/>
      <c r="AF20" s="175"/>
      <c r="AG20" s="175"/>
      <c r="AH20" s="175"/>
      <c r="AI20" s="175"/>
      <c r="AJ20" s="175"/>
      <c r="AK20" s="175"/>
      <c r="AL20" s="175"/>
      <c r="AM20" s="175"/>
      <c r="AN20" s="175"/>
      <c r="AO20" s="174"/>
      <c r="AP20" s="174"/>
      <c r="AQ20" s="174"/>
      <c r="AR20" s="174"/>
      <c r="AS20" s="177"/>
      <c r="AT20" s="139"/>
      <c r="AU20" s="160"/>
      <c r="AV20" s="75"/>
      <c r="AZ20" s="160"/>
      <c r="BD20" s="160"/>
    </row>
    <row r="21" spans="1:56" s="19" customFormat="1" ht="12">
      <c r="A21" s="17"/>
      <c r="B21" s="19" t="str">
        <f>'ADJ DETAIL-INPUT'!B21</f>
        <v xml:space="preserve">EXPENSES  </v>
      </c>
      <c r="E21" s="99"/>
      <c r="F21" s="174"/>
      <c r="G21" s="174"/>
      <c r="H21" s="175"/>
      <c r="I21" s="176"/>
      <c r="J21" s="174"/>
      <c r="K21" s="176"/>
      <c r="L21" s="174"/>
      <c r="M21" s="176"/>
      <c r="N21" s="174"/>
      <c r="O21" s="174"/>
      <c r="P21" s="176"/>
      <c r="Q21" s="176"/>
      <c r="R21" s="176"/>
      <c r="S21" s="176"/>
      <c r="T21" s="176"/>
      <c r="U21" s="174"/>
      <c r="V21" s="175"/>
      <c r="W21" s="175"/>
      <c r="X21" s="175"/>
      <c r="Y21" s="175"/>
      <c r="Z21" s="173"/>
      <c r="AA21" s="175"/>
      <c r="AB21" s="175"/>
      <c r="AC21" s="175"/>
      <c r="AD21" s="175"/>
      <c r="AE21" s="174"/>
      <c r="AF21" s="175"/>
      <c r="AG21" s="175"/>
      <c r="AH21" s="175"/>
      <c r="AI21" s="175"/>
      <c r="AJ21" s="175"/>
      <c r="AK21" s="175"/>
      <c r="AL21" s="175"/>
      <c r="AM21" s="175"/>
      <c r="AN21" s="175"/>
      <c r="AO21" s="174"/>
      <c r="AP21" s="174"/>
      <c r="AQ21" s="174"/>
      <c r="AR21" s="174"/>
      <c r="AS21" s="177"/>
      <c r="AT21" s="139"/>
      <c r="AU21" s="160"/>
      <c r="AV21" s="75"/>
      <c r="AZ21" s="160"/>
      <c r="BD21" s="160"/>
    </row>
    <row r="22" spans="1:56" s="19" customFormat="1" ht="12">
      <c r="A22" s="17"/>
      <c r="B22" s="19" t="str">
        <f>'ADJ DETAIL-INPUT'!B22</f>
        <v xml:space="preserve">Production and Transmission  </v>
      </c>
      <c r="E22" s="99"/>
      <c r="F22" s="174"/>
      <c r="G22" s="174"/>
      <c r="H22" s="175"/>
      <c r="I22" s="176"/>
      <c r="J22" s="174"/>
      <c r="K22" s="176"/>
      <c r="L22" s="174"/>
      <c r="M22" s="176"/>
      <c r="N22" s="174"/>
      <c r="O22" s="174"/>
      <c r="P22" s="176"/>
      <c r="Q22" s="176"/>
      <c r="R22" s="176"/>
      <c r="S22" s="176"/>
      <c r="T22" s="176"/>
      <c r="U22" s="174"/>
      <c r="V22" s="175"/>
      <c r="W22" s="175"/>
      <c r="X22" s="175"/>
      <c r="Y22" s="175"/>
      <c r="Z22" s="173"/>
      <c r="AA22" s="175"/>
      <c r="AB22" s="175"/>
      <c r="AC22" s="175"/>
      <c r="AD22" s="175"/>
      <c r="AE22" s="174"/>
      <c r="AF22" s="175"/>
      <c r="AG22" s="175"/>
      <c r="AH22" s="175"/>
      <c r="AI22" s="175"/>
      <c r="AJ22" s="175"/>
      <c r="AK22" s="175"/>
      <c r="AL22" s="175"/>
      <c r="AM22" s="175"/>
      <c r="AN22" s="175"/>
      <c r="AO22" s="174"/>
      <c r="AP22" s="174"/>
      <c r="AQ22" s="174"/>
      <c r="AR22" s="174"/>
      <c r="AS22" s="177"/>
      <c r="AT22" s="139"/>
      <c r="AU22" s="160"/>
      <c r="AV22" s="75"/>
      <c r="AZ22" s="160"/>
      <c r="BD22" s="160"/>
    </row>
    <row r="23" spans="1:56" s="19" customFormat="1" ht="12">
      <c r="A23" s="17">
        <f>'ADJ DETAIL-INPUT'!A23</f>
        <v>7</v>
      </c>
      <c r="C23" s="19" t="str">
        <f>'ADJ DETAIL-INPUT'!C23</f>
        <v xml:space="preserve">Operating Expenses  </v>
      </c>
      <c r="E23" s="99">
        <f>'ADJ DETAIL-INPUT'!E23</f>
        <v>252926</v>
      </c>
      <c r="F23" s="301">
        <f>'ADJ DETAIL-INPUT'!F23</f>
        <v>0</v>
      </c>
      <c r="G23" s="301">
        <f>'ADJ DETAIL-INPUT'!G23</f>
        <v>0</v>
      </c>
      <c r="H23" s="302">
        <f>'ADJ DETAIL-INPUT'!H23</f>
        <v>0</v>
      </c>
      <c r="I23" s="301">
        <f>'ADJ DETAIL-INPUT'!I23</f>
        <v>0</v>
      </c>
      <c r="J23" s="301">
        <f>'ADJ DETAIL-INPUT'!J23</f>
        <v>0</v>
      </c>
      <c r="K23" s="301">
        <f>'ADJ DETAIL-INPUT'!K23</f>
        <v>0</v>
      </c>
      <c r="L23" s="301">
        <f>'ADJ DETAIL-INPUT'!L23</f>
        <v>0</v>
      </c>
      <c r="M23" s="301">
        <f>'ADJ DETAIL-INPUT'!M23</f>
        <v>0</v>
      </c>
      <c r="N23" s="301">
        <f>'ADJ DETAIL-INPUT'!N23</f>
        <v>0</v>
      </c>
      <c r="O23" s="301">
        <f>'ADJ DETAIL-INPUT'!O23</f>
        <v>-12788</v>
      </c>
      <c r="P23" s="301">
        <f>'ADJ DETAIL-INPUT'!P23</f>
        <v>14</v>
      </c>
      <c r="Q23" s="301">
        <f>'ADJ DETAIL-INPUT'!Q23</f>
        <v>0</v>
      </c>
      <c r="R23" s="301">
        <f>'ADJ DETAIL-INPUT'!R23</f>
        <v>0</v>
      </c>
      <c r="S23" s="301">
        <f>'ADJ DETAIL-INPUT'!S23</f>
        <v>0</v>
      </c>
      <c r="T23" s="301">
        <f>'ADJ DETAIL-INPUT'!T23</f>
        <v>0</v>
      </c>
      <c r="U23" s="301">
        <f>'ADJ DETAIL-INPUT'!U23</f>
        <v>0</v>
      </c>
      <c r="V23" s="302">
        <f>'ADJ DETAIL-INPUT'!V23</f>
        <v>-6</v>
      </c>
      <c r="W23" s="302">
        <f>'ADJ DETAIL-INPUT'!W23</f>
        <v>0</v>
      </c>
      <c r="X23" s="302">
        <f>'ADJ DETAIL-INPUT'!X23</f>
        <v>-94512</v>
      </c>
      <c r="Y23" s="302">
        <f>'ADJ DETAIL-INPUT'!Y23</f>
        <v>0</v>
      </c>
      <c r="Z23" s="173">
        <f>'ADJ DETAIL-INPUT'!Z23</f>
        <v>145634</v>
      </c>
      <c r="AA23" s="302"/>
      <c r="AB23" s="302"/>
      <c r="AC23" s="302"/>
      <c r="AD23" s="302"/>
      <c r="AE23" s="301"/>
      <c r="AF23" s="302"/>
      <c r="AG23" s="302"/>
      <c r="AH23" s="302"/>
      <c r="AI23" s="302"/>
      <c r="AJ23" s="302"/>
      <c r="AK23" s="302"/>
      <c r="AL23" s="302"/>
      <c r="AM23" s="302"/>
      <c r="AN23" s="302"/>
      <c r="AO23" s="301"/>
      <c r="AP23" s="174">
        <f>'ADJ DETAIL-INPUT'!AP23</f>
        <v>0</v>
      </c>
      <c r="AQ23" s="174">
        <f>'ADJ DETAIL-INPUT'!AQ23</f>
        <v>0</v>
      </c>
      <c r="AR23" s="174">
        <f>'ADJ DETAIL-INPUT'!AR23</f>
        <v>0</v>
      </c>
      <c r="AS23" s="177">
        <f>'ADJ DETAIL-INPUT'!AS23</f>
        <v>145634</v>
      </c>
      <c r="AT23" s="139"/>
      <c r="AU23" s="160"/>
      <c r="AV23" s="75"/>
      <c r="AZ23" s="160"/>
      <c r="BD23" s="160"/>
    </row>
    <row r="24" spans="1:56" s="19" customFormat="1" ht="12">
      <c r="A24" s="17">
        <f>'ADJ DETAIL-INPUT'!A24</f>
        <v>8</v>
      </c>
      <c r="C24" s="19" t="str">
        <f>'ADJ DETAIL-INPUT'!C24</f>
        <v xml:space="preserve">Purchased Power  </v>
      </c>
      <c r="E24" s="99">
        <f>'ADJ DETAIL-INPUT'!E24</f>
        <v>124270</v>
      </c>
      <c r="F24" s="301">
        <f>'ADJ DETAIL-INPUT'!F24</f>
        <v>0</v>
      </c>
      <c r="G24" s="301">
        <f>'ADJ DETAIL-INPUT'!G24</f>
        <v>0</v>
      </c>
      <c r="H24" s="302">
        <f>'ADJ DETAIL-INPUT'!H24</f>
        <v>0</v>
      </c>
      <c r="I24" s="301">
        <f>'ADJ DETAIL-INPUT'!I24</f>
        <v>0</v>
      </c>
      <c r="J24" s="301">
        <f>'ADJ DETAIL-INPUT'!J24</f>
        <v>0</v>
      </c>
      <c r="K24" s="301">
        <f>'ADJ DETAIL-INPUT'!K24</f>
        <v>0</v>
      </c>
      <c r="L24" s="301">
        <f>'ADJ DETAIL-INPUT'!L24</f>
        <v>0</v>
      </c>
      <c r="M24" s="301">
        <f>'ADJ DETAIL-INPUT'!M24</f>
        <v>0</v>
      </c>
      <c r="N24" s="301">
        <f>'ADJ DETAIL-INPUT'!N24</f>
        <v>0</v>
      </c>
      <c r="O24" s="301">
        <f>'ADJ DETAIL-INPUT'!O24</f>
        <v>0</v>
      </c>
      <c r="P24" s="301">
        <f>'ADJ DETAIL-INPUT'!P24</f>
        <v>0</v>
      </c>
      <c r="Q24" s="301">
        <f>'ADJ DETAIL-INPUT'!Q24</f>
        <v>0</v>
      </c>
      <c r="R24" s="301">
        <f>'ADJ DETAIL-INPUT'!R24</f>
        <v>0</v>
      </c>
      <c r="S24" s="301">
        <f>'ADJ DETAIL-INPUT'!S24</f>
        <v>0</v>
      </c>
      <c r="T24" s="301">
        <f>'ADJ DETAIL-INPUT'!T24</f>
        <v>0</v>
      </c>
      <c r="U24" s="301">
        <f>'ADJ DETAIL-INPUT'!U24</f>
        <v>0</v>
      </c>
      <c r="V24" s="302">
        <f>'ADJ DETAIL-INPUT'!V24</f>
        <v>0</v>
      </c>
      <c r="W24" s="302">
        <f>'ADJ DETAIL-INPUT'!W24</f>
        <v>0</v>
      </c>
      <c r="X24" s="302">
        <f>'ADJ DETAIL-INPUT'!X24</f>
        <v>-33128</v>
      </c>
      <c r="Y24" s="302">
        <f>'ADJ DETAIL-INPUT'!Y24</f>
        <v>0</v>
      </c>
      <c r="Z24" s="173">
        <f>'ADJ DETAIL-INPUT'!Z24</f>
        <v>91142</v>
      </c>
      <c r="AA24" s="302"/>
      <c r="AB24" s="302"/>
      <c r="AC24" s="302"/>
      <c r="AD24" s="302"/>
      <c r="AE24" s="301"/>
      <c r="AF24" s="302"/>
      <c r="AG24" s="302"/>
      <c r="AH24" s="302"/>
      <c r="AI24" s="302"/>
      <c r="AJ24" s="302"/>
      <c r="AK24" s="302"/>
      <c r="AL24" s="302"/>
      <c r="AM24" s="302"/>
      <c r="AN24" s="302"/>
      <c r="AO24" s="301"/>
      <c r="AP24" s="174">
        <f>'ADJ DETAIL-INPUT'!AP24</f>
        <v>0</v>
      </c>
      <c r="AQ24" s="174">
        <f>'ADJ DETAIL-INPUT'!AQ24</f>
        <v>0</v>
      </c>
      <c r="AR24" s="174">
        <f>'ADJ DETAIL-INPUT'!AR24</f>
        <v>0</v>
      </c>
      <c r="AS24" s="177">
        <f>'ADJ DETAIL-INPUT'!AS24</f>
        <v>91142</v>
      </c>
      <c r="AT24" s="139"/>
      <c r="AU24" s="160"/>
      <c r="AV24" s="75"/>
      <c r="AZ24" s="160"/>
      <c r="BD24" s="160"/>
    </row>
    <row r="25" spans="1:56" s="19" customFormat="1" ht="12">
      <c r="A25" s="17">
        <f>'ADJ DETAIL-INPUT'!A25</f>
        <v>9</v>
      </c>
      <c r="C25" s="19" t="str">
        <f>'ADJ DETAIL-INPUT'!C25</f>
        <v xml:space="preserve">Depreciation/Amortization  </v>
      </c>
      <c r="E25" s="99">
        <f>'ADJ DETAIL-INPUT'!E25</f>
        <v>25349</v>
      </c>
      <c r="F25" s="301">
        <f>'ADJ DETAIL-INPUT'!F25</f>
        <v>0</v>
      </c>
      <c r="G25" s="301">
        <f>'ADJ DETAIL-INPUT'!G25</f>
        <v>-191</v>
      </c>
      <c r="H25" s="302">
        <f>'ADJ DETAIL-INPUT'!H25</f>
        <v>0</v>
      </c>
      <c r="I25" s="301">
        <f>'ADJ DETAIL-INPUT'!I25</f>
        <v>0</v>
      </c>
      <c r="J25" s="301">
        <f>'ADJ DETAIL-INPUT'!J25</f>
        <v>0</v>
      </c>
      <c r="K25" s="301">
        <f>'ADJ DETAIL-INPUT'!K25</f>
        <v>0</v>
      </c>
      <c r="L25" s="301">
        <f>'ADJ DETAIL-INPUT'!L25</f>
        <v>0</v>
      </c>
      <c r="M25" s="301">
        <f>'ADJ DETAIL-INPUT'!M25</f>
        <v>0</v>
      </c>
      <c r="N25" s="301">
        <f>'ADJ DETAIL-INPUT'!N25</f>
        <v>0</v>
      </c>
      <c r="O25" s="301">
        <f>'ADJ DETAIL-INPUT'!O25</f>
        <v>0</v>
      </c>
      <c r="P25" s="301">
        <f>'ADJ DETAIL-INPUT'!P25</f>
        <v>0</v>
      </c>
      <c r="Q25" s="301">
        <f>'ADJ DETAIL-INPUT'!Q25</f>
        <v>0</v>
      </c>
      <c r="R25" s="301">
        <f>'ADJ DETAIL-INPUT'!R25</f>
        <v>0</v>
      </c>
      <c r="S25" s="301">
        <f>'ADJ DETAIL-INPUT'!S25</f>
        <v>0</v>
      </c>
      <c r="T25" s="301">
        <f>'ADJ DETAIL-INPUT'!T25</f>
        <v>0</v>
      </c>
      <c r="U25" s="301">
        <f>'ADJ DETAIL-INPUT'!U25</f>
        <v>0</v>
      </c>
      <c r="V25" s="302">
        <f>'ADJ DETAIL-INPUT'!V25</f>
        <v>0</v>
      </c>
      <c r="W25" s="302">
        <f>'ADJ DETAIL-INPUT'!W25</f>
        <v>0</v>
      </c>
      <c r="X25" s="302">
        <f>'ADJ DETAIL-INPUT'!X25</f>
        <v>0</v>
      </c>
      <c r="Y25" s="302">
        <f>'ADJ DETAIL-INPUT'!Y25</f>
        <v>0</v>
      </c>
      <c r="Z25" s="173">
        <f>'ADJ DETAIL-INPUT'!Z25</f>
        <v>25158</v>
      </c>
      <c r="AA25" s="302"/>
      <c r="AB25" s="302"/>
      <c r="AC25" s="302"/>
      <c r="AD25" s="302"/>
      <c r="AE25" s="301"/>
      <c r="AF25" s="302"/>
      <c r="AG25" s="302"/>
      <c r="AH25" s="302"/>
      <c r="AI25" s="302"/>
      <c r="AJ25" s="302"/>
      <c r="AK25" s="302"/>
      <c r="AL25" s="302"/>
      <c r="AM25" s="302"/>
      <c r="AN25" s="302"/>
      <c r="AO25" s="301"/>
      <c r="AP25" s="174">
        <f>'ADJ DETAIL-INPUT'!AP25</f>
        <v>0</v>
      </c>
      <c r="AQ25" s="174">
        <f>'ADJ DETAIL-INPUT'!AQ25</f>
        <v>0</v>
      </c>
      <c r="AR25" s="174">
        <f>'ADJ DETAIL-INPUT'!AR25</f>
        <v>0</v>
      </c>
      <c r="AS25" s="177">
        <f>'ADJ DETAIL-INPUT'!AS25</f>
        <v>25158</v>
      </c>
      <c r="AT25" s="139"/>
      <c r="AU25" s="160"/>
      <c r="AV25" s="75"/>
      <c r="AZ25" s="160"/>
      <c r="BD25" s="160"/>
    </row>
    <row r="26" spans="1:56" s="19" customFormat="1" ht="12">
      <c r="A26" s="17">
        <f>'ADJ DETAIL-INPUT'!A26</f>
        <v>10</v>
      </c>
      <c r="C26" s="99" t="str">
        <f>'ADJ DETAIL-INPUT'!C26</f>
        <v>Regulatory Amortization</v>
      </c>
      <c r="D26" s="99"/>
      <c r="E26" s="99">
        <f>'ADJ DETAIL-INPUT'!E26</f>
        <v>403</v>
      </c>
      <c r="F26" s="302">
        <f>'ADJ DETAIL-INPUT'!F26</f>
        <v>0</v>
      </c>
      <c r="G26" s="302">
        <f>'ADJ DETAIL-INPUT'!G26</f>
        <v>0</v>
      </c>
      <c r="H26" s="302">
        <f>'ADJ DETAIL-INPUT'!H26</f>
        <v>0</v>
      </c>
      <c r="I26" s="302">
        <f>'ADJ DETAIL-INPUT'!I26</f>
        <v>0</v>
      </c>
      <c r="J26" s="302">
        <f>'ADJ DETAIL-INPUT'!J26</f>
        <v>0</v>
      </c>
      <c r="K26" s="302">
        <f>'ADJ DETAIL-INPUT'!K26</f>
        <v>0</v>
      </c>
      <c r="L26" s="302">
        <f>'ADJ DETAIL-INPUT'!L26</f>
        <v>0</v>
      </c>
      <c r="M26" s="302">
        <f>'ADJ DETAIL-INPUT'!M26</f>
        <v>0</v>
      </c>
      <c r="N26" s="302">
        <f>'ADJ DETAIL-INPUT'!N26</f>
        <v>0</v>
      </c>
      <c r="O26" s="302">
        <f>'ADJ DETAIL-INPUT'!O26</f>
        <v>0</v>
      </c>
      <c r="P26" s="302">
        <f>'ADJ DETAIL-INPUT'!P26</f>
        <v>0</v>
      </c>
      <c r="Q26" s="302">
        <f>'ADJ DETAIL-INPUT'!Q26</f>
        <v>0</v>
      </c>
      <c r="R26" s="302">
        <f>'ADJ DETAIL-INPUT'!R26</f>
        <v>0</v>
      </c>
      <c r="S26" s="302">
        <f>'ADJ DETAIL-INPUT'!S26</f>
        <v>0</v>
      </c>
      <c r="T26" s="302">
        <f>'ADJ DETAIL-INPUT'!T26</f>
        <v>0</v>
      </c>
      <c r="U26" s="302">
        <f>'ADJ DETAIL-INPUT'!U26</f>
        <v>0</v>
      </c>
      <c r="V26" s="302">
        <f>'ADJ DETAIL-INPUT'!V26</f>
        <v>0</v>
      </c>
      <c r="W26" s="302">
        <f>'ADJ DETAIL-INPUT'!W26</f>
        <v>0</v>
      </c>
      <c r="X26" s="302">
        <f>'ADJ DETAIL-INPUT'!X26</f>
        <v>0</v>
      </c>
      <c r="Y26" s="302">
        <f>'ADJ DETAIL-INPUT'!Y26</f>
        <v>0</v>
      </c>
      <c r="Z26" s="173">
        <f>'ADJ DETAIL-INPUT'!Z26</f>
        <v>403</v>
      </c>
      <c r="AA26" s="302"/>
      <c r="AB26" s="302"/>
      <c r="AC26" s="302"/>
      <c r="AD26" s="302"/>
      <c r="AE26" s="302"/>
      <c r="AF26" s="302"/>
      <c r="AG26" s="302"/>
      <c r="AH26" s="302"/>
      <c r="AI26" s="302"/>
      <c r="AJ26" s="302"/>
      <c r="AK26" s="302"/>
      <c r="AL26" s="302"/>
      <c r="AM26" s="302"/>
      <c r="AN26" s="302"/>
      <c r="AO26" s="302"/>
      <c r="AP26" s="175">
        <f>'ADJ DETAIL-INPUT'!AP26</f>
        <v>0</v>
      </c>
      <c r="AQ26" s="175">
        <f>'ADJ DETAIL-INPUT'!AQ26</f>
        <v>0</v>
      </c>
      <c r="AR26" s="175">
        <f>'ADJ DETAIL-INPUT'!AR26</f>
        <v>0</v>
      </c>
      <c r="AS26" s="177">
        <f>'ADJ DETAIL-INPUT'!AS26</f>
        <v>403</v>
      </c>
      <c r="AT26" s="160"/>
      <c r="AU26" s="160"/>
      <c r="AV26" s="75"/>
      <c r="AZ26" s="160"/>
      <c r="BD26" s="160"/>
    </row>
    <row r="27" spans="1:56" s="19" customFormat="1" ht="12">
      <c r="A27" s="17">
        <f>'ADJ DETAIL-INPUT'!A27</f>
        <v>11</v>
      </c>
      <c r="C27" s="19" t="str">
        <f>'ADJ DETAIL-INPUT'!C27</f>
        <v xml:space="preserve">Taxes  </v>
      </c>
      <c r="E27" s="371">
        <f>'ADJ DETAIL-INPUT'!E27</f>
        <v>10780</v>
      </c>
      <c r="F27" s="303">
        <f>'ADJ DETAIL-INPUT'!F27</f>
        <v>0</v>
      </c>
      <c r="G27" s="303">
        <f>'ADJ DETAIL-INPUT'!G27</f>
        <v>0</v>
      </c>
      <c r="H27" s="304">
        <f>'ADJ DETAIL-INPUT'!H27</f>
        <v>0</v>
      </c>
      <c r="I27" s="303">
        <f>'ADJ DETAIL-INPUT'!I27</f>
        <v>0</v>
      </c>
      <c r="J27" s="303">
        <f>'ADJ DETAIL-INPUT'!J27</f>
        <v>66</v>
      </c>
      <c r="K27" s="303">
        <f>'ADJ DETAIL-INPUT'!K27</f>
        <v>0</v>
      </c>
      <c r="L27" s="303">
        <f>'ADJ DETAIL-INPUT'!L27</f>
        <v>0</v>
      </c>
      <c r="M27" s="303">
        <f>'ADJ DETAIL-INPUT'!M27</f>
        <v>0</v>
      </c>
      <c r="N27" s="303">
        <f>'ADJ DETAIL-INPUT'!N27</f>
        <v>0</v>
      </c>
      <c r="O27" s="303">
        <f>'ADJ DETAIL-INPUT'!O27</f>
        <v>0</v>
      </c>
      <c r="P27" s="303">
        <f>'ADJ DETAIL-INPUT'!P27</f>
        <v>0</v>
      </c>
      <c r="Q27" s="303">
        <f>'ADJ DETAIL-INPUT'!Q27</f>
        <v>0</v>
      </c>
      <c r="R27" s="303">
        <f>'ADJ DETAIL-INPUT'!R27</f>
        <v>0</v>
      </c>
      <c r="S27" s="303">
        <f>'ADJ DETAIL-INPUT'!S27</f>
        <v>0</v>
      </c>
      <c r="T27" s="303">
        <f>'ADJ DETAIL-INPUT'!T27</f>
        <v>0</v>
      </c>
      <c r="U27" s="303">
        <f>'ADJ DETAIL-INPUT'!U27</f>
        <v>0</v>
      </c>
      <c r="V27" s="304">
        <f>'ADJ DETAIL-INPUT'!V27</f>
        <v>0</v>
      </c>
      <c r="W27" s="304">
        <f>'ADJ DETAIL-INPUT'!W27</f>
        <v>0</v>
      </c>
      <c r="X27" s="304">
        <f>'ADJ DETAIL-INPUT'!X27</f>
        <v>0</v>
      </c>
      <c r="Y27" s="304">
        <f>'ADJ DETAIL-INPUT'!Y27</f>
        <v>0</v>
      </c>
      <c r="Z27" s="207">
        <f>'ADJ DETAIL-INPUT'!Z27</f>
        <v>10846</v>
      </c>
      <c r="AA27" s="304"/>
      <c r="AB27" s="304"/>
      <c r="AC27" s="304"/>
      <c r="AD27" s="304"/>
      <c r="AE27" s="303"/>
      <c r="AF27" s="304"/>
      <c r="AG27" s="304"/>
      <c r="AH27" s="304"/>
      <c r="AI27" s="304"/>
      <c r="AJ27" s="304"/>
      <c r="AK27" s="304"/>
      <c r="AL27" s="304"/>
      <c r="AM27" s="304"/>
      <c r="AN27" s="304"/>
      <c r="AO27" s="303"/>
      <c r="AP27" s="205">
        <f>'ADJ DETAIL-INPUT'!AP27</f>
        <v>0</v>
      </c>
      <c r="AQ27" s="205">
        <f>'ADJ DETAIL-INPUT'!AQ27</f>
        <v>0</v>
      </c>
      <c r="AR27" s="205">
        <f>'ADJ DETAIL-INPUT'!AR27</f>
        <v>0</v>
      </c>
      <c r="AS27" s="208">
        <f>'ADJ DETAIL-INPUT'!AS27</f>
        <v>10846</v>
      </c>
      <c r="AT27" s="139"/>
      <c r="AU27" s="160"/>
      <c r="AV27" s="75"/>
      <c r="AZ27" s="160"/>
      <c r="BD27" s="160"/>
    </row>
    <row r="28" spans="1:56" s="19" customFormat="1" ht="12">
      <c r="A28" s="17">
        <f>'ADJ DETAIL-INPUT'!A28</f>
        <v>12</v>
      </c>
      <c r="B28" s="19" t="str">
        <f>'ADJ DETAIL-INPUT'!B28</f>
        <v xml:space="preserve">Total Production &amp; Transmission  </v>
      </c>
      <c r="E28" s="99">
        <f>'ADJ DETAIL-INPUT'!E28</f>
        <v>413728</v>
      </c>
      <c r="F28" s="174">
        <f>'ADJ DETAIL-INPUT'!F28</f>
        <v>0</v>
      </c>
      <c r="G28" s="174">
        <f>'ADJ DETAIL-INPUT'!G28</f>
        <v>-191</v>
      </c>
      <c r="H28" s="175">
        <f>'ADJ DETAIL-INPUT'!H28</f>
        <v>0</v>
      </c>
      <c r="I28" s="176">
        <f>'ADJ DETAIL-INPUT'!I28</f>
        <v>0</v>
      </c>
      <c r="J28" s="174">
        <f>'ADJ DETAIL-INPUT'!J28</f>
        <v>66</v>
      </c>
      <c r="K28" s="176">
        <f>'ADJ DETAIL-INPUT'!K28</f>
        <v>0</v>
      </c>
      <c r="L28" s="174">
        <f>'ADJ DETAIL-INPUT'!L28</f>
        <v>0</v>
      </c>
      <c r="M28" s="176">
        <f>'ADJ DETAIL-INPUT'!M28</f>
        <v>0</v>
      </c>
      <c r="N28" s="174">
        <f>'ADJ DETAIL-INPUT'!N28</f>
        <v>0</v>
      </c>
      <c r="O28" s="174">
        <f>'ADJ DETAIL-INPUT'!O28</f>
        <v>-12788</v>
      </c>
      <c r="P28" s="176">
        <f>'ADJ DETAIL-INPUT'!P28</f>
        <v>14</v>
      </c>
      <c r="Q28" s="176">
        <f>'ADJ DETAIL-INPUT'!Q28</f>
        <v>0</v>
      </c>
      <c r="R28" s="176">
        <f>'ADJ DETAIL-INPUT'!R28</f>
        <v>0</v>
      </c>
      <c r="S28" s="176">
        <f>'ADJ DETAIL-INPUT'!S28</f>
        <v>0</v>
      </c>
      <c r="T28" s="176">
        <f>'ADJ DETAIL-INPUT'!T28</f>
        <v>0</v>
      </c>
      <c r="U28" s="174">
        <f>'ADJ DETAIL-INPUT'!U28</f>
        <v>0</v>
      </c>
      <c r="V28" s="175">
        <f>'ADJ DETAIL-INPUT'!V28</f>
        <v>-6</v>
      </c>
      <c r="W28" s="175">
        <f>'ADJ DETAIL-INPUT'!W28</f>
        <v>0</v>
      </c>
      <c r="X28" s="175">
        <f>'ADJ DETAIL-INPUT'!X28</f>
        <v>-127640</v>
      </c>
      <c r="Y28" s="175">
        <f>'ADJ DETAIL-INPUT'!Y28</f>
        <v>0</v>
      </c>
      <c r="Z28" s="173">
        <f>'ADJ DETAIL-INPUT'!Z28</f>
        <v>273183</v>
      </c>
      <c r="AA28" s="175"/>
      <c r="AB28" s="175"/>
      <c r="AC28" s="175"/>
      <c r="AD28" s="175"/>
      <c r="AE28" s="174"/>
      <c r="AF28" s="175"/>
      <c r="AG28" s="175"/>
      <c r="AH28" s="175"/>
      <c r="AI28" s="175"/>
      <c r="AJ28" s="175"/>
      <c r="AK28" s="175"/>
      <c r="AL28" s="175"/>
      <c r="AM28" s="175"/>
      <c r="AN28" s="175"/>
      <c r="AO28" s="174"/>
      <c r="AP28" s="174">
        <f>'ADJ DETAIL-INPUT'!AP28</f>
        <v>0</v>
      </c>
      <c r="AQ28" s="174">
        <f>'ADJ DETAIL-INPUT'!AQ28</f>
        <v>0</v>
      </c>
      <c r="AR28" s="174">
        <f>'ADJ DETAIL-INPUT'!AR28</f>
        <v>0</v>
      </c>
      <c r="AS28" s="177">
        <f>'ADJ DETAIL-INPUT'!AS28</f>
        <v>273183</v>
      </c>
      <c r="AT28" s="75"/>
      <c r="AU28" s="133"/>
      <c r="AV28" s="75"/>
      <c r="AZ28" s="133"/>
      <c r="BD28" s="133"/>
    </row>
    <row r="29" spans="1:56" s="19" customFormat="1" ht="6.75" customHeight="1">
      <c r="A29" s="17"/>
      <c r="E29" s="99"/>
      <c r="F29" s="174"/>
      <c r="G29" s="174"/>
      <c r="H29" s="175"/>
      <c r="I29" s="176"/>
      <c r="J29" s="174"/>
      <c r="K29" s="176"/>
      <c r="L29" s="174"/>
      <c r="M29" s="176"/>
      <c r="N29" s="174"/>
      <c r="O29" s="174"/>
      <c r="P29" s="176"/>
      <c r="Q29" s="176"/>
      <c r="R29" s="176"/>
      <c r="S29" s="176"/>
      <c r="T29" s="176"/>
      <c r="U29" s="174"/>
      <c r="V29" s="175"/>
      <c r="W29" s="175"/>
      <c r="X29" s="175"/>
      <c r="Y29" s="175"/>
      <c r="Z29" s="173"/>
      <c r="AA29" s="175"/>
      <c r="AB29" s="175"/>
      <c r="AC29" s="175"/>
      <c r="AD29" s="175"/>
      <c r="AE29" s="174"/>
      <c r="AF29" s="175"/>
      <c r="AG29" s="175"/>
      <c r="AH29" s="175"/>
      <c r="AI29" s="175"/>
      <c r="AJ29" s="175"/>
      <c r="AK29" s="175"/>
      <c r="AL29" s="175"/>
      <c r="AM29" s="175"/>
      <c r="AN29" s="175"/>
      <c r="AO29" s="174"/>
      <c r="AP29" s="174"/>
      <c r="AQ29" s="174"/>
      <c r="AR29" s="174"/>
      <c r="AS29" s="177"/>
      <c r="AT29" s="139"/>
      <c r="AU29" s="160"/>
      <c r="AV29" s="75"/>
      <c r="AZ29" s="160"/>
      <c r="BD29" s="160"/>
    </row>
    <row r="30" spans="1:56" s="19" customFormat="1" ht="12">
      <c r="A30" s="17"/>
      <c r="B30" s="19" t="str">
        <f>'ADJ DETAIL-INPUT'!B30</f>
        <v xml:space="preserve">Distribution  </v>
      </c>
      <c r="E30" s="99"/>
      <c r="F30" s="174"/>
      <c r="G30" s="174"/>
      <c r="H30" s="175"/>
      <c r="I30" s="176"/>
      <c r="J30" s="174"/>
      <c r="K30" s="176"/>
      <c r="L30" s="174"/>
      <c r="M30" s="176"/>
      <c r="N30" s="174"/>
      <c r="O30" s="174"/>
      <c r="P30" s="176"/>
      <c r="Q30" s="176"/>
      <c r="R30" s="176"/>
      <c r="S30" s="176"/>
      <c r="T30" s="176"/>
      <c r="U30" s="174"/>
      <c r="V30" s="175"/>
      <c r="W30" s="175"/>
      <c r="X30" s="175"/>
      <c r="Y30" s="175"/>
      <c r="Z30" s="173"/>
      <c r="AA30" s="175"/>
      <c r="AB30" s="175"/>
      <c r="AC30" s="175"/>
      <c r="AD30" s="175"/>
      <c r="AE30" s="174"/>
      <c r="AF30" s="175"/>
      <c r="AG30" s="175"/>
      <c r="AH30" s="175"/>
      <c r="AI30" s="175"/>
      <c r="AJ30" s="175"/>
      <c r="AK30" s="175"/>
      <c r="AL30" s="175"/>
      <c r="AM30" s="175"/>
      <c r="AN30" s="175"/>
      <c r="AO30" s="174"/>
      <c r="AP30" s="174"/>
      <c r="AQ30" s="174"/>
      <c r="AR30" s="174"/>
      <c r="AS30" s="177"/>
      <c r="AT30" s="139"/>
      <c r="AU30" s="160"/>
      <c r="AV30" s="75"/>
      <c r="AZ30" s="160"/>
      <c r="BD30" s="160"/>
    </row>
    <row r="31" spans="1:56" s="19" customFormat="1" ht="12">
      <c r="A31" s="17">
        <f>'ADJ DETAIL-INPUT'!A31</f>
        <v>13</v>
      </c>
      <c r="C31" s="19" t="str">
        <f>'ADJ DETAIL-INPUT'!C31</f>
        <v xml:space="preserve">Operating Expenses  </v>
      </c>
      <c r="E31" s="133">
        <f>'ADJ DETAIL-INPUT'!E31</f>
        <v>20360</v>
      </c>
      <c r="F31" s="301">
        <f>'ADJ DETAIL-INPUT'!F31</f>
        <v>0</v>
      </c>
      <c r="G31" s="301">
        <f>'ADJ DETAIL-INPUT'!G31</f>
        <v>0</v>
      </c>
      <c r="H31" s="302">
        <f>'ADJ DETAIL-INPUT'!H31</f>
        <v>0</v>
      </c>
      <c r="I31" s="301">
        <f>'ADJ DETAIL-INPUT'!I31</f>
        <v>0</v>
      </c>
      <c r="J31" s="301">
        <f>'ADJ DETAIL-INPUT'!J31</f>
        <v>0</v>
      </c>
      <c r="K31" s="301">
        <f>'ADJ DETAIL-INPUT'!K31</f>
        <v>0</v>
      </c>
      <c r="L31" s="301">
        <f>'ADJ DETAIL-INPUT'!L31</f>
        <v>0</v>
      </c>
      <c r="M31" s="301">
        <f>'ADJ DETAIL-INPUT'!M31</f>
        <v>0</v>
      </c>
      <c r="N31" s="301">
        <f>'ADJ DETAIL-INPUT'!N31</f>
        <v>0</v>
      </c>
      <c r="O31" s="301">
        <f>'ADJ DETAIL-INPUT'!O31</f>
        <v>0</v>
      </c>
      <c r="P31" s="301">
        <f>'ADJ DETAIL-INPUT'!P31</f>
        <v>0</v>
      </c>
      <c r="Q31" s="301">
        <f>'ADJ DETAIL-INPUT'!Q31</f>
        <v>0</v>
      </c>
      <c r="R31" s="301">
        <f>'ADJ DETAIL-INPUT'!R31</f>
        <v>0</v>
      </c>
      <c r="S31" s="301">
        <f>'ADJ DETAIL-INPUT'!S31</f>
        <v>0</v>
      </c>
      <c r="T31" s="301">
        <f>'ADJ DETAIL-INPUT'!T31</f>
        <v>0</v>
      </c>
      <c r="U31" s="301">
        <f>'ADJ DETAIL-INPUT'!U31</f>
        <v>0</v>
      </c>
      <c r="V31" s="302">
        <f>'ADJ DETAIL-INPUT'!V31</f>
        <v>-1</v>
      </c>
      <c r="W31" s="302">
        <f>'ADJ DETAIL-INPUT'!W31</f>
        <v>-1278</v>
      </c>
      <c r="X31" s="302">
        <f>'ADJ DETAIL-INPUT'!X31</f>
        <v>0</v>
      </c>
      <c r="Y31" s="302">
        <f>'ADJ DETAIL-INPUT'!Y31</f>
        <v>0</v>
      </c>
      <c r="Z31" s="173">
        <f>'ADJ DETAIL-INPUT'!Z31</f>
        <v>19081</v>
      </c>
      <c r="AA31" s="302"/>
      <c r="AB31" s="302"/>
      <c r="AC31" s="302"/>
      <c r="AD31" s="302"/>
      <c r="AE31" s="301"/>
      <c r="AF31" s="302"/>
      <c r="AG31" s="302"/>
      <c r="AH31" s="302"/>
      <c r="AI31" s="302"/>
      <c r="AJ31" s="302"/>
      <c r="AK31" s="302"/>
      <c r="AL31" s="302"/>
      <c r="AM31" s="302"/>
      <c r="AN31" s="302"/>
      <c r="AO31" s="301"/>
      <c r="AP31" s="174">
        <f>'ADJ DETAIL-INPUT'!AP31</f>
        <v>0</v>
      </c>
      <c r="AQ31" s="174">
        <f>'ADJ DETAIL-INPUT'!AQ31</f>
        <v>0</v>
      </c>
      <c r="AR31" s="174">
        <f>'ADJ DETAIL-INPUT'!AR31</f>
        <v>0</v>
      </c>
      <c r="AS31" s="177">
        <f>'ADJ DETAIL-INPUT'!AS31</f>
        <v>19081</v>
      </c>
      <c r="AT31" s="139"/>
      <c r="AU31" s="160"/>
      <c r="AV31" s="75"/>
      <c r="AZ31" s="160"/>
      <c r="BD31" s="160"/>
    </row>
    <row r="32" spans="1:56" s="19" customFormat="1" ht="12">
      <c r="A32" s="17">
        <f>'ADJ DETAIL-INPUT'!A32</f>
        <v>14</v>
      </c>
      <c r="C32" s="19" t="str">
        <f>'ADJ DETAIL-INPUT'!C32</f>
        <v>Depreciation/Amortization</v>
      </c>
      <c r="E32" s="133">
        <f>'ADJ DETAIL-INPUT'!E32</f>
        <v>19320</v>
      </c>
      <c r="F32" s="301">
        <f>'ADJ DETAIL-INPUT'!F32</f>
        <v>0</v>
      </c>
      <c r="G32" s="301">
        <f>'ADJ DETAIL-INPUT'!G32</f>
        <v>0</v>
      </c>
      <c r="H32" s="302">
        <f>'ADJ DETAIL-INPUT'!H32</f>
        <v>0</v>
      </c>
      <c r="I32" s="301">
        <f>'ADJ DETAIL-INPUT'!I32</f>
        <v>0</v>
      </c>
      <c r="J32" s="301">
        <f>'ADJ DETAIL-INPUT'!J32</f>
        <v>0</v>
      </c>
      <c r="K32" s="301">
        <f>'ADJ DETAIL-INPUT'!K32</f>
        <v>0</v>
      </c>
      <c r="L32" s="301">
        <f>'ADJ DETAIL-INPUT'!L32</f>
        <v>0</v>
      </c>
      <c r="M32" s="301">
        <f>'ADJ DETAIL-INPUT'!M32</f>
        <v>0</v>
      </c>
      <c r="N32" s="301">
        <f>'ADJ DETAIL-INPUT'!N32</f>
        <v>0</v>
      </c>
      <c r="O32" s="301">
        <f>'ADJ DETAIL-INPUT'!O32</f>
        <v>0</v>
      </c>
      <c r="P32" s="301">
        <f>'ADJ DETAIL-INPUT'!P32</f>
        <v>0</v>
      </c>
      <c r="Q32" s="301">
        <f>'ADJ DETAIL-INPUT'!Q32</f>
        <v>0</v>
      </c>
      <c r="R32" s="301">
        <f>'ADJ DETAIL-INPUT'!R32</f>
        <v>0</v>
      </c>
      <c r="S32" s="301">
        <f>'ADJ DETAIL-INPUT'!S32</f>
        <v>0</v>
      </c>
      <c r="T32" s="301">
        <f>'ADJ DETAIL-INPUT'!T32</f>
        <v>-80</v>
      </c>
      <c r="U32" s="301">
        <f>'ADJ DETAIL-INPUT'!U32</f>
        <v>0</v>
      </c>
      <c r="V32" s="302">
        <f>'ADJ DETAIL-INPUT'!V32</f>
        <v>0</v>
      </c>
      <c r="W32" s="302">
        <f>'ADJ DETAIL-INPUT'!W32</f>
        <v>0</v>
      </c>
      <c r="X32" s="302">
        <f>'ADJ DETAIL-INPUT'!X32</f>
        <v>0</v>
      </c>
      <c r="Y32" s="302">
        <f>'ADJ DETAIL-INPUT'!Y32</f>
        <v>0</v>
      </c>
      <c r="Z32" s="173">
        <f>'ADJ DETAIL-INPUT'!Z32</f>
        <v>19240</v>
      </c>
      <c r="AA32" s="302"/>
      <c r="AB32" s="302"/>
      <c r="AC32" s="302"/>
      <c r="AD32" s="302"/>
      <c r="AE32" s="301"/>
      <c r="AF32" s="302"/>
      <c r="AG32" s="302"/>
      <c r="AH32" s="302"/>
      <c r="AI32" s="302"/>
      <c r="AJ32" s="302"/>
      <c r="AK32" s="302"/>
      <c r="AL32" s="302"/>
      <c r="AM32" s="302"/>
      <c r="AN32" s="302"/>
      <c r="AO32" s="301"/>
      <c r="AP32" s="174">
        <f>'ADJ DETAIL-INPUT'!AP32</f>
        <v>0</v>
      </c>
      <c r="AQ32" s="174">
        <f>'ADJ DETAIL-INPUT'!AQ32</f>
        <v>0</v>
      </c>
      <c r="AR32" s="174">
        <f>'ADJ DETAIL-INPUT'!AR32</f>
        <v>0</v>
      </c>
      <c r="AS32" s="177">
        <f>'ADJ DETAIL-INPUT'!AS32</f>
        <v>19240</v>
      </c>
      <c r="AT32" s="139"/>
      <c r="AU32" s="160"/>
      <c r="AV32" s="75"/>
      <c r="AZ32" s="160"/>
      <c r="BD32" s="160"/>
    </row>
    <row r="33" spans="1:56" s="19" customFormat="1" ht="12">
      <c r="A33" s="17">
        <f>'ADJ DETAIL-INPUT'!A33</f>
        <v>15</v>
      </c>
      <c r="C33" s="19" t="str">
        <f>'ADJ DETAIL-INPUT'!C33</f>
        <v xml:space="preserve">Taxes  </v>
      </c>
      <c r="E33" s="371">
        <f>'ADJ DETAIL-INPUT'!E33</f>
        <v>38896</v>
      </c>
      <c r="F33" s="303">
        <f>'ADJ DETAIL-INPUT'!F33</f>
        <v>0</v>
      </c>
      <c r="G33" s="303">
        <f>'ADJ DETAIL-INPUT'!G33</f>
        <v>0</v>
      </c>
      <c r="H33" s="304">
        <f>'ADJ DETAIL-INPUT'!H33</f>
        <v>0</v>
      </c>
      <c r="I33" s="303">
        <f>'ADJ DETAIL-INPUT'!I33</f>
        <v>-16308</v>
      </c>
      <c r="J33" s="303">
        <f>'ADJ DETAIL-INPUT'!J33</f>
        <v>0</v>
      </c>
      <c r="K33" s="303">
        <f>'ADJ DETAIL-INPUT'!K33</f>
        <v>0</v>
      </c>
      <c r="L33" s="303">
        <f>'ADJ DETAIL-INPUT'!L33</f>
        <v>0</v>
      </c>
      <c r="M33" s="303">
        <f>'ADJ DETAIL-INPUT'!M33</f>
        <v>0</v>
      </c>
      <c r="N33" s="303">
        <f>'ADJ DETAIL-INPUT'!N33</f>
        <v>0</v>
      </c>
      <c r="O33" s="303">
        <f>'ADJ DETAIL-INPUT'!O33</f>
        <v>0</v>
      </c>
      <c r="P33" s="303">
        <f>'ADJ DETAIL-INPUT'!P33</f>
        <v>0</v>
      </c>
      <c r="Q33" s="303">
        <f>'ADJ DETAIL-INPUT'!Q33</f>
        <v>0</v>
      </c>
      <c r="R33" s="303">
        <f>'ADJ DETAIL-INPUT'!R33</f>
        <v>0</v>
      </c>
      <c r="S33" s="303">
        <f>'ADJ DETAIL-INPUT'!S33</f>
        <v>-103</v>
      </c>
      <c r="T33" s="303">
        <f>'ADJ DETAIL-INPUT'!T33</f>
        <v>0</v>
      </c>
      <c r="U33" s="303">
        <f>'ADJ DETAIL-INPUT'!U33</f>
        <v>-91.546188000000001</v>
      </c>
      <c r="V33" s="304">
        <f>'ADJ DETAIL-INPUT'!V33</f>
        <v>0</v>
      </c>
      <c r="W33" s="304">
        <f>'ADJ DETAIL-INPUT'!W33</f>
        <v>0</v>
      </c>
      <c r="X33" s="304">
        <f>'ADJ DETAIL-INPUT'!X33</f>
        <v>0</v>
      </c>
      <c r="Y33" s="304">
        <f>'ADJ DETAIL-INPUT'!Y33</f>
        <v>0</v>
      </c>
      <c r="Z33" s="207">
        <f>'ADJ DETAIL-INPUT'!Z33</f>
        <v>22393.453812</v>
      </c>
      <c r="AA33" s="304"/>
      <c r="AB33" s="304"/>
      <c r="AC33" s="304"/>
      <c r="AD33" s="304"/>
      <c r="AE33" s="303"/>
      <c r="AF33" s="304"/>
      <c r="AG33" s="304"/>
      <c r="AH33" s="304"/>
      <c r="AI33" s="304"/>
      <c r="AJ33" s="304"/>
      <c r="AK33" s="304"/>
      <c r="AL33" s="304"/>
      <c r="AM33" s="304"/>
      <c r="AN33" s="304"/>
      <c r="AO33" s="303"/>
      <c r="AP33" s="205">
        <f>'ADJ DETAIL-INPUT'!AP33</f>
        <v>0</v>
      </c>
      <c r="AQ33" s="205">
        <f>'ADJ DETAIL-INPUT'!AQ33</f>
        <v>0</v>
      </c>
      <c r="AR33" s="205">
        <f>'ADJ DETAIL-INPUT'!AR33</f>
        <v>0</v>
      </c>
      <c r="AS33" s="208">
        <f>'ADJ DETAIL-INPUT'!AS33</f>
        <v>22393.453812</v>
      </c>
      <c r="AT33" s="139"/>
      <c r="AU33" s="160"/>
      <c r="AV33" s="75"/>
      <c r="AZ33" s="160"/>
      <c r="BD33" s="160"/>
    </row>
    <row r="34" spans="1:56" s="19" customFormat="1" ht="12">
      <c r="A34" s="17">
        <f>'ADJ DETAIL-INPUT'!A34</f>
        <v>16</v>
      </c>
      <c r="B34" s="19" t="str">
        <f>'ADJ DETAIL-INPUT'!B34</f>
        <v xml:space="preserve">Total Distribution  </v>
      </c>
      <c r="E34" s="99">
        <f>'ADJ DETAIL-INPUT'!E34</f>
        <v>78576</v>
      </c>
      <c r="F34" s="174">
        <f>'ADJ DETAIL-INPUT'!F34</f>
        <v>0</v>
      </c>
      <c r="G34" s="174">
        <f>'ADJ DETAIL-INPUT'!G34</f>
        <v>0</v>
      </c>
      <c r="H34" s="175">
        <f>'ADJ DETAIL-INPUT'!H34</f>
        <v>0</v>
      </c>
      <c r="I34" s="176">
        <f>'ADJ DETAIL-INPUT'!I34</f>
        <v>-16308</v>
      </c>
      <c r="J34" s="174">
        <f>'ADJ DETAIL-INPUT'!J34</f>
        <v>0</v>
      </c>
      <c r="K34" s="176">
        <f>'ADJ DETAIL-INPUT'!K34</f>
        <v>0</v>
      </c>
      <c r="L34" s="174">
        <f>'ADJ DETAIL-INPUT'!L34</f>
        <v>0</v>
      </c>
      <c r="M34" s="176">
        <f>'ADJ DETAIL-INPUT'!M34</f>
        <v>0</v>
      </c>
      <c r="N34" s="174">
        <f>'ADJ DETAIL-INPUT'!N34</f>
        <v>0</v>
      </c>
      <c r="O34" s="174">
        <f>'ADJ DETAIL-INPUT'!O34</f>
        <v>0</v>
      </c>
      <c r="P34" s="176">
        <f>'ADJ DETAIL-INPUT'!P34</f>
        <v>0</v>
      </c>
      <c r="Q34" s="176">
        <f>'ADJ DETAIL-INPUT'!Q34</f>
        <v>0</v>
      </c>
      <c r="R34" s="176">
        <f>'ADJ DETAIL-INPUT'!R34</f>
        <v>0</v>
      </c>
      <c r="S34" s="176">
        <f>'ADJ DETAIL-INPUT'!S34</f>
        <v>-103</v>
      </c>
      <c r="T34" s="176">
        <f>'ADJ DETAIL-INPUT'!T34</f>
        <v>-80</v>
      </c>
      <c r="U34" s="174">
        <f>'ADJ DETAIL-INPUT'!U34</f>
        <v>-91.546188000000001</v>
      </c>
      <c r="V34" s="175">
        <f>'ADJ DETAIL-INPUT'!V34</f>
        <v>-1</v>
      </c>
      <c r="W34" s="175">
        <f>'ADJ DETAIL-INPUT'!W34</f>
        <v>-1278</v>
      </c>
      <c r="X34" s="175">
        <f>'ADJ DETAIL-INPUT'!X34</f>
        <v>0</v>
      </c>
      <c r="Y34" s="175">
        <f>'ADJ DETAIL-INPUT'!Y34</f>
        <v>0</v>
      </c>
      <c r="Z34" s="173">
        <f>'ADJ DETAIL-INPUT'!Z34</f>
        <v>60714.453812</v>
      </c>
      <c r="AA34" s="175"/>
      <c r="AB34" s="175"/>
      <c r="AC34" s="175"/>
      <c r="AD34" s="175"/>
      <c r="AE34" s="174"/>
      <c r="AF34" s="175"/>
      <c r="AG34" s="175"/>
      <c r="AH34" s="175"/>
      <c r="AI34" s="175"/>
      <c r="AJ34" s="175"/>
      <c r="AK34" s="175"/>
      <c r="AL34" s="175"/>
      <c r="AM34" s="175"/>
      <c r="AN34" s="175"/>
      <c r="AO34" s="174"/>
      <c r="AP34" s="174">
        <f>'ADJ DETAIL-INPUT'!AP34</f>
        <v>0</v>
      </c>
      <c r="AQ34" s="174">
        <f>'ADJ DETAIL-INPUT'!AQ34</f>
        <v>0</v>
      </c>
      <c r="AR34" s="174">
        <f>'ADJ DETAIL-INPUT'!AR34</f>
        <v>0</v>
      </c>
      <c r="AS34" s="177">
        <f>'ADJ DETAIL-INPUT'!AS34</f>
        <v>60714.453812</v>
      </c>
      <c r="AT34" s="75"/>
      <c r="AU34" s="133"/>
      <c r="AV34" s="75"/>
      <c r="AZ34" s="133"/>
      <c r="BD34" s="133"/>
    </row>
    <row r="35" spans="1:56" s="19" customFormat="1" ht="6" customHeight="1">
      <c r="E35" s="99"/>
      <c r="F35" s="174"/>
      <c r="G35" s="174"/>
      <c r="H35" s="175"/>
      <c r="I35" s="176"/>
      <c r="J35" s="174"/>
      <c r="K35" s="176"/>
      <c r="L35" s="174"/>
      <c r="M35" s="176"/>
      <c r="N35" s="174"/>
      <c r="O35" s="174"/>
      <c r="P35" s="176"/>
      <c r="Q35" s="176"/>
      <c r="R35" s="176"/>
      <c r="S35" s="176"/>
      <c r="T35" s="176"/>
      <c r="U35" s="174"/>
      <c r="V35" s="175"/>
      <c r="W35" s="175"/>
      <c r="X35" s="175"/>
      <c r="Y35" s="175"/>
      <c r="Z35" s="173"/>
      <c r="AA35" s="175"/>
      <c r="AB35" s="175"/>
      <c r="AC35" s="175"/>
      <c r="AD35" s="175"/>
      <c r="AE35" s="174"/>
      <c r="AF35" s="175"/>
      <c r="AG35" s="175"/>
      <c r="AH35" s="175"/>
      <c r="AI35" s="175"/>
      <c r="AJ35" s="175"/>
      <c r="AK35" s="175"/>
      <c r="AL35" s="175"/>
      <c r="AM35" s="175"/>
      <c r="AN35" s="175"/>
      <c r="AO35" s="174"/>
      <c r="AP35" s="174"/>
      <c r="AQ35" s="174"/>
      <c r="AR35" s="174"/>
      <c r="AS35" s="177"/>
      <c r="AT35" s="139"/>
      <c r="AU35" s="160"/>
      <c r="AV35" s="75"/>
      <c r="AZ35" s="160"/>
      <c r="BD35" s="160"/>
    </row>
    <row r="36" spans="1:56" s="19" customFormat="1" ht="12">
      <c r="A36" s="17">
        <f>'ADJ DETAIL-INPUT'!A36</f>
        <v>17</v>
      </c>
      <c r="B36" s="19" t="str">
        <f>'ADJ DETAIL-INPUT'!B36</f>
        <v xml:space="preserve">Customer Accounting  </v>
      </c>
      <c r="E36" s="133">
        <f>'ADJ DETAIL-INPUT'!E36</f>
        <v>9960</v>
      </c>
      <c r="F36" s="301">
        <f>'ADJ DETAIL-INPUT'!F36</f>
        <v>0</v>
      </c>
      <c r="G36" s="301">
        <f>'ADJ DETAIL-INPUT'!G36</f>
        <v>10</v>
      </c>
      <c r="H36" s="302">
        <f>'ADJ DETAIL-INPUT'!H36</f>
        <v>0</v>
      </c>
      <c r="I36" s="301">
        <f>'ADJ DETAIL-INPUT'!I36</f>
        <v>0</v>
      </c>
      <c r="J36" s="301">
        <f>'ADJ DETAIL-INPUT'!J36</f>
        <v>0</v>
      </c>
      <c r="K36" s="301">
        <f>'ADJ DETAIL-INPUT'!K36</f>
        <v>317</v>
      </c>
      <c r="L36" s="301">
        <f>'ADJ DETAIL-INPUT'!L36</f>
        <v>0</v>
      </c>
      <c r="M36" s="301">
        <f>'ADJ DETAIL-INPUT'!M36</f>
        <v>0</v>
      </c>
      <c r="N36" s="301">
        <f>'ADJ DETAIL-INPUT'!N36</f>
        <v>0</v>
      </c>
      <c r="O36" s="301">
        <f>'ADJ DETAIL-INPUT'!O36</f>
        <v>0</v>
      </c>
      <c r="P36" s="301">
        <f>'ADJ DETAIL-INPUT'!P36</f>
        <v>0</v>
      </c>
      <c r="Q36" s="301">
        <f>'ADJ DETAIL-INPUT'!Q36</f>
        <v>-2</v>
      </c>
      <c r="R36" s="301">
        <f>'ADJ DETAIL-INPUT'!R36</f>
        <v>0</v>
      </c>
      <c r="S36" s="301">
        <f>'ADJ DETAIL-INPUT'!S36</f>
        <v>0</v>
      </c>
      <c r="T36" s="301">
        <f>'ADJ DETAIL-INPUT'!T36</f>
        <v>0</v>
      </c>
      <c r="U36" s="301">
        <f>'ADJ DETAIL-INPUT'!U36</f>
        <v>-10.298411999999999</v>
      </c>
      <c r="V36" s="302">
        <f>'ADJ DETAIL-INPUT'!V36</f>
        <v>0</v>
      </c>
      <c r="W36" s="302">
        <f>'ADJ DETAIL-INPUT'!W36</f>
        <v>0</v>
      </c>
      <c r="X36" s="302">
        <f>'ADJ DETAIL-INPUT'!X36</f>
        <v>0</v>
      </c>
      <c r="Y36" s="302">
        <f>'ADJ DETAIL-INPUT'!Y36</f>
        <v>0</v>
      </c>
      <c r="Z36" s="173">
        <f>'ADJ DETAIL-INPUT'!Z36</f>
        <v>10274.701588</v>
      </c>
      <c r="AA36" s="302"/>
      <c r="AB36" s="302"/>
      <c r="AC36" s="302"/>
      <c r="AD36" s="302"/>
      <c r="AE36" s="301"/>
      <c r="AF36" s="302"/>
      <c r="AG36" s="302"/>
      <c r="AH36" s="302"/>
      <c r="AI36" s="302"/>
      <c r="AJ36" s="302"/>
      <c r="AK36" s="302"/>
      <c r="AL36" s="302"/>
      <c r="AM36" s="302"/>
      <c r="AN36" s="302"/>
      <c r="AO36" s="301"/>
      <c r="AP36" s="174">
        <f>'ADJ DETAIL-INPUT'!AP36</f>
        <v>0</v>
      </c>
      <c r="AQ36" s="174">
        <f>'ADJ DETAIL-INPUT'!AQ36</f>
        <v>0</v>
      </c>
      <c r="AR36" s="174">
        <f>'ADJ DETAIL-INPUT'!AR36</f>
        <v>0</v>
      </c>
      <c r="AS36" s="177">
        <f>'ADJ DETAIL-INPUT'!AS36</f>
        <v>10274.701588</v>
      </c>
      <c r="AT36" s="139"/>
      <c r="AU36" s="160"/>
      <c r="AV36" s="141"/>
      <c r="AW36" s="137"/>
      <c r="AZ36" s="160"/>
      <c r="BD36" s="160"/>
    </row>
    <row r="37" spans="1:56" s="19" customFormat="1" ht="12">
      <c r="A37" s="17">
        <f>'ADJ DETAIL-INPUT'!A37</f>
        <v>18</v>
      </c>
      <c r="B37" s="19" t="str">
        <f>'ADJ DETAIL-INPUT'!B37</f>
        <v xml:space="preserve">Customer Service &amp; Information  </v>
      </c>
      <c r="E37" s="133">
        <f>'ADJ DETAIL-INPUT'!E37</f>
        <v>21300</v>
      </c>
      <c r="F37" s="301">
        <f>'ADJ DETAIL-INPUT'!F37</f>
        <v>0</v>
      </c>
      <c r="G37" s="301">
        <f>'ADJ DETAIL-INPUT'!G37</f>
        <v>0</v>
      </c>
      <c r="H37" s="302">
        <f>'ADJ DETAIL-INPUT'!H37</f>
        <v>0</v>
      </c>
      <c r="I37" s="301">
        <f>'ADJ DETAIL-INPUT'!I37</f>
        <v>0</v>
      </c>
      <c r="J37" s="301">
        <f>'ADJ DETAIL-INPUT'!J37</f>
        <v>0</v>
      </c>
      <c r="K37" s="301">
        <f>'ADJ DETAIL-INPUT'!K37</f>
        <v>0</v>
      </c>
      <c r="L37" s="301">
        <f>'ADJ DETAIL-INPUT'!L37</f>
        <v>0</v>
      </c>
      <c r="M37" s="301">
        <f>'ADJ DETAIL-INPUT'!M37</f>
        <v>0</v>
      </c>
      <c r="N37" s="301">
        <f>'ADJ DETAIL-INPUT'!N37</f>
        <v>0</v>
      </c>
      <c r="O37" s="301">
        <f>'ADJ DETAIL-INPUT'!O37</f>
        <v>0</v>
      </c>
      <c r="P37" s="301">
        <f>'ADJ DETAIL-INPUT'!P37</f>
        <v>0</v>
      </c>
      <c r="Q37" s="301">
        <f>'ADJ DETAIL-INPUT'!Q37</f>
        <v>0</v>
      </c>
      <c r="R37" s="301">
        <f>'ADJ DETAIL-INPUT'!R37</f>
        <v>0</v>
      </c>
      <c r="S37" s="301">
        <f>'ADJ DETAIL-INPUT'!S37</f>
        <v>0</v>
      </c>
      <c r="T37" s="301">
        <f>'ADJ DETAIL-INPUT'!T37</f>
        <v>0</v>
      </c>
      <c r="U37" s="301">
        <f>'ADJ DETAIL-INPUT'!U37</f>
        <v>0</v>
      </c>
      <c r="V37" s="302">
        <f>'ADJ DETAIL-INPUT'!V37</f>
        <v>-8</v>
      </c>
      <c r="W37" s="302">
        <f>'ADJ DETAIL-INPUT'!W37</f>
        <v>0</v>
      </c>
      <c r="X37" s="302">
        <f>'ADJ DETAIL-INPUT'!X37</f>
        <v>0</v>
      </c>
      <c r="Y37" s="302">
        <f>'ADJ DETAIL-INPUT'!Y37</f>
        <v>0</v>
      </c>
      <c r="Z37" s="173">
        <f>'ADJ DETAIL-INPUT'!Z37</f>
        <v>21292</v>
      </c>
      <c r="AA37" s="302"/>
      <c r="AB37" s="302"/>
      <c r="AC37" s="302"/>
      <c r="AD37" s="302"/>
      <c r="AE37" s="301"/>
      <c r="AF37" s="302"/>
      <c r="AG37" s="302"/>
      <c r="AH37" s="302"/>
      <c r="AI37" s="302"/>
      <c r="AJ37" s="302"/>
      <c r="AK37" s="302"/>
      <c r="AL37" s="302"/>
      <c r="AM37" s="302"/>
      <c r="AN37" s="302"/>
      <c r="AO37" s="301"/>
      <c r="AP37" s="174">
        <f>'ADJ DETAIL-INPUT'!AP37</f>
        <v>0</v>
      </c>
      <c r="AQ37" s="174">
        <f>'ADJ DETAIL-INPUT'!AQ37</f>
        <v>0</v>
      </c>
      <c r="AR37" s="174">
        <f>'ADJ DETAIL-INPUT'!AR37</f>
        <v>0</v>
      </c>
      <c r="AS37" s="177">
        <f>'ADJ DETAIL-INPUT'!AS37</f>
        <v>21292</v>
      </c>
      <c r="AT37" s="139"/>
      <c r="AU37" s="160"/>
      <c r="AV37" s="75"/>
      <c r="AZ37" s="160"/>
      <c r="BD37" s="160"/>
    </row>
    <row r="38" spans="1:56" s="19" customFormat="1" ht="12">
      <c r="A38" s="17">
        <f>'ADJ DETAIL-INPUT'!A38</f>
        <v>19</v>
      </c>
      <c r="B38" s="19" t="str">
        <f>'ADJ DETAIL-INPUT'!B38</f>
        <v xml:space="preserve">Sales Expenses  </v>
      </c>
      <c r="E38" s="133">
        <f>'ADJ DETAIL-INPUT'!E38</f>
        <v>4</v>
      </c>
      <c r="F38" s="301">
        <f>'ADJ DETAIL-INPUT'!F38</f>
        <v>0</v>
      </c>
      <c r="G38" s="301">
        <f>'ADJ DETAIL-INPUT'!G38</f>
        <v>0</v>
      </c>
      <c r="H38" s="302">
        <f>'ADJ DETAIL-INPUT'!H38</f>
        <v>0</v>
      </c>
      <c r="I38" s="301">
        <f>'ADJ DETAIL-INPUT'!I38</f>
        <v>0</v>
      </c>
      <c r="J38" s="301">
        <f>'ADJ DETAIL-INPUT'!J38</f>
        <v>0</v>
      </c>
      <c r="K38" s="301">
        <f>'ADJ DETAIL-INPUT'!K38</f>
        <v>0</v>
      </c>
      <c r="L38" s="301">
        <f>'ADJ DETAIL-INPUT'!L38</f>
        <v>0</v>
      </c>
      <c r="M38" s="301">
        <f>'ADJ DETAIL-INPUT'!M38</f>
        <v>0</v>
      </c>
      <c r="N38" s="301">
        <f>'ADJ DETAIL-INPUT'!N38</f>
        <v>0</v>
      </c>
      <c r="O38" s="301">
        <f>'ADJ DETAIL-INPUT'!O38</f>
        <v>0</v>
      </c>
      <c r="P38" s="301">
        <f>'ADJ DETAIL-INPUT'!P38</f>
        <v>0</v>
      </c>
      <c r="Q38" s="301">
        <f>'ADJ DETAIL-INPUT'!Q38</f>
        <v>0</v>
      </c>
      <c r="R38" s="301">
        <f>'ADJ DETAIL-INPUT'!R38</f>
        <v>0</v>
      </c>
      <c r="S38" s="301">
        <f>'ADJ DETAIL-INPUT'!S38</f>
        <v>0</v>
      </c>
      <c r="T38" s="301">
        <f>'ADJ DETAIL-INPUT'!T38</f>
        <v>0</v>
      </c>
      <c r="U38" s="301">
        <f>'ADJ DETAIL-INPUT'!U38</f>
        <v>0</v>
      </c>
      <c r="V38" s="302">
        <f>'ADJ DETAIL-INPUT'!V38</f>
        <v>0</v>
      </c>
      <c r="W38" s="302">
        <f>'ADJ DETAIL-INPUT'!W38</f>
        <v>0</v>
      </c>
      <c r="X38" s="302">
        <f>'ADJ DETAIL-INPUT'!X38</f>
        <v>0</v>
      </c>
      <c r="Y38" s="302">
        <f>'ADJ DETAIL-INPUT'!Y38</f>
        <v>0</v>
      </c>
      <c r="Z38" s="173">
        <f>'ADJ DETAIL-INPUT'!Z38</f>
        <v>4</v>
      </c>
      <c r="AA38" s="302"/>
      <c r="AB38" s="302"/>
      <c r="AC38" s="302"/>
      <c r="AD38" s="302"/>
      <c r="AE38" s="301"/>
      <c r="AF38" s="302"/>
      <c r="AG38" s="302"/>
      <c r="AH38" s="302"/>
      <c r="AI38" s="302"/>
      <c r="AJ38" s="302"/>
      <c r="AK38" s="302"/>
      <c r="AL38" s="302"/>
      <c r="AM38" s="302"/>
      <c r="AN38" s="302"/>
      <c r="AO38" s="301"/>
      <c r="AP38" s="174">
        <f>'ADJ DETAIL-INPUT'!AP38</f>
        <v>0</v>
      </c>
      <c r="AQ38" s="174">
        <f>'ADJ DETAIL-INPUT'!AQ38</f>
        <v>0</v>
      </c>
      <c r="AR38" s="174">
        <f>'ADJ DETAIL-INPUT'!AR38</f>
        <v>0</v>
      </c>
      <c r="AS38" s="177">
        <f>'ADJ DETAIL-INPUT'!AS38</f>
        <v>4</v>
      </c>
      <c r="AT38" s="139"/>
      <c r="AU38" s="160"/>
      <c r="AV38" s="75"/>
      <c r="AZ38" s="160"/>
      <c r="BD38" s="160"/>
    </row>
    <row r="39" spans="1:56" s="19" customFormat="1" ht="6" customHeight="1">
      <c r="A39" s="17"/>
      <c r="E39" s="99"/>
      <c r="F39" s="301"/>
      <c r="G39" s="301"/>
      <c r="H39" s="302"/>
      <c r="I39" s="301"/>
      <c r="J39" s="301"/>
      <c r="K39" s="301"/>
      <c r="L39" s="301"/>
      <c r="M39" s="301"/>
      <c r="N39" s="301"/>
      <c r="O39" s="301"/>
      <c r="P39" s="301"/>
      <c r="Q39" s="301"/>
      <c r="R39" s="301"/>
      <c r="S39" s="301"/>
      <c r="T39" s="301"/>
      <c r="U39" s="301"/>
      <c r="V39" s="302"/>
      <c r="W39" s="302"/>
      <c r="X39" s="175"/>
      <c r="Y39" s="302"/>
      <c r="Z39" s="173"/>
      <c r="AA39" s="175"/>
      <c r="AB39" s="175"/>
      <c r="AC39" s="175"/>
      <c r="AD39" s="175"/>
      <c r="AE39" s="174"/>
      <c r="AF39" s="175"/>
      <c r="AG39" s="175"/>
      <c r="AH39" s="175"/>
      <c r="AI39" s="175"/>
      <c r="AJ39" s="175"/>
      <c r="AK39" s="175"/>
      <c r="AL39" s="175"/>
      <c r="AM39" s="175"/>
      <c r="AN39" s="175"/>
      <c r="AO39" s="174"/>
      <c r="AP39" s="174"/>
      <c r="AQ39" s="174"/>
      <c r="AR39" s="174"/>
      <c r="AS39" s="177"/>
      <c r="AT39" s="139"/>
      <c r="AU39" s="160"/>
      <c r="AV39" s="75"/>
      <c r="AZ39" s="160"/>
      <c r="BD39" s="160"/>
    </row>
    <row r="40" spans="1:56" s="19" customFormat="1" ht="12">
      <c r="B40" s="19" t="str">
        <f>'ADJ DETAIL-INPUT'!B40</f>
        <v xml:space="preserve">Administrative &amp; General  </v>
      </c>
      <c r="E40" s="99"/>
      <c r="F40" s="301"/>
      <c r="G40" s="301"/>
      <c r="H40" s="302"/>
      <c r="I40" s="301"/>
      <c r="J40" s="301"/>
      <c r="K40" s="301"/>
      <c r="L40" s="301"/>
      <c r="M40" s="301"/>
      <c r="N40" s="301"/>
      <c r="O40" s="301"/>
      <c r="P40" s="301"/>
      <c r="Q40" s="301"/>
      <c r="R40" s="301"/>
      <c r="S40" s="301"/>
      <c r="T40" s="301"/>
      <c r="U40" s="301"/>
      <c r="V40" s="302"/>
      <c r="W40" s="302"/>
      <c r="X40" s="175"/>
      <c r="Y40" s="302"/>
      <c r="Z40" s="173"/>
      <c r="AA40" s="175"/>
      <c r="AB40" s="175"/>
      <c r="AC40" s="175"/>
      <c r="AD40" s="175"/>
      <c r="AE40" s="174"/>
      <c r="AF40" s="175"/>
      <c r="AG40" s="175"/>
      <c r="AH40" s="175"/>
      <c r="AI40" s="175"/>
      <c r="AJ40" s="175"/>
      <c r="AK40" s="175"/>
      <c r="AL40" s="175"/>
      <c r="AM40" s="175"/>
      <c r="AN40" s="175"/>
      <c r="AO40" s="174"/>
      <c r="AP40" s="174"/>
      <c r="AQ40" s="174"/>
      <c r="AR40" s="174"/>
      <c r="AS40" s="177"/>
      <c r="AT40" s="139"/>
      <c r="AU40" s="160"/>
      <c r="AV40" s="75"/>
      <c r="AZ40" s="160"/>
      <c r="BD40" s="160"/>
    </row>
    <row r="41" spans="1:56" s="19" customFormat="1" ht="12">
      <c r="A41" s="17">
        <f>'ADJ DETAIL-INPUT'!A41</f>
        <v>20</v>
      </c>
      <c r="C41" s="19" t="str">
        <f>'ADJ DETAIL-INPUT'!C41</f>
        <v xml:space="preserve">Operating Expenses  </v>
      </c>
      <c r="E41" s="133">
        <f>'ADJ DETAIL-INPUT'!E41</f>
        <v>45046</v>
      </c>
      <c r="F41" s="301">
        <f>'ADJ DETAIL-INPUT'!F41</f>
        <v>0</v>
      </c>
      <c r="G41" s="301">
        <f>'ADJ DETAIL-INPUT'!G41</f>
        <v>0</v>
      </c>
      <c r="H41" s="302">
        <f>'ADJ DETAIL-INPUT'!H41</f>
        <v>0</v>
      </c>
      <c r="I41" s="301">
        <f>'ADJ DETAIL-INPUT'!I41</f>
        <v>0</v>
      </c>
      <c r="J41" s="301">
        <f>'ADJ DETAIL-INPUT'!J41</f>
        <v>0</v>
      </c>
      <c r="K41" s="301">
        <f>'ADJ DETAIL-INPUT'!K41</f>
        <v>0</v>
      </c>
      <c r="L41" s="301">
        <f>'ADJ DETAIL-INPUT'!L41</f>
        <v>48</v>
      </c>
      <c r="M41" s="301">
        <f>'ADJ DETAIL-INPUT'!M41</f>
        <v>-230</v>
      </c>
      <c r="N41" s="301">
        <f>'ADJ DETAIL-INPUT'!N41</f>
        <v>0</v>
      </c>
      <c r="O41" s="301">
        <f>'ADJ DETAIL-INPUT'!O41</f>
        <v>0</v>
      </c>
      <c r="P41" s="301">
        <f>'ADJ DETAIL-INPUT'!P41</f>
        <v>0</v>
      </c>
      <c r="Q41" s="301">
        <f>'ADJ DETAIL-INPUT'!Q41</f>
        <v>0</v>
      </c>
      <c r="R41" s="301">
        <f>'ADJ DETAIL-INPUT'!R41</f>
        <v>-5</v>
      </c>
      <c r="S41" s="301">
        <f>'ADJ DETAIL-INPUT'!S41</f>
        <v>0</v>
      </c>
      <c r="T41" s="301">
        <f>'ADJ DETAIL-INPUT'!T41</f>
        <v>0</v>
      </c>
      <c r="U41" s="301">
        <f>'ADJ DETAIL-INPUT'!U41</f>
        <v>-4.7480000000000002</v>
      </c>
      <c r="V41" s="302">
        <f>'ADJ DETAIL-INPUT'!V41</f>
        <v>-75</v>
      </c>
      <c r="W41" s="302">
        <f>'ADJ DETAIL-INPUT'!W41</f>
        <v>0</v>
      </c>
      <c r="X41" s="302">
        <f>'ADJ DETAIL-INPUT'!X41</f>
        <v>0</v>
      </c>
      <c r="Y41" s="302">
        <f>'ADJ DETAIL-INPUT'!Y41</f>
        <v>0</v>
      </c>
      <c r="Z41" s="173">
        <f>'ADJ DETAIL-INPUT'!Z41</f>
        <v>44779.252</v>
      </c>
      <c r="AA41" s="302"/>
      <c r="AB41" s="302"/>
      <c r="AC41" s="302"/>
      <c r="AD41" s="302"/>
      <c r="AE41" s="301"/>
      <c r="AF41" s="302"/>
      <c r="AG41" s="302"/>
      <c r="AH41" s="302"/>
      <c r="AI41" s="302"/>
      <c r="AJ41" s="302"/>
      <c r="AK41" s="302"/>
      <c r="AL41" s="302"/>
      <c r="AM41" s="302"/>
      <c r="AN41" s="302"/>
      <c r="AO41" s="301"/>
      <c r="AP41" s="174">
        <f>'ADJ DETAIL-INPUT'!AP41</f>
        <v>0</v>
      </c>
      <c r="AQ41" s="174">
        <f>'ADJ DETAIL-INPUT'!AQ41</f>
        <v>0</v>
      </c>
      <c r="AR41" s="174">
        <f>'ADJ DETAIL-INPUT'!AR41</f>
        <v>0</v>
      </c>
      <c r="AS41" s="177">
        <f>'ADJ DETAIL-INPUT'!AS41</f>
        <v>44779.252</v>
      </c>
      <c r="AT41" s="139"/>
      <c r="AU41" s="160"/>
      <c r="AV41" s="75"/>
      <c r="AZ41" s="160"/>
      <c r="BD41" s="160"/>
    </row>
    <row r="42" spans="1:56" s="19" customFormat="1" ht="12">
      <c r="A42" s="17">
        <f>'ADJ DETAIL-INPUT'!A42</f>
        <v>21</v>
      </c>
      <c r="C42" s="19" t="str">
        <f>'ADJ DETAIL-INPUT'!C42</f>
        <v>Depreciation/Amortization</v>
      </c>
      <c r="E42" s="133">
        <f>'ADJ DETAIL-INPUT'!E42</f>
        <v>10906</v>
      </c>
      <c r="F42" s="301">
        <f>'ADJ DETAIL-INPUT'!F42</f>
        <v>0</v>
      </c>
      <c r="G42" s="301">
        <f>'ADJ DETAIL-INPUT'!G42</f>
        <v>0</v>
      </c>
      <c r="H42" s="302">
        <f>'ADJ DETAIL-INPUT'!H42</f>
        <v>0</v>
      </c>
      <c r="I42" s="301">
        <f>'ADJ DETAIL-INPUT'!I42</f>
        <v>0</v>
      </c>
      <c r="J42" s="301">
        <f>'ADJ DETAIL-INPUT'!J42</f>
        <v>0</v>
      </c>
      <c r="K42" s="301">
        <f>'ADJ DETAIL-INPUT'!K42</f>
        <v>0</v>
      </c>
      <c r="L42" s="301">
        <f>'ADJ DETAIL-INPUT'!L42</f>
        <v>0</v>
      </c>
      <c r="M42" s="301">
        <f>'ADJ DETAIL-INPUT'!M42</f>
        <v>0</v>
      </c>
      <c r="N42" s="301">
        <f>'ADJ DETAIL-INPUT'!N42</f>
        <v>0</v>
      </c>
      <c r="O42" s="301">
        <f>'ADJ DETAIL-INPUT'!O42</f>
        <v>0</v>
      </c>
      <c r="P42" s="301">
        <f>'ADJ DETAIL-INPUT'!P42</f>
        <v>0</v>
      </c>
      <c r="Q42" s="301">
        <f>'ADJ DETAIL-INPUT'!Q42</f>
        <v>0</v>
      </c>
      <c r="R42" s="301">
        <f>'ADJ DETAIL-INPUT'!R42</f>
        <v>0</v>
      </c>
      <c r="S42" s="301">
        <f>'ADJ DETAIL-INPUT'!S42</f>
        <v>0</v>
      </c>
      <c r="T42" s="301">
        <f>'ADJ DETAIL-INPUT'!T42</f>
        <v>0</v>
      </c>
      <c r="U42" s="301">
        <f>'ADJ DETAIL-INPUT'!U42</f>
        <v>0</v>
      </c>
      <c r="V42" s="302">
        <f>'ADJ DETAIL-INPUT'!V42</f>
        <v>0</v>
      </c>
      <c r="W42" s="302">
        <f>'ADJ DETAIL-INPUT'!W42</f>
        <v>0</v>
      </c>
      <c r="X42" s="302">
        <f>'ADJ DETAIL-INPUT'!X42</f>
        <v>0</v>
      </c>
      <c r="Y42" s="302">
        <f>'ADJ DETAIL-INPUT'!Y42</f>
        <v>0</v>
      </c>
      <c r="Z42" s="173">
        <f>'ADJ DETAIL-INPUT'!Z42</f>
        <v>10906</v>
      </c>
      <c r="AA42" s="302"/>
      <c r="AB42" s="302"/>
      <c r="AC42" s="302"/>
      <c r="AD42" s="302"/>
      <c r="AE42" s="301"/>
      <c r="AF42" s="302"/>
      <c r="AG42" s="302"/>
      <c r="AH42" s="302"/>
      <c r="AI42" s="302"/>
      <c r="AJ42" s="302"/>
      <c r="AK42" s="302"/>
      <c r="AL42" s="302"/>
      <c r="AM42" s="302"/>
      <c r="AN42" s="302"/>
      <c r="AO42" s="301"/>
      <c r="AP42" s="174">
        <f>'ADJ DETAIL-INPUT'!AP42</f>
        <v>0</v>
      </c>
      <c r="AQ42" s="174">
        <f>'ADJ DETAIL-INPUT'!AQ42</f>
        <v>0</v>
      </c>
      <c r="AR42" s="174">
        <f>'ADJ DETAIL-INPUT'!AR42</f>
        <v>0</v>
      </c>
      <c r="AS42" s="177">
        <f>'ADJ DETAIL-INPUT'!AS42</f>
        <v>10906</v>
      </c>
      <c r="AT42" s="139"/>
      <c r="AU42" s="160"/>
      <c r="AV42" s="75"/>
      <c r="AZ42" s="160"/>
      <c r="BD42" s="160"/>
    </row>
    <row r="43" spans="1:56" s="19" customFormat="1" ht="12">
      <c r="A43" s="214">
        <f>'ADJ DETAIL-INPUT'!A43</f>
        <v>22</v>
      </c>
      <c r="C43" s="19" t="str">
        <f>'ADJ DETAIL-INPUT'!C43</f>
        <v xml:space="preserve">Taxes  </v>
      </c>
      <c r="E43" s="371">
        <f>'ADJ DETAIL-INPUT'!E43</f>
        <v>0</v>
      </c>
      <c r="F43" s="303">
        <f>'ADJ DETAIL-INPUT'!F43</f>
        <v>0</v>
      </c>
      <c r="G43" s="303">
        <f>'ADJ DETAIL-INPUT'!G43</f>
        <v>0</v>
      </c>
      <c r="H43" s="304">
        <f>'ADJ DETAIL-INPUT'!H43</f>
        <v>0</v>
      </c>
      <c r="I43" s="303">
        <f>'ADJ DETAIL-INPUT'!I43</f>
        <v>0</v>
      </c>
      <c r="J43" s="303">
        <f>'ADJ DETAIL-INPUT'!J43</f>
        <v>0</v>
      </c>
      <c r="K43" s="303">
        <f>'ADJ DETAIL-INPUT'!K43</f>
        <v>0</v>
      </c>
      <c r="L43" s="303">
        <f>'ADJ DETAIL-INPUT'!L43</f>
        <v>0</v>
      </c>
      <c r="M43" s="303">
        <f>'ADJ DETAIL-INPUT'!M43</f>
        <v>0</v>
      </c>
      <c r="N43" s="303">
        <f>'ADJ DETAIL-INPUT'!N43</f>
        <v>0</v>
      </c>
      <c r="O43" s="303">
        <f>'ADJ DETAIL-INPUT'!O43</f>
        <v>0</v>
      </c>
      <c r="P43" s="303">
        <f>'ADJ DETAIL-INPUT'!P43</f>
        <v>0</v>
      </c>
      <c r="Q43" s="303">
        <f>'ADJ DETAIL-INPUT'!Q43</f>
        <v>0</v>
      </c>
      <c r="R43" s="303">
        <f>'ADJ DETAIL-INPUT'!R43</f>
        <v>0</v>
      </c>
      <c r="S43" s="303">
        <f>'ADJ DETAIL-INPUT'!S43</f>
        <v>0</v>
      </c>
      <c r="T43" s="303">
        <f>'ADJ DETAIL-INPUT'!T43</f>
        <v>0</v>
      </c>
      <c r="U43" s="303">
        <f>'ADJ DETAIL-INPUT'!U43</f>
        <v>0</v>
      </c>
      <c r="V43" s="304">
        <f>'ADJ DETAIL-INPUT'!V43</f>
        <v>0</v>
      </c>
      <c r="W43" s="304">
        <f>'ADJ DETAIL-INPUT'!W43</f>
        <v>0</v>
      </c>
      <c r="X43" s="304">
        <f>'ADJ DETAIL-INPUT'!X43</f>
        <v>0</v>
      </c>
      <c r="Y43" s="304">
        <f>'ADJ DETAIL-INPUT'!Y43</f>
        <v>0</v>
      </c>
      <c r="Z43" s="207">
        <f>'ADJ DETAIL-INPUT'!Z43</f>
        <v>0</v>
      </c>
      <c r="AA43" s="304"/>
      <c r="AB43" s="304"/>
      <c r="AC43" s="304"/>
      <c r="AD43" s="304"/>
      <c r="AE43" s="303"/>
      <c r="AF43" s="304"/>
      <c r="AG43" s="304"/>
      <c r="AH43" s="304"/>
      <c r="AI43" s="304"/>
      <c r="AJ43" s="304"/>
      <c r="AK43" s="304"/>
      <c r="AL43" s="304"/>
      <c r="AM43" s="304"/>
      <c r="AN43" s="304"/>
      <c r="AO43" s="303"/>
      <c r="AP43" s="205">
        <f>'ADJ DETAIL-INPUT'!AP43</f>
        <v>0</v>
      </c>
      <c r="AQ43" s="205">
        <f>'ADJ DETAIL-INPUT'!AQ43</f>
        <v>0</v>
      </c>
      <c r="AR43" s="205">
        <f>'ADJ DETAIL-INPUT'!AR43</f>
        <v>0</v>
      </c>
      <c r="AS43" s="208">
        <f>'ADJ DETAIL-INPUT'!AS43</f>
        <v>0</v>
      </c>
      <c r="AT43" s="139"/>
      <c r="AU43" s="160"/>
      <c r="AV43" s="75"/>
      <c r="AZ43" s="160"/>
      <c r="BD43" s="160"/>
    </row>
    <row r="44" spans="1:56" s="19" customFormat="1" ht="12">
      <c r="A44" s="17">
        <f>'ADJ DETAIL-INPUT'!A44</f>
        <v>23</v>
      </c>
      <c r="B44" s="19" t="str">
        <f>'ADJ DETAIL-INPUT'!B44</f>
        <v xml:space="preserve">Total Admin. &amp; General  </v>
      </c>
      <c r="E44" s="371">
        <f>'ADJ DETAIL-INPUT'!E44</f>
        <v>55952</v>
      </c>
      <c r="F44" s="205">
        <f>'ADJ DETAIL-INPUT'!F44</f>
        <v>0</v>
      </c>
      <c r="G44" s="205">
        <f>'ADJ DETAIL-INPUT'!G44</f>
        <v>0</v>
      </c>
      <c r="H44" s="204">
        <f>'ADJ DETAIL-INPUT'!H44</f>
        <v>0</v>
      </c>
      <c r="I44" s="206">
        <f>'ADJ DETAIL-INPUT'!I44</f>
        <v>0</v>
      </c>
      <c r="J44" s="205">
        <f>'ADJ DETAIL-INPUT'!J44</f>
        <v>0</v>
      </c>
      <c r="K44" s="206">
        <f>'ADJ DETAIL-INPUT'!K44</f>
        <v>0</v>
      </c>
      <c r="L44" s="205">
        <f>'ADJ DETAIL-INPUT'!L44</f>
        <v>48</v>
      </c>
      <c r="M44" s="206">
        <f>'ADJ DETAIL-INPUT'!M44</f>
        <v>-230</v>
      </c>
      <c r="N44" s="205">
        <f>'ADJ DETAIL-INPUT'!N44</f>
        <v>0</v>
      </c>
      <c r="O44" s="205">
        <f>'ADJ DETAIL-INPUT'!O44</f>
        <v>0</v>
      </c>
      <c r="P44" s="206">
        <f>'ADJ DETAIL-INPUT'!P44</f>
        <v>0</v>
      </c>
      <c r="Q44" s="206">
        <f>'ADJ DETAIL-INPUT'!Q44</f>
        <v>0</v>
      </c>
      <c r="R44" s="206">
        <f>'ADJ DETAIL-INPUT'!R44</f>
        <v>-5</v>
      </c>
      <c r="S44" s="206">
        <f>'ADJ DETAIL-INPUT'!S44</f>
        <v>0</v>
      </c>
      <c r="T44" s="206">
        <f>'ADJ DETAIL-INPUT'!T44</f>
        <v>0</v>
      </c>
      <c r="U44" s="205">
        <f>'ADJ DETAIL-INPUT'!U44</f>
        <v>-4.7480000000000002</v>
      </c>
      <c r="V44" s="204">
        <f>'ADJ DETAIL-INPUT'!V44</f>
        <v>-75</v>
      </c>
      <c r="W44" s="204">
        <f>'ADJ DETAIL-INPUT'!W44</f>
        <v>0</v>
      </c>
      <c r="X44" s="204">
        <f>'ADJ DETAIL-INPUT'!X44</f>
        <v>0</v>
      </c>
      <c r="Y44" s="204">
        <f>'ADJ DETAIL-INPUT'!Y44</f>
        <v>0</v>
      </c>
      <c r="Z44" s="207">
        <f>'ADJ DETAIL-INPUT'!Z44</f>
        <v>55685.252</v>
      </c>
      <c r="AA44" s="204"/>
      <c r="AB44" s="204"/>
      <c r="AC44" s="204"/>
      <c r="AD44" s="204"/>
      <c r="AE44" s="205"/>
      <c r="AF44" s="204"/>
      <c r="AG44" s="204"/>
      <c r="AH44" s="204"/>
      <c r="AI44" s="204"/>
      <c r="AJ44" s="204"/>
      <c r="AK44" s="204"/>
      <c r="AL44" s="204"/>
      <c r="AM44" s="204"/>
      <c r="AN44" s="204"/>
      <c r="AO44" s="205"/>
      <c r="AP44" s="205">
        <f>'ADJ DETAIL-INPUT'!AP44</f>
        <v>0</v>
      </c>
      <c r="AQ44" s="205">
        <f>'ADJ DETAIL-INPUT'!AQ44</f>
        <v>0</v>
      </c>
      <c r="AR44" s="205">
        <f>'ADJ DETAIL-INPUT'!AR44</f>
        <v>0</v>
      </c>
      <c r="AS44" s="208">
        <f>'ADJ DETAIL-INPUT'!AS44</f>
        <v>55685.252</v>
      </c>
      <c r="AT44" s="75"/>
      <c r="AU44" s="133"/>
      <c r="AV44" s="75"/>
      <c r="AZ44" s="133"/>
      <c r="BD44" s="133"/>
    </row>
    <row r="45" spans="1:56" s="19" customFormat="1" ht="12">
      <c r="A45" s="17">
        <f>'ADJ DETAIL-INPUT'!A45</f>
        <v>24</v>
      </c>
      <c r="B45" s="19" t="str">
        <f>'ADJ DETAIL-INPUT'!B45</f>
        <v xml:space="preserve">Total Electric Expenses  </v>
      </c>
      <c r="E45" s="371">
        <f>'ADJ DETAIL-INPUT'!E45</f>
        <v>579520</v>
      </c>
      <c r="F45" s="205">
        <f>'ADJ DETAIL-INPUT'!F45</f>
        <v>0</v>
      </c>
      <c r="G45" s="205">
        <f>'ADJ DETAIL-INPUT'!G45</f>
        <v>-181</v>
      </c>
      <c r="H45" s="204">
        <f>'ADJ DETAIL-INPUT'!H45</f>
        <v>0</v>
      </c>
      <c r="I45" s="206">
        <f>'ADJ DETAIL-INPUT'!I45</f>
        <v>-16308</v>
      </c>
      <c r="J45" s="205">
        <f>'ADJ DETAIL-INPUT'!J45</f>
        <v>66</v>
      </c>
      <c r="K45" s="206">
        <f>'ADJ DETAIL-INPUT'!K45</f>
        <v>317</v>
      </c>
      <c r="L45" s="205">
        <f>'ADJ DETAIL-INPUT'!L45</f>
        <v>48</v>
      </c>
      <c r="M45" s="206">
        <f>'ADJ DETAIL-INPUT'!M45</f>
        <v>-230</v>
      </c>
      <c r="N45" s="205">
        <f>'ADJ DETAIL-INPUT'!N45</f>
        <v>0</v>
      </c>
      <c r="O45" s="205">
        <f>'ADJ DETAIL-INPUT'!O45</f>
        <v>-12788</v>
      </c>
      <c r="P45" s="206">
        <f>'ADJ DETAIL-INPUT'!P45</f>
        <v>14</v>
      </c>
      <c r="Q45" s="206">
        <f>'ADJ DETAIL-INPUT'!Q45</f>
        <v>-2</v>
      </c>
      <c r="R45" s="206">
        <f>'ADJ DETAIL-INPUT'!R45</f>
        <v>-5</v>
      </c>
      <c r="S45" s="206">
        <f>'ADJ DETAIL-INPUT'!S45</f>
        <v>-103</v>
      </c>
      <c r="T45" s="206">
        <f>'ADJ DETAIL-INPUT'!T45</f>
        <v>-80</v>
      </c>
      <c r="U45" s="205">
        <f>'ADJ DETAIL-INPUT'!U45</f>
        <v>-106.5926</v>
      </c>
      <c r="V45" s="204">
        <f>'ADJ DETAIL-INPUT'!V45</f>
        <v>-90</v>
      </c>
      <c r="W45" s="204">
        <f>'ADJ DETAIL-INPUT'!W45</f>
        <v>-1278</v>
      </c>
      <c r="X45" s="204">
        <f>'ADJ DETAIL-INPUT'!X45</f>
        <v>-127640</v>
      </c>
      <c r="Y45" s="204">
        <f>'ADJ DETAIL-INPUT'!Y45</f>
        <v>0</v>
      </c>
      <c r="Z45" s="207">
        <f>'ADJ DETAIL-INPUT'!Z45</f>
        <v>421153.40740000003</v>
      </c>
      <c r="AA45" s="204"/>
      <c r="AB45" s="204"/>
      <c r="AC45" s="204"/>
      <c r="AD45" s="204"/>
      <c r="AE45" s="205"/>
      <c r="AF45" s="204"/>
      <c r="AG45" s="204"/>
      <c r="AH45" s="204"/>
      <c r="AI45" s="204"/>
      <c r="AJ45" s="204"/>
      <c r="AK45" s="204"/>
      <c r="AL45" s="204"/>
      <c r="AM45" s="204"/>
      <c r="AN45" s="204"/>
      <c r="AO45" s="205"/>
      <c r="AP45" s="205">
        <f>'ADJ DETAIL-INPUT'!AP45</f>
        <v>0</v>
      </c>
      <c r="AQ45" s="205">
        <f>'ADJ DETAIL-INPUT'!AQ45</f>
        <v>0</v>
      </c>
      <c r="AR45" s="205">
        <f>'ADJ DETAIL-INPUT'!AR45</f>
        <v>0</v>
      </c>
      <c r="AS45" s="208">
        <f>'ADJ DETAIL-INPUT'!AS45</f>
        <v>421153.40740000003</v>
      </c>
      <c r="AT45" s="75"/>
      <c r="AU45" s="133"/>
      <c r="AV45" s="75"/>
      <c r="AZ45" s="133"/>
      <c r="BD45" s="133"/>
    </row>
    <row r="46" spans="1:56" s="19" customFormat="1" ht="6.75" customHeight="1">
      <c r="E46" s="99"/>
      <c r="F46" s="174"/>
      <c r="G46" s="174"/>
      <c r="H46" s="175"/>
      <c r="I46" s="176"/>
      <c r="J46" s="174"/>
      <c r="K46" s="176"/>
      <c r="L46" s="174"/>
      <c r="M46" s="176"/>
      <c r="N46" s="174"/>
      <c r="O46" s="174"/>
      <c r="P46" s="176"/>
      <c r="Q46" s="176"/>
      <c r="R46" s="176"/>
      <c r="S46" s="176"/>
      <c r="T46" s="176"/>
      <c r="U46" s="174"/>
      <c r="V46" s="175"/>
      <c r="W46" s="175"/>
      <c r="X46" s="175"/>
      <c r="Y46" s="175"/>
      <c r="Z46" s="173"/>
      <c r="AA46" s="175"/>
      <c r="AB46" s="175"/>
      <c r="AC46" s="175"/>
      <c r="AD46" s="175"/>
      <c r="AE46" s="174"/>
      <c r="AF46" s="175"/>
      <c r="AG46" s="175"/>
      <c r="AH46" s="175"/>
      <c r="AI46" s="175"/>
      <c r="AJ46" s="175"/>
      <c r="AK46" s="175"/>
      <c r="AL46" s="175"/>
      <c r="AM46" s="175"/>
      <c r="AN46" s="175"/>
      <c r="AO46" s="174"/>
      <c r="AP46" s="174"/>
      <c r="AQ46" s="174"/>
      <c r="AR46" s="174"/>
      <c r="AS46" s="177"/>
      <c r="AT46" s="75"/>
      <c r="AU46" s="133"/>
      <c r="AV46" s="75"/>
      <c r="AZ46" s="133"/>
      <c r="BD46" s="133"/>
    </row>
    <row r="47" spans="1:56" s="19" customFormat="1" ht="12">
      <c r="A47" s="17">
        <f>'ADJ DETAIL-INPUT'!A47</f>
        <v>25</v>
      </c>
      <c r="B47" s="19" t="str">
        <f>'ADJ DETAIL-INPUT'!B47</f>
        <v xml:space="preserve">OPERATING INCOME BEFORE FIT  </v>
      </c>
      <c r="E47" s="99">
        <f>'ADJ DETAIL-INPUT'!E47</f>
        <v>99603</v>
      </c>
      <c r="F47" s="174">
        <f>'ADJ DETAIL-INPUT'!F47</f>
        <v>0</v>
      </c>
      <c r="G47" s="174">
        <f>'ADJ DETAIL-INPUT'!G47</f>
        <v>181</v>
      </c>
      <c r="H47" s="175">
        <f>'ADJ DETAIL-INPUT'!H47</f>
        <v>0</v>
      </c>
      <c r="I47" s="176">
        <f>'ADJ DETAIL-INPUT'!I47</f>
        <v>-69</v>
      </c>
      <c r="J47" s="174">
        <f>'ADJ DETAIL-INPUT'!J47</f>
        <v>-66</v>
      </c>
      <c r="K47" s="176">
        <f>'ADJ DETAIL-INPUT'!K47</f>
        <v>-317</v>
      </c>
      <c r="L47" s="174">
        <f>'ADJ DETAIL-INPUT'!L47</f>
        <v>-48</v>
      </c>
      <c r="M47" s="176">
        <f>'ADJ DETAIL-INPUT'!M47</f>
        <v>230</v>
      </c>
      <c r="N47" s="174">
        <f>'ADJ DETAIL-INPUT'!N47</f>
        <v>0</v>
      </c>
      <c r="O47" s="174">
        <f>'ADJ DETAIL-INPUT'!O47</f>
        <v>12788</v>
      </c>
      <c r="P47" s="176">
        <f>'ADJ DETAIL-INPUT'!P47</f>
        <v>-14</v>
      </c>
      <c r="Q47" s="176">
        <f>'ADJ DETAIL-INPUT'!Q47</f>
        <v>2</v>
      </c>
      <c r="R47" s="176">
        <f>'ADJ DETAIL-INPUT'!R47</f>
        <v>5</v>
      </c>
      <c r="S47" s="176">
        <f>'ADJ DETAIL-INPUT'!S47</f>
        <v>103</v>
      </c>
      <c r="T47" s="176">
        <f>'ADJ DETAIL-INPUT'!T47</f>
        <v>80</v>
      </c>
      <c r="U47" s="174">
        <f>'ADJ DETAIL-INPUT'!U47</f>
        <v>-2267.4074000000001</v>
      </c>
      <c r="V47" s="175">
        <f>'ADJ DETAIL-INPUT'!V47</f>
        <v>90</v>
      </c>
      <c r="W47" s="175">
        <f>'ADJ DETAIL-INPUT'!W47</f>
        <v>1278</v>
      </c>
      <c r="X47" s="175">
        <f>'ADJ DETAIL-INPUT'!X47</f>
        <v>-13805</v>
      </c>
      <c r="Y47" s="175">
        <f>'ADJ DETAIL-INPUT'!Y47</f>
        <v>0</v>
      </c>
      <c r="Z47" s="173">
        <f>'ADJ DETAIL-INPUT'!Z47</f>
        <v>97773.592599999974</v>
      </c>
      <c r="AA47" s="175"/>
      <c r="AB47" s="175"/>
      <c r="AC47" s="175"/>
      <c r="AD47" s="175"/>
      <c r="AE47" s="174"/>
      <c r="AF47" s="175"/>
      <c r="AG47" s="175"/>
      <c r="AH47" s="175"/>
      <c r="AI47" s="175"/>
      <c r="AJ47" s="175"/>
      <c r="AK47" s="175"/>
      <c r="AL47" s="175"/>
      <c r="AM47" s="175"/>
      <c r="AN47" s="175"/>
      <c r="AO47" s="174"/>
      <c r="AP47" s="174">
        <f>'ADJ DETAIL-INPUT'!AP47</f>
        <v>0</v>
      </c>
      <c r="AQ47" s="174">
        <f>'ADJ DETAIL-INPUT'!AQ47</f>
        <v>0</v>
      </c>
      <c r="AR47" s="174">
        <f>'ADJ DETAIL-INPUT'!AR47</f>
        <v>0</v>
      </c>
      <c r="AS47" s="177">
        <f>'ADJ DETAIL-INPUT'!AS47</f>
        <v>97773.592599999974</v>
      </c>
      <c r="AT47" s="75"/>
      <c r="AU47" s="133"/>
      <c r="AV47" s="75"/>
      <c r="AZ47" s="133"/>
      <c r="BD47" s="133"/>
    </row>
    <row r="48" spans="1:56" s="19" customFormat="1" ht="6.75" customHeight="1">
      <c r="A48" s="17"/>
      <c r="E48" s="99"/>
      <c r="F48" s="174"/>
      <c r="G48" s="174"/>
      <c r="H48" s="175"/>
      <c r="I48" s="176"/>
      <c r="J48" s="174"/>
      <c r="K48" s="176"/>
      <c r="L48" s="174"/>
      <c r="M48" s="176"/>
      <c r="N48" s="174"/>
      <c r="O48" s="174"/>
      <c r="P48" s="176"/>
      <c r="Q48" s="176"/>
      <c r="R48" s="176"/>
      <c r="S48" s="176"/>
      <c r="T48" s="176"/>
      <c r="U48" s="174"/>
      <c r="V48" s="175"/>
      <c r="W48" s="175"/>
      <c r="X48" s="175"/>
      <c r="Y48" s="175"/>
      <c r="Z48" s="173"/>
      <c r="AA48" s="175"/>
      <c r="AB48" s="175"/>
      <c r="AC48" s="175"/>
      <c r="AD48" s="175"/>
      <c r="AE48" s="174"/>
      <c r="AF48" s="175"/>
      <c r="AG48" s="175"/>
      <c r="AH48" s="175"/>
      <c r="AI48" s="175"/>
      <c r="AJ48" s="175"/>
      <c r="AK48" s="175"/>
      <c r="AL48" s="175"/>
      <c r="AM48" s="175"/>
      <c r="AN48" s="175"/>
      <c r="AO48" s="174"/>
      <c r="AP48" s="174"/>
      <c r="AQ48" s="174"/>
      <c r="AR48" s="174"/>
      <c r="AS48" s="177"/>
      <c r="AT48" s="139"/>
      <c r="AU48" s="160"/>
      <c r="AV48" s="75"/>
      <c r="AZ48" s="160"/>
      <c r="BD48" s="160"/>
    </row>
    <row r="49" spans="1:56" s="19" customFormat="1" ht="12">
      <c r="A49" s="22"/>
      <c r="B49" s="19" t="str">
        <f>'ADJ DETAIL-INPUT'!B49</f>
        <v xml:space="preserve">FEDERAL INCOME TAX  </v>
      </c>
      <c r="E49" s="99">
        <f>'ADJ DETAIL-INPUT'!E49</f>
        <v>0</v>
      </c>
      <c r="F49" s="174">
        <f>'ADJ DETAIL-INPUT'!F49</f>
        <v>0</v>
      </c>
      <c r="G49" s="174">
        <f>'ADJ DETAIL-INPUT'!G49</f>
        <v>0</v>
      </c>
      <c r="H49" s="175">
        <f>'ADJ DETAIL-INPUT'!H49</f>
        <v>0</v>
      </c>
      <c r="I49" s="176">
        <f>'ADJ DETAIL-INPUT'!I49</f>
        <v>0</v>
      </c>
      <c r="J49" s="174">
        <f>'ADJ DETAIL-INPUT'!J49</f>
        <v>0</v>
      </c>
      <c r="K49" s="176">
        <f>'ADJ DETAIL-INPUT'!K49</f>
        <v>0</v>
      </c>
      <c r="L49" s="174">
        <f>'ADJ DETAIL-INPUT'!L49</f>
        <v>0</v>
      </c>
      <c r="M49" s="176">
        <f>'ADJ DETAIL-INPUT'!M49</f>
        <v>0</v>
      </c>
      <c r="N49" s="174">
        <f>'ADJ DETAIL-INPUT'!N49</f>
        <v>0</v>
      </c>
      <c r="O49" s="174">
        <f>'ADJ DETAIL-INPUT'!O49</f>
        <v>0</v>
      </c>
      <c r="P49" s="176">
        <f>'ADJ DETAIL-INPUT'!P49</f>
        <v>0</v>
      </c>
      <c r="Q49" s="176">
        <f>'ADJ DETAIL-INPUT'!Q49</f>
        <v>0</v>
      </c>
      <c r="R49" s="176">
        <f>'ADJ DETAIL-INPUT'!R49</f>
        <v>0</v>
      </c>
      <c r="S49" s="176">
        <f>'ADJ DETAIL-INPUT'!S49</f>
        <v>0</v>
      </c>
      <c r="T49" s="176">
        <f>'ADJ DETAIL-INPUT'!T49</f>
        <v>0</v>
      </c>
      <c r="U49" s="174">
        <f>'ADJ DETAIL-INPUT'!U49</f>
        <v>0</v>
      </c>
      <c r="V49" s="175">
        <f>'ADJ DETAIL-INPUT'!V49</f>
        <v>0</v>
      </c>
      <c r="W49" s="175">
        <f>'ADJ DETAIL-INPUT'!W49</f>
        <v>0</v>
      </c>
      <c r="X49" s="175">
        <f>'ADJ DETAIL-INPUT'!X49</f>
        <v>0</v>
      </c>
      <c r="Y49" s="175">
        <f>'ADJ DETAIL-INPUT'!Y49</f>
        <v>0</v>
      </c>
      <c r="Z49" s="173">
        <f>'ADJ DETAIL-INPUT'!Z49</f>
        <v>0</v>
      </c>
      <c r="AA49" s="175"/>
      <c r="AB49" s="175"/>
      <c r="AC49" s="175"/>
      <c r="AD49" s="175"/>
      <c r="AE49" s="174"/>
      <c r="AF49" s="175"/>
      <c r="AG49" s="175"/>
      <c r="AH49" s="175"/>
      <c r="AI49" s="175"/>
      <c r="AJ49" s="175"/>
      <c r="AK49" s="175"/>
      <c r="AL49" s="175"/>
      <c r="AM49" s="175"/>
      <c r="AN49" s="175"/>
      <c r="AO49" s="174"/>
      <c r="AP49" s="174">
        <f>'ADJ DETAIL-INPUT'!AP49</f>
        <v>0</v>
      </c>
      <c r="AQ49" s="174">
        <f>'ADJ DETAIL-INPUT'!AQ49</f>
        <v>0</v>
      </c>
      <c r="AR49" s="174">
        <f>'ADJ DETAIL-INPUT'!AR49</f>
        <v>0</v>
      </c>
      <c r="AS49" s="177">
        <f>'ADJ DETAIL-INPUT'!AS49</f>
        <v>0</v>
      </c>
      <c r="AT49" s="139"/>
      <c r="AU49" s="160"/>
      <c r="AV49" s="75"/>
      <c r="AZ49" s="160"/>
      <c r="BD49" s="160"/>
    </row>
    <row r="50" spans="1:56" s="19" customFormat="1" ht="12">
      <c r="A50" s="214">
        <f>'ADJ DETAIL-INPUT'!A50</f>
        <v>26</v>
      </c>
      <c r="B50" s="19" t="str">
        <f>'ADJ DETAIL-INPUT'!B50</f>
        <v xml:space="preserve">Current Accrual </v>
      </c>
      <c r="E50" s="133">
        <f>'ADJ DETAIL-INPUT'!E50</f>
        <v>11899</v>
      </c>
      <c r="F50" s="174">
        <f>'ADJ DETAIL-INPUT'!F50</f>
        <v>0</v>
      </c>
      <c r="G50" s="174">
        <f>'ADJ DETAIL-INPUT'!G50</f>
        <v>-3.6500000000000057</v>
      </c>
      <c r="H50" s="175">
        <f>'ADJ DETAIL-INPUT'!H50</f>
        <v>0</v>
      </c>
      <c r="I50" s="174">
        <f>'ADJ DETAIL-INPUT'!I50</f>
        <v>-24.15</v>
      </c>
      <c r="J50" s="174">
        <f>'ADJ DETAIL-INPUT'!J50</f>
        <v>-23.099999999999998</v>
      </c>
      <c r="K50" s="174">
        <f>'ADJ DETAIL-INPUT'!K50</f>
        <v>-110.94999999999999</v>
      </c>
      <c r="L50" s="174">
        <f>'ADJ DETAIL-INPUT'!L50</f>
        <v>-16.799999999999997</v>
      </c>
      <c r="M50" s="174">
        <f>'ADJ DETAIL-INPUT'!M50</f>
        <v>80.5</v>
      </c>
      <c r="N50" s="174">
        <f>'ADJ DETAIL-INPUT'!N50</f>
        <v>-147</v>
      </c>
      <c r="O50" s="174">
        <f>'ADJ DETAIL-INPUT'!O50</f>
        <v>0</v>
      </c>
      <c r="P50" s="174">
        <f>'ADJ DETAIL-INPUT'!P50</f>
        <v>-4.8999999999999995</v>
      </c>
      <c r="Q50" s="174">
        <f>'ADJ DETAIL-INPUT'!Q50</f>
        <v>0.7</v>
      </c>
      <c r="R50" s="174">
        <f>'ADJ DETAIL-INPUT'!R50</f>
        <v>1.75</v>
      </c>
      <c r="S50" s="174">
        <f>'ADJ DETAIL-INPUT'!S50</f>
        <v>36.049999999999997</v>
      </c>
      <c r="T50" s="174">
        <f>'ADJ DETAIL-INPUT'!T50</f>
        <v>28</v>
      </c>
      <c r="U50" s="174">
        <f>'ADJ DETAIL-INPUT'!U50</f>
        <v>-793.59258999999997</v>
      </c>
      <c r="V50" s="175">
        <f>'ADJ DETAIL-INPUT'!V50</f>
        <v>31.499999999999996</v>
      </c>
      <c r="W50" s="175">
        <f>'ADJ DETAIL-INPUT'!W50</f>
        <v>447.29999999999995</v>
      </c>
      <c r="X50" s="175">
        <f>'ADJ DETAIL-INPUT'!X50</f>
        <v>-4831.75</v>
      </c>
      <c r="Y50" s="175">
        <f>'ADJ DETAIL-INPUT'!Y50</f>
        <v>0</v>
      </c>
      <c r="Z50" s="173">
        <f>'ADJ DETAIL-INPUT'!Z50</f>
        <v>6568.9074099999998</v>
      </c>
      <c r="AA50" s="175"/>
      <c r="AB50" s="175"/>
      <c r="AC50" s="175"/>
      <c r="AD50" s="175"/>
      <c r="AE50" s="174"/>
      <c r="AF50" s="175"/>
      <c r="AG50" s="175"/>
      <c r="AH50" s="175"/>
      <c r="AI50" s="175"/>
      <c r="AJ50" s="175"/>
      <c r="AK50" s="175"/>
      <c r="AL50" s="175"/>
      <c r="AM50" s="175"/>
      <c r="AN50" s="175"/>
      <c r="AO50" s="174"/>
      <c r="AP50" s="174">
        <f>'ADJ DETAIL-INPUT'!AP50</f>
        <v>0</v>
      </c>
      <c r="AQ50" s="174">
        <f>'ADJ DETAIL-INPUT'!AQ50</f>
        <v>0</v>
      </c>
      <c r="AR50" s="174">
        <f>'ADJ DETAIL-INPUT'!AR50</f>
        <v>0</v>
      </c>
      <c r="AS50" s="177">
        <f>'ADJ DETAIL-INPUT'!AS50</f>
        <v>6568.9074099999998</v>
      </c>
      <c r="AT50" s="139"/>
      <c r="AU50" s="160"/>
      <c r="AV50" s="75"/>
      <c r="AX50" s="18"/>
      <c r="AZ50" s="160"/>
      <c r="BD50" s="160"/>
    </row>
    <row r="51" spans="1:56" s="99" customFormat="1" ht="12">
      <c r="A51" s="17">
        <f>'ADJ DETAIL-INPUT'!A51</f>
        <v>27</v>
      </c>
      <c r="B51" s="99" t="str">
        <f>'ADJ DETAIL-INPUT'!B51</f>
        <v>Debt Interest</v>
      </c>
      <c r="E51" s="133">
        <f>'ADJ DETAIL-INPUT'!E51</f>
        <v>0</v>
      </c>
      <c r="F51" s="175">
        <f>'ADJ DETAIL-INPUT'!F51</f>
        <v>-2.8428749999999998</v>
      </c>
      <c r="G51" s="175">
        <f>'ADJ DETAIL-INPUT'!G51</f>
        <v>0.21944999999999998</v>
      </c>
      <c r="H51" s="175">
        <f>'ADJ DETAIL-INPUT'!H51</f>
        <v>-136.547775</v>
      </c>
      <c r="I51" s="175">
        <f>'ADJ DETAIL-INPUT'!I51</f>
        <v>0</v>
      </c>
      <c r="J51" s="175">
        <f>'ADJ DETAIL-INPUT'!J51</f>
        <v>0</v>
      </c>
      <c r="K51" s="175">
        <f>'ADJ DETAIL-INPUT'!K51</f>
        <v>0</v>
      </c>
      <c r="L51" s="175">
        <f>'ADJ DETAIL-INPUT'!L51</f>
        <v>0</v>
      </c>
      <c r="M51" s="175">
        <f>'ADJ DETAIL-INPUT'!M51</f>
        <v>0</v>
      </c>
      <c r="N51" s="175">
        <f>'ADJ DETAIL-INPUT'!N51</f>
        <v>0</v>
      </c>
      <c r="O51" s="175">
        <f>'ADJ DETAIL-INPUT'!O51</f>
        <v>0</v>
      </c>
      <c r="P51" s="175">
        <f>'ADJ DETAIL-INPUT'!P51</f>
        <v>0</v>
      </c>
      <c r="Q51" s="175">
        <f>'ADJ DETAIL-INPUT'!Q51</f>
        <v>0</v>
      </c>
      <c r="R51" s="175">
        <f>'ADJ DETAIL-INPUT'!R51</f>
        <v>0</v>
      </c>
      <c r="S51" s="175">
        <f>'ADJ DETAIL-INPUT'!S51</f>
        <v>0</v>
      </c>
      <c r="T51" s="175">
        <f>'ADJ DETAIL-INPUT'!T51</f>
        <v>0</v>
      </c>
      <c r="U51" s="175">
        <f>'ADJ DETAIL-INPUT'!U51</f>
        <v>0</v>
      </c>
      <c r="V51" s="175">
        <f>'ADJ DETAIL-INPUT'!V51</f>
        <v>0</v>
      </c>
      <c r="W51" s="175">
        <f>'ADJ DETAIL-INPUT'!W51</f>
        <v>0</v>
      </c>
      <c r="X51" s="175">
        <f>'ADJ DETAIL-INPUT'!X51</f>
        <v>0</v>
      </c>
      <c r="Y51" s="175">
        <f>'ADJ DETAIL-INPUT'!Y51</f>
        <v>346</v>
      </c>
      <c r="Z51" s="173">
        <f>'ADJ DETAIL-INPUT'!Z51</f>
        <v>206.8288</v>
      </c>
      <c r="AA51" s="175"/>
      <c r="AB51" s="175"/>
      <c r="AC51" s="175"/>
      <c r="AD51" s="175"/>
      <c r="AE51" s="175"/>
      <c r="AF51" s="175"/>
      <c r="AG51" s="175"/>
      <c r="AH51" s="175"/>
      <c r="AI51" s="175"/>
      <c r="AJ51" s="175"/>
      <c r="AK51" s="175"/>
      <c r="AL51" s="175"/>
      <c r="AM51" s="175"/>
      <c r="AN51" s="175"/>
      <c r="AO51" s="175"/>
      <c r="AP51" s="175">
        <f>'ADJ DETAIL-INPUT'!AP51</f>
        <v>0</v>
      </c>
      <c r="AQ51" s="175">
        <f>'ADJ DETAIL-INPUT'!AQ51</f>
        <v>0</v>
      </c>
      <c r="AR51" s="175">
        <f>'ADJ DETAIL-INPUT'!AR51</f>
        <v>0</v>
      </c>
      <c r="AS51" s="177">
        <f>'ADJ DETAIL-INPUT'!AS51</f>
        <v>206.8288</v>
      </c>
      <c r="AT51" s="160"/>
      <c r="AU51" s="160"/>
      <c r="AV51" s="133"/>
      <c r="AX51" s="215"/>
      <c r="AZ51" s="160"/>
      <c r="BD51" s="160"/>
    </row>
    <row r="52" spans="1:56" s="19" customFormat="1" ht="12">
      <c r="A52" s="17">
        <f>'ADJ DETAIL-INPUT'!A52</f>
        <v>28</v>
      </c>
      <c r="B52" s="19" t="str">
        <f>'ADJ DETAIL-INPUT'!B52</f>
        <v xml:space="preserve">Deferred Income Taxes  </v>
      </c>
      <c r="E52" s="133">
        <f>'ADJ DETAIL-INPUT'!E52</f>
        <v>11779</v>
      </c>
      <c r="F52" s="301">
        <f>'ADJ DETAIL-INPUT'!F52</f>
        <v>0</v>
      </c>
      <c r="G52" s="301">
        <f>'ADJ DETAIL-INPUT'!G52</f>
        <v>0</v>
      </c>
      <c r="H52" s="302">
        <f>'ADJ DETAIL-INPUT'!H52</f>
        <v>0</v>
      </c>
      <c r="I52" s="301">
        <f>'ADJ DETAIL-INPUT'!I52</f>
        <v>0</v>
      </c>
      <c r="J52" s="301">
        <f>'ADJ DETAIL-INPUT'!J52</f>
        <v>0</v>
      </c>
      <c r="K52" s="301">
        <f>'ADJ DETAIL-INPUT'!K52</f>
        <v>0</v>
      </c>
      <c r="L52" s="301">
        <f>'ADJ DETAIL-INPUT'!L52</f>
        <v>0</v>
      </c>
      <c r="M52" s="301">
        <f>'ADJ DETAIL-INPUT'!M52</f>
        <v>0</v>
      </c>
      <c r="N52" s="301">
        <f>'ADJ DETAIL-INPUT'!N52</f>
        <v>147</v>
      </c>
      <c r="O52" s="301">
        <f>'ADJ DETAIL-INPUT'!O52</f>
        <v>4476</v>
      </c>
      <c r="P52" s="301">
        <f>'ADJ DETAIL-INPUT'!P52</f>
        <v>0</v>
      </c>
      <c r="Q52" s="301">
        <f>'ADJ DETAIL-INPUT'!Q52</f>
        <v>0</v>
      </c>
      <c r="R52" s="301">
        <f>'ADJ DETAIL-INPUT'!R52</f>
        <v>0</v>
      </c>
      <c r="S52" s="301">
        <f>'ADJ DETAIL-INPUT'!S52</f>
        <v>0</v>
      </c>
      <c r="T52" s="301">
        <f>'ADJ DETAIL-INPUT'!T52</f>
        <v>0</v>
      </c>
      <c r="U52" s="301">
        <f>'ADJ DETAIL-INPUT'!U52</f>
        <v>0</v>
      </c>
      <c r="V52" s="302">
        <f>'ADJ DETAIL-INPUT'!V52</f>
        <v>0</v>
      </c>
      <c r="W52" s="302">
        <f>'ADJ DETAIL-INPUT'!W52</f>
        <v>0</v>
      </c>
      <c r="X52" s="302">
        <f>'ADJ DETAIL-INPUT'!X52</f>
        <v>0</v>
      </c>
      <c r="Y52" s="302">
        <f>'ADJ DETAIL-INPUT'!Y52</f>
        <v>0</v>
      </c>
      <c r="Z52" s="173">
        <f>'ADJ DETAIL-INPUT'!Z52</f>
        <v>16402</v>
      </c>
      <c r="AA52" s="302"/>
      <c r="AB52" s="302"/>
      <c r="AC52" s="302"/>
      <c r="AD52" s="302"/>
      <c r="AE52" s="301"/>
      <c r="AF52" s="302"/>
      <c r="AG52" s="302"/>
      <c r="AH52" s="302"/>
      <c r="AI52" s="302"/>
      <c r="AJ52" s="302"/>
      <c r="AK52" s="302"/>
      <c r="AL52" s="302"/>
      <c r="AM52" s="302"/>
      <c r="AN52" s="302"/>
      <c r="AO52" s="301"/>
      <c r="AP52" s="174">
        <f>'ADJ DETAIL-INPUT'!AP52</f>
        <v>0</v>
      </c>
      <c r="AQ52" s="174">
        <f>'ADJ DETAIL-INPUT'!AQ52</f>
        <v>0</v>
      </c>
      <c r="AR52" s="174">
        <f>'ADJ DETAIL-INPUT'!AR52</f>
        <v>0</v>
      </c>
      <c r="AS52" s="177">
        <f>'ADJ DETAIL-INPUT'!AS52</f>
        <v>16402</v>
      </c>
      <c r="AT52" s="139"/>
      <c r="AU52" s="160"/>
      <c r="AV52" s="75"/>
      <c r="AX52" s="2"/>
      <c r="AZ52" s="160"/>
      <c r="BD52" s="160"/>
    </row>
    <row r="53" spans="1:56" s="19" customFormat="1" ht="12">
      <c r="A53" s="22">
        <f>'ADJ DETAIL-INPUT'!A53</f>
        <v>29</v>
      </c>
      <c r="B53" s="19" t="str">
        <f>'ADJ DETAIL-INPUT'!B53</f>
        <v>Amortized ITC - Noxon</v>
      </c>
      <c r="E53" s="371">
        <f>'ADJ DETAIL-INPUT'!E53</f>
        <v>-99</v>
      </c>
      <c r="F53" s="303">
        <f>'ADJ DETAIL-INPUT'!F53</f>
        <v>0</v>
      </c>
      <c r="G53" s="303">
        <f>'ADJ DETAIL-INPUT'!G53</f>
        <v>0</v>
      </c>
      <c r="H53" s="304">
        <f>'ADJ DETAIL-INPUT'!H53</f>
        <v>0</v>
      </c>
      <c r="I53" s="303">
        <f>'ADJ DETAIL-INPUT'!I53</f>
        <v>0</v>
      </c>
      <c r="J53" s="303">
        <f>'ADJ DETAIL-INPUT'!J53</f>
        <v>0</v>
      </c>
      <c r="K53" s="303">
        <f>'ADJ DETAIL-INPUT'!K53</f>
        <v>0</v>
      </c>
      <c r="L53" s="303">
        <f>'ADJ DETAIL-INPUT'!L53</f>
        <v>0</v>
      </c>
      <c r="M53" s="303">
        <f>'ADJ DETAIL-INPUT'!M53</f>
        <v>0</v>
      </c>
      <c r="N53" s="303">
        <f>'ADJ DETAIL-INPUT'!N53</f>
        <v>0</v>
      </c>
      <c r="O53" s="303">
        <f>'ADJ DETAIL-INPUT'!O53</f>
        <v>0</v>
      </c>
      <c r="P53" s="303">
        <f>'ADJ DETAIL-INPUT'!P53</f>
        <v>0</v>
      </c>
      <c r="Q53" s="303">
        <f>'ADJ DETAIL-INPUT'!Q53</f>
        <v>0</v>
      </c>
      <c r="R53" s="303">
        <f>'ADJ DETAIL-INPUT'!R53</f>
        <v>0</v>
      </c>
      <c r="S53" s="303">
        <f>'ADJ DETAIL-INPUT'!S53</f>
        <v>0</v>
      </c>
      <c r="T53" s="303">
        <f>'ADJ DETAIL-INPUT'!T53</f>
        <v>0</v>
      </c>
      <c r="U53" s="303">
        <f>'ADJ DETAIL-INPUT'!U53</f>
        <v>0</v>
      </c>
      <c r="V53" s="304">
        <f>'ADJ DETAIL-INPUT'!V53</f>
        <v>0</v>
      </c>
      <c r="W53" s="304">
        <f>'ADJ DETAIL-INPUT'!W53</f>
        <v>0</v>
      </c>
      <c r="X53" s="304">
        <f>'ADJ DETAIL-INPUT'!X53</f>
        <v>0</v>
      </c>
      <c r="Y53" s="304">
        <f>'ADJ DETAIL-INPUT'!Y53</f>
        <v>0</v>
      </c>
      <c r="Z53" s="207">
        <f>'ADJ DETAIL-INPUT'!Z53</f>
        <v>-99</v>
      </c>
      <c r="AA53" s="304"/>
      <c r="AB53" s="304"/>
      <c r="AC53" s="304"/>
      <c r="AD53" s="304"/>
      <c r="AE53" s="303"/>
      <c r="AF53" s="304"/>
      <c r="AG53" s="304"/>
      <c r="AH53" s="304"/>
      <c r="AI53" s="304"/>
      <c r="AJ53" s="304"/>
      <c r="AK53" s="304"/>
      <c r="AL53" s="304"/>
      <c r="AM53" s="304"/>
      <c r="AN53" s="304"/>
      <c r="AO53" s="303"/>
      <c r="AP53" s="205">
        <f>'ADJ DETAIL-INPUT'!AP53</f>
        <v>0</v>
      </c>
      <c r="AQ53" s="205">
        <f>'ADJ DETAIL-INPUT'!AQ53</f>
        <v>0</v>
      </c>
      <c r="AR53" s="205">
        <f>'ADJ DETAIL-INPUT'!AR53</f>
        <v>0</v>
      </c>
      <c r="AS53" s="208">
        <f>'ADJ DETAIL-INPUT'!AS53</f>
        <v>-99</v>
      </c>
      <c r="AT53" s="139"/>
      <c r="AU53" s="160"/>
      <c r="AV53" s="75"/>
      <c r="AX53" s="2"/>
      <c r="AZ53" s="160"/>
      <c r="BD53" s="160"/>
    </row>
    <row r="54" spans="1:56" ht="6.75" customHeight="1"/>
    <row r="55" spans="1:56" s="18" customFormat="1" thickBot="1">
      <c r="A55" s="21">
        <f>'ADJ DETAIL-INPUT'!A55</f>
        <v>30</v>
      </c>
      <c r="B55" s="18" t="str">
        <f>'ADJ DETAIL-INPUT'!B55</f>
        <v xml:space="preserve">NET OPERATING INCOME  </v>
      </c>
      <c r="E55" s="372">
        <f>'ADJ DETAIL-INPUT'!E55</f>
        <v>76024</v>
      </c>
      <c r="F55" s="380">
        <f>'ADJ DETAIL-INPUT'!F55</f>
        <v>2.8428749999999998</v>
      </c>
      <c r="G55" s="380">
        <f>'ADJ DETAIL-INPUT'!G55</f>
        <v>184.43055000000001</v>
      </c>
      <c r="H55" s="372">
        <f>'ADJ DETAIL-INPUT'!H55</f>
        <v>136.547775</v>
      </c>
      <c r="I55" s="381">
        <f>'ADJ DETAIL-INPUT'!I55</f>
        <v>-44.85</v>
      </c>
      <c r="J55" s="380">
        <f>'ADJ DETAIL-INPUT'!J55</f>
        <v>-42.900000000000006</v>
      </c>
      <c r="K55" s="381">
        <f>'ADJ DETAIL-INPUT'!K55</f>
        <v>-206.05</v>
      </c>
      <c r="L55" s="380">
        <f>'ADJ DETAIL-INPUT'!L55</f>
        <v>-31.200000000000003</v>
      </c>
      <c r="M55" s="381">
        <f>'ADJ DETAIL-INPUT'!M55</f>
        <v>149.5</v>
      </c>
      <c r="N55" s="380">
        <f>'ADJ DETAIL-INPUT'!N55</f>
        <v>0</v>
      </c>
      <c r="O55" s="380">
        <f>'ADJ DETAIL-INPUT'!O55</f>
        <v>8312</v>
      </c>
      <c r="P55" s="381">
        <f>'ADJ DETAIL-INPUT'!P55</f>
        <v>-9.1000000000000014</v>
      </c>
      <c r="Q55" s="381">
        <f>'ADJ DETAIL-INPUT'!Q55</f>
        <v>1.3</v>
      </c>
      <c r="R55" s="381">
        <f>'ADJ DETAIL-INPUT'!R55</f>
        <v>3.25</v>
      </c>
      <c r="S55" s="381">
        <f>'ADJ DETAIL-INPUT'!S55</f>
        <v>66.95</v>
      </c>
      <c r="T55" s="381">
        <f>'ADJ DETAIL-INPUT'!T55</f>
        <v>52</v>
      </c>
      <c r="U55" s="380">
        <f>'ADJ DETAIL-INPUT'!U55</f>
        <v>-1473.8148100000001</v>
      </c>
      <c r="V55" s="372">
        <f>'ADJ DETAIL-INPUT'!V55</f>
        <v>58.5</v>
      </c>
      <c r="W55" s="372">
        <f>'ADJ DETAIL-INPUT'!W55</f>
        <v>830.7</v>
      </c>
      <c r="X55" s="372">
        <f>'ADJ DETAIL-INPUT'!X55</f>
        <v>-8973.25</v>
      </c>
      <c r="Y55" s="372">
        <f>'ADJ DETAIL-INPUT'!Y55</f>
        <v>-346</v>
      </c>
      <c r="Z55" s="382">
        <f>'ADJ DETAIL-INPUT'!Z55</f>
        <v>74694.856389999972</v>
      </c>
      <c r="AA55" s="372"/>
      <c r="AB55" s="372"/>
      <c r="AC55" s="372"/>
      <c r="AD55" s="372"/>
      <c r="AE55" s="380"/>
      <c r="AF55" s="372"/>
      <c r="AG55" s="372"/>
      <c r="AH55" s="372"/>
      <c r="AI55" s="372"/>
      <c r="AJ55" s="372"/>
      <c r="AK55" s="372"/>
      <c r="AL55" s="372"/>
      <c r="AM55" s="372"/>
      <c r="AN55" s="372"/>
      <c r="AO55" s="380"/>
      <c r="AP55" s="380">
        <f>'ADJ DETAIL-INPUT'!AP55</f>
        <v>0</v>
      </c>
      <c r="AQ55" s="380">
        <f>'ADJ DETAIL-INPUT'!AQ55</f>
        <v>0</v>
      </c>
      <c r="AR55" s="380">
        <f>'ADJ DETAIL-INPUT'!AR55</f>
        <v>0</v>
      </c>
      <c r="AS55" s="383">
        <f>'ADJ DETAIL-INPUT'!AS55</f>
        <v>74694.856389999972</v>
      </c>
      <c r="AT55" s="127"/>
      <c r="AU55" s="161"/>
      <c r="AV55" s="127"/>
      <c r="AX55" s="2"/>
      <c r="AZ55" s="161"/>
      <c r="BD55" s="161"/>
    </row>
    <row r="56" spans="1:56" ht="8.25" customHeight="1" thickTop="1">
      <c r="A56" s="21"/>
    </row>
    <row r="57" spans="1:56">
      <c r="A57" s="21"/>
      <c r="B57" s="2" t="str">
        <f>'ADJ DETAIL-INPUT'!B57</f>
        <v xml:space="preserve">RATE BASE  </v>
      </c>
    </row>
    <row r="58" spans="1:56">
      <c r="B58" s="2" t="str">
        <f>'ADJ DETAIL-INPUT'!B58</f>
        <v xml:space="preserve">PLANT IN SERVICE  </v>
      </c>
    </row>
    <row r="59" spans="1:56" s="18" customFormat="1" ht="12">
      <c r="A59" s="342">
        <f>'ADJ DETAIL-INPUT'!A59</f>
        <v>31</v>
      </c>
      <c r="C59" s="18" t="str">
        <f>'ADJ DETAIL-INPUT'!C59</f>
        <v xml:space="preserve">Intangible  </v>
      </c>
      <c r="E59" s="161">
        <f>'ADJ DETAIL-INPUT'!E59</f>
        <v>84081</v>
      </c>
      <c r="F59" s="373">
        <f>'ADJ DETAIL-INPUT'!F59</f>
        <v>0</v>
      </c>
      <c r="G59" s="373">
        <f>'ADJ DETAIL-INPUT'!G59</f>
        <v>0</v>
      </c>
      <c r="H59" s="374">
        <f>'ADJ DETAIL-INPUT'!H59</f>
        <v>0</v>
      </c>
      <c r="I59" s="373">
        <f>'ADJ DETAIL-INPUT'!I59</f>
        <v>0</v>
      </c>
      <c r="J59" s="373">
        <f>'ADJ DETAIL-INPUT'!J59</f>
        <v>0</v>
      </c>
      <c r="K59" s="373">
        <f>'ADJ DETAIL-INPUT'!K59</f>
        <v>0</v>
      </c>
      <c r="L59" s="373">
        <f>'ADJ DETAIL-INPUT'!L59</f>
        <v>0</v>
      </c>
      <c r="M59" s="373">
        <f>'ADJ DETAIL-INPUT'!M59</f>
        <v>0</v>
      </c>
      <c r="N59" s="373">
        <f>'ADJ DETAIL-INPUT'!N59</f>
        <v>0</v>
      </c>
      <c r="O59" s="373">
        <f>'ADJ DETAIL-INPUT'!O59</f>
        <v>0</v>
      </c>
      <c r="P59" s="373">
        <f>'ADJ DETAIL-INPUT'!P59</f>
        <v>0</v>
      </c>
      <c r="Q59" s="373">
        <f>'ADJ DETAIL-INPUT'!Q59</f>
        <v>0</v>
      </c>
      <c r="R59" s="373">
        <f>'ADJ DETAIL-INPUT'!R59</f>
        <v>0</v>
      </c>
      <c r="S59" s="373">
        <f>'ADJ DETAIL-INPUT'!S59</f>
        <v>0</v>
      </c>
      <c r="T59" s="373">
        <f>'ADJ DETAIL-INPUT'!T59</f>
        <v>0</v>
      </c>
      <c r="U59" s="373">
        <f>'ADJ DETAIL-INPUT'!U59</f>
        <v>0</v>
      </c>
      <c r="V59" s="374">
        <f>'ADJ DETAIL-INPUT'!V59</f>
        <v>0</v>
      </c>
      <c r="W59" s="374">
        <f>'ADJ DETAIL-INPUT'!W59</f>
        <v>0</v>
      </c>
      <c r="X59" s="374">
        <f>'ADJ DETAIL-INPUT'!X59</f>
        <v>0</v>
      </c>
      <c r="Y59" s="374">
        <f>'ADJ DETAIL-INPUT'!Y59</f>
        <v>0</v>
      </c>
      <c r="Z59" s="341">
        <f>'ADJ DETAIL-INPUT'!Z59</f>
        <v>84081</v>
      </c>
      <c r="AA59" s="374"/>
      <c r="AB59" s="374"/>
      <c r="AC59" s="374"/>
      <c r="AD59" s="374"/>
      <c r="AE59" s="373"/>
      <c r="AF59" s="374"/>
      <c r="AG59" s="374"/>
      <c r="AH59" s="374"/>
      <c r="AI59" s="374"/>
      <c r="AJ59" s="374"/>
      <c r="AK59" s="374"/>
      <c r="AL59" s="374"/>
      <c r="AM59" s="374"/>
      <c r="AN59" s="374"/>
      <c r="AO59" s="373"/>
      <c r="AP59" s="18">
        <f>'ADJ DETAIL-INPUT'!AP59</f>
        <v>0</v>
      </c>
      <c r="AQ59" s="18">
        <f>'ADJ DETAIL-INPUT'!AQ59</f>
        <v>0</v>
      </c>
      <c r="AR59" s="18">
        <f>'ADJ DETAIL-INPUT'!AR59</f>
        <v>0</v>
      </c>
      <c r="AS59" s="375">
        <f>'ADJ DETAIL-INPUT'!AS59</f>
        <v>84081</v>
      </c>
      <c r="AT59" s="142"/>
      <c r="AU59" s="162"/>
      <c r="AV59" s="127"/>
      <c r="AX59" s="2"/>
      <c r="AZ59" s="162"/>
      <c r="BD59" s="162"/>
    </row>
    <row r="60" spans="1:56" s="19" customFormat="1" ht="12">
      <c r="A60" s="21">
        <f>'ADJ DETAIL-INPUT'!A60</f>
        <v>32</v>
      </c>
      <c r="C60" s="19" t="str">
        <f>'ADJ DETAIL-INPUT'!C60</f>
        <v xml:space="preserve">Production  </v>
      </c>
      <c r="E60" s="133">
        <f>'ADJ DETAIL-INPUT'!E60</f>
        <v>706894</v>
      </c>
      <c r="F60" s="301">
        <f>'ADJ DETAIL-INPUT'!F60</f>
        <v>0</v>
      </c>
      <c r="G60" s="301">
        <f>'ADJ DETAIL-INPUT'!G60</f>
        <v>0</v>
      </c>
      <c r="H60" s="302">
        <f>'ADJ DETAIL-INPUT'!H60</f>
        <v>0</v>
      </c>
      <c r="I60" s="301">
        <f>'ADJ DETAIL-INPUT'!I60</f>
        <v>0</v>
      </c>
      <c r="J60" s="301">
        <f>'ADJ DETAIL-INPUT'!J60</f>
        <v>0</v>
      </c>
      <c r="K60" s="301">
        <f>'ADJ DETAIL-INPUT'!K60</f>
        <v>0</v>
      </c>
      <c r="L60" s="301">
        <f>'ADJ DETAIL-INPUT'!L60</f>
        <v>0</v>
      </c>
      <c r="M60" s="301">
        <f>'ADJ DETAIL-INPUT'!M60</f>
        <v>0</v>
      </c>
      <c r="N60" s="301">
        <f>'ADJ DETAIL-INPUT'!N60</f>
        <v>0</v>
      </c>
      <c r="O60" s="301">
        <f>'ADJ DETAIL-INPUT'!O60</f>
        <v>0</v>
      </c>
      <c r="P60" s="301">
        <f>'ADJ DETAIL-INPUT'!P60</f>
        <v>0</v>
      </c>
      <c r="Q60" s="301">
        <f>'ADJ DETAIL-INPUT'!Q60</f>
        <v>0</v>
      </c>
      <c r="R60" s="301">
        <f>'ADJ DETAIL-INPUT'!R60</f>
        <v>0</v>
      </c>
      <c r="S60" s="301">
        <f>'ADJ DETAIL-INPUT'!S60</f>
        <v>0</v>
      </c>
      <c r="T60" s="301">
        <f>'ADJ DETAIL-INPUT'!T60</f>
        <v>0</v>
      </c>
      <c r="U60" s="301">
        <f>'ADJ DETAIL-INPUT'!U60</f>
        <v>0</v>
      </c>
      <c r="V60" s="302">
        <f>'ADJ DETAIL-INPUT'!V60</f>
        <v>0</v>
      </c>
      <c r="W60" s="302">
        <f>'ADJ DETAIL-INPUT'!W60</f>
        <v>0</v>
      </c>
      <c r="X60" s="302">
        <f>'ADJ DETAIL-INPUT'!X60</f>
        <v>0</v>
      </c>
      <c r="Y60" s="302">
        <f>'ADJ DETAIL-INPUT'!Y60</f>
        <v>0</v>
      </c>
      <c r="Z60" s="376">
        <f>'ADJ DETAIL-INPUT'!Z60</f>
        <v>706894</v>
      </c>
      <c r="AA60" s="302"/>
      <c r="AB60" s="302"/>
      <c r="AC60" s="302"/>
      <c r="AD60" s="302"/>
      <c r="AE60" s="301"/>
      <c r="AF60" s="302"/>
      <c r="AG60" s="302"/>
      <c r="AH60" s="302"/>
      <c r="AI60" s="302"/>
      <c r="AJ60" s="302"/>
      <c r="AK60" s="302"/>
      <c r="AL60" s="302"/>
      <c r="AM60" s="302"/>
      <c r="AN60" s="302"/>
      <c r="AO60" s="301"/>
      <c r="AP60" s="174">
        <f>'ADJ DETAIL-INPUT'!AP60</f>
        <v>0</v>
      </c>
      <c r="AQ60" s="174">
        <f>'ADJ DETAIL-INPUT'!AQ60</f>
        <v>0</v>
      </c>
      <c r="AR60" s="174">
        <f>'ADJ DETAIL-INPUT'!AR60</f>
        <v>0</v>
      </c>
      <c r="AS60" s="177">
        <f>'ADJ DETAIL-INPUT'!AS60</f>
        <v>706894</v>
      </c>
      <c r="AT60" s="139"/>
      <c r="AU60" s="160"/>
      <c r="AV60" s="75"/>
      <c r="AX60" s="2"/>
      <c r="AZ60" s="160"/>
      <c r="BD60" s="160"/>
    </row>
    <row r="61" spans="1:56" s="19" customFormat="1" ht="12">
      <c r="A61" s="21">
        <f>'ADJ DETAIL-INPUT'!A61</f>
        <v>33</v>
      </c>
      <c r="C61" s="19" t="str">
        <f>'ADJ DETAIL-INPUT'!C61</f>
        <v xml:space="preserve">Transmission  </v>
      </c>
      <c r="E61" s="133">
        <f>'ADJ DETAIL-INPUT'!E61</f>
        <v>328012</v>
      </c>
      <c r="F61" s="301">
        <f>'ADJ DETAIL-INPUT'!F61</f>
        <v>0</v>
      </c>
      <c r="G61" s="301">
        <f>'ADJ DETAIL-INPUT'!G61</f>
        <v>0</v>
      </c>
      <c r="H61" s="302">
        <f>'ADJ DETAIL-INPUT'!H61</f>
        <v>0</v>
      </c>
      <c r="I61" s="301">
        <f>'ADJ DETAIL-INPUT'!I61</f>
        <v>0</v>
      </c>
      <c r="J61" s="301">
        <f>'ADJ DETAIL-INPUT'!J61</f>
        <v>0</v>
      </c>
      <c r="K61" s="301">
        <f>'ADJ DETAIL-INPUT'!K61</f>
        <v>0</v>
      </c>
      <c r="L61" s="301">
        <f>'ADJ DETAIL-INPUT'!L61</f>
        <v>0</v>
      </c>
      <c r="M61" s="301">
        <f>'ADJ DETAIL-INPUT'!M61</f>
        <v>0</v>
      </c>
      <c r="N61" s="301">
        <f>'ADJ DETAIL-INPUT'!N61</f>
        <v>0</v>
      </c>
      <c r="O61" s="301">
        <f>'ADJ DETAIL-INPUT'!O61</f>
        <v>0</v>
      </c>
      <c r="P61" s="301">
        <f>'ADJ DETAIL-INPUT'!P61</f>
        <v>0</v>
      </c>
      <c r="Q61" s="301">
        <f>'ADJ DETAIL-INPUT'!Q61</f>
        <v>0</v>
      </c>
      <c r="R61" s="301">
        <f>'ADJ DETAIL-INPUT'!R61</f>
        <v>0</v>
      </c>
      <c r="S61" s="301">
        <f>'ADJ DETAIL-INPUT'!S61</f>
        <v>0</v>
      </c>
      <c r="T61" s="301">
        <f>'ADJ DETAIL-INPUT'!T61</f>
        <v>0</v>
      </c>
      <c r="U61" s="301">
        <f>'ADJ DETAIL-INPUT'!U61</f>
        <v>0</v>
      </c>
      <c r="V61" s="302">
        <f>'ADJ DETAIL-INPUT'!V61</f>
        <v>0</v>
      </c>
      <c r="W61" s="302">
        <f>'ADJ DETAIL-INPUT'!W61</f>
        <v>0</v>
      </c>
      <c r="X61" s="302">
        <f>'ADJ DETAIL-INPUT'!X61</f>
        <v>0</v>
      </c>
      <c r="Y61" s="302">
        <f>'ADJ DETAIL-INPUT'!Y61</f>
        <v>0</v>
      </c>
      <c r="Z61" s="376">
        <f>'ADJ DETAIL-INPUT'!Z61</f>
        <v>328012</v>
      </c>
      <c r="AA61" s="302"/>
      <c r="AB61" s="302"/>
      <c r="AC61" s="302"/>
      <c r="AD61" s="302"/>
      <c r="AE61" s="301"/>
      <c r="AF61" s="302"/>
      <c r="AG61" s="302"/>
      <c r="AH61" s="302"/>
      <c r="AI61" s="302"/>
      <c r="AJ61" s="302"/>
      <c r="AK61" s="302"/>
      <c r="AL61" s="302"/>
      <c r="AM61" s="302"/>
      <c r="AN61" s="302"/>
      <c r="AO61" s="301"/>
      <c r="AP61" s="174">
        <f>'ADJ DETAIL-INPUT'!AP61</f>
        <v>0</v>
      </c>
      <c r="AQ61" s="174">
        <f>'ADJ DETAIL-INPUT'!AQ61</f>
        <v>0</v>
      </c>
      <c r="AR61" s="174">
        <f>'ADJ DETAIL-INPUT'!AR61</f>
        <v>0</v>
      </c>
      <c r="AS61" s="177">
        <f>'ADJ DETAIL-INPUT'!AS61</f>
        <v>328012</v>
      </c>
      <c r="AT61" s="139"/>
      <c r="AU61" s="160"/>
      <c r="AV61" s="75"/>
      <c r="AX61" s="2"/>
      <c r="AZ61" s="160"/>
      <c r="BD61" s="160"/>
    </row>
    <row r="62" spans="1:56" s="19" customFormat="1" ht="12">
      <c r="A62" s="21">
        <f>'ADJ DETAIL-INPUT'!A62</f>
        <v>34</v>
      </c>
      <c r="C62" s="19" t="str">
        <f>'ADJ DETAIL-INPUT'!C62</f>
        <v xml:space="preserve">Distribution  </v>
      </c>
      <c r="E62" s="133">
        <f>'ADJ DETAIL-INPUT'!E62</f>
        <v>696082</v>
      </c>
      <c r="F62" s="301">
        <f>'ADJ DETAIL-INPUT'!F62</f>
        <v>0</v>
      </c>
      <c r="G62" s="301">
        <f>'ADJ DETAIL-INPUT'!G62</f>
        <v>0</v>
      </c>
      <c r="H62" s="302">
        <f>'ADJ DETAIL-INPUT'!H62</f>
        <v>0</v>
      </c>
      <c r="I62" s="301">
        <f>'ADJ DETAIL-INPUT'!I62</f>
        <v>0</v>
      </c>
      <c r="J62" s="301">
        <f>'ADJ DETAIL-INPUT'!J62</f>
        <v>0</v>
      </c>
      <c r="K62" s="301">
        <f>'ADJ DETAIL-INPUT'!K62</f>
        <v>0</v>
      </c>
      <c r="L62" s="301">
        <f>'ADJ DETAIL-INPUT'!L62</f>
        <v>0</v>
      </c>
      <c r="M62" s="301">
        <f>'ADJ DETAIL-INPUT'!M62</f>
        <v>0</v>
      </c>
      <c r="N62" s="301">
        <f>'ADJ DETAIL-INPUT'!N62</f>
        <v>0</v>
      </c>
      <c r="O62" s="301">
        <f>'ADJ DETAIL-INPUT'!O62</f>
        <v>0</v>
      </c>
      <c r="P62" s="301">
        <f>'ADJ DETAIL-INPUT'!P62</f>
        <v>0</v>
      </c>
      <c r="Q62" s="301">
        <f>'ADJ DETAIL-INPUT'!Q62</f>
        <v>0</v>
      </c>
      <c r="R62" s="301">
        <f>'ADJ DETAIL-INPUT'!R62</f>
        <v>0</v>
      </c>
      <c r="S62" s="301">
        <f>'ADJ DETAIL-INPUT'!S62</f>
        <v>0</v>
      </c>
      <c r="T62" s="301">
        <f>'ADJ DETAIL-INPUT'!T62</f>
        <v>0</v>
      </c>
      <c r="U62" s="301">
        <f>'ADJ DETAIL-INPUT'!U62</f>
        <v>0</v>
      </c>
      <c r="V62" s="302">
        <f>'ADJ DETAIL-INPUT'!V62</f>
        <v>0</v>
      </c>
      <c r="W62" s="302">
        <f>'ADJ DETAIL-INPUT'!W62</f>
        <v>0</v>
      </c>
      <c r="X62" s="302">
        <f>'ADJ DETAIL-INPUT'!X62</f>
        <v>0</v>
      </c>
      <c r="Y62" s="302">
        <f>'ADJ DETAIL-INPUT'!Y62</f>
        <v>0</v>
      </c>
      <c r="Z62" s="376">
        <f>'ADJ DETAIL-INPUT'!Z62</f>
        <v>696082</v>
      </c>
      <c r="AA62" s="302"/>
      <c r="AB62" s="302"/>
      <c r="AC62" s="302"/>
      <c r="AD62" s="302"/>
      <c r="AE62" s="301"/>
      <c r="AF62" s="302"/>
      <c r="AG62" s="302"/>
      <c r="AH62" s="302"/>
      <c r="AI62" s="302"/>
      <c r="AJ62" s="302"/>
      <c r="AK62" s="302"/>
      <c r="AL62" s="302"/>
      <c r="AM62" s="302"/>
      <c r="AN62" s="302"/>
      <c r="AO62" s="301"/>
      <c r="AP62" s="174">
        <f>'ADJ DETAIL-INPUT'!AP62</f>
        <v>0</v>
      </c>
      <c r="AQ62" s="174">
        <f>'ADJ DETAIL-INPUT'!AQ62</f>
        <v>0</v>
      </c>
      <c r="AR62" s="174">
        <f>'ADJ DETAIL-INPUT'!AR62</f>
        <v>0</v>
      </c>
      <c r="AS62" s="177">
        <f>'ADJ DETAIL-INPUT'!AS62</f>
        <v>696082</v>
      </c>
      <c r="AT62" s="139"/>
      <c r="AU62" s="160"/>
      <c r="AV62" s="75"/>
      <c r="AX62" s="2"/>
      <c r="AZ62" s="160"/>
      <c r="BD62" s="160"/>
    </row>
    <row r="63" spans="1:56" s="19" customFormat="1" ht="12">
      <c r="A63" s="21">
        <f>'ADJ DETAIL-INPUT'!A63</f>
        <v>35</v>
      </c>
      <c r="C63" s="19" t="str">
        <f>'ADJ DETAIL-INPUT'!C63</f>
        <v xml:space="preserve">General  </v>
      </c>
      <c r="E63" s="371">
        <f>'ADJ DETAIL-INPUT'!E63</f>
        <v>140218</v>
      </c>
      <c r="F63" s="303">
        <f>'ADJ DETAIL-INPUT'!F63</f>
        <v>0</v>
      </c>
      <c r="G63" s="303">
        <f>'ADJ DETAIL-INPUT'!G63</f>
        <v>0</v>
      </c>
      <c r="H63" s="304">
        <f>'ADJ DETAIL-INPUT'!H63</f>
        <v>0</v>
      </c>
      <c r="I63" s="303">
        <f>'ADJ DETAIL-INPUT'!I63</f>
        <v>0</v>
      </c>
      <c r="J63" s="303">
        <f>'ADJ DETAIL-INPUT'!J63</f>
        <v>0</v>
      </c>
      <c r="K63" s="303">
        <f>'ADJ DETAIL-INPUT'!K63</f>
        <v>0</v>
      </c>
      <c r="L63" s="303">
        <f>'ADJ DETAIL-INPUT'!L63</f>
        <v>0</v>
      </c>
      <c r="M63" s="303">
        <f>'ADJ DETAIL-INPUT'!M63</f>
        <v>0</v>
      </c>
      <c r="N63" s="303">
        <f>'ADJ DETAIL-INPUT'!N63</f>
        <v>0</v>
      </c>
      <c r="O63" s="303">
        <f>'ADJ DETAIL-INPUT'!O63</f>
        <v>0</v>
      </c>
      <c r="P63" s="303">
        <f>'ADJ DETAIL-INPUT'!P63</f>
        <v>0</v>
      </c>
      <c r="Q63" s="303">
        <f>'ADJ DETAIL-INPUT'!Q63</f>
        <v>0</v>
      </c>
      <c r="R63" s="303">
        <f>'ADJ DETAIL-INPUT'!R63</f>
        <v>0</v>
      </c>
      <c r="S63" s="303">
        <f>'ADJ DETAIL-INPUT'!S63</f>
        <v>0</v>
      </c>
      <c r="T63" s="303">
        <f>'ADJ DETAIL-INPUT'!T63</f>
        <v>0</v>
      </c>
      <c r="U63" s="303">
        <f>'ADJ DETAIL-INPUT'!U63</f>
        <v>0</v>
      </c>
      <c r="V63" s="304">
        <f>'ADJ DETAIL-INPUT'!V63</f>
        <v>0</v>
      </c>
      <c r="W63" s="304">
        <f>'ADJ DETAIL-INPUT'!W63</f>
        <v>0</v>
      </c>
      <c r="X63" s="304">
        <f>'ADJ DETAIL-INPUT'!X63</f>
        <v>0</v>
      </c>
      <c r="Y63" s="304">
        <f>'ADJ DETAIL-INPUT'!Y63</f>
        <v>0</v>
      </c>
      <c r="Z63" s="377">
        <f>'ADJ DETAIL-INPUT'!Z63</f>
        <v>140218</v>
      </c>
      <c r="AA63" s="304"/>
      <c r="AB63" s="304"/>
      <c r="AC63" s="304"/>
      <c r="AD63" s="304"/>
      <c r="AE63" s="303"/>
      <c r="AF63" s="304"/>
      <c r="AG63" s="304"/>
      <c r="AH63" s="304"/>
      <c r="AI63" s="304"/>
      <c r="AJ63" s="304"/>
      <c r="AK63" s="304"/>
      <c r="AL63" s="304"/>
      <c r="AM63" s="304"/>
      <c r="AN63" s="304"/>
      <c r="AO63" s="303"/>
      <c r="AP63" s="205">
        <f>'ADJ DETAIL-INPUT'!AP63</f>
        <v>0</v>
      </c>
      <c r="AQ63" s="205">
        <f>'ADJ DETAIL-INPUT'!AQ63</f>
        <v>0</v>
      </c>
      <c r="AR63" s="205">
        <f>'ADJ DETAIL-INPUT'!AR63</f>
        <v>0</v>
      </c>
      <c r="AS63" s="208">
        <f>'ADJ DETAIL-INPUT'!AS63</f>
        <v>140218</v>
      </c>
      <c r="AT63" s="139"/>
      <c r="AU63" s="160"/>
      <c r="AV63" s="75"/>
      <c r="AX63" s="2"/>
      <c r="AZ63" s="160"/>
      <c r="BD63" s="160"/>
    </row>
    <row r="64" spans="1:56" s="19" customFormat="1" ht="12">
      <c r="A64" s="21">
        <f>'ADJ DETAIL-INPUT'!A64</f>
        <v>36</v>
      </c>
      <c r="B64" s="19" t="str">
        <f>'ADJ DETAIL-INPUT'!B64</f>
        <v xml:space="preserve">Total Plant in Service  </v>
      </c>
      <c r="E64" s="175">
        <f>'ADJ DETAIL-INPUT'!E64</f>
        <v>1955287</v>
      </c>
      <c r="F64" s="174">
        <f>'ADJ DETAIL-INPUT'!F64</f>
        <v>0</v>
      </c>
      <c r="G64" s="174">
        <f>'ADJ DETAIL-INPUT'!G64</f>
        <v>0</v>
      </c>
      <c r="H64" s="175">
        <f>'ADJ DETAIL-INPUT'!H64</f>
        <v>0</v>
      </c>
      <c r="I64" s="176">
        <f>'ADJ DETAIL-INPUT'!I64</f>
        <v>0</v>
      </c>
      <c r="J64" s="174">
        <f>'ADJ DETAIL-INPUT'!J64</f>
        <v>0</v>
      </c>
      <c r="K64" s="176">
        <f>'ADJ DETAIL-INPUT'!K64</f>
        <v>0</v>
      </c>
      <c r="L64" s="174">
        <f>'ADJ DETAIL-INPUT'!L64</f>
        <v>0</v>
      </c>
      <c r="M64" s="176">
        <f>'ADJ DETAIL-INPUT'!M64</f>
        <v>0</v>
      </c>
      <c r="N64" s="174">
        <f>'ADJ DETAIL-INPUT'!N64</f>
        <v>0</v>
      </c>
      <c r="O64" s="174">
        <f>'ADJ DETAIL-INPUT'!O64</f>
        <v>0</v>
      </c>
      <c r="P64" s="176">
        <f>'ADJ DETAIL-INPUT'!P64</f>
        <v>0</v>
      </c>
      <c r="Q64" s="176">
        <f>'ADJ DETAIL-INPUT'!Q64</f>
        <v>0</v>
      </c>
      <c r="R64" s="176">
        <f>'ADJ DETAIL-INPUT'!R64</f>
        <v>0</v>
      </c>
      <c r="S64" s="176">
        <f>'ADJ DETAIL-INPUT'!S64</f>
        <v>0</v>
      </c>
      <c r="T64" s="176">
        <f>'ADJ DETAIL-INPUT'!T64</f>
        <v>0</v>
      </c>
      <c r="U64" s="174">
        <f>'ADJ DETAIL-INPUT'!U64</f>
        <v>0</v>
      </c>
      <c r="V64" s="175">
        <f>'ADJ DETAIL-INPUT'!V64</f>
        <v>0</v>
      </c>
      <c r="W64" s="175">
        <f>'ADJ DETAIL-INPUT'!W64</f>
        <v>0</v>
      </c>
      <c r="X64" s="175">
        <f>'ADJ DETAIL-INPUT'!X64</f>
        <v>0</v>
      </c>
      <c r="Y64" s="175">
        <f>'ADJ DETAIL-INPUT'!Y64</f>
        <v>0</v>
      </c>
      <c r="Z64" s="376">
        <f>'ADJ DETAIL-INPUT'!Z64</f>
        <v>1955287</v>
      </c>
      <c r="AA64" s="175"/>
      <c r="AB64" s="175"/>
      <c r="AC64" s="175"/>
      <c r="AD64" s="175"/>
      <c r="AE64" s="174"/>
      <c r="AF64" s="175"/>
      <c r="AG64" s="175"/>
      <c r="AH64" s="175"/>
      <c r="AI64" s="175"/>
      <c r="AJ64" s="175"/>
      <c r="AK64" s="175"/>
      <c r="AL64" s="175"/>
      <c r="AM64" s="175"/>
      <c r="AN64" s="175"/>
      <c r="AO64" s="174"/>
      <c r="AP64" s="174">
        <f>'ADJ DETAIL-INPUT'!AP64</f>
        <v>0</v>
      </c>
      <c r="AQ64" s="174">
        <f>'ADJ DETAIL-INPUT'!AQ64</f>
        <v>0</v>
      </c>
      <c r="AR64" s="174">
        <f>'ADJ DETAIL-INPUT'!AR64</f>
        <v>0</v>
      </c>
      <c r="AS64" s="177">
        <f>'ADJ DETAIL-INPUT'!AS64</f>
        <v>1955287</v>
      </c>
      <c r="AT64" s="75"/>
      <c r="AU64" s="133"/>
      <c r="AV64" s="75"/>
      <c r="AX64" s="2"/>
      <c r="AZ64" s="133"/>
      <c r="BD64" s="133"/>
    </row>
    <row r="65" spans="1:56" s="19" customFormat="1" ht="12">
      <c r="A65" s="21"/>
      <c r="B65" s="19" t="str">
        <f>'ADJ DETAIL-INPUT'!B65</f>
        <v>ACCUMULATED DEPRECIATION/AMORT</v>
      </c>
      <c r="E65" s="175"/>
      <c r="F65" s="301"/>
      <c r="G65" s="301"/>
      <c r="H65" s="302"/>
      <c r="I65" s="301"/>
      <c r="J65" s="301"/>
      <c r="K65" s="301"/>
      <c r="L65" s="301"/>
      <c r="M65" s="301"/>
      <c r="N65" s="301"/>
      <c r="O65" s="301"/>
      <c r="P65" s="301"/>
      <c r="Q65" s="301"/>
      <c r="R65" s="301"/>
      <c r="S65" s="301"/>
      <c r="T65" s="301"/>
      <c r="U65" s="301"/>
      <c r="V65" s="302"/>
      <c r="W65" s="302"/>
      <c r="X65" s="302"/>
      <c r="Y65" s="302"/>
      <c r="Z65" s="376"/>
      <c r="AA65" s="302"/>
      <c r="AB65" s="302"/>
      <c r="AC65" s="302"/>
      <c r="AD65" s="302"/>
      <c r="AE65" s="301"/>
      <c r="AF65" s="302"/>
      <c r="AG65" s="302"/>
      <c r="AH65" s="302"/>
      <c r="AI65" s="302"/>
      <c r="AJ65" s="302"/>
      <c r="AK65" s="302"/>
      <c r="AL65" s="302"/>
      <c r="AM65" s="302"/>
      <c r="AN65" s="302"/>
      <c r="AO65" s="301"/>
      <c r="AP65" s="174"/>
      <c r="AQ65" s="174"/>
      <c r="AR65" s="174"/>
      <c r="AS65" s="177"/>
      <c r="AT65" s="139"/>
      <c r="AU65" s="160"/>
      <c r="AV65" s="75"/>
      <c r="AX65" s="2"/>
      <c r="AZ65" s="160"/>
      <c r="BD65" s="160"/>
    </row>
    <row r="66" spans="1:56" s="19" customFormat="1" ht="12">
      <c r="A66" s="21">
        <f>'ADJ DETAIL-INPUT'!A66</f>
        <v>37</v>
      </c>
      <c r="C66" s="18" t="str">
        <f>'ADJ DETAIL-INPUT'!C66</f>
        <v xml:space="preserve">Intangible  </v>
      </c>
      <c r="E66" s="133">
        <f>'ADJ DETAIL-INPUT'!E66</f>
        <v>3744</v>
      </c>
      <c r="F66" s="301">
        <f>'ADJ DETAIL-INPUT'!F66</f>
        <v>0</v>
      </c>
      <c r="G66" s="301">
        <f>'ADJ DETAIL-INPUT'!G66</f>
        <v>0</v>
      </c>
      <c r="H66" s="302">
        <f>'ADJ DETAIL-INPUT'!H66</f>
        <v>0</v>
      </c>
      <c r="I66" s="301">
        <f>'ADJ DETAIL-INPUT'!I66</f>
        <v>0</v>
      </c>
      <c r="J66" s="301">
        <f>'ADJ DETAIL-INPUT'!J66</f>
        <v>0</v>
      </c>
      <c r="K66" s="301">
        <f>'ADJ DETAIL-INPUT'!K66</f>
        <v>0</v>
      </c>
      <c r="L66" s="301">
        <f>'ADJ DETAIL-INPUT'!L66</f>
        <v>0</v>
      </c>
      <c r="M66" s="301">
        <f>'ADJ DETAIL-INPUT'!M66</f>
        <v>0</v>
      </c>
      <c r="N66" s="301">
        <f>'ADJ DETAIL-INPUT'!N66</f>
        <v>0</v>
      </c>
      <c r="O66" s="301">
        <f>'ADJ DETAIL-INPUT'!O66</f>
        <v>0</v>
      </c>
      <c r="P66" s="301">
        <f>'ADJ DETAIL-INPUT'!P66</f>
        <v>0</v>
      </c>
      <c r="Q66" s="301">
        <f>'ADJ DETAIL-INPUT'!Q66</f>
        <v>0</v>
      </c>
      <c r="R66" s="301">
        <f>'ADJ DETAIL-INPUT'!R66</f>
        <v>0</v>
      </c>
      <c r="S66" s="301">
        <f>'ADJ DETAIL-INPUT'!S66</f>
        <v>0</v>
      </c>
      <c r="T66" s="301">
        <f>'ADJ DETAIL-INPUT'!T66</f>
        <v>0</v>
      </c>
      <c r="U66" s="301">
        <f>'ADJ DETAIL-INPUT'!U66</f>
        <v>0</v>
      </c>
      <c r="V66" s="301">
        <f>'ADJ DETAIL-INPUT'!V66</f>
        <v>0</v>
      </c>
      <c r="W66" s="301">
        <f>'ADJ DETAIL-INPUT'!W66</f>
        <v>0</v>
      </c>
      <c r="X66" s="301">
        <f>'ADJ DETAIL-INPUT'!X66</f>
        <v>0</v>
      </c>
      <c r="Y66" s="301">
        <f>'ADJ DETAIL-INPUT'!Y66</f>
        <v>0</v>
      </c>
      <c r="Z66" s="376">
        <f>'ADJ DETAIL-INPUT'!Z66</f>
        <v>3744</v>
      </c>
      <c r="AA66" s="301"/>
      <c r="AB66" s="301"/>
      <c r="AC66" s="301"/>
      <c r="AD66" s="301"/>
      <c r="AE66" s="301"/>
      <c r="AF66" s="301"/>
      <c r="AG66" s="301"/>
      <c r="AH66" s="301"/>
      <c r="AI66" s="302"/>
      <c r="AJ66" s="301"/>
      <c r="AK66" s="301"/>
      <c r="AL66" s="301"/>
      <c r="AM66" s="301"/>
      <c r="AN66" s="301"/>
      <c r="AO66" s="301"/>
      <c r="AP66" s="174">
        <f>'ADJ DETAIL-INPUT'!AP66</f>
        <v>0</v>
      </c>
      <c r="AQ66" s="174">
        <f>'ADJ DETAIL-INPUT'!AQ66</f>
        <v>0</v>
      </c>
      <c r="AR66" s="174">
        <f>'ADJ DETAIL-INPUT'!AR66</f>
        <v>0</v>
      </c>
      <c r="AS66" s="177">
        <f>'ADJ DETAIL-INPUT'!AS66</f>
        <v>3744</v>
      </c>
      <c r="AT66" s="139"/>
      <c r="AU66" s="160"/>
      <c r="AV66" s="75"/>
      <c r="AX66" s="2"/>
      <c r="AZ66" s="160"/>
      <c r="BD66" s="160"/>
    </row>
    <row r="67" spans="1:56" s="19" customFormat="1" ht="12">
      <c r="A67" s="21">
        <f>'ADJ DETAIL-INPUT'!A67</f>
        <v>38</v>
      </c>
      <c r="C67" s="19" t="str">
        <f>'ADJ DETAIL-INPUT'!C67</f>
        <v xml:space="preserve">Production  </v>
      </c>
      <c r="E67" s="133">
        <f>'ADJ DETAIL-INPUT'!E67</f>
        <v>286300</v>
      </c>
      <c r="F67" s="301">
        <f>'ADJ DETAIL-INPUT'!F67</f>
        <v>0</v>
      </c>
      <c r="G67" s="301">
        <f>'ADJ DETAIL-INPUT'!G67</f>
        <v>0</v>
      </c>
      <c r="H67" s="302">
        <f>'ADJ DETAIL-INPUT'!H67</f>
        <v>0</v>
      </c>
      <c r="I67" s="301">
        <f>'ADJ DETAIL-INPUT'!I67</f>
        <v>0</v>
      </c>
      <c r="J67" s="301">
        <f>'ADJ DETAIL-INPUT'!J67</f>
        <v>0</v>
      </c>
      <c r="K67" s="301">
        <f>'ADJ DETAIL-INPUT'!K67</f>
        <v>0</v>
      </c>
      <c r="L67" s="301">
        <f>'ADJ DETAIL-INPUT'!L67</f>
        <v>0</v>
      </c>
      <c r="M67" s="301">
        <f>'ADJ DETAIL-INPUT'!M67</f>
        <v>0</v>
      </c>
      <c r="N67" s="301">
        <f>'ADJ DETAIL-INPUT'!N67</f>
        <v>0</v>
      </c>
      <c r="O67" s="301">
        <f>'ADJ DETAIL-INPUT'!O67</f>
        <v>0</v>
      </c>
      <c r="P67" s="301">
        <f>'ADJ DETAIL-INPUT'!P67</f>
        <v>0</v>
      </c>
      <c r="Q67" s="301">
        <f>'ADJ DETAIL-INPUT'!Q67</f>
        <v>0</v>
      </c>
      <c r="R67" s="301">
        <f>'ADJ DETAIL-INPUT'!R67</f>
        <v>0</v>
      </c>
      <c r="S67" s="301">
        <f>'ADJ DETAIL-INPUT'!S67</f>
        <v>0</v>
      </c>
      <c r="T67" s="301">
        <f>'ADJ DETAIL-INPUT'!T67</f>
        <v>0</v>
      </c>
      <c r="U67" s="301">
        <f>'ADJ DETAIL-INPUT'!U67</f>
        <v>0</v>
      </c>
      <c r="V67" s="301">
        <f>'ADJ DETAIL-INPUT'!V67</f>
        <v>0</v>
      </c>
      <c r="W67" s="301">
        <f>'ADJ DETAIL-INPUT'!W67</f>
        <v>0</v>
      </c>
      <c r="X67" s="301">
        <f>'ADJ DETAIL-INPUT'!X67</f>
        <v>0</v>
      </c>
      <c r="Y67" s="301">
        <f>'ADJ DETAIL-INPUT'!Y67</f>
        <v>0</v>
      </c>
      <c r="Z67" s="376">
        <f>'ADJ DETAIL-INPUT'!Z67</f>
        <v>286300</v>
      </c>
      <c r="AA67" s="301"/>
      <c r="AB67" s="301"/>
      <c r="AC67" s="301"/>
      <c r="AD67" s="301"/>
      <c r="AE67" s="301"/>
      <c r="AF67" s="301"/>
      <c r="AG67" s="301"/>
      <c r="AH67" s="301"/>
      <c r="AI67" s="301"/>
      <c r="AJ67" s="301"/>
      <c r="AK67" s="301"/>
      <c r="AL67" s="301"/>
      <c r="AM67" s="301"/>
      <c r="AN67" s="301"/>
      <c r="AO67" s="301"/>
      <c r="AP67" s="174">
        <f>'ADJ DETAIL-INPUT'!AP67</f>
        <v>0</v>
      </c>
      <c r="AQ67" s="174">
        <f>'ADJ DETAIL-INPUT'!AQ67</f>
        <v>0</v>
      </c>
      <c r="AR67" s="174">
        <f>'ADJ DETAIL-INPUT'!AR67</f>
        <v>0</v>
      </c>
      <c r="AS67" s="341">
        <f>'ADJ DETAIL-INPUT'!AS67</f>
        <v>286300</v>
      </c>
      <c r="AT67" s="139"/>
      <c r="AU67" s="160"/>
      <c r="AV67" s="75"/>
      <c r="AX67" s="2"/>
      <c r="AZ67" s="160"/>
      <c r="BD67" s="160"/>
    </row>
    <row r="68" spans="1:56" s="19" customFormat="1" ht="12">
      <c r="A68" s="21">
        <f>'ADJ DETAIL-INPUT'!A68</f>
        <v>39</v>
      </c>
      <c r="C68" s="19" t="str">
        <f>'ADJ DETAIL-INPUT'!C68</f>
        <v xml:space="preserve">Transmission  </v>
      </c>
      <c r="E68" s="133">
        <f>'ADJ DETAIL-INPUT'!E68</f>
        <v>111144</v>
      </c>
      <c r="F68" s="301">
        <f>'ADJ DETAIL-INPUT'!F68</f>
        <v>0</v>
      </c>
      <c r="G68" s="301">
        <f>'ADJ DETAIL-INPUT'!G68</f>
        <v>0</v>
      </c>
      <c r="H68" s="302">
        <f>'ADJ DETAIL-INPUT'!H68</f>
        <v>0</v>
      </c>
      <c r="I68" s="301">
        <f>'ADJ DETAIL-INPUT'!I68</f>
        <v>0</v>
      </c>
      <c r="J68" s="301">
        <f>'ADJ DETAIL-INPUT'!J68</f>
        <v>0</v>
      </c>
      <c r="K68" s="301">
        <f>'ADJ DETAIL-INPUT'!K68</f>
        <v>0</v>
      </c>
      <c r="L68" s="301">
        <f>'ADJ DETAIL-INPUT'!L68</f>
        <v>0</v>
      </c>
      <c r="M68" s="301">
        <f>'ADJ DETAIL-INPUT'!M68</f>
        <v>0</v>
      </c>
      <c r="N68" s="301">
        <f>'ADJ DETAIL-INPUT'!N68</f>
        <v>0</v>
      </c>
      <c r="O68" s="301">
        <f>'ADJ DETAIL-INPUT'!O68</f>
        <v>0</v>
      </c>
      <c r="P68" s="301">
        <f>'ADJ DETAIL-INPUT'!P68</f>
        <v>0</v>
      </c>
      <c r="Q68" s="301">
        <f>'ADJ DETAIL-INPUT'!Q68</f>
        <v>0</v>
      </c>
      <c r="R68" s="301">
        <f>'ADJ DETAIL-INPUT'!R68</f>
        <v>0</v>
      </c>
      <c r="S68" s="301">
        <f>'ADJ DETAIL-INPUT'!S68</f>
        <v>0</v>
      </c>
      <c r="T68" s="301">
        <f>'ADJ DETAIL-INPUT'!T68</f>
        <v>0</v>
      </c>
      <c r="U68" s="301">
        <f>'ADJ DETAIL-INPUT'!U68</f>
        <v>0</v>
      </c>
      <c r="V68" s="301">
        <f>'ADJ DETAIL-INPUT'!V68</f>
        <v>0</v>
      </c>
      <c r="W68" s="301">
        <f>'ADJ DETAIL-INPUT'!W68</f>
        <v>0</v>
      </c>
      <c r="X68" s="301">
        <f>'ADJ DETAIL-INPUT'!X68</f>
        <v>0</v>
      </c>
      <c r="Y68" s="301">
        <f>'ADJ DETAIL-INPUT'!Y68</f>
        <v>0</v>
      </c>
      <c r="Z68" s="376">
        <f>'ADJ DETAIL-INPUT'!Z68</f>
        <v>111144</v>
      </c>
      <c r="AA68" s="301"/>
      <c r="AB68" s="301"/>
      <c r="AC68" s="301"/>
      <c r="AD68" s="301"/>
      <c r="AE68" s="301"/>
      <c r="AF68" s="301"/>
      <c r="AG68" s="301"/>
      <c r="AH68" s="301"/>
      <c r="AI68" s="301"/>
      <c r="AJ68" s="301"/>
      <c r="AK68" s="301"/>
      <c r="AL68" s="301"/>
      <c r="AM68" s="301"/>
      <c r="AN68" s="301"/>
      <c r="AO68" s="301"/>
      <c r="AP68" s="174">
        <f>'ADJ DETAIL-INPUT'!AP68</f>
        <v>0</v>
      </c>
      <c r="AQ68" s="174">
        <f>'ADJ DETAIL-INPUT'!AQ68</f>
        <v>0</v>
      </c>
      <c r="AR68" s="174">
        <f>'ADJ DETAIL-INPUT'!AR68</f>
        <v>0</v>
      </c>
      <c r="AS68" s="177">
        <f>'ADJ DETAIL-INPUT'!AS68</f>
        <v>111144</v>
      </c>
      <c r="AT68" s="139"/>
      <c r="AU68" s="160"/>
      <c r="AV68" s="75"/>
      <c r="AX68" s="2"/>
      <c r="AZ68" s="160"/>
      <c r="BD68" s="160"/>
    </row>
    <row r="69" spans="1:56" s="19" customFormat="1" ht="12">
      <c r="A69" s="21">
        <f>'ADJ DETAIL-INPUT'!A69</f>
        <v>40</v>
      </c>
      <c r="C69" s="19" t="str">
        <f>'ADJ DETAIL-INPUT'!C69</f>
        <v xml:space="preserve">Distribution  </v>
      </c>
      <c r="E69" s="133">
        <f>'ADJ DETAIL-INPUT'!E69</f>
        <v>209101</v>
      </c>
      <c r="F69" s="301">
        <f>'ADJ DETAIL-INPUT'!F69</f>
        <v>0</v>
      </c>
      <c r="G69" s="301">
        <f>'ADJ DETAIL-INPUT'!G69</f>
        <v>0</v>
      </c>
      <c r="H69" s="302">
        <f>'ADJ DETAIL-INPUT'!H69</f>
        <v>0</v>
      </c>
      <c r="I69" s="301">
        <f>'ADJ DETAIL-INPUT'!I69</f>
        <v>0</v>
      </c>
      <c r="J69" s="301">
        <f>'ADJ DETAIL-INPUT'!J69</f>
        <v>0</v>
      </c>
      <c r="K69" s="301">
        <f>'ADJ DETAIL-INPUT'!K69</f>
        <v>0</v>
      </c>
      <c r="L69" s="301">
        <f>'ADJ DETAIL-INPUT'!L69</f>
        <v>0</v>
      </c>
      <c r="M69" s="301">
        <f>'ADJ DETAIL-INPUT'!M69</f>
        <v>0</v>
      </c>
      <c r="N69" s="301">
        <f>'ADJ DETAIL-INPUT'!N69</f>
        <v>0</v>
      </c>
      <c r="O69" s="301">
        <f>'ADJ DETAIL-INPUT'!O69</f>
        <v>0</v>
      </c>
      <c r="P69" s="301">
        <f>'ADJ DETAIL-INPUT'!P69</f>
        <v>0</v>
      </c>
      <c r="Q69" s="301">
        <f>'ADJ DETAIL-INPUT'!Q69</f>
        <v>0</v>
      </c>
      <c r="R69" s="301">
        <f>'ADJ DETAIL-INPUT'!R69</f>
        <v>0</v>
      </c>
      <c r="S69" s="301">
        <f>'ADJ DETAIL-INPUT'!S69</f>
        <v>0</v>
      </c>
      <c r="T69" s="301">
        <f>'ADJ DETAIL-INPUT'!T69</f>
        <v>0</v>
      </c>
      <c r="U69" s="301">
        <f>'ADJ DETAIL-INPUT'!U69</f>
        <v>0</v>
      </c>
      <c r="V69" s="301">
        <f>'ADJ DETAIL-INPUT'!V69</f>
        <v>0</v>
      </c>
      <c r="W69" s="301">
        <f>'ADJ DETAIL-INPUT'!W69</f>
        <v>0</v>
      </c>
      <c r="X69" s="301">
        <f>'ADJ DETAIL-INPUT'!X69</f>
        <v>0</v>
      </c>
      <c r="Y69" s="301">
        <f>'ADJ DETAIL-INPUT'!Y69</f>
        <v>0</v>
      </c>
      <c r="Z69" s="376">
        <f>'ADJ DETAIL-INPUT'!Z69</f>
        <v>209101</v>
      </c>
      <c r="AA69" s="301"/>
      <c r="AB69" s="301"/>
      <c r="AC69" s="301"/>
      <c r="AD69" s="301"/>
      <c r="AE69" s="301"/>
      <c r="AF69" s="301"/>
      <c r="AG69" s="301"/>
      <c r="AH69" s="301"/>
      <c r="AI69" s="301"/>
      <c r="AJ69" s="301"/>
      <c r="AK69" s="301"/>
      <c r="AL69" s="301"/>
      <c r="AM69" s="301"/>
      <c r="AN69" s="301"/>
      <c r="AO69" s="301"/>
      <c r="AP69" s="174">
        <f>'ADJ DETAIL-INPUT'!AP69</f>
        <v>0</v>
      </c>
      <c r="AQ69" s="174">
        <f>'ADJ DETAIL-INPUT'!AQ69</f>
        <v>0</v>
      </c>
      <c r="AR69" s="174">
        <f>'ADJ DETAIL-INPUT'!AR69</f>
        <v>0</v>
      </c>
      <c r="AS69" s="177">
        <f>'ADJ DETAIL-INPUT'!AS69</f>
        <v>209101</v>
      </c>
      <c r="AT69" s="139"/>
      <c r="AU69" s="160"/>
      <c r="AV69" s="75"/>
      <c r="AX69" s="2"/>
      <c r="AZ69" s="160"/>
      <c r="BD69" s="160"/>
    </row>
    <row r="70" spans="1:56" s="19" customFormat="1" ht="12">
      <c r="A70" s="21">
        <f>'ADJ DETAIL-INPUT'!A70</f>
        <v>41</v>
      </c>
      <c r="C70" s="19" t="str">
        <f>'ADJ DETAIL-INPUT'!C70</f>
        <v xml:space="preserve">General  </v>
      </c>
      <c r="E70" s="133">
        <f>'ADJ DETAIL-INPUT'!E70</f>
        <v>56694</v>
      </c>
      <c r="F70" s="301">
        <f>'ADJ DETAIL-INPUT'!F70</f>
        <v>0</v>
      </c>
      <c r="G70" s="301">
        <f>'ADJ DETAIL-INPUT'!G70</f>
        <v>0</v>
      </c>
      <c r="H70" s="302">
        <f>'ADJ DETAIL-INPUT'!H70</f>
        <v>0</v>
      </c>
      <c r="I70" s="301">
        <f>'ADJ DETAIL-INPUT'!I70</f>
        <v>0</v>
      </c>
      <c r="J70" s="301">
        <f>'ADJ DETAIL-INPUT'!J70</f>
        <v>0</v>
      </c>
      <c r="K70" s="301">
        <f>'ADJ DETAIL-INPUT'!K70</f>
        <v>0</v>
      </c>
      <c r="L70" s="301">
        <f>'ADJ DETAIL-INPUT'!L70</f>
        <v>0</v>
      </c>
      <c r="M70" s="301">
        <f>'ADJ DETAIL-INPUT'!M70</f>
        <v>0</v>
      </c>
      <c r="N70" s="301">
        <f>'ADJ DETAIL-INPUT'!N70</f>
        <v>0</v>
      </c>
      <c r="O70" s="301">
        <f>'ADJ DETAIL-INPUT'!O70</f>
        <v>0</v>
      </c>
      <c r="P70" s="301">
        <f>'ADJ DETAIL-INPUT'!P70</f>
        <v>0</v>
      </c>
      <c r="Q70" s="301">
        <f>'ADJ DETAIL-INPUT'!Q70</f>
        <v>0</v>
      </c>
      <c r="R70" s="301">
        <f>'ADJ DETAIL-INPUT'!R70</f>
        <v>0</v>
      </c>
      <c r="S70" s="301">
        <f>'ADJ DETAIL-INPUT'!S70</f>
        <v>0</v>
      </c>
      <c r="T70" s="301">
        <f>'ADJ DETAIL-INPUT'!T70</f>
        <v>0</v>
      </c>
      <c r="U70" s="301">
        <f>'ADJ DETAIL-INPUT'!U70</f>
        <v>0</v>
      </c>
      <c r="V70" s="301">
        <f>'ADJ DETAIL-INPUT'!V70</f>
        <v>0</v>
      </c>
      <c r="W70" s="301">
        <f>'ADJ DETAIL-INPUT'!W70</f>
        <v>0</v>
      </c>
      <c r="X70" s="301">
        <f>'ADJ DETAIL-INPUT'!X70</f>
        <v>0</v>
      </c>
      <c r="Y70" s="301">
        <f>'ADJ DETAIL-INPUT'!Y70</f>
        <v>0</v>
      </c>
      <c r="Z70" s="376">
        <f>'ADJ DETAIL-INPUT'!Z70</f>
        <v>56694</v>
      </c>
      <c r="AA70" s="301"/>
      <c r="AB70" s="301"/>
      <c r="AC70" s="301"/>
      <c r="AD70" s="301"/>
      <c r="AE70" s="301"/>
      <c r="AF70" s="301"/>
      <c r="AG70" s="301"/>
      <c r="AH70" s="301"/>
      <c r="AI70" s="301"/>
      <c r="AJ70" s="301"/>
      <c r="AK70" s="301"/>
      <c r="AL70" s="301"/>
      <c r="AM70" s="301"/>
      <c r="AN70" s="301"/>
      <c r="AO70" s="301"/>
      <c r="AP70" s="174">
        <f>'ADJ DETAIL-INPUT'!AP70</f>
        <v>0</v>
      </c>
      <c r="AQ70" s="174">
        <f>'ADJ DETAIL-INPUT'!AQ70</f>
        <v>0</v>
      </c>
      <c r="AR70" s="174">
        <f>'ADJ DETAIL-INPUT'!AR70</f>
        <v>0</v>
      </c>
      <c r="AS70" s="208">
        <f>'ADJ DETAIL-INPUT'!AS70</f>
        <v>56694</v>
      </c>
      <c r="AT70" s="139"/>
      <c r="AU70" s="160"/>
      <c r="AV70" s="75"/>
      <c r="AX70" s="2"/>
      <c r="AZ70" s="160"/>
      <c r="BD70" s="160"/>
    </row>
    <row r="71" spans="1:56" s="19" customFormat="1" ht="12">
      <c r="A71" s="21">
        <f>'ADJ DETAIL-INPUT'!A71</f>
        <v>42</v>
      </c>
      <c r="B71" s="19" t="str">
        <f>'ADJ DETAIL-INPUT'!B71</f>
        <v>Total Accumulated Depreciation</v>
      </c>
      <c r="E71" s="367">
        <f>'ADJ DETAIL-INPUT'!E71</f>
        <v>666983</v>
      </c>
      <c r="F71" s="367">
        <f>'ADJ DETAIL-INPUT'!F71</f>
        <v>0</v>
      </c>
      <c r="G71" s="367">
        <f>'ADJ DETAIL-INPUT'!G71</f>
        <v>0</v>
      </c>
      <c r="H71" s="367">
        <f>'ADJ DETAIL-INPUT'!H71</f>
        <v>0</v>
      </c>
      <c r="I71" s="367">
        <f>'ADJ DETAIL-INPUT'!I71</f>
        <v>0</v>
      </c>
      <c r="J71" s="367">
        <f>'ADJ DETAIL-INPUT'!J71</f>
        <v>0</v>
      </c>
      <c r="K71" s="367">
        <f>'ADJ DETAIL-INPUT'!K71</f>
        <v>0</v>
      </c>
      <c r="L71" s="367">
        <f>'ADJ DETAIL-INPUT'!L71</f>
        <v>0</v>
      </c>
      <c r="M71" s="367">
        <f>'ADJ DETAIL-INPUT'!M71</f>
        <v>0</v>
      </c>
      <c r="N71" s="367">
        <f>'ADJ DETAIL-INPUT'!N71</f>
        <v>0</v>
      </c>
      <c r="O71" s="367">
        <f>'ADJ DETAIL-INPUT'!O71</f>
        <v>0</v>
      </c>
      <c r="P71" s="367">
        <f>'ADJ DETAIL-INPUT'!P71</f>
        <v>0</v>
      </c>
      <c r="Q71" s="367">
        <f>'ADJ DETAIL-INPUT'!Q71</f>
        <v>0</v>
      </c>
      <c r="R71" s="367">
        <f>'ADJ DETAIL-INPUT'!R71</f>
        <v>0</v>
      </c>
      <c r="S71" s="367">
        <f>'ADJ DETAIL-INPUT'!S71</f>
        <v>0</v>
      </c>
      <c r="T71" s="367">
        <f>'ADJ DETAIL-INPUT'!T71</f>
        <v>0</v>
      </c>
      <c r="U71" s="367">
        <f>'ADJ DETAIL-INPUT'!U71</f>
        <v>0</v>
      </c>
      <c r="V71" s="367">
        <f>'ADJ DETAIL-INPUT'!V71</f>
        <v>0</v>
      </c>
      <c r="W71" s="367">
        <f>'ADJ DETAIL-INPUT'!W71</f>
        <v>0</v>
      </c>
      <c r="X71" s="367">
        <f>'ADJ DETAIL-INPUT'!X71</f>
        <v>0</v>
      </c>
      <c r="Y71" s="367">
        <f>'ADJ DETAIL-INPUT'!Y71</f>
        <v>0</v>
      </c>
      <c r="Z71" s="378">
        <f>'ADJ DETAIL-INPUT'!Z71</f>
        <v>666983</v>
      </c>
      <c r="AA71" s="367"/>
      <c r="AB71" s="367"/>
      <c r="AC71" s="367"/>
      <c r="AD71" s="367"/>
      <c r="AE71" s="367"/>
      <c r="AF71" s="367"/>
      <c r="AG71" s="367"/>
      <c r="AH71" s="367"/>
      <c r="AI71" s="367"/>
      <c r="AJ71" s="367"/>
      <c r="AK71" s="367"/>
      <c r="AL71" s="367"/>
      <c r="AM71" s="367"/>
      <c r="AN71" s="367"/>
      <c r="AO71" s="367"/>
      <c r="AP71" s="368">
        <f>'ADJ DETAIL-INPUT'!AP71</f>
        <v>0</v>
      </c>
      <c r="AQ71" s="368">
        <f>'ADJ DETAIL-INPUT'!AQ71</f>
        <v>0</v>
      </c>
      <c r="AR71" s="368">
        <f>'ADJ DETAIL-INPUT'!AR71</f>
        <v>0</v>
      </c>
      <c r="AS71" s="177">
        <f>'ADJ DETAIL-INPUT'!AS71</f>
        <v>666983</v>
      </c>
      <c r="AT71" s="139"/>
      <c r="AU71" s="160"/>
      <c r="AV71" s="75"/>
      <c r="AX71" s="2"/>
      <c r="AZ71" s="160"/>
      <c r="BD71" s="160"/>
    </row>
    <row r="72" spans="1:56" s="19" customFormat="1" ht="12">
      <c r="A72" s="21">
        <f>'ADJ DETAIL-INPUT'!A72</f>
        <v>43</v>
      </c>
      <c r="B72" s="19" t="str">
        <f>'ADJ DETAIL-INPUT'!B72</f>
        <v xml:space="preserve">NET PLANT </v>
      </c>
      <c r="E72" s="367">
        <f>'ADJ DETAIL-INPUT'!E72</f>
        <v>1288304</v>
      </c>
      <c r="F72" s="367">
        <f>'ADJ DETAIL-INPUT'!F72</f>
        <v>0</v>
      </c>
      <c r="G72" s="367">
        <f>'ADJ DETAIL-INPUT'!G72</f>
        <v>0</v>
      </c>
      <c r="H72" s="367">
        <f>'ADJ DETAIL-INPUT'!H72</f>
        <v>0</v>
      </c>
      <c r="I72" s="367">
        <f>'ADJ DETAIL-INPUT'!I72</f>
        <v>0</v>
      </c>
      <c r="J72" s="367">
        <f>'ADJ DETAIL-INPUT'!J72</f>
        <v>0</v>
      </c>
      <c r="K72" s="367">
        <f>'ADJ DETAIL-INPUT'!K72</f>
        <v>0</v>
      </c>
      <c r="L72" s="367">
        <f>'ADJ DETAIL-INPUT'!L72</f>
        <v>0</v>
      </c>
      <c r="M72" s="367">
        <f>'ADJ DETAIL-INPUT'!M72</f>
        <v>0</v>
      </c>
      <c r="N72" s="367">
        <f>'ADJ DETAIL-INPUT'!N72</f>
        <v>0</v>
      </c>
      <c r="O72" s="367">
        <f>'ADJ DETAIL-INPUT'!O72</f>
        <v>0</v>
      </c>
      <c r="P72" s="367">
        <f>'ADJ DETAIL-INPUT'!P72</f>
        <v>0</v>
      </c>
      <c r="Q72" s="367">
        <f>'ADJ DETAIL-INPUT'!Q72</f>
        <v>0</v>
      </c>
      <c r="R72" s="367">
        <f>'ADJ DETAIL-INPUT'!R72</f>
        <v>0</v>
      </c>
      <c r="S72" s="367">
        <f>'ADJ DETAIL-INPUT'!S72</f>
        <v>0</v>
      </c>
      <c r="T72" s="367">
        <f>'ADJ DETAIL-INPUT'!T72</f>
        <v>0</v>
      </c>
      <c r="U72" s="367">
        <f>'ADJ DETAIL-INPUT'!U72</f>
        <v>0</v>
      </c>
      <c r="V72" s="367">
        <f>'ADJ DETAIL-INPUT'!V72</f>
        <v>0</v>
      </c>
      <c r="W72" s="367">
        <f>'ADJ DETAIL-INPUT'!W72</f>
        <v>0</v>
      </c>
      <c r="X72" s="367">
        <f>'ADJ DETAIL-INPUT'!X72</f>
        <v>0</v>
      </c>
      <c r="Y72" s="367">
        <f>'ADJ DETAIL-INPUT'!Y72</f>
        <v>0</v>
      </c>
      <c r="Z72" s="379">
        <f>'ADJ DETAIL-INPUT'!Z72</f>
        <v>1288304</v>
      </c>
      <c r="AA72" s="367"/>
      <c r="AB72" s="367"/>
      <c r="AC72" s="367"/>
      <c r="AD72" s="367"/>
      <c r="AE72" s="367"/>
      <c r="AF72" s="367"/>
      <c r="AG72" s="367"/>
      <c r="AH72" s="367"/>
      <c r="AI72" s="367"/>
      <c r="AJ72" s="367"/>
      <c r="AK72" s="367"/>
      <c r="AL72" s="367"/>
      <c r="AM72" s="367"/>
      <c r="AN72" s="367"/>
      <c r="AO72" s="367"/>
      <c r="AP72" s="367">
        <f>'ADJ DETAIL-INPUT'!AP72</f>
        <v>0</v>
      </c>
      <c r="AQ72" s="367">
        <f>'ADJ DETAIL-INPUT'!AQ72</f>
        <v>0</v>
      </c>
      <c r="AR72" s="367">
        <f>'ADJ DETAIL-INPUT'!AR72</f>
        <v>0</v>
      </c>
      <c r="AS72" s="369">
        <f>'ADJ DETAIL-INPUT'!AS72</f>
        <v>1288304</v>
      </c>
      <c r="AT72" s="139"/>
      <c r="AU72" s="160"/>
      <c r="AV72" s="75"/>
      <c r="AX72" s="2"/>
      <c r="AZ72" s="160"/>
      <c r="BD72" s="160"/>
    </row>
    <row r="73" spans="1:56" s="19" customFormat="1" ht="6.75" customHeight="1">
      <c r="A73" s="21"/>
      <c r="E73" s="203"/>
      <c r="F73" s="203"/>
      <c r="G73" s="203"/>
      <c r="H73" s="203"/>
      <c r="I73" s="203"/>
      <c r="J73" s="203"/>
      <c r="K73" s="203"/>
      <c r="L73" s="203"/>
      <c r="M73" s="203"/>
      <c r="N73" s="203"/>
      <c r="O73" s="203"/>
      <c r="P73" s="203"/>
      <c r="Q73" s="203"/>
      <c r="R73" s="203"/>
      <c r="S73" s="203"/>
      <c r="T73" s="203"/>
      <c r="U73" s="203"/>
      <c r="V73" s="203"/>
      <c r="W73" s="203"/>
      <c r="X73" s="203"/>
      <c r="Y73" s="203"/>
      <c r="Z73" s="396"/>
      <c r="AA73" s="203"/>
      <c r="AB73" s="203"/>
      <c r="AC73" s="203"/>
      <c r="AD73" s="203"/>
      <c r="AE73" s="203"/>
      <c r="AF73" s="203"/>
      <c r="AG73" s="203"/>
      <c r="AH73" s="203"/>
      <c r="AI73" s="203"/>
      <c r="AJ73" s="203"/>
      <c r="AK73" s="203"/>
      <c r="AL73" s="203"/>
      <c r="AM73" s="203"/>
      <c r="AN73" s="203"/>
      <c r="AO73" s="203"/>
      <c r="AP73" s="203"/>
      <c r="AQ73" s="203"/>
      <c r="AR73" s="203"/>
      <c r="AS73" s="212"/>
      <c r="AT73" s="139"/>
      <c r="AU73" s="160"/>
      <c r="AV73" s="75"/>
      <c r="AX73" s="2"/>
      <c r="AZ73" s="160"/>
      <c r="BD73" s="160"/>
    </row>
    <row r="74" spans="1:56" s="19" customFormat="1" ht="12">
      <c r="A74" s="22">
        <f>'ADJ DETAIL-INPUT'!A74</f>
        <v>44</v>
      </c>
      <c r="B74" s="19" t="str">
        <f>'ADJ DETAIL-INPUT'!B74</f>
        <v xml:space="preserve">DEFERRED TAXES  </v>
      </c>
      <c r="E74" s="204">
        <f>'ADJ DETAIL-INPUT'!E74</f>
        <v>-201448</v>
      </c>
      <c r="F74" s="303">
        <f>'ADJ DETAIL-INPUT'!F74</f>
        <v>285</v>
      </c>
      <c r="G74" s="303">
        <f>'ADJ DETAIL-INPUT'!G74</f>
        <v>0</v>
      </c>
      <c r="H74" s="304">
        <f>'ADJ DETAIL-INPUT'!H74</f>
        <v>0</v>
      </c>
      <c r="I74" s="303">
        <f>'ADJ DETAIL-INPUT'!I74</f>
        <v>0</v>
      </c>
      <c r="J74" s="303">
        <f>'ADJ DETAIL-INPUT'!J74</f>
        <v>0</v>
      </c>
      <c r="K74" s="303">
        <f>'ADJ DETAIL-INPUT'!K74</f>
        <v>0</v>
      </c>
      <c r="L74" s="303">
        <f>'ADJ DETAIL-INPUT'!L74</f>
        <v>0</v>
      </c>
      <c r="M74" s="303">
        <f>'ADJ DETAIL-INPUT'!M74</f>
        <v>0</v>
      </c>
      <c r="N74" s="303">
        <f>'ADJ DETAIL-INPUT'!N74</f>
        <v>0</v>
      </c>
      <c r="O74" s="303">
        <f>'ADJ DETAIL-INPUT'!O74</f>
        <v>0</v>
      </c>
      <c r="P74" s="303">
        <f>'ADJ DETAIL-INPUT'!P74</f>
        <v>0</v>
      </c>
      <c r="Q74" s="303">
        <f>'ADJ DETAIL-INPUT'!Q74</f>
        <v>0</v>
      </c>
      <c r="R74" s="303">
        <f>'ADJ DETAIL-INPUT'!R74</f>
        <v>0</v>
      </c>
      <c r="S74" s="303">
        <f>'ADJ DETAIL-INPUT'!S74</f>
        <v>0</v>
      </c>
      <c r="T74" s="303">
        <f>'ADJ DETAIL-INPUT'!T74</f>
        <v>0</v>
      </c>
      <c r="U74" s="303">
        <f>'ADJ DETAIL-INPUT'!U74</f>
        <v>0</v>
      </c>
      <c r="V74" s="304">
        <f>'ADJ DETAIL-INPUT'!V74</f>
        <v>0</v>
      </c>
      <c r="W74" s="304">
        <f>'ADJ DETAIL-INPUT'!W74</f>
        <v>0</v>
      </c>
      <c r="X74" s="304">
        <f>'ADJ DETAIL-INPUT'!X74</f>
        <v>0</v>
      </c>
      <c r="Y74" s="304">
        <f>'ADJ DETAIL-INPUT'!Y74</f>
        <v>0</v>
      </c>
      <c r="Z74" s="377">
        <f>'ADJ DETAIL-INPUT'!Z74</f>
        <v>-201163</v>
      </c>
      <c r="AA74" s="304"/>
      <c r="AB74" s="304"/>
      <c r="AC74" s="304"/>
      <c r="AD74" s="304"/>
      <c r="AE74" s="303"/>
      <c r="AF74" s="304"/>
      <c r="AG74" s="304"/>
      <c r="AH74" s="304"/>
      <c r="AI74" s="304"/>
      <c r="AJ74" s="304"/>
      <c r="AK74" s="304"/>
      <c r="AL74" s="304"/>
      <c r="AM74" s="304"/>
      <c r="AN74" s="304"/>
      <c r="AO74" s="303"/>
      <c r="AP74" s="205">
        <f>'ADJ DETAIL-INPUT'!AP74</f>
        <v>0</v>
      </c>
      <c r="AQ74" s="205">
        <f>'ADJ DETAIL-INPUT'!AQ74</f>
        <v>0</v>
      </c>
      <c r="AR74" s="205">
        <f>'ADJ DETAIL-INPUT'!AR74</f>
        <v>0</v>
      </c>
      <c r="AS74" s="208">
        <f>'ADJ DETAIL-INPUT'!AS74</f>
        <v>-201163</v>
      </c>
      <c r="AT74" s="139"/>
      <c r="AU74" s="160"/>
      <c r="AV74" s="75"/>
      <c r="AX74" s="2"/>
      <c r="AZ74" s="160"/>
      <c r="BD74" s="160"/>
    </row>
    <row r="75" spans="1:56" s="19" customFormat="1" ht="12">
      <c r="A75" s="22">
        <f>'ADJ DETAIL-INPUT'!A75</f>
        <v>45</v>
      </c>
      <c r="C75" s="19" t="str">
        <f>'ADJ DETAIL-INPUT'!C75</f>
        <v>Net Plant After DFIT</v>
      </c>
      <c r="E75" s="203">
        <f>'ADJ DETAIL-INPUT'!E75</f>
        <v>1086856</v>
      </c>
      <c r="F75" s="203">
        <f>'ADJ DETAIL-INPUT'!F75</f>
        <v>285</v>
      </c>
      <c r="G75" s="203">
        <f>'ADJ DETAIL-INPUT'!G75</f>
        <v>0</v>
      </c>
      <c r="H75" s="203">
        <f>'ADJ DETAIL-INPUT'!H75</f>
        <v>0</v>
      </c>
      <c r="I75" s="203">
        <f>'ADJ DETAIL-INPUT'!I75</f>
        <v>0</v>
      </c>
      <c r="J75" s="203">
        <f>'ADJ DETAIL-INPUT'!J75</f>
        <v>0</v>
      </c>
      <c r="K75" s="203">
        <f>'ADJ DETAIL-INPUT'!K75</f>
        <v>0</v>
      </c>
      <c r="L75" s="203">
        <f>'ADJ DETAIL-INPUT'!L75</f>
        <v>0</v>
      </c>
      <c r="M75" s="203">
        <f>'ADJ DETAIL-INPUT'!M75</f>
        <v>0</v>
      </c>
      <c r="N75" s="203">
        <f>'ADJ DETAIL-INPUT'!N75</f>
        <v>0</v>
      </c>
      <c r="O75" s="203">
        <f>'ADJ DETAIL-INPUT'!O75</f>
        <v>0</v>
      </c>
      <c r="P75" s="203">
        <f>'ADJ DETAIL-INPUT'!P75</f>
        <v>0</v>
      </c>
      <c r="Q75" s="203">
        <f>'ADJ DETAIL-INPUT'!Q75</f>
        <v>0</v>
      </c>
      <c r="R75" s="203">
        <f>'ADJ DETAIL-INPUT'!R75</f>
        <v>0</v>
      </c>
      <c r="S75" s="203">
        <f>'ADJ DETAIL-INPUT'!S75</f>
        <v>0</v>
      </c>
      <c r="T75" s="203">
        <f>'ADJ DETAIL-INPUT'!T75</f>
        <v>0</v>
      </c>
      <c r="U75" s="203">
        <f>'ADJ DETAIL-INPUT'!U75</f>
        <v>0</v>
      </c>
      <c r="V75" s="203">
        <f>'ADJ DETAIL-INPUT'!V75</f>
        <v>0</v>
      </c>
      <c r="W75" s="203">
        <f>'ADJ DETAIL-INPUT'!W75</f>
        <v>0</v>
      </c>
      <c r="X75" s="203">
        <f>'ADJ DETAIL-INPUT'!X75</f>
        <v>0</v>
      </c>
      <c r="Y75" s="203">
        <f>'ADJ DETAIL-INPUT'!Y75</f>
        <v>0</v>
      </c>
      <c r="Z75" s="396">
        <f>'ADJ DETAIL-INPUT'!Z75</f>
        <v>1087141</v>
      </c>
      <c r="AA75" s="203"/>
      <c r="AB75" s="203"/>
      <c r="AC75" s="203"/>
      <c r="AD75" s="203"/>
      <c r="AE75" s="203"/>
      <c r="AF75" s="203"/>
      <c r="AG75" s="203"/>
      <c r="AH75" s="203"/>
      <c r="AI75" s="203"/>
      <c r="AJ75" s="203"/>
      <c r="AK75" s="203"/>
      <c r="AL75" s="203"/>
      <c r="AM75" s="203"/>
      <c r="AN75" s="203"/>
      <c r="AO75" s="203"/>
      <c r="AP75" s="203">
        <f>'ADJ DETAIL-INPUT'!AP75</f>
        <v>0</v>
      </c>
      <c r="AQ75" s="203">
        <f>'ADJ DETAIL-INPUT'!AQ75</f>
        <v>0</v>
      </c>
      <c r="AR75" s="203">
        <f>'ADJ DETAIL-INPUT'!AR75</f>
        <v>0</v>
      </c>
      <c r="AS75" s="212">
        <f>'ADJ DETAIL-INPUT'!AS75</f>
        <v>1087141</v>
      </c>
      <c r="AT75" s="139"/>
      <c r="AU75" s="160"/>
      <c r="AV75" s="75"/>
      <c r="AX75" s="2"/>
      <c r="AZ75" s="160"/>
      <c r="BD75" s="160"/>
    </row>
    <row r="76" spans="1:56" s="19" customFormat="1" ht="12">
      <c r="A76" s="21">
        <f>'ADJ DETAIL-INPUT'!A76</f>
        <v>46</v>
      </c>
      <c r="B76" s="19" t="str">
        <f>'ADJ DETAIL-INPUT'!B76</f>
        <v xml:space="preserve">DEFERRED DEBITS AND CREDITS </v>
      </c>
      <c r="E76" s="203">
        <f>'ADJ DETAIL-INPUT'!E76</f>
        <v>18867</v>
      </c>
      <c r="F76" s="301">
        <f>'ADJ DETAIL-INPUT'!F76</f>
        <v>0</v>
      </c>
      <c r="G76" s="301">
        <f>'ADJ DETAIL-INPUT'!G76</f>
        <v>-22</v>
      </c>
      <c r="H76" s="302">
        <f>'ADJ DETAIL-INPUT'!H76</f>
        <v>13689</v>
      </c>
      <c r="I76" s="301">
        <f>'ADJ DETAIL-INPUT'!I76</f>
        <v>0</v>
      </c>
      <c r="J76" s="301">
        <f>'ADJ DETAIL-INPUT'!J76</f>
        <v>0</v>
      </c>
      <c r="K76" s="301">
        <f>'ADJ DETAIL-INPUT'!K76</f>
        <v>0</v>
      </c>
      <c r="L76" s="301">
        <f>'ADJ DETAIL-INPUT'!L76</f>
        <v>0</v>
      </c>
      <c r="M76" s="301">
        <f>'ADJ DETAIL-INPUT'!M76</f>
        <v>0</v>
      </c>
      <c r="N76" s="301">
        <f>'ADJ DETAIL-INPUT'!N76</f>
        <v>0</v>
      </c>
      <c r="O76" s="301">
        <f>'ADJ DETAIL-INPUT'!O76</f>
        <v>0</v>
      </c>
      <c r="P76" s="301">
        <f>'ADJ DETAIL-INPUT'!P76</f>
        <v>0</v>
      </c>
      <c r="Q76" s="301">
        <f>'ADJ DETAIL-INPUT'!Q76</f>
        <v>0</v>
      </c>
      <c r="R76" s="301">
        <f>'ADJ DETAIL-INPUT'!R76</f>
        <v>0</v>
      </c>
      <c r="S76" s="301">
        <f>'ADJ DETAIL-INPUT'!S76</f>
        <v>0</v>
      </c>
      <c r="T76" s="301">
        <f>'ADJ DETAIL-INPUT'!T76</f>
        <v>0</v>
      </c>
      <c r="U76" s="301">
        <f>'ADJ DETAIL-INPUT'!U76</f>
        <v>0</v>
      </c>
      <c r="V76" s="302">
        <f>'ADJ DETAIL-INPUT'!V76</f>
        <v>0</v>
      </c>
      <c r="W76" s="302">
        <f>'ADJ DETAIL-INPUT'!W76</f>
        <v>0</v>
      </c>
      <c r="X76" s="302">
        <f>'ADJ DETAIL-INPUT'!X76</f>
        <v>0</v>
      </c>
      <c r="Y76" s="302">
        <f>'ADJ DETAIL-INPUT'!Y76</f>
        <v>0</v>
      </c>
      <c r="Z76" s="376">
        <f>'ADJ DETAIL-INPUT'!Z76</f>
        <v>18845</v>
      </c>
      <c r="AA76" s="302"/>
      <c r="AB76" s="302"/>
      <c r="AC76" s="302"/>
      <c r="AD76" s="302"/>
      <c r="AE76" s="301"/>
      <c r="AF76" s="302"/>
      <c r="AG76" s="302"/>
      <c r="AH76" s="302"/>
      <c r="AI76" s="302"/>
      <c r="AJ76" s="302"/>
      <c r="AK76" s="302"/>
      <c r="AL76" s="302"/>
      <c r="AM76" s="302"/>
      <c r="AN76" s="302"/>
      <c r="AO76" s="301"/>
      <c r="AP76" s="174">
        <f>'ADJ DETAIL-INPUT'!AP76</f>
        <v>0</v>
      </c>
      <c r="AQ76" s="174">
        <f>'ADJ DETAIL-INPUT'!AQ76</f>
        <v>0</v>
      </c>
      <c r="AR76" s="174">
        <f>'ADJ DETAIL-INPUT'!AR76</f>
        <v>0</v>
      </c>
      <c r="AS76" s="177">
        <f>'ADJ DETAIL-INPUT'!AS76</f>
        <v>18845</v>
      </c>
      <c r="AT76" s="139"/>
      <c r="AU76" s="160"/>
      <c r="AV76" s="75"/>
      <c r="AX76" s="2"/>
      <c r="AZ76" s="160"/>
      <c r="BD76" s="160"/>
    </row>
    <row r="77" spans="1:56" s="19" customFormat="1" ht="12">
      <c r="A77" s="21">
        <f>'ADJ DETAIL-INPUT'!A77</f>
        <v>47</v>
      </c>
      <c r="B77" s="19" t="str">
        <f>'ADJ DETAIL-INPUT'!B77</f>
        <v xml:space="preserve">WORKING CAPITAL </v>
      </c>
      <c r="E77" s="203">
        <f>'ADJ DETAIL-INPUT'!E77</f>
        <v>18188</v>
      </c>
      <c r="F77" s="303">
        <f>'ADJ DETAIL-INPUT'!F77</f>
        <v>0</v>
      </c>
      <c r="G77" s="303">
        <f>'ADJ DETAIL-INPUT'!G77</f>
        <v>0</v>
      </c>
      <c r="H77" s="304">
        <f>'ADJ DETAIL-INPUT'!H77</f>
        <v>0</v>
      </c>
      <c r="I77" s="303">
        <f>'ADJ DETAIL-INPUT'!I77</f>
        <v>0</v>
      </c>
      <c r="J77" s="303">
        <f>'ADJ DETAIL-INPUT'!J77</f>
        <v>0</v>
      </c>
      <c r="K77" s="303">
        <f>'ADJ DETAIL-INPUT'!K77</f>
        <v>0</v>
      </c>
      <c r="L77" s="303">
        <f>'ADJ DETAIL-INPUT'!L77</f>
        <v>0</v>
      </c>
      <c r="M77" s="303">
        <f>'ADJ DETAIL-INPUT'!M77</f>
        <v>0</v>
      </c>
      <c r="N77" s="303">
        <f>'ADJ DETAIL-INPUT'!N77</f>
        <v>0</v>
      </c>
      <c r="O77" s="303">
        <f>'ADJ DETAIL-INPUT'!O77</f>
        <v>0</v>
      </c>
      <c r="P77" s="303">
        <f>'ADJ DETAIL-INPUT'!P77</f>
        <v>0</v>
      </c>
      <c r="Q77" s="303">
        <f>'ADJ DETAIL-INPUT'!Q77</f>
        <v>0</v>
      </c>
      <c r="R77" s="303">
        <f>'ADJ DETAIL-INPUT'!R77</f>
        <v>0</v>
      </c>
      <c r="S77" s="303">
        <f>'ADJ DETAIL-INPUT'!S77</f>
        <v>0</v>
      </c>
      <c r="T77" s="303">
        <f>'ADJ DETAIL-INPUT'!T77</f>
        <v>0</v>
      </c>
      <c r="U77" s="303">
        <f>'ADJ DETAIL-INPUT'!U77</f>
        <v>0</v>
      </c>
      <c r="V77" s="304">
        <f>'ADJ DETAIL-INPUT'!V77</f>
        <v>0</v>
      </c>
      <c r="W77" s="304">
        <f>'ADJ DETAIL-INPUT'!W77</f>
        <v>0</v>
      </c>
      <c r="X77" s="304">
        <f>'ADJ DETAIL-INPUT'!X77</f>
        <v>0</v>
      </c>
      <c r="Y77" s="304">
        <f>'ADJ DETAIL-INPUT'!Y77</f>
        <v>0</v>
      </c>
      <c r="Z77" s="377">
        <f>'ADJ DETAIL-INPUT'!Z77</f>
        <v>31877</v>
      </c>
      <c r="AA77" s="304"/>
      <c r="AB77" s="304"/>
      <c r="AC77" s="304"/>
      <c r="AD77" s="304"/>
      <c r="AE77" s="303"/>
      <c r="AF77" s="304"/>
      <c r="AG77" s="304"/>
      <c r="AH77" s="304"/>
      <c r="AI77" s="304"/>
      <c r="AJ77" s="304"/>
      <c r="AK77" s="304"/>
      <c r="AL77" s="304"/>
      <c r="AM77" s="304"/>
      <c r="AN77" s="304"/>
      <c r="AO77" s="303"/>
      <c r="AP77" s="205">
        <f>'ADJ DETAIL-INPUT'!AP77</f>
        <v>0</v>
      </c>
      <c r="AQ77" s="205">
        <f>'ADJ DETAIL-INPUT'!AQ77</f>
        <v>0</v>
      </c>
      <c r="AR77" s="205">
        <f>'ADJ DETAIL-INPUT'!AR77</f>
        <v>0</v>
      </c>
      <c r="AS77" s="208">
        <f>'ADJ DETAIL-INPUT'!AS77</f>
        <v>31877</v>
      </c>
      <c r="AT77" s="139"/>
      <c r="AU77" s="160"/>
      <c r="AV77" s="75"/>
      <c r="AX77" s="2"/>
      <c r="AZ77" s="160"/>
      <c r="BD77" s="160"/>
    </row>
    <row r="78" spans="1:56" s="19" customFormat="1" ht="6.75" customHeight="1">
      <c r="A78" s="22"/>
      <c r="E78" s="367">
        <f>'ADJ DETAIL-INPUT'!E78</f>
        <v>0</v>
      </c>
      <c r="F78" s="174">
        <f>'ADJ DETAIL-INPUT'!F78</f>
        <v>0</v>
      </c>
      <c r="G78" s="174">
        <f>'ADJ DETAIL-INPUT'!G78</f>
        <v>0</v>
      </c>
      <c r="H78" s="175">
        <f>'ADJ DETAIL-INPUT'!H78</f>
        <v>0</v>
      </c>
      <c r="I78" s="176">
        <f>'ADJ DETAIL-INPUT'!I78</f>
        <v>0</v>
      </c>
      <c r="J78" s="174">
        <f>'ADJ DETAIL-INPUT'!J78</f>
        <v>0</v>
      </c>
      <c r="K78" s="176">
        <f>'ADJ DETAIL-INPUT'!K78</f>
        <v>0</v>
      </c>
      <c r="L78" s="174">
        <f>'ADJ DETAIL-INPUT'!L78</f>
        <v>0</v>
      </c>
      <c r="M78" s="176">
        <f>'ADJ DETAIL-INPUT'!M78</f>
        <v>0</v>
      </c>
      <c r="N78" s="174">
        <f>'ADJ DETAIL-INPUT'!N78</f>
        <v>0</v>
      </c>
      <c r="O78" s="174">
        <f>'ADJ DETAIL-INPUT'!O78</f>
        <v>0</v>
      </c>
      <c r="P78" s="176">
        <f>'ADJ DETAIL-INPUT'!P78</f>
        <v>0</v>
      </c>
      <c r="Q78" s="176">
        <f>'ADJ DETAIL-INPUT'!Q78</f>
        <v>0</v>
      </c>
      <c r="R78" s="176">
        <f>'ADJ DETAIL-INPUT'!R78</f>
        <v>0</v>
      </c>
      <c r="S78" s="176">
        <f>'ADJ DETAIL-INPUT'!S78</f>
        <v>0</v>
      </c>
      <c r="T78" s="176">
        <f>'ADJ DETAIL-INPUT'!T78</f>
        <v>0</v>
      </c>
      <c r="U78" s="174">
        <f>'ADJ DETAIL-INPUT'!U78</f>
        <v>0</v>
      </c>
      <c r="V78" s="175">
        <f>'ADJ DETAIL-INPUT'!V78</f>
        <v>0</v>
      </c>
      <c r="W78" s="175">
        <f>'ADJ DETAIL-INPUT'!W78</f>
        <v>0</v>
      </c>
      <c r="X78" s="175">
        <f>'ADJ DETAIL-INPUT'!X78</f>
        <v>0</v>
      </c>
      <c r="Y78" s="175">
        <f>'ADJ DETAIL-INPUT'!Y78</f>
        <v>0</v>
      </c>
      <c r="Z78" s="173">
        <f>'ADJ DETAIL-INPUT'!Z78</f>
        <v>0</v>
      </c>
      <c r="AA78" s="175"/>
      <c r="AB78" s="175"/>
      <c r="AC78" s="175"/>
      <c r="AD78" s="175"/>
      <c r="AE78" s="174"/>
      <c r="AF78" s="175"/>
      <c r="AG78" s="175"/>
      <c r="AH78" s="175"/>
      <c r="AI78" s="175"/>
      <c r="AJ78" s="175"/>
      <c r="AK78" s="175"/>
      <c r="AL78" s="175"/>
      <c r="AM78" s="175"/>
      <c r="AN78" s="175"/>
      <c r="AO78" s="174"/>
      <c r="AP78" s="174">
        <f>'ADJ DETAIL-INPUT'!AP78</f>
        <v>0</v>
      </c>
      <c r="AQ78" s="174">
        <f>'ADJ DETAIL-INPUT'!AQ78</f>
        <v>0</v>
      </c>
      <c r="AR78" s="174">
        <f>'ADJ DETAIL-INPUT'!AR78</f>
        <v>0</v>
      </c>
      <c r="AS78" s="177">
        <f>'ADJ DETAIL-INPUT'!AS78</f>
        <v>0</v>
      </c>
      <c r="AT78" s="75"/>
      <c r="AU78" s="133"/>
      <c r="AV78" s="75"/>
      <c r="AX78" s="2"/>
      <c r="AZ78" s="133"/>
      <c r="BD78" s="133"/>
    </row>
    <row r="79" spans="1:56" s="18" customFormat="1" thickBot="1">
      <c r="A79" s="17">
        <f>'ADJ DETAIL-INPUT'!A79</f>
        <v>48</v>
      </c>
      <c r="B79" s="18" t="str">
        <f>'ADJ DETAIL-INPUT'!B79</f>
        <v xml:space="preserve">TOTAL RATE BASE  </v>
      </c>
      <c r="E79" s="372">
        <f>'ADJ DETAIL-INPUT'!E79</f>
        <v>1123911</v>
      </c>
      <c r="F79" s="372">
        <f>'ADJ DETAIL-INPUT'!F79</f>
        <v>285</v>
      </c>
      <c r="G79" s="372">
        <f>'ADJ DETAIL-INPUT'!G79</f>
        <v>-22</v>
      </c>
      <c r="H79" s="372">
        <f>'ADJ DETAIL-INPUT'!H79</f>
        <v>13689</v>
      </c>
      <c r="I79" s="372">
        <f>'ADJ DETAIL-INPUT'!I79</f>
        <v>0</v>
      </c>
      <c r="J79" s="372">
        <f>'ADJ DETAIL-INPUT'!J79</f>
        <v>0</v>
      </c>
      <c r="K79" s="372">
        <f>'ADJ DETAIL-INPUT'!K79</f>
        <v>0</v>
      </c>
      <c r="L79" s="372">
        <f>'ADJ DETAIL-INPUT'!L79</f>
        <v>0</v>
      </c>
      <c r="M79" s="372">
        <f>'ADJ DETAIL-INPUT'!M79</f>
        <v>0</v>
      </c>
      <c r="N79" s="372">
        <f>'ADJ DETAIL-INPUT'!N79</f>
        <v>0</v>
      </c>
      <c r="O79" s="372">
        <f>'ADJ DETAIL-INPUT'!O79</f>
        <v>0</v>
      </c>
      <c r="P79" s="372">
        <f>'ADJ DETAIL-INPUT'!P79</f>
        <v>0</v>
      </c>
      <c r="Q79" s="372">
        <f>'ADJ DETAIL-INPUT'!Q79</f>
        <v>0</v>
      </c>
      <c r="R79" s="372">
        <f>'ADJ DETAIL-INPUT'!R79</f>
        <v>0</v>
      </c>
      <c r="S79" s="372">
        <f>'ADJ DETAIL-INPUT'!S79</f>
        <v>0</v>
      </c>
      <c r="T79" s="372">
        <f>'ADJ DETAIL-INPUT'!T79</f>
        <v>0</v>
      </c>
      <c r="U79" s="372">
        <f>'ADJ DETAIL-INPUT'!U79</f>
        <v>0</v>
      </c>
      <c r="V79" s="372">
        <f>'ADJ DETAIL-INPUT'!V79</f>
        <v>0</v>
      </c>
      <c r="W79" s="372">
        <f>'ADJ DETAIL-INPUT'!W79</f>
        <v>0</v>
      </c>
      <c r="X79" s="372">
        <f>'ADJ DETAIL-INPUT'!X79</f>
        <v>0</v>
      </c>
      <c r="Y79" s="372">
        <f>'ADJ DETAIL-INPUT'!Y79</f>
        <v>0</v>
      </c>
      <c r="Z79" s="382">
        <f>'ADJ DETAIL-INPUT'!Z79</f>
        <v>1137863</v>
      </c>
      <c r="AA79" s="372"/>
      <c r="AB79" s="372"/>
      <c r="AC79" s="372"/>
      <c r="AD79" s="372"/>
      <c r="AE79" s="372"/>
      <c r="AF79" s="372"/>
      <c r="AG79" s="372"/>
      <c r="AH79" s="372"/>
      <c r="AI79" s="372"/>
      <c r="AJ79" s="372"/>
      <c r="AK79" s="372"/>
      <c r="AL79" s="372"/>
      <c r="AM79" s="372"/>
      <c r="AN79" s="372"/>
      <c r="AO79" s="372"/>
      <c r="AP79" s="372">
        <f>'ADJ DETAIL-INPUT'!AP79</f>
        <v>0</v>
      </c>
      <c r="AQ79" s="372">
        <f>'ADJ DETAIL-INPUT'!AQ79</f>
        <v>0</v>
      </c>
      <c r="AR79" s="372">
        <f>'ADJ DETAIL-INPUT'!AR79</f>
        <v>0</v>
      </c>
      <c r="AS79" s="382">
        <f>'ADJ DETAIL-INPUT'!AS79</f>
        <v>1137863</v>
      </c>
      <c r="AT79" s="127"/>
      <c r="AU79" s="161"/>
      <c r="AV79" s="127"/>
      <c r="AX79" s="2"/>
      <c r="AZ79" s="161"/>
      <c r="BD79" s="161"/>
    </row>
    <row r="80" spans="1:56" ht="13.5" thickTop="1">
      <c r="E80" s="209"/>
    </row>
    <row r="81" spans="4:40">
      <c r="D81" s="100"/>
      <c r="E81" s="174"/>
    </row>
    <row r="82" spans="4:40">
      <c r="E82" s="174"/>
      <c r="H82" s="174"/>
      <c r="I82" s="174"/>
      <c r="K82" s="174"/>
      <c r="M82" s="174"/>
      <c r="P82" s="174"/>
      <c r="Q82" s="174"/>
      <c r="R82" s="174"/>
      <c r="S82" s="174"/>
      <c r="T82" s="174"/>
      <c r="V82" s="174"/>
      <c r="W82" s="174"/>
      <c r="X82" s="174"/>
      <c r="Y82" s="174"/>
      <c r="Z82" s="177"/>
      <c r="AA82" s="174"/>
      <c r="AB82" s="174"/>
      <c r="AC82" s="174"/>
      <c r="AD82" s="174"/>
      <c r="AF82" s="174"/>
      <c r="AG82" s="174"/>
      <c r="AH82" s="174"/>
      <c r="AI82" s="174"/>
      <c r="AJ82" s="174"/>
      <c r="AK82" s="174"/>
      <c r="AL82" s="174"/>
      <c r="AM82" s="174"/>
      <c r="AN82" s="174"/>
    </row>
  </sheetData>
  <sheetProtection password="CC56" sheet="1" objects="1" scenarios="1" formatCells="0" formatColumns="0" formatRows="0" insertColumns="0" insertRows="0" insertHyperlinks="0" deleteColumns="0" deleteRows="0" sort="0" autoFilter="0" pivotTables="0"/>
  <hyperlinks>
    <hyperlink ref="I10" location="BandO!A1" display="t"/>
  </hyperlinks>
  <pageMargins left="1.25" right="0.51" top="0.4" bottom="0.5" header="0.27" footer="0.5"/>
  <pageSetup scale="83" firstPageNumber="4" fitToWidth="3" orientation="portrait" r:id="rId1"/>
  <headerFooter scaleWithDoc="0" alignWithMargins="0"/>
  <colBreaks count="37" manualBreakCount="37">
    <brk id="5" min="1" max="78" man="1"/>
    <brk id="6" min="1" max="78" man="1"/>
    <brk id="7" min="1" max="78" man="1"/>
    <brk id="8" min="1" max="78" man="1"/>
    <brk id="9" min="1" max="78" man="1"/>
    <brk id="10" min="1" max="78" man="1"/>
    <brk id="11" min="1" max="78" man="1"/>
    <brk id="12" min="1" max="78" man="1"/>
    <brk id="13" min="1" max="78" man="1"/>
    <brk id="14" min="1" max="78" man="1"/>
    <brk id="15" min="1" max="78" man="1"/>
    <brk id="16" min="1" max="78" man="1"/>
    <brk id="17" min="1" max="78" man="1"/>
    <brk id="18" min="1" max="78" man="1"/>
    <brk id="19" min="1" max="78" man="1"/>
    <brk id="20" min="1" max="78" man="1"/>
    <brk id="21" min="1" max="78" man="1"/>
    <brk id="22" min="1" max="78" man="1"/>
    <brk id="23" max="1048575" man="1"/>
    <brk id="24" min="1" max="78" man="1"/>
    <brk id="25" min="1" max="78" man="1"/>
    <brk id="26" min="1" max="78" man="1"/>
    <brk id="27" min="1" max="78" man="1"/>
    <brk id="28" min="1" max="78" man="1"/>
    <brk id="29" min="1" max="78" man="1"/>
    <brk id="30" min="1" max="78" man="1"/>
    <brk id="31" min="1" max="78" man="1"/>
    <brk id="32" min="1" max="78" man="1"/>
    <brk id="33" min="1" max="78" man="1"/>
    <brk id="34" min="1" max="78" man="1"/>
    <brk id="35" min="1" max="78" man="1"/>
    <brk id="36" min="1" max="78" man="1"/>
    <brk id="37" min="1" max="78" man="1"/>
    <brk id="38" min="1" max="78" man="1"/>
    <brk id="39" min="1" max="78" man="1"/>
    <brk id="40" min="1" max="78" man="1"/>
    <brk id="44" min="1" max="78"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4"/>
  <sheetViews>
    <sheetView zoomScaleNormal="100" workbookViewId="0">
      <selection activeCell="O429" sqref="O429"/>
    </sheetView>
  </sheetViews>
  <sheetFormatPr defaultColWidth="12.42578125" defaultRowHeight="12"/>
  <cols>
    <col min="1" max="1" width="5.5703125" style="312" customWidth="1"/>
    <col min="2" max="2" width="26.140625" style="311" customWidth="1"/>
    <col min="3" max="3" width="12.42578125" style="311" customWidth="1"/>
    <col min="4" max="4" width="5.5703125" style="311" bestFit="1" customWidth="1"/>
    <col min="5" max="5" width="14.7109375" style="311" customWidth="1"/>
    <col min="6" max="8" width="12.42578125" style="311" customWidth="1"/>
    <col min="9" max="9" width="14.7109375" style="311" hidden="1" customWidth="1"/>
    <col min="10" max="11" width="12.42578125" style="311" hidden="1" customWidth="1"/>
    <col min="12" max="16384" width="12.42578125" style="311"/>
  </cols>
  <sheetData>
    <row r="1" spans="1:11">
      <c r="A1" s="339" t="str">
        <f>[1]Inputs!$D$6</f>
        <v>AVISTA UTILITIES</v>
      </c>
      <c r="B1" s="340"/>
      <c r="C1" s="339"/>
    </row>
    <row r="2" spans="1:11">
      <c r="A2" s="339" t="s">
        <v>61</v>
      </c>
      <c r="B2" s="340"/>
      <c r="C2" s="339"/>
      <c r="I2" s="339"/>
      <c r="J2" s="312" t="s">
        <v>117</v>
      </c>
      <c r="K2" s="339"/>
    </row>
    <row r="3" spans="1:11">
      <c r="A3" s="340" t="str">
        <f>'ADJ DETAIL-INPUT'!A4</f>
        <v>TWELVE MONTHS ENDED DECEMBER 31, 2011</v>
      </c>
      <c r="B3" s="340"/>
      <c r="C3" s="339"/>
      <c r="I3" s="339" t="s">
        <v>118</v>
      </c>
      <c r="J3" s="339"/>
      <c r="K3" s="339"/>
    </row>
    <row r="4" spans="1:11">
      <c r="A4" s="339" t="s">
        <v>0</v>
      </c>
      <c r="B4" s="340"/>
      <c r="C4" s="339"/>
      <c r="I4" s="338" t="s">
        <v>64</v>
      </c>
      <c r="J4" s="338"/>
      <c r="K4" s="337"/>
    </row>
    <row r="5" spans="1:11">
      <c r="A5" s="339"/>
      <c r="B5" s="340"/>
      <c r="C5" s="339"/>
      <c r="I5" s="336"/>
      <c r="J5" s="336"/>
      <c r="K5" s="335"/>
    </row>
    <row r="6" spans="1:11">
      <c r="A6" s="339"/>
      <c r="B6" s="340"/>
      <c r="C6" s="339"/>
      <c r="E6" s="339" t="s">
        <v>62</v>
      </c>
      <c r="F6" s="339"/>
      <c r="G6" s="339"/>
      <c r="I6" s="336"/>
      <c r="J6" s="336"/>
      <c r="K6" s="335"/>
    </row>
    <row r="7" spans="1:11">
      <c r="A7" s="339"/>
      <c r="B7" s="340"/>
      <c r="C7" s="339"/>
      <c r="E7" s="339" t="s">
        <v>63</v>
      </c>
      <c r="F7" s="339"/>
      <c r="G7" s="339"/>
      <c r="I7" s="336"/>
      <c r="J7" s="336"/>
      <c r="K7" s="335"/>
    </row>
    <row r="8" spans="1:11">
      <c r="A8" s="339"/>
      <c r="B8" s="340"/>
      <c r="C8" s="339"/>
      <c r="E8" s="338" t="s">
        <v>64</v>
      </c>
      <c r="F8" s="338"/>
      <c r="G8" s="337"/>
      <c r="I8" s="336"/>
      <c r="J8" s="336"/>
      <c r="K8" s="335"/>
    </row>
    <row r="9" spans="1:11">
      <c r="A9" s="312" t="s">
        <v>8</v>
      </c>
    </row>
    <row r="10" spans="1:11" s="312" customFormat="1">
      <c r="A10" s="312" t="s">
        <v>65</v>
      </c>
      <c r="B10" s="334" t="s">
        <v>22</v>
      </c>
      <c r="C10" s="334"/>
      <c r="E10" s="334" t="s">
        <v>66</v>
      </c>
      <c r="F10" s="334" t="s">
        <v>67</v>
      </c>
      <c r="G10" s="334" t="s">
        <v>53</v>
      </c>
      <c r="H10" s="333" t="s">
        <v>68</v>
      </c>
      <c r="I10" s="334" t="s">
        <v>66</v>
      </c>
      <c r="J10" s="334" t="s">
        <v>67</v>
      </c>
      <c r="K10" s="334"/>
    </row>
    <row r="11" spans="1:11" s="312" customFormat="1" ht="5.25" customHeight="1">
      <c r="B11" s="412"/>
      <c r="C11" s="412"/>
      <c r="E11" s="412"/>
      <c r="F11" s="412"/>
      <c r="G11" s="412"/>
      <c r="H11" s="333"/>
      <c r="I11" s="412"/>
      <c r="J11" s="412"/>
      <c r="K11" s="412"/>
    </row>
    <row r="12" spans="1:11" s="312" customFormat="1" ht="5.25" customHeight="1">
      <c r="B12" s="412"/>
      <c r="C12" s="412"/>
      <c r="E12" s="412"/>
      <c r="F12" s="412"/>
      <c r="G12" s="412"/>
      <c r="H12" s="333"/>
      <c r="I12" s="412"/>
      <c r="J12" s="412"/>
      <c r="K12" s="412"/>
    </row>
    <row r="13" spans="1:11">
      <c r="B13" s="314" t="s">
        <v>34</v>
      </c>
    </row>
    <row r="14" spans="1:11" s="318" customFormat="1">
      <c r="A14" s="321">
        <v>1</v>
      </c>
      <c r="B14" s="320" t="s">
        <v>35</v>
      </c>
      <c r="E14" s="327">
        <f>F14+G14</f>
        <v>470571</v>
      </c>
      <c r="F14" s="327">
        <f>SUM(F84:F88)</f>
        <v>470571</v>
      </c>
      <c r="G14" s="327">
        <f>SUM(G84:G88)</f>
        <v>0</v>
      </c>
      <c r="H14" s="318" t="str">
        <f t="shared" ref="H14:H19" si="0">IF(E14=F14+G14," ","ERROR")</f>
        <v xml:space="preserve"> </v>
      </c>
      <c r="I14" s="327" t="e">
        <f>J14+K14</f>
        <v>#REF!</v>
      </c>
      <c r="J14" s="327" t="e">
        <f>#REF!</f>
        <v>#REF!</v>
      </c>
      <c r="K14" s="327"/>
    </row>
    <row r="15" spans="1:11">
      <c r="A15" s="312">
        <v>2</v>
      </c>
      <c r="B15" s="314" t="s">
        <v>36</v>
      </c>
      <c r="E15" s="323">
        <f>F15+G15</f>
        <v>820</v>
      </c>
      <c r="F15" s="323">
        <f>SUM(F89)</f>
        <v>820</v>
      </c>
      <c r="G15" s="323">
        <f>SUM(G89)</f>
        <v>0</v>
      </c>
      <c r="H15" s="318" t="str">
        <f t="shared" si="0"/>
        <v xml:space="preserve"> </v>
      </c>
      <c r="I15" s="323" t="e">
        <f>J15+K15</f>
        <v>#REF!</v>
      </c>
      <c r="J15" s="323" t="e">
        <f>#REF!</f>
        <v>#REF!</v>
      </c>
      <c r="K15" s="323"/>
    </row>
    <row r="16" spans="1:11">
      <c r="A16" s="312">
        <v>3</v>
      </c>
      <c r="B16" s="314" t="s">
        <v>69</v>
      </c>
      <c r="E16" s="323">
        <f>F16+G16</f>
        <v>76991</v>
      </c>
      <c r="F16" s="323">
        <f>SUM(F92)</f>
        <v>76991</v>
      </c>
      <c r="G16" s="323">
        <f>SUM(G92)</f>
        <v>0</v>
      </c>
      <c r="H16" s="318" t="str">
        <f t="shared" si="0"/>
        <v xml:space="preserve"> </v>
      </c>
      <c r="I16" s="323" t="e">
        <f>J16+K16</f>
        <v>#REF!</v>
      </c>
      <c r="J16" s="323" t="e">
        <f>#REF!</f>
        <v>#REF!</v>
      </c>
      <c r="K16" s="323"/>
    </row>
    <row r="17" spans="1:11">
      <c r="A17" s="312">
        <v>4</v>
      </c>
      <c r="B17" s="314" t="s">
        <v>70</v>
      </c>
      <c r="E17" s="331">
        <f>E14+E15+E16</f>
        <v>548382</v>
      </c>
      <c r="F17" s="331">
        <f>F14+F15+F16</f>
        <v>548382</v>
      </c>
      <c r="G17" s="331">
        <f>G14+G15+G16</f>
        <v>0</v>
      </c>
      <c r="H17" s="318" t="str">
        <f t="shared" si="0"/>
        <v xml:space="preserve"> </v>
      </c>
      <c r="I17" s="331" t="e">
        <f>I14+I15+I16</f>
        <v>#REF!</v>
      </c>
      <c r="J17" s="331" t="e">
        <f>J14+J15+J16</f>
        <v>#REF!</v>
      </c>
      <c r="K17" s="331"/>
    </row>
    <row r="18" spans="1:11">
      <c r="A18" s="312">
        <v>5</v>
      </c>
      <c r="B18" s="314" t="s">
        <v>38</v>
      </c>
      <c r="E18" s="332">
        <f>F18+G18</f>
        <v>130741</v>
      </c>
      <c r="F18" s="323">
        <f>SUM(F96:F99)</f>
        <v>130741</v>
      </c>
      <c r="G18" s="323">
        <f>SUM(G96:G99)</f>
        <v>0</v>
      </c>
      <c r="H18" s="318" t="str">
        <f t="shared" si="0"/>
        <v xml:space="preserve"> </v>
      </c>
      <c r="I18" s="332" t="e">
        <f>J18+K18</f>
        <v>#REF!</v>
      </c>
      <c r="J18" s="323" t="e">
        <f>#REF!</f>
        <v>#REF!</v>
      </c>
      <c r="K18" s="323"/>
    </row>
    <row r="19" spans="1:11">
      <c r="A19" s="312">
        <v>6</v>
      </c>
      <c r="B19" s="314" t="s">
        <v>71</v>
      </c>
      <c r="E19" s="331">
        <f>E17+E18</f>
        <v>679123</v>
      </c>
      <c r="F19" s="331">
        <f>F17+F18</f>
        <v>679123</v>
      </c>
      <c r="G19" s="331">
        <f>G17+G18</f>
        <v>0</v>
      </c>
      <c r="H19" s="318" t="str">
        <f t="shared" si="0"/>
        <v xml:space="preserve"> </v>
      </c>
      <c r="I19" s="331" t="e">
        <f>I17+I18</f>
        <v>#REF!</v>
      </c>
      <c r="J19" s="331" t="e">
        <f>J17+J18</f>
        <v>#REF!</v>
      </c>
      <c r="K19" s="331"/>
    </row>
    <row r="20" spans="1:11">
      <c r="E20" s="325"/>
      <c r="F20" s="325"/>
      <c r="G20" s="325"/>
      <c r="H20" s="318"/>
      <c r="I20" s="325"/>
      <c r="J20" s="325"/>
      <c r="K20" s="325"/>
    </row>
    <row r="21" spans="1:11">
      <c r="B21" s="314" t="s">
        <v>39</v>
      </c>
      <c r="E21" s="325"/>
      <c r="F21" s="325"/>
      <c r="G21" s="325"/>
      <c r="H21" s="318"/>
      <c r="I21" s="325"/>
      <c r="J21" s="325"/>
      <c r="K21" s="325"/>
    </row>
    <row r="22" spans="1:11">
      <c r="B22" s="314" t="s">
        <v>40</v>
      </c>
      <c r="E22" s="325"/>
      <c r="F22" s="325"/>
      <c r="G22" s="325"/>
      <c r="H22" s="318"/>
      <c r="I22" s="325"/>
      <c r="J22" s="325"/>
      <c r="K22" s="325"/>
    </row>
    <row r="23" spans="1:11">
      <c r="A23" s="312">
        <v>7</v>
      </c>
      <c r="B23" s="314" t="s">
        <v>72</v>
      </c>
      <c r="E23" s="323">
        <f>F23+G23</f>
        <v>252926</v>
      </c>
      <c r="F23" s="323">
        <f>SUM(F159-F155+F178)</f>
        <v>252926</v>
      </c>
      <c r="G23" s="323">
        <f>SUM(G159-G155+G178)</f>
        <v>0</v>
      </c>
      <c r="H23" s="318" t="str">
        <f>IF(E23=F23+G23," ","ERROR")</f>
        <v xml:space="preserve"> </v>
      </c>
      <c r="I23" s="323" t="e">
        <f>J23+K23</f>
        <v>#REF!</v>
      </c>
      <c r="J23" s="323" t="e">
        <f>#REF!+#REF!+#REF!+#REF!+#REF!</f>
        <v>#REF!</v>
      </c>
      <c r="K23" s="323"/>
    </row>
    <row r="24" spans="1:11">
      <c r="A24" s="312">
        <v>8</v>
      </c>
      <c r="B24" s="314" t="s">
        <v>73</v>
      </c>
      <c r="E24" s="323">
        <f>F24+G24</f>
        <v>124270</v>
      </c>
      <c r="F24" s="323">
        <f>SUM(F155)</f>
        <v>124270</v>
      </c>
      <c r="G24" s="323">
        <f>SUM(G155)</f>
        <v>0</v>
      </c>
      <c r="H24" s="318" t="str">
        <f>IF(E24=F24+G24," ","ERROR")</f>
        <v xml:space="preserve"> </v>
      </c>
      <c r="I24" s="323" t="e">
        <f>J24+K24</f>
        <v>#REF!</v>
      </c>
      <c r="J24" s="323" t="e">
        <f>#REF!</f>
        <v>#REF!</v>
      </c>
      <c r="K24" s="323"/>
    </row>
    <row r="25" spans="1:11">
      <c r="A25" s="312">
        <v>9</v>
      </c>
      <c r="B25" s="314" t="s">
        <v>543</v>
      </c>
      <c r="E25" s="323">
        <f>F25+G25</f>
        <v>25349</v>
      </c>
      <c r="F25" s="323">
        <f>SUM(F180:F182)</f>
        <v>25349</v>
      </c>
      <c r="G25" s="323">
        <f>SUM(G180:G182)</f>
        <v>0</v>
      </c>
      <c r="H25" s="318" t="str">
        <f>IF(E25=F25+G25," ","ERROR")</f>
        <v xml:space="preserve"> </v>
      </c>
      <c r="I25" s="323" t="e">
        <f>J25+K25</f>
        <v>#REF!</v>
      </c>
      <c r="J25" s="323" t="e">
        <f>#REF!</f>
        <v>#REF!</v>
      </c>
      <c r="K25" s="323"/>
    </row>
    <row r="26" spans="1:11">
      <c r="A26" s="312">
        <v>10</v>
      </c>
      <c r="B26" s="314" t="s">
        <v>542</v>
      </c>
      <c r="E26" s="323">
        <f>F26+G26</f>
        <v>403</v>
      </c>
      <c r="F26" s="323">
        <f>SUM(F183:F203)</f>
        <v>403</v>
      </c>
      <c r="G26" s="323">
        <f>SUM(G183:G203)</f>
        <v>0</v>
      </c>
      <c r="H26" s="318"/>
      <c r="I26" s="323"/>
      <c r="J26" s="323"/>
      <c r="K26" s="323"/>
    </row>
    <row r="27" spans="1:11">
      <c r="A27" s="312">
        <v>11</v>
      </c>
      <c r="B27" s="314" t="s">
        <v>74</v>
      </c>
      <c r="E27" s="322">
        <f>F27+G27</f>
        <v>10780</v>
      </c>
      <c r="F27" s="323">
        <f>SUM(F204)</f>
        <v>10780</v>
      </c>
      <c r="G27" s="323">
        <f>SUM(G204)</f>
        <v>0</v>
      </c>
      <c r="H27" s="318" t="str">
        <f>IF(E27=F27+G27," ","ERROR")</f>
        <v xml:space="preserve"> </v>
      </c>
      <c r="I27" s="322" t="e">
        <f>J27+K27</f>
        <v>#REF!</v>
      </c>
      <c r="J27" s="323" t="e">
        <f>#REF!</f>
        <v>#REF!</v>
      </c>
      <c r="K27" s="323"/>
    </row>
    <row r="28" spans="1:11">
      <c r="A28" s="312">
        <v>12</v>
      </c>
      <c r="B28" s="314" t="s">
        <v>75</v>
      </c>
      <c r="E28" s="331">
        <f>SUM(E23:E27)</f>
        <v>413728</v>
      </c>
      <c r="F28" s="331">
        <f>SUM(F23:F27)</f>
        <v>413728</v>
      </c>
      <c r="G28" s="331">
        <f>SUM(G23:G27)</f>
        <v>0</v>
      </c>
      <c r="H28" s="318" t="str">
        <f>IF(E28=F28+G28," ","ERROR")</f>
        <v xml:space="preserve"> </v>
      </c>
      <c r="I28" s="323" t="e">
        <f>I23+I24+I25+I27</f>
        <v>#REF!</v>
      </c>
      <c r="J28" s="331" t="e">
        <f>J23+J24+J25+J27</f>
        <v>#REF!</v>
      </c>
      <c r="K28" s="331"/>
    </row>
    <row r="29" spans="1:11">
      <c r="E29" s="323"/>
      <c r="F29" s="325"/>
      <c r="G29" s="325"/>
      <c r="H29" s="318"/>
      <c r="I29" s="323"/>
      <c r="J29" s="325"/>
      <c r="K29" s="325"/>
    </row>
    <row r="30" spans="1:11">
      <c r="B30" s="314" t="s">
        <v>42</v>
      </c>
      <c r="E30" s="323"/>
      <c r="F30" s="325"/>
      <c r="G30" s="325"/>
      <c r="H30" s="318"/>
      <c r="I30" s="323"/>
      <c r="J30" s="325"/>
      <c r="K30" s="325"/>
    </row>
    <row r="31" spans="1:11">
      <c r="A31" s="312">
        <v>13</v>
      </c>
      <c r="B31" s="314" t="s">
        <v>72</v>
      </c>
      <c r="E31" s="323">
        <f>F31+G31</f>
        <v>20360</v>
      </c>
      <c r="F31" s="323">
        <f>SUM(F231)</f>
        <v>20360</v>
      </c>
      <c r="G31" s="323">
        <f>SUM(G231)</f>
        <v>0</v>
      </c>
      <c r="H31" s="318" t="str">
        <f>IF(E31=F31+G31," ","ERROR")</f>
        <v xml:space="preserve"> </v>
      </c>
      <c r="I31" s="323" t="e">
        <f>J31+K31</f>
        <v>#REF!</v>
      </c>
      <c r="J31" s="323" t="e">
        <f>#REF!</f>
        <v>#REF!</v>
      </c>
      <c r="K31" s="323"/>
    </row>
    <row r="32" spans="1:11">
      <c r="A32" s="312">
        <v>14</v>
      </c>
      <c r="B32" s="314" t="s">
        <v>543</v>
      </c>
      <c r="E32" s="323">
        <f>F32+G32</f>
        <v>19320</v>
      </c>
      <c r="F32" s="323">
        <f>SUM(F233:F234)</f>
        <v>19320</v>
      </c>
      <c r="G32" s="323">
        <f>SUM(G233:G234)</f>
        <v>0</v>
      </c>
      <c r="H32" s="318" t="str">
        <f>IF(E32=F32+G32," ","ERROR")</f>
        <v xml:space="preserve"> </v>
      </c>
      <c r="I32" s="323" t="e">
        <f>J32+K32</f>
        <v>#REF!</v>
      </c>
      <c r="J32" s="323" t="e">
        <f>#REF!</f>
        <v>#REF!</v>
      </c>
      <c r="K32" s="323"/>
    </row>
    <row r="33" spans="1:11">
      <c r="A33" s="312">
        <v>15</v>
      </c>
      <c r="B33" s="314" t="s">
        <v>74</v>
      </c>
      <c r="E33" s="322">
        <f>F33+G33</f>
        <v>38896</v>
      </c>
      <c r="F33" s="323">
        <f>SUM(F235)</f>
        <v>38896</v>
      </c>
      <c r="G33" s="323">
        <f>SUM(G235)</f>
        <v>0</v>
      </c>
      <c r="H33" s="318" t="str">
        <f>IF(E33=F33+G33," ","ERROR")</f>
        <v xml:space="preserve"> </v>
      </c>
      <c r="I33" s="322" t="e">
        <f>J33+K33</f>
        <v>#REF!</v>
      </c>
      <c r="J33" s="323" t="e">
        <f>#REF!</f>
        <v>#REF!</v>
      </c>
      <c r="K33" s="323"/>
    </row>
    <row r="34" spans="1:11">
      <c r="A34" s="312">
        <v>16</v>
      </c>
      <c r="B34" s="314" t="s">
        <v>76</v>
      </c>
      <c r="E34" s="323">
        <f>E31+E32+E33</f>
        <v>78576</v>
      </c>
      <c r="F34" s="331">
        <f>F31+F32+F33</f>
        <v>78576</v>
      </c>
      <c r="G34" s="331">
        <f>G31+G32+G33</f>
        <v>0</v>
      </c>
      <c r="H34" s="318" t="str">
        <f>IF(E34=F34+G34," ","ERROR")</f>
        <v xml:space="preserve"> </v>
      </c>
      <c r="I34" s="323" t="e">
        <f>I31+I32+I33</f>
        <v>#REF!</v>
      </c>
      <c r="J34" s="331" t="e">
        <f>J31+J32+J33</f>
        <v>#REF!</v>
      </c>
      <c r="K34" s="331"/>
    </row>
    <row r="35" spans="1:11">
      <c r="E35" s="325"/>
      <c r="F35" s="325"/>
      <c r="G35" s="325"/>
      <c r="H35" s="318"/>
      <c r="I35" s="325"/>
      <c r="J35" s="325"/>
      <c r="K35" s="325"/>
    </row>
    <row r="36" spans="1:11">
      <c r="A36" s="312">
        <v>17</v>
      </c>
      <c r="B36" s="314" t="s">
        <v>43</v>
      </c>
      <c r="E36" s="323">
        <f>F36+G36</f>
        <v>9960</v>
      </c>
      <c r="F36" s="323">
        <f>SUM(F246)</f>
        <v>9960</v>
      </c>
      <c r="G36" s="323">
        <f>SUM(G246)</f>
        <v>0</v>
      </c>
      <c r="H36" s="318" t="str">
        <f>IF(E36=F36+G36," ","ERROR")</f>
        <v xml:space="preserve"> </v>
      </c>
      <c r="I36" s="323" t="e">
        <f>J36+K36</f>
        <v>#REF!</v>
      </c>
      <c r="J36" s="323" t="e">
        <f>#REF!</f>
        <v>#REF!</v>
      </c>
      <c r="K36" s="323"/>
    </row>
    <row r="37" spans="1:11">
      <c r="A37" s="312">
        <v>18</v>
      </c>
      <c r="B37" s="314" t="s">
        <v>44</v>
      </c>
      <c r="E37" s="323">
        <f>F37+G37</f>
        <v>21300</v>
      </c>
      <c r="F37" s="323">
        <f>SUM(F252)</f>
        <v>21300</v>
      </c>
      <c r="G37" s="323">
        <f>SUM(G252)</f>
        <v>0</v>
      </c>
      <c r="H37" s="318" t="str">
        <f>IF(E37=F37+G37," ","ERROR")</f>
        <v xml:space="preserve"> </v>
      </c>
      <c r="I37" s="323" t="e">
        <f>J37+K37</f>
        <v>#REF!</v>
      </c>
      <c r="J37" s="323" t="e">
        <f>#REF!</f>
        <v>#REF!</v>
      </c>
      <c r="K37" s="323"/>
    </row>
    <row r="38" spans="1:11">
      <c r="A38" s="312">
        <v>19</v>
      </c>
      <c r="B38" s="314" t="s">
        <v>45</v>
      </c>
      <c r="E38" s="323">
        <f>F38+G38</f>
        <v>4</v>
      </c>
      <c r="F38" s="323">
        <f>SUM(F258)</f>
        <v>4</v>
      </c>
      <c r="G38" s="323">
        <f>SUM(G258)</f>
        <v>0</v>
      </c>
      <c r="H38" s="318" t="str">
        <f>IF(E38=F38+G38," ","ERROR")</f>
        <v xml:space="preserve"> </v>
      </c>
      <c r="I38" s="323" t="e">
        <f>J38+K38</f>
        <v>#REF!</v>
      </c>
      <c r="J38" s="323" t="e">
        <f>#REF!</f>
        <v>#REF!</v>
      </c>
      <c r="K38" s="323"/>
    </row>
    <row r="39" spans="1:11">
      <c r="E39" s="325"/>
      <c r="F39" s="325"/>
      <c r="G39" s="325"/>
      <c r="H39" s="318"/>
      <c r="I39" s="325"/>
      <c r="J39" s="325"/>
      <c r="K39" s="325"/>
    </row>
    <row r="40" spans="1:11">
      <c r="B40" s="314" t="s">
        <v>46</v>
      </c>
      <c r="E40" s="325"/>
      <c r="F40" s="325"/>
      <c r="G40" s="325"/>
      <c r="H40" s="318"/>
      <c r="I40" s="325"/>
      <c r="J40" s="325"/>
      <c r="K40" s="325"/>
    </row>
    <row r="41" spans="1:11">
      <c r="A41" s="312">
        <v>20</v>
      </c>
      <c r="B41" s="314" t="s">
        <v>72</v>
      </c>
      <c r="E41" s="323">
        <f>F41+G41</f>
        <v>45046</v>
      </c>
      <c r="F41" s="323">
        <f>SUM(F273)</f>
        <v>45046</v>
      </c>
      <c r="G41" s="323">
        <f>SUM(G273)</f>
        <v>0</v>
      </c>
      <c r="H41" s="318" t="str">
        <f>IF(E41=F41+G41," ","ERROR")</f>
        <v xml:space="preserve"> </v>
      </c>
      <c r="I41" s="323" t="e">
        <f>J41+K41</f>
        <v>#REF!</v>
      </c>
      <c r="J41" s="323" t="e">
        <f>#REF!</f>
        <v>#REF!</v>
      </c>
      <c r="K41" s="323"/>
    </row>
    <row r="42" spans="1:11">
      <c r="A42" s="312">
        <v>21</v>
      </c>
      <c r="B42" s="314" t="s">
        <v>543</v>
      </c>
      <c r="E42" s="323">
        <f>F42+G42</f>
        <v>10906</v>
      </c>
      <c r="F42" s="323">
        <f>SUM(F279)</f>
        <v>10906</v>
      </c>
      <c r="G42" s="323">
        <f>SUM(G279)</f>
        <v>0</v>
      </c>
      <c r="H42" s="318" t="str">
        <f>IF(E42=F42+G42," ","ERROR")</f>
        <v xml:space="preserve"> </v>
      </c>
      <c r="I42" s="323" t="e">
        <f>J42+K42</f>
        <v>#REF!</v>
      </c>
      <c r="J42" s="323" t="e">
        <f>#REF!</f>
        <v>#REF!</v>
      </c>
      <c r="K42" s="323"/>
    </row>
    <row r="43" spans="1:11">
      <c r="A43" s="312">
        <v>22</v>
      </c>
      <c r="B43" s="314" t="s">
        <v>74</v>
      </c>
      <c r="E43" s="323">
        <f>F43+G43</f>
        <v>0</v>
      </c>
      <c r="F43" s="323">
        <v>0</v>
      </c>
      <c r="G43" s="323">
        <v>0</v>
      </c>
      <c r="H43" s="318" t="str">
        <f>IF(E43=F43+G43," ","ERROR")</f>
        <v xml:space="preserve"> </v>
      </c>
      <c r="I43" s="323" t="e">
        <f>J43+K43</f>
        <v>#REF!</v>
      </c>
      <c r="J43" s="323" t="e">
        <f>#REF!</f>
        <v>#REF!</v>
      </c>
      <c r="K43" s="323"/>
    </row>
    <row r="44" spans="1:11">
      <c r="A44" s="312">
        <v>23</v>
      </c>
      <c r="B44" s="314" t="s">
        <v>77</v>
      </c>
      <c r="E44" s="330">
        <f>E41+E42+E43</f>
        <v>55952</v>
      </c>
      <c r="F44" s="330">
        <f>F41+F42+F43</f>
        <v>55952</v>
      </c>
      <c r="G44" s="330">
        <f>G41+G42+G43</f>
        <v>0</v>
      </c>
      <c r="H44" s="318" t="str">
        <f>IF(E44=F44+G44," ","ERROR")</f>
        <v xml:space="preserve"> </v>
      </c>
      <c r="I44" s="330" t="e">
        <f>I41+I42+I43</f>
        <v>#REF!</v>
      </c>
      <c r="J44" s="330" t="e">
        <f>J41+J42+J43</f>
        <v>#REF!</v>
      </c>
      <c r="K44" s="330"/>
    </row>
    <row r="45" spans="1:11" ht="18.75" customHeight="1">
      <c r="A45" s="312">
        <v>24</v>
      </c>
      <c r="B45" s="314" t="s">
        <v>47</v>
      </c>
      <c r="E45" s="329">
        <f>E28+E34+E36+E37+E38+E44</f>
        <v>579520</v>
      </c>
      <c r="F45" s="329">
        <f>F28+F34+F36+F37+F38+F44</f>
        <v>579520</v>
      </c>
      <c r="G45" s="329">
        <f>G28+G34+G36+G37+G38+G44</f>
        <v>0</v>
      </c>
      <c r="H45" s="318" t="str">
        <f>IF(E45=F45+G45," ","ERROR")</f>
        <v xml:space="preserve"> </v>
      </c>
      <c r="I45" s="329" t="e">
        <f>I28+I34+I36+I37+I38+I44</f>
        <v>#REF!</v>
      </c>
      <c r="J45" s="329" t="e">
        <f>J28+J34+J36+J37+J38+J44</f>
        <v>#REF!</v>
      </c>
      <c r="K45" s="329"/>
    </row>
    <row r="46" spans="1:11">
      <c r="E46" s="325"/>
      <c r="F46" s="325"/>
      <c r="G46" s="325"/>
      <c r="H46" s="318"/>
      <c r="I46" s="325"/>
      <c r="J46" s="325"/>
      <c r="K46" s="325"/>
    </row>
    <row r="47" spans="1:11">
      <c r="A47" s="366">
        <v>25</v>
      </c>
      <c r="B47" s="314" t="s">
        <v>78</v>
      </c>
      <c r="E47" s="325">
        <f>E19-E45</f>
        <v>99603</v>
      </c>
      <c r="F47" s="325">
        <f>F19-F45</f>
        <v>99603</v>
      </c>
      <c r="G47" s="325">
        <f>G19-G45</f>
        <v>0</v>
      </c>
      <c r="H47" s="318" t="str">
        <f>IF(E47=F47+G47," ","ERROR")</f>
        <v xml:space="preserve"> </v>
      </c>
      <c r="I47" s="325" t="e">
        <f>I19-I45</f>
        <v>#REF!</v>
      </c>
      <c r="J47" s="325" t="e">
        <f>J19-J45</f>
        <v>#REF!</v>
      </c>
      <c r="K47" s="325"/>
    </row>
    <row r="48" spans="1:11">
      <c r="B48" s="314"/>
      <c r="E48" s="325"/>
      <c r="F48" s="325"/>
      <c r="G48" s="325"/>
      <c r="H48" s="318"/>
      <c r="I48" s="325"/>
      <c r="J48" s="325"/>
      <c r="K48" s="325"/>
    </row>
    <row r="49" spans="1:11">
      <c r="B49" s="314" t="s">
        <v>79</v>
      </c>
      <c r="E49" s="325"/>
      <c r="F49" s="325"/>
      <c r="G49" s="325"/>
      <c r="H49" s="318"/>
      <c r="I49" s="325"/>
      <c r="J49" s="325"/>
      <c r="K49" s="325"/>
    </row>
    <row r="50" spans="1:11">
      <c r="A50" s="312">
        <v>26</v>
      </c>
      <c r="B50" s="314" t="s">
        <v>80</v>
      </c>
      <c r="D50" s="328">
        <v>0.35</v>
      </c>
      <c r="E50" s="323">
        <f>F50+G50</f>
        <v>11899</v>
      </c>
      <c r="F50" s="323">
        <f>SUM(F287)</f>
        <v>11899</v>
      </c>
      <c r="G50" s="323">
        <f>SUM(G287)</f>
        <v>0</v>
      </c>
      <c r="H50" s="318" t="str">
        <f>IF(E50=F50+G50," ","ERROR")</f>
        <v xml:space="preserve"> </v>
      </c>
      <c r="I50" s="323" t="e">
        <f>J50+K50</f>
        <v>#REF!</v>
      </c>
      <c r="J50" s="323" t="e">
        <f>#REF!</f>
        <v>#REF!</v>
      </c>
      <c r="K50" s="323"/>
    </row>
    <row r="51" spans="1:11">
      <c r="A51" s="312">
        <v>27</v>
      </c>
      <c r="B51" s="314" t="s">
        <v>553</v>
      </c>
      <c r="D51" s="328"/>
      <c r="E51" s="323"/>
      <c r="F51" s="323"/>
      <c r="G51" s="323"/>
      <c r="H51" s="318"/>
      <c r="I51" s="323"/>
      <c r="J51" s="323"/>
      <c r="K51" s="323"/>
    </row>
    <row r="52" spans="1:11">
      <c r="A52" s="312">
        <v>28</v>
      </c>
      <c r="B52" s="314" t="s">
        <v>81</v>
      </c>
      <c r="E52" s="323">
        <f>F52+G52</f>
        <v>11779</v>
      </c>
      <c r="F52" s="323">
        <f t="shared" ref="F52:G53" si="1">SUM(F288)</f>
        <v>11779</v>
      </c>
      <c r="G52" s="323">
        <f t="shared" si="1"/>
        <v>0</v>
      </c>
      <c r="H52" s="318" t="str">
        <f>IF(E52=F52+G52," ","ERROR")</f>
        <v xml:space="preserve"> </v>
      </c>
      <c r="I52" s="323" t="e">
        <f>J52+K52</f>
        <v>#REF!</v>
      </c>
      <c r="J52" s="323" t="e">
        <f>#REF!</f>
        <v>#REF!</v>
      </c>
      <c r="K52" s="323"/>
    </row>
    <row r="53" spans="1:11">
      <c r="A53" s="312">
        <v>29</v>
      </c>
      <c r="B53" s="314" t="s">
        <v>82</v>
      </c>
      <c r="E53" s="322">
        <f>F53+G53</f>
        <v>-99</v>
      </c>
      <c r="F53" s="322">
        <f t="shared" si="1"/>
        <v>-99</v>
      </c>
      <c r="G53" s="322">
        <f t="shared" si="1"/>
        <v>0</v>
      </c>
      <c r="H53" s="318" t="str">
        <f>IF(E53=F53+G53," ","ERROR")</f>
        <v xml:space="preserve"> </v>
      </c>
      <c r="I53" s="323" t="e">
        <f>J53+K53</f>
        <v>#REF!</v>
      </c>
      <c r="J53" s="323" t="e">
        <f>#REF!</f>
        <v>#REF!</v>
      </c>
      <c r="K53" s="323"/>
    </row>
    <row r="54" spans="1:11">
      <c r="B54" s="314"/>
      <c r="E54" s="324"/>
      <c r="F54" s="324"/>
      <c r="G54" s="324"/>
      <c r="H54" s="318"/>
      <c r="I54" s="323"/>
      <c r="J54" s="323"/>
      <c r="K54" s="323"/>
    </row>
    <row r="55" spans="1:11" s="318" customFormat="1" ht="12.75" thickBot="1">
      <c r="A55" s="321">
        <v>30</v>
      </c>
      <c r="B55" s="320" t="s">
        <v>48</v>
      </c>
      <c r="E55" s="319">
        <f>E47-(E49+E50+E52+E53)</f>
        <v>76024</v>
      </c>
      <c r="F55" s="319">
        <f>F47-(F49+F50+F52+F53)</f>
        <v>76024</v>
      </c>
      <c r="G55" s="319">
        <f>G47-(G49+G50+G52+G53)</f>
        <v>0</v>
      </c>
      <c r="H55" s="318" t="str">
        <f>IF(E55=F55+G55," ","ERROR")</f>
        <v xml:space="preserve"> </v>
      </c>
      <c r="I55" s="319" t="e">
        <f>I47-(I49+I50+I52+I53+#REF!)</f>
        <v>#REF!</v>
      </c>
      <c r="J55" s="319" t="e">
        <f>J47-(J49+J50+J52+J53+#REF!)</f>
        <v>#REF!</v>
      </c>
      <c r="K55" s="319"/>
    </row>
    <row r="56" spans="1:11" ht="12.75" thickTop="1">
      <c r="H56" s="318"/>
    </row>
    <row r="57" spans="1:11">
      <c r="B57" s="314" t="s">
        <v>49</v>
      </c>
      <c r="H57" s="318"/>
    </row>
    <row r="58" spans="1:11">
      <c r="B58" s="314" t="s">
        <v>50</v>
      </c>
      <c r="H58" s="318"/>
    </row>
    <row r="59" spans="1:11" s="318" customFormat="1">
      <c r="A59" s="321">
        <v>31</v>
      </c>
      <c r="B59" s="320" t="s">
        <v>83</v>
      </c>
      <c r="E59" s="327">
        <f>F59+G59</f>
        <v>84081</v>
      </c>
      <c r="F59" s="327">
        <f>SUM(F300)</f>
        <v>84081</v>
      </c>
      <c r="G59" s="327">
        <f>SUM(G300)</f>
        <v>0</v>
      </c>
      <c r="H59" s="318" t="str">
        <f t="shared" ref="H59:H65" si="2">IF(E59=F59+G59," ","ERROR")</f>
        <v xml:space="preserve"> </v>
      </c>
      <c r="I59" s="327" t="e">
        <f>J59+K59</f>
        <v>#REF!</v>
      </c>
      <c r="J59" s="327" t="e">
        <f>#REF!</f>
        <v>#REF!</v>
      </c>
      <c r="K59" s="327"/>
    </row>
    <row r="60" spans="1:11">
      <c r="A60" s="312">
        <v>32</v>
      </c>
      <c r="B60" s="314" t="s">
        <v>84</v>
      </c>
      <c r="E60" s="323">
        <f>F60+G60</f>
        <v>706894</v>
      </c>
      <c r="F60" s="323">
        <f>SUM(F331)</f>
        <v>706894</v>
      </c>
      <c r="G60" s="323">
        <f>SUM(G331)</f>
        <v>0</v>
      </c>
      <c r="H60" s="318" t="str">
        <f t="shared" si="2"/>
        <v xml:space="preserve"> </v>
      </c>
      <c r="I60" s="323" t="e">
        <f>J60+K60</f>
        <v>#REF!</v>
      </c>
      <c r="J60" s="323" t="e">
        <f>#REF!</f>
        <v>#REF!</v>
      </c>
      <c r="K60" s="323"/>
    </row>
    <row r="61" spans="1:11">
      <c r="A61" s="312">
        <v>33</v>
      </c>
      <c r="B61" s="314" t="s">
        <v>85</v>
      </c>
      <c r="E61" s="323">
        <f>F61+G61</f>
        <v>328012</v>
      </c>
      <c r="F61" s="323">
        <f>SUM(F343)</f>
        <v>328012</v>
      </c>
      <c r="G61" s="323">
        <f>SUM(G343)</f>
        <v>0</v>
      </c>
      <c r="H61" s="318" t="str">
        <f t="shared" si="2"/>
        <v xml:space="preserve"> </v>
      </c>
      <c r="I61" s="323" t="e">
        <f>J61+K61</f>
        <v>#REF!</v>
      </c>
      <c r="J61" s="323" t="e">
        <f>#REF!</f>
        <v>#REF!</v>
      </c>
      <c r="K61" s="323"/>
    </row>
    <row r="62" spans="1:11">
      <c r="A62" s="312">
        <v>34</v>
      </c>
      <c r="B62" s="314" t="s">
        <v>86</v>
      </c>
      <c r="E62" s="323">
        <f>F62+G62</f>
        <v>696082</v>
      </c>
      <c r="F62" s="323">
        <f>SUM(F358)</f>
        <v>696082</v>
      </c>
      <c r="G62" s="323">
        <f>SUM(G358)</f>
        <v>0</v>
      </c>
      <c r="H62" s="318" t="str">
        <f t="shared" si="2"/>
        <v xml:space="preserve"> </v>
      </c>
      <c r="I62" s="323" t="e">
        <f>J62+K62</f>
        <v>#REF!</v>
      </c>
      <c r="J62" s="323" t="e">
        <f>#REF!</f>
        <v>#REF!</v>
      </c>
      <c r="K62" s="323"/>
    </row>
    <row r="63" spans="1:11">
      <c r="A63" s="312">
        <v>35</v>
      </c>
      <c r="B63" s="314" t="s">
        <v>87</v>
      </c>
      <c r="E63" s="322">
        <f>F63+G63</f>
        <v>140218</v>
      </c>
      <c r="F63" s="322">
        <f>SUM(F371)</f>
        <v>140218</v>
      </c>
      <c r="G63" s="322">
        <f>SUM(G371)</f>
        <v>0</v>
      </c>
      <c r="H63" s="318" t="str">
        <f t="shared" si="2"/>
        <v xml:space="preserve"> </v>
      </c>
      <c r="I63" s="322" t="e">
        <f>J63+K63</f>
        <v>#REF!</v>
      </c>
      <c r="J63" s="322" t="e">
        <f>#REF!</f>
        <v>#REF!</v>
      </c>
      <c r="K63" s="322"/>
    </row>
    <row r="64" spans="1:11">
      <c r="A64" s="312">
        <v>36</v>
      </c>
      <c r="B64" s="314" t="s">
        <v>88</v>
      </c>
      <c r="E64" s="325">
        <f>E59+E60+E61+E62+E63</f>
        <v>1955287</v>
      </c>
      <c r="F64" s="325">
        <f>F59+F60+F61+F62+F63</f>
        <v>1955287</v>
      </c>
      <c r="G64" s="325">
        <f>G59+G60+G61+G62+G63</f>
        <v>0</v>
      </c>
      <c r="H64" s="318" t="str">
        <f t="shared" si="2"/>
        <v xml:space="preserve"> </v>
      </c>
      <c r="I64" s="325" t="e">
        <f>I59+I60+I61+I62+I63</f>
        <v>#REF!</v>
      </c>
      <c r="J64" s="325" t="e">
        <f>J59+J60+J61+J62+J63</f>
        <v>#REF!</v>
      </c>
      <c r="K64" s="325"/>
    </row>
    <row r="65" spans="1:11" ht="19.5" customHeight="1">
      <c r="B65" s="314" t="s">
        <v>546</v>
      </c>
      <c r="E65" s="323"/>
      <c r="F65" s="323"/>
      <c r="G65" s="323"/>
      <c r="H65" s="318" t="str">
        <f t="shared" si="2"/>
        <v xml:space="preserve"> </v>
      </c>
      <c r="I65" s="323" t="e">
        <f>J65+K65</f>
        <v>#REF!</v>
      </c>
      <c r="J65" s="323" t="e">
        <f>#REF!</f>
        <v>#REF!</v>
      </c>
      <c r="K65" s="323"/>
    </row>
    <row r="66" spans="1:11">
      <c r="A66" s="312">
        <v>37</v>
      </c>
      <c r="B66" s="320" t="s">
        <v>83</v>
      </c>
      <c r="E66" s="323">
        <f>F66+G66</f>
        <v>3744</v>
      </c>
      <c r="F66" s="323">
        <f>SUM(F386:F387)</f>
        <v>3744</v>
      </c>
      <c r="G66" s="327">
        <f>SUM(G386:G387)</f>
        <v>0</v>
      </c>
      <c r="H66" s="318"/>
      <c r="I66" s="323"/>
      <c r="J66" s="323"/>
      <c r="K66" s="323"/>
    </row>
    <row r="67" spans="1:11">
      <c r="A67" s="312">
        <v>38</v>
      </c>
      <c r="B67" s="314" t="s">
        <v>84</v>
      </c>
      <c r="E67" s="323">
        <f>F67+G67</f>
        <v>286300</v>
      </c>
      <c r="F67" s="323">
        <f>SUM(F377:F379)</f>
        <v>286300</v>
      </c>
      <c r="G67" s="327">
        <f>SUM(G377:G379)</f>
        <v>0</v>
      </c>
      <c r="H67" s="318"/>
      <c r="I67" s="323"/>
      <c r="J67" s="323"/>
      <c r="K67" s="323"/>
    </row>
    <row r="68" spans="1:11">
      <c r="A68" s="312">
        <v>39</v>
      </c>
      <c r="B68" s="314" t="s">
        <v>85</v>
      </c>
      <c r="E68" s="323">
        <f>F68+G68</f>
        <v>111144</v>
      </c>
      <c r="F68" s="323">
        <f>SUM(F380)</f>
        <v>111144</v>
      </c>
      <c r="G68" s="327">
        <f>SUM(G380)</f>
        <v>0</v>
      </c>
      <c r="H68" s="318"/>
      <c r="I68" s="323"/>
      <c r="J68" s="323"/>
      <c r="K68" s="323"/>
    </row>
    <row r="69" spans="1:11">
      <c r="A69" s="312">
        <v>40</v>
      </c>
      <c r="B69" s="314" t="s">
        <v>86</v>
      </c>
      <c r="E69" s="323">
        <f>F69+G69</f>
        <v>209101</v>
      </c>
      <c r="F69" s="323">
        <f>SUM(F381)</f>
        <v>209101</v>
      </c>
      <c r="G69" s="327">
        <f>SUM(G381)</f>
        <v>0</v>
      </c>
      <c r="H69" s="318"/>
      <c r="I69" s="323"/>
      <c r="J69" s="323"/>
      <c r="K69" s="323"/>
    </row>
    <row r="70" spans="1:11">
      <c r="A70" s="312">
        <v>41</v>
      </c>
      <c r="B70" s="314" t="s">
        <v>87</v>
      </c>
      <c r="E70" s="322">
        <f>F70+G70</f>
        <v>56694</v>
      </c>
      <c r="F70" s="322">
        <f>SUM(F382,F388,F389,F390)</f>
        <v>56694</v>
      </c>
      <c r="G70" s="326">
        <f>SUM(G382,G388,G389,G390)</f>
        <v>0</v>
      </c>
    </row>
    <row r="71" spans="1:11">
      <c r="A71" s="312">
        <v>42</v>
      </c>
      <c r="B71" s="314" t="s">
        <v>254</v>
      </c>
      <c r="E71" s="311">
        <f>SUM(E66:E70)</f>
        <v>666983</v>
      </c>
      <c r="F71" s="311">
        <f>SUM(F66:F70)</f>
        <v>666983</v>
      </c>
      <c r="G71" s="311">
        <f>SUM(G66:G70)</f>
        <v>0</v>
      </c>
    </row>
    <row r="72" spans="1:11">
      <c r="A72" s="312">
        <v>43</v>
      </c>
      <c r="B72" s="311" t="s">
        <v>549</v>
      </c>
      <c r="E72" s="370">
        <f>E64-E71</f>
        <v>1288304</v>
      </c>
      <c r="F72" s="370">
        <f>F64-F71</f>
        <v>1288304</v>
      </c>
      <c r="G72" s="370">
        <f>G64-G71</f>
        <v>0</v>
      </c>
    </row>
    <row r="73" spans="1:11" ht="3.75" customHeight="1">
      <c r="B73" s="314"/>
      <c r="E73" s="325"/>
      <c r="F73" s="325"/>
      <c r="G73" s="325"/>
      <c r="H73" s="318"/>
      <c r="I73" s="325"/>
      <c r="J73" s="325"/>
      <c r="K73" s="325"/>
    </row>
    <row r="74" spans="1:11">
      <c r="A74" s="312">
        <v>44</v>
      </c>
      <c r="B74" s="314" t="s">
        <v>547</v>
      </c>
      <c r="E74" s="322">
        <f>F74+G74</f>
        <v>-201448</v>
      </c>
      <c r="F74" s="322">
        <f>SUM(F406)</f>
        <v>-201448</v>
      </c>
      <c r="G74" s="322">
        <f>SUM(G406)</f>
        <v>0</v>
      </c>
      <c r="H74" s="318" t="str">
        <f>IF(E74=F74+G74," ","ERROR")</f>
        <v xml:space="preserve"> </v>
      </c>
      <c r="I74" s="322" t="e">
        <f>J74+K74</f>
        <v>#REF!</v>
      </c>
      <c r="J74" s="322" t="e">
        <f>#REF!</f>
        <v>#REF!</v>
      </c>
      <c r="K74" s="322"/>
    </row>
    <row r="75" spans="1:11">
      <c r="A75" s="312">
        <v>45</v>
      </c>
      <c r="B75" s="314" t="s">
        <v>548</v>
      </c>
      <c r="E75" s="324">
        <f>SUM(E72:E74)</f>
        <v>1086856</v>
      </c>
      <c r="F75" s="324">
        <f>SUM(F72:F74)</f>
        <v>1086856</v>
      </c>
      <c r="G75" s="324">
        <f>SUM(G72-G74)</f>
        <v>0</v>
      </c>
      <c r="H75" s="318"/>
      <c r="I75" s="324"/>
      <c r="J75" s="324"/>
      <c r="K75" s="324"/>
    </row>
    <row r="76" spans="1:11">
      <c r="A76" s="312">
        <v>46</v>
      </c>
      <c r="B76" s="314" t="s">
        <v>253</v>
      </c>
      <c r="E76" s="323">
        <f t="shared" ref="E76:E77" si="3">F76+G76</f>
        <v>18867</v>
      </c>
      <c r="F76" s="325">
        <f>SUM(F411:F439)+F441</f>
        <v>18867</v>
      </c>
      <c r="G76" s="325">
        <f>SUM(G411:G439)+G441</f>
        <v>0</v>
      </c>
      <c r="H76" s="318"/>
      <c r="I76" s="325"/>
      <c r="J76" s="325"/>
      <c r="K76" s="325"/>
    </row>
    <row r="77" spans="1:11">
      <c r="A77" s="312">
        <v>47</v>
      </c>
      <c r="B77" s="314" t="s">
        <v>228</v>
      </c>
      <c r="E77" s="322">
        <f t="shared" si="3"/>
        <v>18188</v>
      </c>
      <c r="F77" s="322">
        <f>SUM(F440)</f>
        <v>18188</v>
      </c>
      <c r="G77" s="322">
        <f>SUM(G440)</f>
        <v>0</v>
      </c>
      <c r="H77" s="318"/>
      <c r="I77" s="323"/>
      <c r="J77" s="323"/>
      <c r="K77" s="323"/>
    </row>
    <row r="78" spans="1:11">
      <c r="H78" s="318"/>
    </row>
    <row r="79" spans="1:11" s="318" customFormat="1" ht="12.75" thickBot="1">
      <c r="A79" s="321">
        <v>48</v>
      </c>
      <c r="B79" s="320" t="s">
        <v>52</v>
      </c>
      <c r="E79" s="319">
        <f>SUM(E75:E77)</f>
        <v>1123911</v>
      </c>
      <c r="F79" s="319">
        <f>SUM(F75:F77)</f>
        <v>1123911</v>
      </c>
      <c r="G79" s="319">
        <f>SUM(G75:G77)</f>
        <v>0</v>
      </c>
      <c r="H79" s="318" t="str">
        <f>IF(E79=F79+G79," ","ERROR")</f>
        <v xml:space="preserve"> </v>
      </c>
      <c r="I79" s="319" t="e">
        <f>J79+K79</f>
        <v>#REF!</v>
      </c>
      <c r="J79" s="319" t="e">
        <f>J64-#REF!+#REF!+#REF!</f>
        <v>#REF!</v>
      </c>
      <c r="K79" s="319"/>
    </row>
    <row r="80" spans="1:11" s="313" customFormat="1" ht="14.25" customHeight="1" thickTop="1">
      <c r="E80" s="298">
        <f>E55/E79</f>
        <v>6.764236669985435E-2</v>
      </c>
      <c r="F80" s="298">
        <f>F55/F79</f>
        <v>6.764236669985435E-2</v>
      </c>
      <c r="G80" s="298" t="e">
        <f>G55/G79</f>
        <v>#DIV/0!</v>
      </c>
      <c r="I80" s="298" t="e">
        <f>I55/I79</f>
        <v>#REF!</v>
      </c>
      <c r="J80" s="298" t="e">
        <f>J55/J79</f>
        <v>#REF!</v>
      </c>
      <c r="K80" s="298"/>
    </row>
    <row r="81" spans="1:11">
      <c r="A81" s="311"/>
      <c r="B81" s="317" t="s">
        <v>89</v>
      </c>
      <c r="C81" s="316"/>
      <c r="D81" s="316"/>
      <c r="E81" s="316"/>
      <c r="F81" s="316"/>
      <c r="G81" s="315"/>
      <c r="I81" s="316"/>
      <c r="J81" s="316"/>
      <c r="K81" s="315"/>
    </row>
    <row r="82" spans="1:11" ht="12.75">
      <c r="A82" s="343"/>
      <c r="B82" s="344" t="s">
        <v>257</v>
      </c>
      <c r="C82" s="344"/>
    </row>
    <row r="83" spans="1:11" ht="12.75">
      <c r="A83" s="343"/>
      <c r="B83" s="345" t="s">
        <v>258</v>
      </c>
      <c r="C83" s="344"/>
    </row>
    <row r="84" spans="1:11" ht="12.75">
      <c r="A84" s="346">
        <v>440000</v>
      </c>
      <c r="B84" s="345" t="s">
        <v>259</v>
      </c>
      <c r="C84" s="344"/>
      <c r="F84" s="311">
        <f>ROUND(H84/1000,0)</f>
        <v>217796</v>
      </c>
      <c r="G84" s="311">
        <v>0</v>
      </c>
      <c r="H84" s="311">
        <v>217795556</v>
      </c>
    </row>
    <row r="85" spans="1:11" ht="12.75">
      <c r="A85" s="346">
        <v>442200</v>
      </c>
      <c r="B85" s="345" t="s">
        <v>260</v>
      </c>
      <c r="C85" s="344"/>
      <c r="F85" s="311">
        <f t="shared" ref="F85:F148" si="4">ROUND(H85/1000,0)</f>
        <v>194230</v>
      </c>
      <c r="G85" s="311">
        <v>0</v>
      </c>
      <c r="H85" s="311">
        <v>194229863</v>
      </c>
    </row>
    <row r="86" spans="1:11" ht="12.75">
      <c r="A86" s="346">
        <v>442300</v>
      </c>
      <c r="B86" s="345" t="s">
        <v>261</v>
      </c>
      <c r="C86" s="344"/>
      <c r="F86" s="311">
        <f t="shared" si="4"/>
        <v>55102</v>
      </c>
      <c r="G86" s="311">
        <v>0</v>
      </c>
      <c r="H86" s="311">
        <v>55102212</v>
      </c>
    </row>
    <row r="87" spans="1:11" ht="12.75">
      <c r="A87" s="346">
        <v>444000</v>
      </c>
      <c r="B87" s="345" t="s">
        <v>262</v>
      </c>
      <c r="C87" s="344"/>
      <c r="F87" s="311">
        <f t="shared" si="4"/>
        <v>4565</v>
      </c>
      <c r="G87" s="311">
        <v>0</v>
      </c>
      <c r="H87" s="311">
        <v>4564701</v>
      </c>
    </row>
    <row r="88" spans="1:11" ht="12.75">
      <c r="A88" s="343" t="s">
        <v>263</v>
      </c>
      <c r="B88" s="345" t="s">
        <v>264</v>
      </c>
      <c r="C88" s="344"/>
      <c r="F88" s="311">
        <f t="shared" si="4"/>
        <v>-1122</v>
      </c>
      <c r="G88" s="311">
        <v>0</v>
      </c>
      <c r="H88" s="311">
        <v>-1121709</v>
      </c>
    </row>
    <row r="89" spans="1:11" ht="12.75">
      <c r="A89" s="346">
        <v>448000</v>
      </c>
      <c r="B89" s="345" t="s">
        <v>265</v>
      </c>
      <c r="C89" s="344"/>
      <c r="F89" s="311">
        <f t="shared" si="4"/>
        <v>820</v>
      </c>
      <c r="G89" s="311">
        <v>0</v>
      </c>
      <c r="H89" s="311">
        <v>819529</v>
      </c>
    </row>
    <row r="90" spans="1:11" ht="12.75">
      <c r="A90" s="346"/>
      <c r="B90" s="345" t="s">
        <v>266</v>
      </c>
      <c r="C90" s="344"/>
      <c r="F90" s="311">
        <f t="shared" si="4"/>
        <v>471390</v>
      </c>
      <c r="G90" s="311">
        <v>0</v>
      </c>
      <c r="H90" s="311">
        <v>471390152</v>
      </c>
    </row>
    <row r="91" spans="1:11" ht="12.75">
      <c r="A91" s="346"/>
      <c r="B91" s="345"/>
      <c r="C91" s="344"/>
      <c r="F91" s="311">
        <f t="shared" si="4"/>
        <v>0</v>
      </c>
      <c r="G91" s="311">
        <v>0</v>
      </c>
    </row>
    <row r="92" spans="1:11" ht="12.75">
      <c r="A92" s="346" t="s">
        <v>267</v>
      </c>
      <c r="B92" s="345" t="s">
        <v>37</v>
      </c>
      <c r="C92" s="344"/>
      <c r="F92" s="311">
        <f t="shared" si="4"/>
        <v>76991</v>
      </c>
      <c r="G92" s="311">
        <v>0</v>
      </c>
      <c r="H92" s="311">
        <v>76990883</v>
      </c>
    </row>
    <row r="93" spans="1:11" ht="12.75">
      <c r="A93" s="346"/>
      <c r="B93" s="345" t="s">
        <v>268</v>
      </c>
      <c r="C93" s="344"/>
      <c r="F93" s="311">
        <f t="shared" si="4"/>
        <v>548381</v>
      </c>
      <c r="G93" s="311">
        <v>0</v>
      </c>
      <c r="H93" s="311">
        <v>548381035</v>
      </c>
    </row>
    <row r="94" spans="1:11" ht="12.75">
      <c r="A94" s="346"/>
      <c r="B94" s="345"/>
      <c r="C94" s="344"/>
      <c r="F94" s="311">
        <f t="shared" si="4"/>
        <v>0</v>
      </c>
      <c r="G94" s="311">
        <v>0</v>
      </c>
    </row>
    <row r="95" spans="1:11" ht="12.75">
      <c r="A95" s="346"/>
      <c r="B95" s="345" t="s">
        <v>269</v>
      </c>
      <c r="C95" s="344"/>
      <c r="F95" s="311">
        <f t="shared" si="4"/>
        <v>0</v>
      </c>
      <c r="G95" s="311">
        <v>0</v>
      </c>
    </row>
    <row r="96" spans="1:11" ht="12.75">
      <c r="A96" s="346">
        <v>451000</v>
      </c>
      <c r="B96" s="345" t="s">
        <v>270</v>
      </c>
      <c r="C96" s="344"/>
      <c r="F96" s="311">
        <f t="shared" si="4"/>
        <v>356</v>
      </c>
      <c r="G96" s="311">
        <v>0</v>
      </c>
      <c r="H96" s="311">
        <v>356315</v>
      </c>
    </row>
    <row r="97" spans="1:8" ht="12.75">
      <c r="A97" s="346">
        <v>453000</v>
      </c>
      <c r="B97" s="345" t="s">
        <v>271</v>
      </c>
      <c r="C97" s="344"/>
      <c r="F97" s="311">
        <f t="shared" si="4"/>
        <v>330</v>
      </c>
      <c r="G97" s="311">
        <v>0</v>
      </c>
      <c r="H97" s="311">
        <v>330494</v>
      </c>
    </row>
    <row r="98" spans="1:8" ht="12.75">
      <c r="A98" s="346">
        <v>454000</v>
      </c>
      <c r="B98" s="345" t="s">
        <v>272</v>
      </c>
      <c r="C98" s="344"/>
      <c r="F98" s="311">
        <f t="shared" si="4"/>
        <v>1934</v>
      </c>
      <c r="G98" s="311">
        <v>0</v>
      </c>
      <c r="H98" s="311">
        <v>1934388</v>
      </c>
    </row>
    <row r="99" spans="1:8" ht="12.75">
      <c r="A99" s="343" t="s">
        <v>273</v>
      </c>
      <c r="B99" s="345" t="s">
        <v>274</v>
      </c>
      <c r="C99" s="344"/>
      <c r="F99" s="311">
        <f t="shared" si="4"/>
        <v>128121</v>
      </c>
      <c r="G99" s="311">
        <v>0</v>
      </c>
      <c r="H99" s="311">
        <v>128121244</v>
      </c>
    </row>
    <row r="100" spans="1:8" ht="12.75">
      <c r="A100" s="343"/>
      <c r="B100" s="345" t="s">
        <v>275</v>
      </c>
      <c r="C100" s="344"/>
      <c r="F100" s="311">
        <f t="shared" si="4"/>
        <v>130742</v>
      </c>
      <c r="G100" s="311">
        <v>0</v>
      </c>
      <c r="H100" s="311">
        <v>130742441</v>
      </c>
    </row>
    <row r="101" spans="1:8" ht="12.75">
      <c r="A101" s="343"/>
      <c r="B101" s="345" t="s">
        <v>276</v>
      </c>
      <c r="C101" s="344"/>
      <c r="F101" s="311">
        <f t="shared" si="4"/>
        <v>679123</v>
      </c>
      <c r="G101" s="311">
        <v>0</v>
      </c>
      <c r="H101" s="311">
        <v>679123476</v>
      </c>
    </row>
    <row r="102" spans="1:8" ht="12.75">
      <c r="A102" s="343"/>
      <c r="B102" s="345"/>
      <c r="C102" s="344"/>
      <c r="F102" s="311">
        <f t="shared" si="4"/>
        <v>0</v>
      </c>
      <c r="G102" s="311">
        <v>0</v>
      </c>
    </row>
    <row r="103" spans="1:8" ht="12.75">
      <c r="A103" s="343"/>
      <c r="B103" s="345" t="s">
        <v>277</v>
      </c>
      <c r="C103" s="344"/>
      <c r="F103" s="311">
        <f t="shared" si="4"/>
        <v>0</v>
      </c>
      <c r="G103" s="311">
        <v>0</v>
      </c>
    </row>
    <row r="104" spans="1:8" ht="12.75">
      <c r="A104" s="343"/>
      <c r="B104" s="345" t="s">
        <v>278</v>
      </c>
      <c r="C104" s="344"/>
      <c r="F104" s="311">
        <f t="shared" si="4"/>
        <v>0</v>
      </c>
      <c r="G104" s="311">
        <v>0</v>
      </c>
    </row>
    <row r="105" spans="1:8" ht="12.75">
      <c r="A105" s="343"/>
      <c r="B105" s="345" t="s">
        <v>279</v>
      </c>
      <c r="C105" s="344"/>
      <c r="F105" s="311">
        <f t="shared" si="4"/>
        <v>0</v>
      </c>
      <c r="G105" s="311">
        <v>0</v>
      </c>
    </row>
    <row r="106" spans="1:8" ht="12.75">
      <c r="A106" s="346">
        <v>500000</v>
      </c>
      <c r="B106" s="345" t="s">
        <v>280</v>
      </c>
      <c r="C106" s="344"/>
      <c r="F106" s="311">
        <f t="shared" si="4"/>
        <v>328</v>
      </c>
      <c r="G106" s="311">
        <v>0</v>
      </c>
      <c r="H106" s="311">
        <v>327947</v>
      </c>
    </row>
    <row r="107" spans="1:8" ht="12.75">
      <c r="A107" s="346">
        <v>501000</v>
      </c>
      <c r="B107" s="345" t="s">
        <v>281</v>
      </c>
      <c r="C107" s="344"/>
      <c r="F107" s="311">
        <f t="shared" si="4"/>
        <v>20390</v>
      </c>
      <c r="G107" s="311">
        <v>0</v>
      </c>
      <c r="H107" s="311">
        <v>20390215</v>
      </c>
    </row>
    <row r="108" spans="1:8" ht="12.75">
      <c r="A108" s="346">
        <v>502000</v>
      </c>
      <c r="B108" s="345" t="s">
        <v>282</v>
      </c>
      <c r="C108" s="344"/>
      <c r="F108" s="311">
        <f t="shared" si="4"/>
        <v>2808</v>
      </c>
      <c r="G108" s="311">
        <v>0</v>
      </c>
      <c r="H108" s="311">
        <v>2807577</v>
      </c>
    </row>
    <row r="109" spans="1:8" ht="12.75">
      <c r="A109" s="346">
        <v>505000</v>
      </c>
      <c r="B109" s="345" t="s">
        <v>283</v>
      </c>
      <c r="C109" s="344"/>
      <c r="F109" s="311">
        <f t="shared" si="4"/>
        <v>594</v>
      </c>
      <c r="G109" s="311">
        <v>0</v>
      </c>
      <c r="H109" s="311">
        <v>593822</v>
      </c>
    </row>
    <row r="110" spans="1:8" ht="12.75">
      <c r="A110" s="346">
        <v>506000</v>
      </c>
      <c r="B110" s="345" t="s">
        <v>284</v>
      </c>
      <c r="C110" s="344"/>
      <c r="F110" s="311">
        <f t="shared" si="4"/>
        <v>1565</v>
      </c>
      <c r="G110" s="311">
        <v>0</v>
      </c>
      <c r="H110" s="311">
        <v>1564580</v>
      </c>
    </row>
    <row r="111" spans="1:8" ht="12.75">
      <c r="A111" s="346">
        <v>507000</v>
      </c>
      <c r="B111" s="345" t="s">
        <v>285</v>
      </c>
      <c r="C111" s="344"/>
      <c r="F111" s="311">
        <f t="shared" si="4"/>
        <v>21</v>
      </c>
      <c r="G111" s="311">
        <v>0</v>
      </c>
      <c r="H111" s="311">
        <v>21136</v>
      </c>
    </row>
    <row r="112" spans="1:8" ht="12.75">
      <c r="A112" s="346"/>
      <c r="B112" s="345"/>
      <c r="C112" s="344"/>
      <c r="F112" s="311">
        <f t="shared" si="4"/>
        <v>0</v>
      </c>
      <c r="G112" s="311">
        <v>0</v>
      </c>
    </row>
    <row r="113" spans="1:8" ht="12.75">
      <c r="A113" s="346"/>
      <c r="B113" s="345" t="s">
        <v>286</v>
      </c>
      <c r="C113" s="344"/>
      <c r="F113" s="311">
        <f t="shared" si="4"/>
        <v>0</v>
      </c>
      <c r="G113" s="311">
        <v>0</v>
      </c>
    </row>
    <row r="114" spans="1:8" ht="12.75">
      <c r="A114" s="346">
        <v>510000</v>
      </c>
      <c r="B114" s="345" t="s">
        <v>280</v>
      </c>
      <c r="C114" s="344"/>
      <c r="F114" s="311">
        <f t="shared" si="4"/>
        <v>383</v>
      </c>
      <c r="G114" s="311">
        <v>0</v>
      </c>
      <c r="H114" s="311">
        <v>383052</v>
      </c>
    </row>
    <row r="115" spans="1:8" ht="12.75">
      <c r="A115" s="346">
        <v>511000</v>
      </c>
      <c r="B115" s="345" t="s">
        <v>287</v>
      </c>
      <c r="C115" s="344"/>
      <c r="F115" s="311">
        <f t="shared" si="4"/>
        <v>472</v>
      </c>
      <c r="G115" s="311">
        <v>0</v>
      </c>
      <c r="H115" s="311">
        <v>472018</v>
      </c>
    </row>
    <row r="116" spans="1:8" ht="12.75">
      <c r="A116" s="346">
        <v>512000</v>
      </c>
      <c r="B116" s="345" t="s">
        <v>288</v>
      </c>
      <c r="C116" s="344"/>
      <c r="F116" s="311">
        <f t="shared" si="4"/>
        <v>3972</v>
      </c>
      <c r="G116" s="311">
        <v>0</v>
      </c>
      <c r="H116" s="311">
        <v>3972445</v>
      </c>
    </row>
    <row r="117" spans="1:8" ht="12.75">
      <c r="A117" s="346">
        <v>513000</v>
      </c>
      <c r="B117" s="345" t="s">
        <v>289</v>
      </c>
      <c r="C117" s="344"/>
      <c r="F117" s="311">
        <f t="shared" si="4"/>
        <v>914</v>
      </c>
      <c r="G117" s="311">
        <v>0</v>
      </c>
      <c r="H117" s="311">
        <v>914384</v>
      </c>
    </row>
    <row r="118" spans="1:8" ht="12.75">
      <c r="A118" s="346">
        <v>514000</v>
      </c>
      <c r="B118" s="345" t="s">
        <v>290</v>
      </c>
      <c r="C118" s="344"/>
      <c r="F118" s="311">
        <f t="shared" si="4"/>
        <v>556</v>
      </c>
      <c r="G118" s="311">
        <v>0</v>
      </c>
      <c r="H118" s="311">
        <v>556071</v>
      </c>
    </row>
    <row r="119" spans="1:8" ht="12.75">
      <c r="A119" s="343"/>
      <c r="B119" s="345" t="s">
        <v>291</v>
      </c>
      <c r="C119" s="344"/>
      <c r="F119" s="311">
        <f t="shared" si="4"/>
        <v>32003</v>
      </c>
      <c r="G119" s="311">
        <v>0</v>
      </c>
      <c r="H119" s="311">
        <v>32003247</v>
      </c>
    </row>
    <row r="120" spans="1:8" ht="12.75">
      <c r="A120" s="343"/>
      <c r="B120" s="345"/>
      <c r="C120" s="344"/>
      <c r="F120" s="311">
        <f t="shared" si="4"/>
        <v>0</v>
      </c>
      <c r="G120" s="311">
        <v>0</v>
      </c>
    </row>
    <row r="121" spans="1:8" ht="12.75">
      <c r="A121" s="343"/>
      <c r="B121" s="345" t="s">
        <v>292</v>
      </c>
      <c r="C121" s="344"/>
      <c r="F121" s="311">
        <f t="shared" si="4"/>
        <v>0</v>
      </c>
      <c r="G121" s="311">
        <v>0</v>
      </c>
    </row>
    <row r="122" spans="1:8" ht="12.75">
      <c r="A122" s="343"/>
      <c r="B122" s="345" t="s">
        <v>279</v>
      </c>
      <c r="C122" s="344"/>
      <c r="F122" s="311">
        <f t="shared" si="4"/>
        <v>0</v>
      </c>
      <c r="G122" s="311">
        <v>0</v>
      </c>
    </row>
    <row r="123" spans="1:8" ht="12.75">
      <c r="A123" s="346">
        <v>535000</v>
      </c>
      <c r="B123" s="345" t="s">
        <v>280</v>
      </c>
      <c r="C123" s="344"/>
      <c r="F123" s="311">
        <f t="shared" si="4"/>
        <v>1681</v>
      </c>
      <c r="G123" s="311">
        <v>0</v>
      </c>
      <c r="H123" s="311">
        <v>1680779</v>
      </c>
    </row>
    <row r="124" spans="1:8" ht="12.75">
      <c r="A124" s="346">
        <v>536000</v>
      </c>
      <c r="B124" s="345" t="s">
        <v>293</v>
      </c>
      <c r="C124" s="344"/>
      <c r="F124" s="311">
        <f t="shared" si="4"/>
        <v>730</v>
      </c>
      <c r="G124" s="311">
        <v>0</v>
      </c>
      <c r="H124" s="311">
        <v>729503</v>
      </c>
    </row>
    <row r="125" spans="1:8" ht="12.75">
      <c r="A125" s="346">
        <v>537000</v>
      </c>
      <c r="B125" s="345" t="s">
        <v>294</v>
      </c>
      <c r="C125" s="344"/>
      <c r="F125" s="311">
        <f t="shared" si="4"/>
        <v>4608</v>
      </c>
      <c r="G125" s="311">
        <v>0</v>
      </c>
      <c r="H125" s="311">
        <v>4608270</v>
      </c>
    </row>
    <row r="126" spans="1:8" ht="12.75">
      <c r="A126" s="346">
        <v>538000</v>
      </c>
      <c r="B126" s="345" t="s">
        <v>283</v>
      </c>
      <c r="C126" s="344"/>
      <c r="F126" s="311">
        <f t="shared" si="4"/>
        <v>3771</v>
      </c>
      <c r="G126" s="311">
        <v>0</v>
      </c>
      <c r="H126" s="311">
        <v>3771153</v>
      </c>
    </row>
    <row r="127" spans="1:8" ht="12.75">
      <c r="A127" s="346">
        <v>539000</v>
      </c>
      <c r="B127" s="345" t="s">
        <v>295</v>
      </c>
      <c r="C127" s="344"/>
      <c r="F127" s="311">
        <f t="shared" si="4"/>
        <v>459</v>
      </c>
      <c r="G127" s="311">
        <v>0</v>
      </c>
      <c r="H127" s="311">
        <v>459049</v>
      </c>
    </row>
    <row r="128" spans="1:8" ht="12.75">
      <c r="A128" s="346">
        <v>540000</v>
      </c>
      <c r="B128" s="345" t="s">
        <v>285</v>
      </c>
      <c r="C128" s="344"/>
      <c r="F128" s="311">
        <f t="shared" si="4"/>
        <v>793</v>
      </c>
      <c r="G128" s="311">
        <v>0</v>
      </c>
      <c r="H128" s="311">
        <v>793462</v>
      </c>
    </row>
    <row r="129" spans="1:8" ht="12.75">
      <c r="A129" s="347">
        <v>540100</v>
      </c>
      <c r="B129" s="348" t="s">
        <v>296</v>
      </c>
      <c r="C129" s="349"/>
      <c r="F129" s="311">
        <f t="shared" si="4"/>
        <v>3512</v>
      </c>
      <c r="G129" s="311">
        <v>0</v>
      </c>
      <c r="H129" s="311">
        <v>3512395</v>
      </c>
    </row>
    <row r="130" spans="1:8" ht="12.75">
      <c r="A130" s="343"/>
      <c r="B130" s="345"/>
      <c r="C130" s="344"/>
      <c r="F130" s="311">
        <f t="shared" si="4"/>
        <v>0</v>
      </c>
      <c r="G130" s="311">
        <v>0</v>
      </c>
    </row>
    <row r="131" spans="1:8" ht="12.75">
      <c r="A131" s="343"/>
      <c r="B131" s="345" t="s">
        <v>286</v>
      </c>
      <c r="C131" s="344"/>
      <c r="F131" s="311">
        <f t="shared" si="4"/>
        <v>0</v>
      </c>
      <c r="G131" s="311">
        <v>0</v>
      </c>
    </row>
    <row r="132" spans="1:8" ht="12.75">
      <c r="A132" s="346">
        <v>541000</v>
      </c>
      <c r="B132" s="345" t="s">
        <v>280</v>
      </c>
      <c r="C132" s="344"/>
      <c r="F132" s="311">
        <f t="shared" si="4"/>
        <v>363</v>
      </c>
      <c r="G132" s="311">
        <v>0</v>
      </c>
      <c r="H132" s="311">
        <v>363464</v>
      </c>
    </row>
    <row r="133" spans="1:8" ht="12.75">
      <c r="A133" s="346">
        <v>542000</v>
      </c>
      <c r="B133" s="345" t="s">
        <v>287</v>
      </c>
      <c r="C133" s="344"/>
      <c r="F133" s="311">
        <f t="shared" si="4"/>
        <v>275</v>
      </c>
      <c r="G133" s="311">
        <v>0</v>
      </c>
      <c r="H133" s="311">
        <v>274503</v>
      </c>
    </row>
    <row r="134" spans="1:8" ht="12.75">
      <c r="A134" s="346">
        <v>543000</v>
      </c>
      <c r="B134" s="345" t="s">
        <v>297</v>
      </c>
      <c r="C134" s="344"/>
      <c r="F134" s="311">
        <f t="shared" si="4"/>
        <v>1927</v>
      </c>
      <c r="G134" s="311">
        <v>0</v>
      </c>
      <c r="H134" s="311">
        <v>1927029</v>
      </c>
    </row>
    <row r="135" spans="1:8" ht="12.75">
      <c r="A135" s="346">
        <v>544000</v>
      </c>
      <c r="B135" s="345" t="s">
        <v>289</v>
      </c>
      <c r="C135" s="344"/>
      <c r="F135" s="311">
        <f t="shared" si="4"/>
        <v>1529</v>
      </c>
      <c r="G135" s="311">
        <v>0</v>
      </c>
      <c r="H135" s="311">
        <v>1528956</v>
      </c>
    </row>
    <row r="136" spans="1:8" ht="12.75">
      <c r="A136" s="346">
        <v>545000</v>
      </c>
      <c r="B136" s="345" t="s">
        <v>298</v>
      </c>
      <c r="C136" s="344"/>
      <c r="F136" s="311">
        <f t="shared" si="4"/>
        <v>329</v>
      </c>
      <c r="G136" s="311">
        <v>0</v>
      </c>
      <c r="H136" s="311">
        <v>328761</v>
      </c>
    </row>
    <row r="137" spans="1:8" ht="12.75">
      <c r="A137" s="343"/>
      <c r="B137" s="345" t="s">
        <v>299</v>
      </c>
      <c r="C137" s="344"/>
      <c r="F137" s="311">
        <f t="shared" si="4"/>
        <v>19977</v>
      </c>
      <c r="G137" s="311">
        <v>0</v>
      </c>
      <c r="H137" s="311">
        <v>19977324</v>
      </c>
    </row>
    <row r="138" spans="1:8" ht="12.75">
      <c r="A138" s="343"/>
      <c r="B138" s="345"/>
      <c r="C138" s="344"/>
      <c r="F138" s="311">
        <f t="shared" si="4"/>
        <v>0</v>
      </c>
      <c r="G138" s="311">
        <v>0</v>
      </c>
    </row>
    <row r="139" spans="1:8" ht="12.75">
      <c r="A139" s="343"/>
      <c r="B139" s="345" t="s">
        <v>300</v>
      </c>
      <c r="C139" s="344"/>
      <c r="F139" s="311">
        <f t="shared" si="4"/>
        <v>0</v>
      </c>
      <c r="G139" s="311">
        <v>0</v>
      </c>
    </row>
    <row r="140" spans="1:8" ht="12.75">
      <c r="A140" s="343"/>
      <c r="B140" s="345" t="s">
        <v>279</v>
      </c>
      <c r="C140" s="344"/>
      <c r="F140" s="311">
        <f t="shared" si="4"/>
        <v>0</v>
      </c>
      <c r="G140" s="311">
        <v>0</v>
      </c>
    </row>
    <row r="141" spans="1:8" ht="12.75">
      <c r="A141" s="346">
        <v>546000</v>
      </c>
      <c r="B141" s="345" t="s">
        <v>280</v>
      </c>
      <c r="C141" s="344"/>
      <c r="F141" s="311">
        <f t="shared" si="4"/>
        <v>938</v>
      </c>
      <c r="G141" s="311">
        <v>0</v>
      </c>
      <c r="H141" s="311">
        <v>938357</v>
      </c>
    </row>
    <row r="142" spans="1:8" ht="12.75">
      <c r="A142" s="346">
        <v>547000</v>
      </c>
      <c r="B142" s="345" t="s">
        <v>281</v>
      </c>
      <c r="C142" s="344"/>
      <c r="F142" s="311">
        <f t="shared" si="4"/>
        <v>35870</v>
      </c>
      <c r="G142" s="311">
        <v>0</v>
      </c>
      <c r="H142" s="311">
        <v>35870302</v>
      </c>
    </row>
    <row r="143" spans="1:8" ht="12.75">
      <c r="A143" s="346">
        <v>548000</v>
      </c>
      <c r="B143" s="345" t="s">
        <v>301</v>
      </c>
      <c r="C143" s="344"/>
      <c r="F143" s="311">
        <f t="shared" si="4"/>
        <v>703</v>
      </c>
      <c r="G143" s="311">
        <v>0</v>
      </c>
      <c r="H143" s="311">
        <v>702818</v>
      </c>
    </row>
    <row r="144" spans="1:8" ht="12.75">
      <c r="A144" s="346">
        <v>549000</v>
      </c>
      <c r="B144" s="345" t="s">
        <v>302</v>
      </c>
      <c r="C144" s="344"/>
      <c r="F144" s="311">
        <f t="shared" si="4"/>
        <v>373</v>
      </c>
      <c r="G144" s="311">
        <v>0</v>
      </c>
      <c r="H144" s="311">
        <v>372507</v>
      </c>
    </row>
    <row r="145" spans="1:8" ht="12.75">
      <c r="A145" s="346">
        <v>550000</v>
      </c>
      <c r="B145" s="345" t="s">
        <v>285</v>
      </c>
      <c r="C145" s="344"/>
      <c r="F145" s="311">
        <f t="shared" si="4"/>
        <v>-21</v>
      </c>
      <c r="G145" s="311">
        <v>0</v>
      </c>
      <c r="H145" s="311">
        <v>-20770</v>
      </c>
    </row>
    <row r="146" spans="1:8" ht="12.75">
      <c r="A146" s="343"/>
      <c r="B146" s="345"/>
      <c r="C146" s="344"/>
      <c r="F146" s="311">
        <f t="shared" si="4"/>
        <v>0</v>
      </c>
      <c r="G146" s="311">
        <v>0</v>
      </c>
    </row>
    <row r="147" spans="1:8" ht="12.75">
      <c r="A147" s="343"/>
      <c r="B147" s="345" t="s">
        <v>286</v>
      </c>
      <c r="C147" s="344"/>
      <c r="F147" s="311">
        <f t="shared" si="4"/>
        <v>0</v>
      </c>
      <c r="G147" s="311">
        <v>0</v>
      </c>
    </row>
    <row r="148" spans="1:8" ht="12.75">
      <c r="A148" s="346">
        <v>551000</v>
      </c>
      <c r="B148" s="345" t="s">
        <v>280</v>
      </c>
      <c r="C148" s="344"/>
      <c r="F148" s="311">
        <f t="shared" si="4"/>
        <v>444</v>
      </c>
      <c r="G148" s="311">
        <v>0</v>
      </c>
      <c r="H148" s="311">
        <v>444046</v>
      </c>
    </row>
    <row r="149" spans="1:8" ht="12.75">
      <c r="A149" s="346">
        <v>552000</v>
      </c>
      <c r="B149" s="345" t="s">
        <v>287</v>
      </c>
      <c r="C149" s="344"/>
      <c r="F149" s="311">
        <f t="shared" ref="F149:F212" si="5">ROUND(H149/1000,0)</f>
        <v>8</v>
      </c>
      <c r="G149" s="311">
        <v>0</v>
      </c>
      <c r="H149" s="311">
        <v>7991</v>
      </c>
    </row>
    <row r="150" spans="1:8" ht="12.75">
      <c r="A150" s="346">
        <v>553000</v>
      </c>
      <c r="B150" s="345" t="s">
        <v>303</v>
      </c>
      <c r="C150" s="344"/>
      <c r="F150" s="311">
        <f t="shared" si="5"/>
        <v>966</v>
      </c>
      <c r="G150" s="311">
        <v>0</v>
      </c>
      <c r="H150" s="311">
        <v>966049</v>
      </c>
    </row>
    <row r="151" spans="1:8" ht="12.75">
      <c r="A151" s="346">
        <v>554000</v>
      </c>
      <c r="B151" s="345" t="s">
        <v>304</v>
      </c>
      <c r="C151" s="344"/>
      <c r="F151" s="311">
        <f t="shared" si="5"/>
        <v>101</v>
      </c>
      <c r="G151" s="311">
        <v>0</v>
      </c>
      <c r="H151" s="311">
        <v>100965</v>
      </c>
    </row>
    <row r="152" spans="1:8" ht="12.75">
      <c r="A152" s="343"/>
      <c r="B152" s="345" t="s">
        <v>305</v>
      </c>
      <c r="C152" s="344"/>
      <c r="F152" s="311">
        <f t="shared" si="5"/>
        <v>39382</v>
      </c>
      <c r="G152" s="311">
        <v>0</v>
      </c>
      <c r="H152" s="311">
        <v>39382265</v>
      </c>
    </row>
    <row r="153" spans="1:8" ht="12.75">
      <c r="A153" s="343"/>
      <c r="B153" s="345"/>
      <c r="C153" s="344"/>
      <c r="F153" s="311">
        <f t="shared" si="5"/>
        <v>0</v>
      </c>
      <c r="G153" s="311">
        <v>0</v>
      </c>
    </row>
    <row r="154" spans="1:8" ht="12.75">
      <c r="A154" s="343"/>
      <c r="B154" s="345" t="s">
        <v>306</v>
      </c>
      <c r="C154" s="344"/>
      <c r="F154" s="311">
        <f t="shared" si="5"/>
        <v>0</v>
      </c>
      <c r="G154" s="311">
        <v>0</v>
      </c>
    </row>
    <row r="155" spans="1:8" ht="12.75">
      <c r="A155" s="343" t="s">
        <v>307</v>
      </c>
      <c r="B155" s="345" t="s">
        <v>41</v>
      </c>
      <c r="C155" s="344"/>
      <c r="F155" s="311">
        <f t="shared" si="5"/>
        <v>124270</v>
      </c>
      <c r="G155" s="311">
        <v>0</v>
      </c>
      <c r="H155" s="311">
        <v>124269786</v>
      </c>
    </row>
    <row r="156" spans="1:8" ht="12.75">
      <c r="A156" s="346">
        <v>556000</v>
      </c>
      <c r="B156" s="345" t="s">
        <v>308</v>
      </c>
      <c r="C156" s="344"/>
      <c r="F156" s="311">
        <f t="shared" si="5"/>
        <v>466</v>
      </c>
      <c r="G156" s="311">
        <v>0</v>
      </c>
      <c r="H156" s="311">
        <v>466219</v>
      </c>
    </row>
    <row r="157" spans="1:8" ht="12.75">
      <c r="A157" s="346" t="s">
        <v>309</v>
      </c>
      <c r="B157" s="345" t="s">
        <v>310</v>
      </c>
      <c r="C157" s="344"/>
      <c r="F157" s="311">
        <f t="shared" si="5"/>
        <v>141691</v>
      </c>
      <c r="G157" s="311">
        <v>0</v>
      </c>
      <c r="H157" s="311">
        <v>141690602</v>
      </c>
    </row>
    <row r="158" spans="1:8" ht="12.75">
      <c r="A158" s="346"/>
      <c r="B158" s="345" t="s">
        <v>311</v>
      </c>
      <c r="C158" s="344"/>
      <c r="F158" s="311">
        <f t="shared" si="5"/>
        <v>266427</v>
      </c>
      <c r="G158" s="311">
        <v>0</v>
      </c>
      <c r="H158" s="311">
        <v>266426607</v>
      </c>
    </row>
    <row r="159" spans="1:8" ht="12.75">
      <c r="A159" s="346"/>
      <c r="B159" s="345" t="s">
        <v>312</v>
      </c>
      <c r="C159" s="344"/>
      <c r="F159" s="311">
        <f t="shared" si="5"/>
        <v>357789</v>
      </c>
      <c r="G159" s="311">
        <v>0</v>
      </c>
      <c r="H159" s="311">
        <f>SUM(H158,H152,H137,H119)</f>
        <v>357789443</v>
      </c>
    </row>
    <row r="160" spans="1:8" ht="12.75">
      <c r="A160" s="346"/>
      <c r="B160" s="345"/>
      <c r="C160" s="344"/>
      <c r="F160" s="311">
        <f t="shared" si="5"/>
        <v>0</v>
      </c>
      <c r="G160" s="311">
        <v>0</v>
      </c>
    </row>
    <row r="161" spans="1:8" ht="12.75">
      <c r="A161" s="346"/>
      <c r="B161" s="345" t="s">
        <v>313</v>
      </c>
      <c r="C161" s="344"/>
      <c r="F161" s="311">
        <f t="shared" si="5"/>
        <v>0</v>
      </c>
      <c r="G161" s="311">
        <v>0</v>
      </c>
    </row>
    <row r="162" spans="1:8" ht="12.75">
      <c r="A162" s="346"/>
      <c r="B162" s="345" t="s">
        <v>279</v>
      </c>
      <c r="C162" s="344"/>
      <c r="F162" s="311">
        <f t="shared" si="5"/>
        <v>0</v>
      </c>
      <c r="G162" s="311">
        <v>0</v>
      </c>
    </row>
    <row r="163" spans="1:8" ht="12.75">
      <c r="A163" s="346">
        <v>560000</v>
      </c>
      <c r="B163" s="345" t="s">
        <v>280</v>
      </c>
      <c r="C163" s="344"/>
      <c r="F163" s="311">
        <f t="shared" si="5"/>
        <v>1346</v>
      </c>
      <c r="G163" s="311">
        <v>0</v>
      </c>
      <c r="H163" s="311">
        <v>1345794</v>
      </c>
    </row>
    <row r="164" spans="1:8" ht="12.75">
      <c r="A164" s="346">
        <v>561000</v>
      </c>
      <c r="B164" s="345" t="s">
        <v>314</v>
      </c>
      <c r="C164" s="344"/>
      <c r="F164" s="311">
        <f t="shared" si="5"/>
        <v>1455</v>
      </c>
      <c r="G164" s="311">
        <v>0</v>
      </c>
      <c r="H164" s="311">
        <v>1454874</v>
      </c>
    </row>
    <row r="165" spans="1:8" ht="12.75">
      <c r="A165" s="346">
        <v>562000</v>
      </c>
      <c r="B165" s="345" t="s">
        <v>315</v>
      </c>
      <c r="C165" s="344"/>
      <c r="F165" s="311">
        <f t="shared" si="5"/>
        <v>208</v>
      </c>
      <c r="G165" s="311">
        <v>0</v>
      </c>
      <c r="H165" s="311">
        <v>207797</v>
      </c>
    </row>
    <row r="166" spans="1:8" ht="12.75">
      <c r="A166" s="346">
        <v>563000</v>
      </c>
      <c r="B166" s="345" t="s">
        <v>316</v>
      </c>
      <c r="C166" s="344"/>
      <c r="F166" s="311">
        <f t="shared" si="5"/>
        <v>338</v>
      </c>
      <c r="G166" s="311">
        <v>0</v>
      </c>
      <c r="H166" s="311">
        <v>338058</v>
      </c>
    </row>
    <row r="167" spans="1:8" ht="12.75">
      <c r="A167" s="346">
        <v>565000</v>
      </c>
      <c r="B167" s="345" t="s">
        <v>317</v>
      </c>
      <c r="C167" s="344"/>
      <c r="F167" s="311">
        <f t="shared" si="5"/>
        <v>11410</v>
      </c>
      <c r="G167" s="311">
        <v>0</v>
      </c>
      <c r="H167" s="311">
        <v>11410227</v>
      </c>
    </row>
    <row r="168" spans="1:8" ht="12.75">
      <c r="A168" s="346">
        <v>566000</v>
      </c>
      <c r="B168" s="345" t="s">
        <v>318</v>
      </c>
      <c r="C168" s="344"/>
      <c r="F168" s="311">
        <f t="shared" si="5"/>
        <v>1096</v>
      </c>
      <c r="G168" s="311">
        <v>0</v>
      </c>
      <c r="H168" s="311">
        <v>1095603</v>
      </c>
    </row>
    <row r="169" spans="1:8" ht="12.75">
      <c r="A169" s="346">
        <v>567000</v>
      </c>
      <c r="B169" s="345" t="s">
        <v>285</v>
      </c>
      <c r="C169" s="344"/>
      <c r="F169" s="311">
        <f t="shared" si="5"/>
        <v>83</v>
      </c>
      <c r="G169" s="311">
        <v>0</v>
      </c>
      <c r="H169" s="311">
        <v>83215</v>
      </c>
    </row>
    <row r="170" spans="1:8" ht="12.75">
      <c r="A170" s="343"/>
      <c r="B170" s="345"/>
      <c r="C170" s="344"/>
      <c r="F170" s="311">
        <f t="shared" si="5"/>
        <v>0</v>
      </c>
      <c r="G170" s="311">
        <v>0</v>
      </c>
    </row>
    <row r="171" spans="1:8" ht="12.75">
      <c r="A171" s="343"/>
      <c r="B171" s="345" t="s">
        <v>286</v>
      </c>
      <c r="C171" s="344"/>
      <c r="F171" s="311">
        <f t="shared" si="5"/>
        <v>0</v>
      </c>
      <c r="G171" s="311">
        <v>0</v>
      </c>
    </row>
    <row r="172" spans="1:8" ht="12.75">
      <c r="A172" s="346">
        <v>568000</v>
      </c>
      <c r="B172" s="345" t="s">
        <v>280</v>
      </c>
      <c r="C172" s="344"/>
      <c r="F172" s="311">
        <f t="shared" si="5"/>
        <v>857</v>
      </c>
      <c r="G172" s="311">
        <v>0</v>
      </c>
      <c r="H172" s="311">
        <v>857057</v>
      </c>
    </row>
    <row r="173" spans="1:8" ht="12.75">
      <c r="A173" s="346">
        <v>569000</v>
      </c>
      <c r="B173" s="345" t="s">
        <v>287</v>
      </c>
      <c r="C173" s="344"/>
      <c r="F173" s="311">
        <f t="shared" si="5"/>
        <v>278</v>
      </c>
      <c r="G173" s="311">
        <v>0</v>
      </c>
      <c r="H173" s="311">
        <v>278223</v>
      </c>
    </row>
    <row r="174" spans="1:8" ht="12.75">
      <c r="A174" s="346">
        <v>570000</v>
      </c>
      <c r="B174" s="345" t="s">
        <v>319</v>
      </c>
      <c r="C174" s="344"/>
      <c r="F174" s="311">
        <f t="shared" si="5"/>
        <v>748</v>
      </c>
      <c r="G174" s="311">
        <v>0</v>
      </c>
      <c r="H174" s="311">
        <v>748399</v>
      </c>
    </row>
    <row r="175" spans="1:8" ht="12.75">
      <c r="A175" s="346">
        <v>571000</v>
      </c>
      <c r="B175" s="345" t="s">
        <v>320</v>
      </c>
      <c r="C175" s="344"/>
      <c r="F175" s="311">
        <f t="shared" si="5"/>
        <v>1568</v>
      </c>
      <c r="G175" s="311">
        <v>0</v>
      </c>
      <c r="H175" s="311">
        <v>1567780</v>
      </c>
    </row>
    <row r="176" spans="1:8" ht="12.75">
      <c r="A176" s="346">
        <v>572000</v>
      </c>
      <c r="B176" s="345" t="s">
        <v>321</v>
      </c>
      <c r="C176" s="344"/>
      <c r="F176" s="311">
        <f t="shared" si="5"/>
        <v>1</v>
      </c>
      <c r="G176" s="311">
        <v>0</v>
      </c>
      <c r="H176" s="311">
        <v>958</v>
      </c>
    </row>
    <row r="177" spans="1:8" ht="12.75">
      <c r="A177" s="346">
        <v>573000</v>
      </c>
      <c r="B177" s="345" t="s">
        <v>322</v>
      </c>
      <c r="C177" s="344"/>
      <c r="F177" s="311">
        <f t="shared" si="5"/>
        <v>19</v>
      </c>
      <c r="G177" s="311">
        <v>0</v>
      </c>
      <c r="H177" s="311">
        <v>18825</v>
      </c>
    </row>
    <row r="178" spans="1:8" ht="12.75">
      <c r="A178" s="343"/>
      <c r="B178" s="345" t="s">
        <v>323</v>
      </c>
      <c r="C178" s="344"/>
      <c r="F178" s="311">
        <f t="shared" si="5"/>
        <v>19407</v>
      </c>
      <c r="G178" s="311">
        <v>0</v>
      </c>
      <c r="H178" s="311">
        <v>19406810</v>
      </c>
    </row>
    <row r="179" spans="1:8" ht="12.75">
      <c r="A179" s="343"/>
      <c r="B179" s="345"/>
      <c r="C179" s="344"/>
      <c r="F179" s="311">
        <f t="shared" si="5"/>
        <v>0</v>
      </c>
      <c r="G179" s="311">
        <v>0</v>
      </c>
    </row>
    <row r="180" spans="1:8" ht="12.75">
      <c r="A180" s="343"/>
      <c r="B180" s="345" t="s">
        <v>324</v>
      </c>
      <c r="C180" s="344"/>
      <c r="F180" s="311">
        <f t="shared" si="5"/>
        <v>18013</v>
      </c>
      <c r="G180" s="311">
        <v>0</v>
      </c>
      <c r="H180" s="311">
        <v>18013036</v>
      </c>
    </row>
    <row r="181" spans="1:8" ht="12.75">
      <c r="A181" s="343"/>
      <c r="B181" s="345" t="s">
        <v>325</v>
      </c>
      <c r="C181" s="344"/>
      <c r="F181" s="311">
        <f t="shared" si="5"/>
        <v>6681</v>
      </c>
      <c r="G181" s="311">
        <v>0</v>
      </c>
      <c r="H181" s="311">
        <v>6681014</v>
      </c>
    </row>
    <row r="182" spans="1:8" ht="12.75">
      <c r="A182" s="350"/>
      <c r="B182" s="348" t="s">
        <v>326</v>
      </c>
      <c r="C182" s="349"/>
      <c r="F182" s="311">
        <f t="shared" si="5"/>
        <v>655</v>
      </c>
      <c r="G182" s="311">
        <v>0</v>
      </c>
      <c r="H182" s="311">
        <v>654575</v>
      </c>
    </row>
    <row r="183" spans="1:8" ht="12.75">
      <c r="A183" s="346">
        <v>405930</v>
      </c>
      <c r="B183" s="345" t="s">
        <v>327</v>
      </c>
      <c r="C183" s="344"/>
      <c r="F183" s="311">
        <f t="shared" si="5"/>
        <v>2450</v>
      </c>
      <c r="G183" s="311">
        <v>0</v>
      </c>
      <c r="H183" s="311">
        <v>2450031</v>
      </c>
    </row>
    <row r="184" spans="1:8" ht="12.75">
      <c r="A184" s="346">
        <v>406100</v>
      </c>
      <c r="B184" s="345" t="s">
        <v>328</v>
      </c>
      <c r="C184" s="344"/>
      <c r="F184" s="311">
        <f t="shared" si="5"/>
        <v>32</v>
      </c>
      <c r="G184" s="311">
        <v>0</v>
      </c>
      <c r="H184" s="311">
        <v>31743</v>
      </c>
    </row>
    <row r="185" spans="1:8" ht="12.75">
      <c r="A185" s="346">
        <v>407312</v>
      </c>
      <c r="B185" s="345" t="s">
        <v>329</v>
      </c>
      <c r="C185" s="344"/>
      <c r="F185" s="311">
        <f t="shared" si="5"/>
        <v>1360</v>
      </c>
      <c r="G185" s="311">
        <v>0</v>
      </c>
      <c r="H185" s="311">
        <v>1360000</v>
      </c>
    </row>
    <row r="186" spans="1:8" ht="12.75">
      <c r="A186" s="347">
        <v>407322</v>
      </c>
      <c r="B186" s="348" t="s">
        <v>330</v>
      </c>
      <c r="C186" s="349"/>
      <c r="F186" s="311">
        <f t="shared" si="5"/>
        <v>73</v>
      </c>
      <c r="G186" s="311">
        <v>0</v>
      </c>
      <c r="H186" s="311">
        <v>72939</v>
      </c>
    </row>
    <row r="187" spans="1:8" ht="12.75">
      <c r="A187" s="347">
        <v>407324</v>
      </c>
      <c r="B187" s="348" t="s">
        <v>331</v>
      </c>
      <c r="C187" s="349"/>
      <c r="F187" s="311">
        <f t="shared" si="5"/>
        <v>142</v>
      </c>
      <c r="G187" s="311">
        <v>0</v>
      </c>
      <c r="H187" s="311">
        <v>141545</v>
      </c>
    </row>
    <row r="188" spans="1:8" ht="12.75">
      <c r="A188" s="347">
        <v>407325</v>
      </c>
      <c r="B188" s="348" t="s">
        <v>332</v>
      </c>
      <c r="C188" s="349"/>
      <c r="F188" s="311">
        <f t="shared" si="5"/>
        <v>0</v>
      </c>
      <c r="G188" s="311">
        <v>0</v>
      </c>
      <c r="H188" s="311">
        <v>0</v>
      </c>
    </row>
    <row r="189" spans="1:8" ht="12.75">
      <c r="A189" s="347">
        <v>407335</v>
      </c>
      <c r="B189" s="348" t="s">
        <v>333</v>
      </c>
      <c r="C189" s="349"/>
      <c r="F189" s="311">
        <f t="shared" si="5"/>
        <v>0</v>
      </c>
      <c r="G189" s="311">
        <v>0</v>
      </c>
      <c r="H189" s="311">
        <v>0</v>
      </c>
    </row>
    <row r="190" spans="1:8" ht="12.75">
      <c r="A190" s="346">
        <v>407351</v>
      </c>
      <c r="B190" s="345" t="s">
        <v>334</v>
      </c>
      <c r="C190" s="344"/>
      <c r="F190" s="311">
        <f t="shared" si="5"/>
        <v>0</v>
      </c>
      <c r="G190" s="311">
        <v>0</v>
      </c>
      <c r="H190" s="311">
        <v>0</v>
      </c>
    </row>
    <row r="191" spans="1:8" ht="12.75">
      <c r="A191" s="346">
        <v>407380</v>
      </c>
      <c r="B191" s="345" t="s">
        <v>335</v>
      </c>
      <c r="C191" s="344"/>
      <c r="F191" s="311">
        <f t="shared" si="5"/>
        <v>153</v>
      </c>
      <c r="G191" s="311">
        <v>0</v>
      </c>
      <c r="H191" s="311">
        <v>153132</v>
      </c>
    </row>
    <row r="192" spans="1:8" ht="12.75">
      <c r="A192" s="347">
        <v>407382</v>
      </c>
      <c r="B192" s="348" t="s">
        <v>336</v>
      </c>
      <c r="C192" s="349"/>
      <c r="F192" s="311">
        <f t="shared" si="5"/>
        <v>608</v>
      </c>
      <c r="G192" s="311">
        <v>0</v>
      </c>
      <c r="H192" s="311">
        <v>608244</v>
      </c>
    </row>
    <row r="193" spans="1:8" ht="12.75">
      <c r="A193" s="347">
        <v>407382</v>
      </c>
      <c r="B193" s="348" t="s">
        <v>337</v>
      </c>
      <c r="C193" s="349"/>
      <c r="F193" s="311">
        <f t="shared" si="5"/>
        <v>152</v>
      </c>
      <c r="G193" s="311">
        <v>0</v>
      </c>
      <c r="H193" s="311">
        <v>152118</v>
      </c>
    </row>
    <row r="194" spans="1:8" ht="12.75">
      <c r="A194" s="347">
        <v>407395</v>
      </c>
      <c r="B194" s="348" t="s">
        <v>338</v>
      </c>
      <c r="C194" s="349"/>
      <c r="F194" s="311">
        <f t="shared" si="5"/>
        <v>184</v>
      </c>
      <c r="G194" s="311">
        <v>0</v>
      </c>
      <c r="H194" s="311">
        <v>183561</v>
      </c>
    </row>
    <row r="195" spans="1:8" ht="12.75">
      <c r="A195" s="346">
        <v>407400</v>
      </c>
      <c r="B195" s="348" t="s">
        <v>339</v>
      </c>
      <c r="C195" s="349"/>
      <c r="F195" s="311">
        <f t="shared" si="5"/>
        <v>0</v>
      </c>
      <c r="G195" s="311">
        <v>0</v>
      </c>
      <c r="H195" s="311">
        <v>0</v>
      </c>
    </row>
    <row r="196" spans="1:8" ht="12.75">
      <c r="A196" s="346">
        <v>407403</v>
      </c>
      <c r="B196" s="345" t="s">
        <v>340</v>
      </c>
      <c r="C196" s="344"/>
      <c r="F196" s="311">
        <f t="shared" si="5"/>
        <v>-135</v>
      </c>
      <c r="G196" s="311">
        <v>0</v>
      </c>
      <c r="H196" s="311">
        <v>-134592</v>
      </c>
    </row>
    <row r="197" spans="1:8" ht="12.75">
      <c r="A197" s="346">
        <v>407405</v>
      </c>
      <c r="B197" s="345" t="s">
        <v>341</v>
      </c>
      <c r="C197" s="344"/>
      <c r="F197" s="311">
        <f t="shared" si="5"/>
        <v>0</v>
      </c>
      <c r="G197" s="311">
        <v>0</v>
      </c>
      <c r="H197" s="311">
        <v>0</v>
      </c>
    </row>
    <row r="198" spans="1:8" ht="12.75">
      <c r="A198" s="346">
        <v>407420</v>
      </c>
      <c r="B198" s="345" t="s">
        <v>342</v>
      </c>
      <c r="C198" s="344"/>
      <c r="F198" s="311">
        <f t="shared" si="5"/>
        <v>0</v>
      </c>
      <c r="G198" s="311">
        <v>0</v>
      </c>
      <c r="H198" s="311">
        <v>0</v>
      </c>
    </row>
    <row r="199" spans="1:8" ht="12.75">
      <c r="A199" s="347">
        <v>407422</v>
      </c>
      <c r="B199" s="348" t="s">
        <v>330</v>
      </c>
      <c r="C199" s="349"/>
      <c r="F199" s="311">
        <f t="shared" si="5"/>
        <v>0</v>
      </c>
      <c r="G199" s="311">
        <v>0</v>
      </c>
      <c r="H199" s="311">
        <v>0</v>
      </c>
    </row>
    <row r="200" spans="1:8" ht="12.75">
      <c r="A200" s="343" t="s">
        <v>343</v>
      </c>
      <c r="B200" s="345" t="s">
        <v>344</v>
      </c>
      <c r="C200" s="344"/>
      <c r="F200" s="311">
        <f t="shared" si="5"/>
        <v>-4794</v>
      </c>
      <c r="G200" s="311">
        <v>0</v>
      </c>
      <c r="H200" s="311">
        <v>-4794236</v>
      </c>
    </row>
    <row r="201" spans="1:8" ht="12.75">
      <c r="A201" s="347">
        <v>407460</v>
      </c>
      <c r="B201" s="348" t="s">
        <v>345</v>
      </c>
      <c r="C201" s="349"/>
      <c r="F201" s="311">
        <f t="shared" si="5"/>
        <v>516</v>
      </c>
      <c r="G201" s="311">
        <v>0</v>
      </c>
      <c r="H201" s="311">
        <v>516251</v>
      </c>
    </row>
    <row r="202" spans="1:8" ht="12.75">
      <c r="A202" s="347">
        <v>407462</v>
      </c>
      <c r="B202" s="348" t="s">
        <v>346</v>
      </c>
      <c r="C202" s="349"/>
      <c r="F202" s="311">
        <f t="shared" si="5"/>
        <v>-338</v>
      </c>
      <c r="G202" s="311">
        <v>0</v>
      </c>
      <c r="H202" s="311">
        <v>-337879</v>
      </c>
    </row>
    <row r="203" spans="1:8" ht="12.75">
      <c r="A203" s="347">
        <v>407482</v>
      </c>
      <c r="B203" s="348" t="s">
        <v>347</v>
      </c>
      <c r="C203" s="349"/>
      <c r="F203" s="311">
        <f t="shared" si="5"/>
        <v>0</v>
      </c>
      <c r="G203" s="311">
        <v>0</v>
      </c>
      <c r="H203" s="311">
        <v>0</v>
      </c>
    </row>
    <row r="204" spans="1:8" ht="12.75">
      <c r="A204" s="343"/>
      <c r="B204" s="345" t="s">
        <v>348</v>
      </c>
      <c r="C204" s="344"/>
      <c r="F204" s="311">
        <f t="shared" si="5"/>
        <v>10780</v>
      </c>
      <c r="G204" s="311">
        <v>0</v>
      </c>
      <c r="H204" s="311">
        <v>10780392</v>
      </c>
    </row>
    <row r="205" spans="1:8" ht="12.75">
      <c r="A205" s="343"/>
      <c r="B205" s="345" t="s">
        <v>349</v>
      </c>
      <c r="C205" s="344"/>
      <c r="F205" s="311">
        <f t="shared" si="5"/>
        <v>36532</v>
      </c>
      <c r="G205" s="311">
        <v>0</v>
      </c>
      <c r="H205" s="311">
        <v>36531874</v>
      </c>
    </row>
    <row r="206" spans="1:8" ht="12.75">
      <c r="A206" s="343"/>
      <c r="B206" s="345"/>
      <c r="C206" s="344"/>
      <c r="F206" s="311">
        <f t="shared" si="5"/>
        <v>0</v>
      </c>
      <c r="G206" s="311">
        <v>0</v>
      </c>
    </row>
    <row r="207" spans="1:8" ht="12.75">
      <c r="A207" s="343"/>
      <c r="B207" s="345" t="s">
        <v>350</v>
      </c>
      <c r="C207" s="344"/>
      <c r="F207" s="311">
        <f t="shared" si="5"/>
        <v>413728</v>
      </c>
      <c r="G207" s="311">
        <v>0</v>
      </c>
      <c r="H207" s="311">
        <v>413728127</v>
      </c>
    </row>
    <row r="208" spans="1:8" ht="12.75">
      <c r="A208" s="343"/>
      <c r="B208" s="345"/>
      <c r="C208" s="344"/>
      <c r="F208" s="311">
        <f t="shared" si="5"/>
        <v>0</v>
      </c>
      <c r="G208" s="311">
        <v>0</v>
      </c>
    </row>
    <row r="209" spans="1:8" ht="12.75">
      <c r="A209" s="343"/>
      <c r="B209" s="345" t="s">
        <v>351</v>
      </c>
      <c r="C209" s="344"/>
      <c r="F209" s="311">
        <f t="shared" si="5"/>
        <v>0</v>
      </c>
      <c r="G209" s="311">
        <v>0</v>
      </c>
    </row>
    <row r="210" spans="1:8" ht="12.75">
      <c r="A210" s="343"/>
      <c r="B210" s="344" t="s">
        <v>352</v>
      </c>
      <c r="C210" s="344"/>
      <c r="F210" s="311">
        <f t="shared" si="5"/>
        <v>0</v>
      </c>
      <c r="G210" s="311">
        <v>0</v>
      </c>
    </row>
    <row r="211" spans="1:8" ht="12.75">
      <c r="A211" s="346">
        <v>580000</v>
      </c>
      <c r="B211" s="345" t="s">
        <v>280</v>
      </c>
      <c r="C211" s="344"/>
      <c r="F211" s="311">
        <f t="shared" si="5"/>
        <v>1241</v>
      </c>
      <c r="G211" s="311">
        <v>0</v>
      </c>
      <c r="H211" s="311">
        <v>1240900</v>
      </c>
    </row>
    <row r="212" spans="1:8" ht="12.75">
      <c r="A212" s="346">
        <v>582000</v>
      </c>
      <c r="B212" s="344" t="s">
        <v>315</v>
      </c>
      <c r="C212" s="344"/>
      <c r="F212" s="311">
        <f t="shared" si="5"/>
        <v>455</v>
      </c>
      <c r="G212" s="311">
        <v>0</v>
      </c>
      <c r="H212" s="311">
        <v>454503</v>
      </c>
    </row>
    <row r="213" spans="1:8" ht="12.75">
      <c r="A213" s="346">
        <v>583000</v>
      </c>
      <c r="B213" s="345" t="s">
        <v>316</v>
      </c>
      <c r="C213" s="344"/>
      <c r="F213" s="311">
        <f t="shared" ref="F213:F276" si="6">ROUND(H213/1000,0)</f>
        <v>1374</v>
      </c>
      <c r="G213" s="311">
        <v>0</v>
      </c>
      <c r="H213" s="311">
        <v>1373984</v>
      </c>
    </row>
    <row r="214" spans="1:8" ht="12.75">
      <c r="A214" s="346">
        <v>584000</v>
      </c>
      <c r="B214" s="345" t="s">
        <v>353</v>
      </c>
      <c r="C214" s="344"/>
      <c r="F214" s="311">
        <f t="shared" si="6"/>
        <v>-284</v>
      </c>
      <c r="G214" s="311">
        <v>0</v>
      </c>
      <c r="H214" s="311">
        <v>-284040</v>
      </c>
    </row>
    <row r="215" spans="1:8" ht="12.75">
      <c r="A215" s="346">
        <v>585000</v>
      </c>
      <c r="B215" s="345" t="s">
        <v>354</v>
      </c>
      <c r="C215" s="344"/>
      <c r="F215" s="311">
        <f t="shared" si="6"/>
        <v>78</v>
      </c>
      <c r="G215" s="311">
        <v>0</v>
      </c>
      <c r="H215" s="311">
        <v>78166</v>
      </c>
    </row>
    <row r="216" spans="1:8" ht="12.75">
      <c r="A216" s="346">
        <v>586000</v>
      </c>
      <c r="B216" s="345" t="s">
        <v>355</v>
      </c>
      <c r="C216" s="344"/>
      <c r="F216" s="311">
        <f t="shared" si="6"/>
        <v>1567</v>
      </c>
      <c r="G216" s="311">
        <v>0</v>
      </c>
      <c r="H216" s="311">
        <v>1567383</v>
      </c>
    </row>
    <row r="217" spans="1:8" ht="12.75">
      <c r="A217" s="346">
        <v>587000</v>
      </c>
      <c r="B217" s="345" t="s">
        <v>356</v>
      </c>
      <c r="C217" s="344"/>
      <c r="F217" s="311">
        <f t="shared" si="6"/>
        <v>441</v>
      </c>
      <c r="G217" s="311">
        <v>0</v>
      </c>
      <c r="H217" s="311">
        <v>441429</v>
      </c>
    </row>
    <row r="218" spans="1:8" ht="12.75">
      <c r="A218" s="346">
        <v>588000</v>
      </c>
      <c r="B218" s="345" t="s">
        <v>357</v>
      </c>
      <c r="C218" s="344"/>
      <c r="F218" s="311">
        <f t="shared" si="6"/>
        <v>4767</v>
      </c>
      <c r="G218" s="311">
        <v>0</v>
      </c>
      <c r="H218" s="311">
        <v>4766624</v>
      </c>
    </row>
    <row r="219" spans="1:8" ht="12.75">
      <c r="A219" s="346">
        <v>589000</v>
      </c>
      <c r="B219" s="345" t="s">
        <v>285</v>
      </c>
      <c r="C219" s="344"/>
      <c r="F219" s="311">
        <f t="shared" si="6"/>
        <v>181</v>
      </c>
      <c r="G219" s="311">
        <v>0</v>
      </c>
      <c r="H219" s="311">
        <v>180606</v>
      </c>
    </row>
    <row r="220" spans="1:8" ht="12.75">
      <c r="A220" s="351"/>
      <c r="B220" s="345"/>
      <c r="C220" s="344"/>
      <c r="F220" s="311">
        <f t="shared" si="6"/>
        <v>0</v>
      </c>
      <c r="G220" s="311">
        <v>0</v>
      </c>
    </row>
    <row r="221" spans="1:8" ht="12.75">
      <c r="A221" s="343"/>
      <c r="B221" s="344" t="s">
        <v>358</v>
      </c>
      <c r="C221" s="344"/>
      <c r="F221" s="311">
        <f t="shared" si="6"/>
        <v>0</v>
      </c>
      <c r="G221" s="311">
        <v>0</v>
      </c>
    </row>
    <row r="222" spans="1:8" ht="12.75">
      <c r="A222" s="346">
        <v>590000</v>
      </c>
      <c r="B222" s="345" t="s">
        <v>280</v>
      </c>
      <c r="C222" s="344"/>
      <c r="F222" s="311">
        <f t="shared" si="6"/>
        <v>748</v>
      </c>
      <c r="G222" s="311">
        <v>0</v>
      </c>
      <c r="H222" s="311">
        <v>748168</v>
      </c>
    </row>
    <row r="223" spans="1:8" ht="12.75">
      <c r="A223" s="346">
        <v>591000</v>
      </c>
      <c r="B223" s="345" t="s">
        <v>287</v>
      </c>
      <c r="C223" s="344"/>
      <c r="F223" s="311">
        <f t="shared" si="6"/>
        <v>251</v>
      </c>
      <c r="G223" s="311">
        <v>0</v>
      </c>
      <c r="H223" s="311">
        <v>250650</v>
      </c>
    </row>
    <row r="224" spans="1:8" ht="12.75">
      <c r="A224" s="346">
        <v>592000</v>
      </c>
      <c r="B224" s="344" t="s">
        <v>319</v>
      </c>
      <c r="C224" s="344"/>
      <c r="F224" s="311">
        <f t="shared" si="6"/>
        <v>638</v>
      </c>
      <c r="G224" s="311">
        <v>0</v>
      </c>
      <c r="H224" s="311">
        <v>638169</v>
      </c>
    </row>
    <row r="225" spans="1:8" ht="12.75">
      <c r="A225" s="346">
        <v>593000</v>
      </c>
      <c r="B225" s="345" t="s">
        <v>320</v>
      </c>
      <c r="C225" s="344"/>
      <c r="F225" s="311">
        <f t="shared" si="6"/>
        <v>5120</v>
      </c>
      <c r="G225" s="311">
        <v>0</v>
      </c>
      <c r="H225" s="311">
        <v>5119742</v>
      </c>
    </row>
    <row r="226" spans="1:8" ht="12.75">
      <c r="A226" s="346">
        <v>594000</v>
      </c>
      <c r="B226" s="345" t="s">
        <v>321</v>
      </c>
      <c r="C226" s="344"/>
      <c r="F226" s="311">
        <f t="shared" si="6"/>
        <v>684</v>
      </c>
      <c r="G226" s="311">
        <v>0</v>
      </c>
      <c r="H226" s="311">
        <v>684449</v>
      </c>
    </row>
    <row r="227" spans="1:8" ht="12.75">
      <c r="A227" s="346">
        <v>595000</v>
      </c>
      <c r="B227" s="345" t="s">
        <v>359</v>
      </c>
      <c r="C227" s="344"/>
      <c r="F227" s="311">
        <f t="shared" si="6"/>
        <v>2185</v>
      </c>
      <c r="G227" s="311">
        <v>0</v>
      </c>
      <c r="H227" s="311">
        <v>2184626</v>
      </c>
    </row>
    <row r="228" spans="1:8" ht="12.75">
      <c r="A228" s="346">
        <v>596000</v>
      </c>
      <c r="B228" s="345" t="s">
        <v>360</v>
      </c>
      <c r="C228" s="344"/>
      <c r="F228" s="311">
        <f t="shared" si="6"/>
        <v>422</v>
      </c>
      <c r="G228" s="311">
        <v>0</v>
      </c>
      <c r="H228" s="311">
        <v>422059</v>
      </c>
    </row>
    <row r="229" spans="1:8" ht="12.75">
      <c r="A229" s="346">
        <v>597000</v>
      </c>
      <c r="B229" s="345" t="s">
        <v>361</v>
      </c>
      <c r="C229" s="344"/>
      <c r="F229" s="311">
        <f t="shared" si="6"/>
        <v>82</v>
      </c>
      <c r="G229" s="311">
        <v>0</v>
      </c>
      <c r="H229" s="311">
        <v>81694</v>
      </c>
    </row>
    <row r="230" spans="1:8" ht="12.75">
      <c r="A230" s="346">
        <v>598000</v>
      </c>
      <c r="B230" s="345" t="s">
        <v>357</v>
      </c>
      <c r="C230" s="344"/>
      <c r="F230" s="311">
        <f t="shared" si="6"/>
        <v>411</v>
      </c>
      <c r="G230" s="311">
        <v>0</v>
      </c>
      <c r="H230" s="311">
        <v>410777</v>
      </c>
    </row>
    <row r="231" spans="1:8" ht="12.75">
      <c r="A231" s="351"/>
      <c r="B231" s="345" t="s">
        <v>362</v>
      </c>
      <c r="C231" s="344"/>
      <c r="F231" s="311">
        <f t="shared" si="6"/>
        <v>20360</v>
      </c>
      <c r="G231" s="311">
        <v>0</v>
      </c>
      <c r="H231" s="311">
        <v>20359889</v>
      </c>
    </row>
    <row r="232" spans="1:8" ht="12.75">
      <c r="A232" s="351"/>
      <c r="B232" s="345"/>
      <c r="C232" s="344"/>
      <c r="F232" s="311">
        <f t="shared" si="6"/>
        <v>0</v>
      </c>
      <c r="G232" s="311">
        <v>0</v>
      </c>
    </row>
    <row r="233" spans="1:8" ht="12.75">
      <c r="A233" s="343"/>
      <c r="B233" s="345" t="s">
        <v>363</v>
      </c>
      <c r="C233" s="344"/>
      <c r="F233" s="311">
        <f t="shared" si="6"/>
        <v>19294</v>
      </c>
      <c r="G233" s="311">
        <v>0</v>
      </c>
      <c r="H233" s="311">
        <v>19294271</v>
      </c>
    </row>
    <row r="234" spans="1:8" ht="12.75">
      <c r="A234" s="350"/>
      <c r="B234" s="348" t="s">
        <v>326</v>
      </c>
      <c r="C234" s="349"/>
      <c r="F234" s="311">
        <f t="shared" si="6"/>
        <v>26</v>
      </c>
      <c r="G234" s="311">
        <v>0</v>
      </c>
      <c r="H234" s="311">
        <v>26073</v>
      </c>
    </row>
    <row r="235" spans="1:8" ht="12.75">
      <c r="A235" s="343"/>
      <c r="B235" s="345" t="s">
        <v>364</v>
      </c>
      <c r="C235" s="344"/>
      <c r="F235" s="311">
        <f t="shared" si="6"/>
        <v>38896</v>
      </c>
      <c r="G235" s="311">
        <v>0</v>
      </c>
      <c r="H235" s="311">
        <v>38896019</v>
      </c>
    </row>
    <row r="236" spans="1:8" ht="12.75">
      <c r="A236" s="343"/>
      <c r="B236" s="345" t="s">
        <v>365</v>
      </c>
      <c r="C236" s="344"/>
      <c r="F236" s="311">
        <f t="shared" si="6"/>
        <v>58216</v>
      </c>
      <c r="G236" s="311">
        <v>0</v>
      </c>
      <c r="H236" s="311">
        <v>58216363</v>
      </c>
    </row>
    <row r="237" spans="1:8" ht="12.75">
      <c r="A237" s="343"/>
      <c r="B237" s="345"/>
      <c r="C237" s="344"/>
      <c r="F237" s="311">
        <f t="shared" si="6"/>
        <v>0</v>
      </c>
      <c r="G237" s="311">
        <v>0</v>
      </c>
    </row>
    <row r="238" spans="1:8" ht="12.75">
      <c r="A238" s="343"/>
      <c r="B238" s="345" t="s">
        <v>366</v>
      </c>
      <c r="C238" s="344"/>
      <c r="F238" s="311">
        <f t="shared" si="6"/>
        <v>78576</v>
      </c>
      <c r="G238" s="311">
        <v>0</v>
      </c>
      <c r="H238" s="311">
        <v>78576252</v>
      </c>
    </row>
    <row r="239" spans="1:8" ht="12.75">
      <c r="A239" s="343"/>
      <c r="B239" s="344"/>
      <c r="C239" s="344"/>
      <c r="F239" s="311">
        <f t="shared" si="6"/>
        <v>0</v>
      </c>
      <c r="G239" s="311">
        <v>0</v>
      </c>
    </row>
    <row r="240" spans="1:8" ht="12.75">
      <c r="A240" s="343"/>
      <c r="B240" s="345" t="s">
        <v>367</v>
      </c>
      <c r="C240" s="344"/>
      <c r="F240" s="311">
        <f t="shared" si="6"/>
        <v>0</v>
      </c>
      <c r="G240" s="311">
        <v>0</v>
      </c>
    </row>
    <row r="241" spans="1:8" ht="12.75">
      <c r="A241" s="346">
        <v>901000</v>
      </c>
      <c r="B241" s="345" t="s">
        <v>368</v>
      </c>
      <c r="C241" s="344"/>
      <c r="F241" s="311">
        <f t="shared" si="6"/>
        <v>416</v>
      </c>
      <c r="G241" s="311">
        <v>0</v>
      </c>
      <c r="H241" s="311">
        <v>415681</v>
      </c>
    </row>
    <row r="242" spans="1:8" ht="12.75">
      <c r="A242" s="346">
        <v>902000</v>
      </c>
      <c r="B242" s="345" t="s">
        <v>369</v>
      </c>
      <c r="C242" s="344"/>
      <c r="F242" s="311">
        <f t="shared" si="6"/>
        <v>2400</v>
      </c>
      <c r="G242" s="311">
        <v>0</v>
      </c>
      <c r="H242" s="311">
        <v>2399993</v>
      </c>
    </row>
    <row r="243" spans="1:8" ht="12.75">
      <c r="A243" s="346" t="s">
        <v>370</v>
      </c>
      <c r="B243" s="345" t="s">
        <v>371</v>
      </c>
      <c r="C243" s="344"/>
      <c r="F243" s="311">
        <f t="shared" si="6"/>
        <v>5326</v>
      </c>
      <c r="G243" s="311">
        <v>0</v>
      </c>
      <c r="H243" s="311">
        <v>5326266</v>
      </c>
    </row>
    <row r="244" spans="1:8" ht="12.75">
      <c r="A244" s="346">
        <v>904000</v>
      </c>
      <c r="B244" s="345" t="s">
        <v>372</v>
      </c>
      <c r="C244" s="344"/>
      <c r="F244" s="311">
        <f t="shared" si="6"/>
        <v>1728</v>
      </c>
      <c r="G244" s="311">
        <v>0</v>
      </c>
      <c r="H244" s="311">
        <v>1727514</v>
      </c>
    </row>
    <row r="245" spans="1:8" ht="12.75">
      <c r="A245" s="346">
        <v>905000</v>
      </c>
      <c r="B245" s="345" t="s">
        <v>373</v>
      </c>
      <c r="C245" s="344"/>
      <c r="F245" s="311">
        <f t="shared" si="6"/>
        <v>91</v>
      </c>
      <c r="G245" s="311">
        <v>0</v>
      </c>
      <c r="H245" s="311">
        <v>90951</v>
      </c>
    </row>
    <row r="246" spans="1:8" ht="12.75">
      <c r="A246" s="343"/>
      <c r="B246" s="345" t="s">
        <v>374</v>
      </c>
      <c r="C246" s="344"/>
      <c r="F246" s="311">
        <f t="shared" si="6"/>
        <v>9960</v>
      </c>
      <c r="G246" s="311">
        <v>0</v>
      </c>
      <c r="H246" s="311">
        <v>9960405</v>
      </c>
    </row>
    <row r="247" spans="1:8" ht="12.75">
      <c r="A247" s="343"/>
      <c r="B247" s="345"/>
      <c r="C247" s="344"/>
      <c r="F247" s="311">
        <f t="shared" si="6"/>
        <v>0</v>
      </c>
      <c r="G247" s="311">
        <v>0</v>
      </c>
    </row>
    <row r="248" spans="1:8" ht="12.75">
      <c r="A248" s="343"/>
      <c r="B248" s="345" t="s">
        <v>375</v>
      </c>
      <c r="C248" s="344"/>
      <c r="F248" s="311">
        <f t="shared" si="6"/>
        <v>0</v>
      </c>
      <c r="G248" s="311">
        <v>0</v>
      </c>
    </row>
    <row r="249" spans="1:8" ht="12.75">
      <c r="A249" s="343" t="s">
        <v>376</v>
      </c>
      <c r="B249" s="345" t="s">
        <v>377</v>
      </c>
      <c r="C249" s="344"/>
      <c r="F249" s="311">
        <f t="shared" si="6"/>
        <v>20602</v>
      </c>
      <c r="G249" s="311">
        <v>0</v>
      </c>
      <c r="H249" s="311">
        <v>20601600</v>
      </c>
    </row>
    <row r="250" spans="1:8" ht="12.75">
      <c r="A250" s="346">
        <v>909000</v>
      </c>
      <c r="B250" s="345" t="s">
        <v>378</v>
      </c>
      <c r="C250" s="344"/>
      <c r="F250" s="311">
        <f t="shared" si="6"/>
        <v>611</v>
      </c>
      <c r="G250" s="311">
        <v>0</v>
      </c>
      <c r="H250" s="311">
        <v>610524</v>
      </c>
    </row>
    <row r="251" spans="1:8" ht="12.75">
      <c r="A251" s="346">
        <v>910000</v>
      </c>
      <c r="B251" s="345" t="s">
        <v>379</v>
      </c>
      <c r="C251" s="344"/>
      <c r="F251" s="311">
        <f t="shared" si="6"/>
        <v>88</v>
      </c>
      <c r="G251" s="311">
        <v>0</v>
      </c>
      <c r="H251" s="311">
        <v>87817</v>
      </c>
    </row>
    <row r="252" spans="1:8" ht="12.75">
      <c r="A252" s="346"/>
      <c r="B252" s="345" t="s">
        <v>380</v>
      </c>
      <c r="C252" s="344"/>
      <c r="F252" s="311">
        <f t="shared" si="6"/>
        <v>21300</v>
      </c>
      <c r="G252" s="311">
        <v>0</v>
      </c>
      <c r="H252" s="311">
        <v>21299941</v>
      </c>
    </row>
    <row r="253" spans="1:8" ht="12.75">
      <c r="A253" s="346"/>
      <c r="B253" s="345"/>
      <c r="C253" s="344"/>
      <c r="F253" s="311">
        <f t="shared" si="6"/>
        <v>0</v>
      </c>
      <c r="G253" s="311">
        <v>0</v>
      </c>
    </row>
    <row r="254" spans="1:8" ht="12.75">
      <c r="A254" s="346"/>
      <c r="B254" s="345" t="s">
        <v>381</v>
      </c>
      <c r="C254" s="344"/>
      <c r="F254" s="311">
        <f t="shared" si="6"/>
        <v>0</v>
      </c>
      <c r="G254" s="311">
        <v>0</v>
      </c>
    </row>
    <row r="255" spans="1:8" ht="12.75">
      <c r="A255" s="346">
        <v>912000</v>
      </c>
      <c r="B255" s="345" t="s">
        <v>382</v>
      </c>
      <c r="C255" s="344"/>
      <c r="F255" s="311">
        <f t="shared" si="6"/>
        <v>8</v>
      </c>
      <c r="G255" s="311">
        <v>0</v>
      </c>
      <c r="H255" s="311">
        <v>7933</v>
      </c>
    </row>
    <row r="256" spans="1:8" ht="12.75">
      <c r="A256" s="346">
        <v>913000</v>
      </c>
      <c r="B256" s="345" t="s">
        <v>378</v>
      </c>
      <c r="C256" s="344"/>
      <c r="F256" s="311">
        <f t="shared" si="6"/>
        <v>0</v>
      </c>
      <c r="G256" s="311">
        <v>0</v>
      </c>
      <c r="H256" s="311">
        <v>154</v>
      </c>
    </row>
    <row r="257" spans="1:8" ht="12.75">
      <c r="A257" s="346">
        <v>916000</v>
      </c>
      <c r="B257" s="345" t="s">
        <v>383</v>
      </c>
      <c r="C257" s="344"/>
      <c r="F257" s="311">
        <f t="shared" si="6"/>
        <v>-4</v>
      </c>
      <c r="G257" s="311">
        <v>0</v>
      </c>
      <c r="H257" s="311">
        <v>-3891</v>
      </c>
    </row>
    <row r="258" spans="1:8" ht="12.75">
      <c r="A258" s="346"/>
      <c r="B258" s="345" t="s">
        <v>384</v>
      </c>
      <c r="C258" s="344"/>
      <c r="F258" s="311">
        <f t="shared" si="6"/>
        <v>4</v>
      </c>
      <c r="G258" s="311">
        <v>0</v>
      </c>
      <c r="H258" s="311">
        <v>4196</v>
      </c>
    </row>
    <row r="259" spans="1:8" ht="12.75">
      <c r="A259" s="346"/>
      <c r="B259" s="345"/>
      <c r="C259" s="344"/>
      <c r="F259" s="311">
        <f t="shared" si="6"/>
        <v>0</v>
      </c>
      <c r="G259" s="311">
        <v>0</v>
      </c>
    </row>
    <row r="260" spans="1:8" ht="12.75">
      <c r="A260" s="346"/>
      <c r="B260" s="345" t="s">
        <v>385</v>
      </c>
      <c r="C260" s="344"/>
      <c r="F260" s="311">
        <f t="shared" si="6"/>
        <v>0</v>
      </c>
      <c r="G260" s="311">
        <v>0</v>
      </c>
    </row>
    <row r="261" spans="1:8" ht="12.75">
      <c r="A261" s="346">
        <v>920000</v>
      </c>
      <c r="B261" s="345" t="s">
        <v>386</v>
      </c>
      <c r="C261" s="344"/>
      <c r="F261" s="311">
        <f t="shared" si="6"/>
        <v>16788</v>
      </c>
      <c r="G261" s="311">
        <v>0</v>
      </c>
      <c r="H261" s="311">
        <v>16787869</v>
      </c>
    </row>
    <row r="262" spans="1:8" ht="12.75">
      <c r="A262" s="346">
        <v>921000</v>
      </c>
      <c r="B262" s="345" t="s">
        <v>387</v>
      </c>
      <c r="C262" s="344"/>
      <c r="F262" s="311">
        <f t="shared" si="6"/>
        <v>2744</v>
      </c>
      <c r="G262" s="311">
        <v>0</v>
      </c>
      <c r="H262" s="311">
        <v>2744155</v>
      </c>
    </row>
    <row r="263" spans="1:8" ht="12.75">
      <c r="A263" s="346">
        <v>922000</v>
      </c>
      <c r="B263" s="345" t="s">
        <v>388</v>
      </c>
      <c r="C263" s="344"/>
      <c r="F263" s="311">
        <f t="shared" si="6"/>
        <v>-41</v>
      </c>
      <c r="G263" s="311">
        <v>0</v>
      </c>
      <c r="H263" s="311">
        <v>-41185</v>
      </c>
    </row>
    <row r="264" spans="1:8" ht="12.75">
      <c r="A264" s="346">
        <v>923000</v>
      </c>
      <c r="B264" s="345" t="s">
        <v>389</v>
      </c>
      <c r="C264" s="344"/>
      <c r="F264" s="311">
        <f t="shared" si="6"/>
        <v>9716</v>
      </c>
      <c r="G264" s="311">
        <v>0</v>
      </c>
      <c r="H264" s="311">
        <v>9716387</v>
      </c>
    </row>
    <row r="265" spans="1:8" ht="12.75">
      <c r="A265" s="346">
        <v>924000</v>
      </c>
      <c r="B265" s="345" t="s">
        <v>390</v>
      </c>
      <c r="C265" s="344"/>
      <c r="F265" s="311">
        <f t="shared" si="6"/>
        <v>820</v>
      </c>
      <c r="G265" s="311">
        <v>0</v>
      </c>
      <c r="H265" s="311">
        <v>819995</v>
      </c>
    </row>
    <row r="266" spans="1:8" ht="12.75">
      <c r="A266" s="343" t="s">
        <v>391</v>
      </c>
      <c r="B266" s="345" t="s">
        <v>392</v>
      </c>
      <c r="C266" s="344"/>
      <c r="F266" s="311">
        <f t="shared" si="6"/>
        <v>2949</v>
      </c>
      <c r="G266" s="311">
        <v>0</v>
      </c>
      <c r="H266" s="311">
        <v>2949340</v>
      </c>
    </row>
    <row r="267" spans="1:8" ht="12.75">
      <c r="A267" s="343" t="s">
        <v>393</v>
      </c>
      <c r="B267" s="345" t="s">
        <v>394</v>
      </c>
      <c r="C267" s="344"/>
      <c r="F267" s="311">
        <f t="shared" si="6"/>
        <v>867</v>
      </c>
      <c r="G267" s="311">
        <v>0</v>
      </c>
      <c r="H267" s="311">
        <v>866947</v>
      </c>
    </row>
    <row r="268" spans="1:8" ht="12.75">
      <c r="A268" s="346">
        <v>927000</v>
      </c>
      <c r="B268" s="345" t="s">
        <v>395</v>
      </c>
      <c r="C268" s="344"/>
      <c r="F268" s="311">
        <f t="shared" si="6"/>
        <v>0</v>
      </c>
      <c r="G268" s="311">
        <v>0</v>
      </c>
      <c r="H268" s="311">
        <v>0</v>
      </c>
    </row>
    <row r="269" spans="1:8" ht="12.75">
      <c r="A269" s="346">
        <v>928000</v>
      </c>
      <c r="B269" s="345" t="s">
        <v>396</v>
      </c>
      <c r="C269" s="344"/>
      <c r="F269" s="311">
        <f t="shared" si="6"/>
        <v>3618</v>
      </c>
      <c r="G269" s="311">
        <v>0</v>
      </c>
      <c r="H269" s="311">
        <v>3617539</v>
      </c>
    </row>
    <row r="270" spans="1:8" ht="12.75">
      <c r="A270" s="346">
        <v>930000</v>
      </c>
      <c r="B270" s="345" t="s">
        <v>397</v>
      </c>
      <c r="C270" s="344"/>
      <c r="F270" s="311">
        <f t="shared" si="6"/>
        <v>1828</v>
      </c>
      <c r="G270" s="311">
        <v>0</v>
      </c>
      <c r="H270" s="311">
        <v>1828276</v>
      </c>
    </row>
    <row r="271" spans="1:8" ht="12.75">
      <c r="A271" s="346">
        <v>931000</v>
      </c>
      <c r="B271" s="345" t="s">
        <v>398</v>
      </c>
      <c r="C271" s="344"/>
      <c r="F271" s="311">
        <f t="shared" si="6"/>
        <v>596</v>
      </c>
      <c r="G271" s="311">
        <v>0</v>
      </c>
      <c r="H271" s="311">
        <v>595858</v>
      </c>
    </row>
    <row r="272" spans="1:8" ht="12.75">
      <c r="A272" s="346">
        <v>935000</v>
      </c>
      <c r="B272" s="345" t="s">
        <v>399</v>
      </c>
      <c r="C272" s="344"/>
      <c r="F272" s="311">
        <f t="shared" si="6"/>
        <v>5161</v>
      </c>
      <c r="G272" s="311">
        <v>0</v>
      </c>
      <c r="H272" s="311">
        <v>5161065</v>
      </c>
    </row>
    <row r="273" spans="1:8" ht="12.75">
      <c r="A273" s="343"/>
      <c r="B273" s="345" t="s">
        <v>400</v>
      </c>
      <c r="C273" s="344"/>
      <c r="F273" s="311">
        <f t="shared" si="6"/>
        <v>45046</v>
      </c>
      <c r="G273" s="311">
        <v>0</v>
      </c>
      <c r="H273" s="311">
        <v>45046246</v>
      </c>
    </row>
    <row r="274" spans="1:8" ht="12.75">
      <c r="A274" s="343"/>
      <c r="B274" s="345"/>
      <c r="C274" s="344"/>
      <c r="F274" s="311">
        <f t="shared" si="6"/>
        <v>0</v>
      </c>
      <c r="G274" s="311">
        <v>0</v>
      </c>
    </row>
    <row r="275" spans="1:8" ht="12.75">
      <c r="A275" s="343"/>
      <c r="B275" s="345" t="s">
        <v>401</v>
      </c>
      <c r="C275" s="344"/>
      <c r="F275" s="311">
        <f t="shared" si="6"/>
        <v>7135</v>
      </c>
      <c r="G275" s="311">
        <v>0</v>
      </c>
      <c r="H275" s="311">
        <v>7135437</v>
      </c>
    </row>
    <row r="276" spans="1:8" ht="12.75">
      <c r="A276" s="343"/>
      <c r="B276" s="345" t="s">
        <v>402</v>
      </c>
      <c r="C276" s="344"/>
      <c r="F276" s="311">
        <f t="shared" si="6"/>
        <v>5</v>
      </c>
      <c r="G276" s="311">
        <v>0</v>
      </c>
      <c r="H276" s="311">
        <v>5006</v>
      </c>
    </row>
    <row r="277" spans="1:8" ht="12.75">
      <c r="A277" s="343"/>
      <c r="B277" s="345" t="s">
        <v>403</v>
      </c>
      <c r="C277" s="344"/>
      <c r="F277" s="311">
        <f t="shared" ref="F277:F340" si="7">ROUND(H277/1000,0)</f>
        <v>3744</v>
      </c>
      <c r="G277" s="311">
        <v>0</v>
      </c>
      <c r="H277" s="311">
        <v>3744421</v>
      </c>
    </row>
    <row r="278" spans="1:8" ht="12.75">
      <c r="A278" s="343"/>
      <c r="B278" s="345" t="s">
        <v>404</v>
      </c>
      <c r="C278" s="344"/>
      <c r="F278" s="311">
        <f t="shared" si="7"/>
        <v>21</v>
      </c>
      <c r="G278" s="311">
        <v>0</v>
      </c>
      <c r="H278" s="311">
        <v>21098</v>
      </c>
    </row>
    <row r="279" spans="1:8" ht="12.75">
      <c r="A279" s="343"/>
      <c r="B279" s="345" t="s">
        <v>405</v>
      </c>
      <c r="C279" s="344"/>
      <c r="F279" s="311">
        <f t="shared" si="7"/>
        <v>10906</v>
      </c>
      <c r="G279" s="311">
        <v>0</v>
      </c>
      <c r="H279" s="311">
        <v>10905962</v>
      </c>
    </row>
    <row r="280" spans="1:8" ht="12.75">
      <c r="A280" s="343"/>
      <c r="B280" s="345"/>
      <c r="C280" s="344"/>
      <c r="F280" s="311">
        <f t="shared" si="7"/>
        <v>0</v>
      </c>
      <c r="G280" s="311">
        <v>0</v>
      </c>
    </row>
    <row r="281" spans="1:8" ht="12.75">
      <c r="A281" s="346"/>
      <c r="B281" s="345" t="s">
        <v>406</v>
      </c>
      <c r="C281" s="344"/>
      <c r="F281" s="311">
        <f t="shared" si="7"/>
        <v>55952</v>
      </c>
      <c r="G281" s="311">
        <v>0</v>
      </c>
      <c r="H281" s="311">
        <v>55952208</v>
      </c>
    </row>
    <row r="282" spans="1:8" ht="12.75">
      <c r="A282" s="346"/>
      <c r="B282" s="345"/>
      <c r="C282" s="344"/>
      <c r="F282" s="311">
        <f t="shared" si="7"/>
        <v>0</v>
      </c>
      <c r="G282" s="311">
        <v>0</v>
      </c>
    </row>
    <row r="283" spans="1:8" ht="12.75">
      <c r="A283" s="346"/>
      <c r="B283" s="345" t="s">
        <v>407</v>
      </c>
      <c r="C283" s="344"/>
      <c r="F283" s="311">
        <f t="shared" si="7"/>
        <v>579521</v>
      </c>
      <c r="G283" s="311">
        <v>0</v>
      </c>
      <c r="H283" s="311">
        <v>579521129</v>
      </c>
    </row>
    <row r="284" spans="1:8" ht="12.75">
      <c r="A284" s="346"/>
      <c r="B284" s="345"/>
      <c r="C284" s="344"/>
      <c r="F284" s="311">
        <f t="shared" si="7"/>
        <v>0</v>
      </c>
      <c r="G284" s="311">
        <v>0</v>
      </c>
    </row>
    <row r="285" spans="1:8" ht="12.75">
      <c r="A285" s="346"/>
      <c r="B285" s="345" t="s">
        <v>408</v>
      </c>
      <c r="C285" s="344"/>
      <c r="F285" s="311">
        <f t="shared" si="7"/>
        <v>99602</v>
      </c>
      <c r="G285" s="311">
        <v>0</v>
      </c>
      <c r="H285" s="311">
        <v>99602347</v>
      </c>
    </row>
    <row r="286" spans="1:8" ht="12.75">
      <c r="A286" s="346"/>
      <c r="B286" s="345"/>
      <c r="C286" s="344"/>
      <c r="F286" s="311">
        <f t="shared" si="7"/>
        <v>0</v>
      </c>
      <c r="G286" s="311">
        <v>0</v>
      </c>
    </row>
    <row r="287" spans="1:8" ht="12.75">
      <c r="A287" s="346"/>
      <c r="B287" s="345" t="s">
        <v>409</v>
      </c>
      <c r="C287" s="344"/>
      <c r="F287" s="311">
        <f t="shared" si="7"/>
        <v>11899</v>
      </c>
      <c r="G287" s="311">
        <v>0</v>
      </c>
      <c r="H287" s="311">
        <v>11899415</v>
      </c>
    </row>
    <row r="288" spans="1:8" ht="12.75">
      <c r="A288" s="346"/>
      <c r="B288" s="345" t="s">
        <v>410</v>
      </c>
      <c r="C288" s="344"/>
      <c r="F288" s="311">
        <f t="shared" si="7"/>
        <v>11779</v>
      </c>
      <c r="G288" s="311">
        <v>0</v>
      </c>
      <c r="H288" s="311">
        <v>11779223</v>
      </c>
    </row>
    <row r="289" spans="1:8" ht="12.75">
      <c r="A289" s="346"/>
      <c r="B289" s="345" t="s">
        <v>411</v>
      </c>
      <c r="C289" s="349"/>
      <c r="F289" s="311">
        <f t="shared" si="7"/>
        <v>-99</v>
      </c>
      <c r="G289" s="311">
        <v>0</v>
      </c>
      <c r="H289" s="311">
        <v>-99340</v>
      </c>
    </row>
    <row r="290" spans="1:8" ht="12.75">
      <c r="A290" s="343"/>
      <c r="B290" s="345" t="s">
        <v>412</v>
      </c>
      <c r="C290" s="344"/>
      <c r="F290" s="311">
        <f t="shared" si="7"/>
        <v>76023</v>
      </c>
      <c r="G290" s="311">
        <v>0</v>
      </c>
      <c r="H290" s="311">
        <v>76023049</v>
      </c>
    </row>
    <row r="291" spans="1:8">
      <c r="F291" s="311">
        <f t="shared" si="7"/>
        <v>0</v>
      </c>
      <c r="G291" s="311">
        <v>0</v>
      </c>
    </row>
    <row r="292" spans="1:8" ht="12.75">
      <c r="A292" s="352"/>
      <c r="B292" s="345" t="s">
        <v>50</v>
      </c>
      <c r="F292" s="311">
        <f t="shared" si="7"/>
        <v>0</v>
      </c>
      <c r="G292" s="311">
        <v>0</v>
      </c>
    </row>
    <row r="293" spans="1:8" ht="12.75">
      <c r="A293" s="352"/>
      <c r="B293" s="345" t="s">
        <v>413</v>
      </c>
      <c r="F293" s="311">
        <f t="shared" si="7"/>
        <v>0</v>
      </c>
      <c r="G293" s="311">
        <v>0</v>
      </c>
    </row>
    <row r="294" spans="1:8" ht="12.75">
      <c r="A294" s="353" t="s">
        <v>414</v>
      </c>
      <c r="B294" s="348" t="s">
        <v>415</v>
      </c>
      <c r="F294" s="311">
        <f t="shared" si="7"/>
        <v>7600</v>
      </c>
      <c r="G294" s="311">
        <v>0</v>
      </c>
      <c r="H294" s="311">
        <v>7600460</v>
      </c>
    </row>
    <row r="295" spans="1:8" ht="12.75">
      <c r="A295" s="353">
        <v>182381</v>
      </c>
      <c r="B295" s="348" t="s">
        <v>416</v>
      </c>
      <c r="F295" s="311">
        <f t="shared" si="7"/>
        <v>25899</v>
      </c>
      <c r="G295" s="311">
        <v>0</v>
      </c>
      <c r="H295" s="311">
        <v>25898742</v>
      </c>
    </row>
    <row r="296" spans="1:8" ht="12.75">
      <c r="A296" s="354">
        <v>302000</v>
      </c>
      <c r="B296" s="345" t="s">
        <v>417</v>
      </c>
      <c r="F296" s="311">
        <f t="shared" si="7"/>
        <v>29320</v>
      </c>
      <c r="G296" s="311">
        <v>0</v>
      </c>
      <c r="H296" s="311">
        <v>29319772</v>
      </c>
    </row>
    <row r="297" spans="1:8" ht="12.75">
      <c r="A297" s="354">
        <v>303000</v>
      </c>
      <c r="B297" s="348" t="s">
        <v>418</v>
      </c>
      <c r="F297" s="311">
        <f t="shared" si="7"/>
        <v>1553</v>
      </c>
      <c r="G297" s="311">
        <v>0</v>
      </c>
      <c r="H297" s="311">
        <v>1553130</v>
      </c>
    </row>
    <row r="298" spans="1:8" ht="12.75">
      <c r="A298" s="354">
        <v>303100</v>
      </c>
      <c r="B298" s="345" t="s">
        <v>419</v>
      </c>
      <c r="F298" s="311">
        <f t="shared" si="7"/>
        <v>18312</v>
      </c>
      <c r="G298" s="311">
        <v>0</v>
      </c>
      <c r="H298" s="311">
        <v>18312113</v>
      </c>
    </row>
    <row r="299" spans="1:8" ht="12.75">
      <c r="A299" s="354">
        <v>303110</v>
      </c>
      <c r="B299" s="345" t="s">
        <v>420</v>
      </c>
      <c r="F299" s="311">
        <f t="shared" si="7"/>
        <v>1397</v>
      </c>
      <c r="G299" s="311">
        <v>0</v>
      </c>
      <c r="H299" s="311">
        <v>1397031</v>
      </c>
    </row>
    <row r="300" spans="1:8" ht="12.75">
      <c r="A300" s="355"/>
      <c r="B300" s="345" t="s">
        <v>421</v>
      </c>
      <c r="F300" s="311">
        <f t="shared" si="7"/>
        <v>84081</v>
      </c>
      <c r="G300" s="311">
        <v>0</v>
      </c>
      <c r="H300" s="311">
        <v>84081248</v>
      </c>
    </row>
    <row r="301" spans="1:8" ht="12.75">
      <c r="A301" s="352"/>
      <c r="B301" s="345"/>
      <c r="F301" s="311">
        <f t="shared" si="7"/>
        <v>0</v>
      </c>
      <c r="G301" s="311">
        <v>0</v>
      </c>
    </row>
    <row r="302" spans="1:8" ht="12.75">
      <c r="A302" s="352"/>
      <c r="B302" s="345" t="s">
        <v>422</v>
      </c>
      <c r="F302" s="311">
        <f t="shared" si="7"/>
        <v>0</v>
      </c>
      <c r="G302" s="311">
        <v>0</v>
      </c>
    </row>
    <row r="303" spans="1:8" ht="12.75">
      <c r="A303" s="354" t="s">
        <v>423</v>
      </c>
      <c r="B303" s="345" t="s">
        <v>424</v>
      </c>
      <c r="F303" s="311">
        <f t="shared" si="7"/>
        <v>1455</v>
      </c>
      <c r="G303" s="311">
        <v>0</v>
      </c>
      <c r="H303" s="311">
        <v>1455110</v>
      </c>
    </row>
    <row r="304" spans="1:8" ht="12.75">
      <c r="A304" s="354" t="s">
        <v>425</v>
      </c>
      <c r="B304" s="345" t="s">
        <v>426</v>
      </c>
      <c r="F304" s="311">
        <f t="shared" si="7"/>
        <v>81730</v>
      </c>
      <c r="G304" s="311">
        <v>0</v>
      </c>
      <c r="H304" s="311">
        <v>81730074</v>
      </c>
    </row>
    <row r="305" spans="1:8" ht="12.75">
      <c r="A305" s="354">
        <v>312000</v>
      </c>
      <c r="B305" s="345" t="s">
        <v>288</v>
      </c>
      <c r="F305" s="311">
        <f t="shared" si="7"/>
        <v>110373</v>
      </c>
      <c r="G305" s="311">
        <v>0</v>
      </c>
      <c r="H305" s="311">
        <v>110373056</v>
      </c>
    </row>
    <row r="306" spans="1:8" ht="12.75">
      <c r="A306" s="354">
        <v>313000</v>
      </c>
      <c r="B306" s="345" t="s">
        <v>427</v>
      </c>
      <c r="F306" s="311">
        <f t="shared" si="7"/>
        <v>4</v>
      </c>
      <c r="G306" s="311">
        <v>0</v>
      </c>
      <c r="H306" s="311">
        <v>3911</v>
      </c>
    </row>
    <row r="307" spans="1:8" ht="12.75">
      <c r="A307" s="354">
        <v>314000</v>
      </c>
      <c r="B307" s="345" t="s">
        <v>428</v>
      </c>
      <c r="F307" s="311">
        <f t="shared" si="7"/>
        <v>32091</v>
      </c>
      <c r="G307" s="311">
        <v>0</v>
      </c>
      <c r="H307" s="311">
        <v>32091386</v>
      </c>
    </row>
    <row r="308" spans="1:8" ht="12.75">
      <c r="A308" s="354">
        <v>315000</v>
      </c>
      <c r="B308" s="345" t="s">
        <v>429</v>
      </c>
      <c r="F308" s="311">
        <f t="shared" si="7"/>
        <v>17595</v>
      </c>
      <c r="G308" s="311">
        <v>0</v>
      </c>
      <c r="H308" s="311">
        <v>17595308</v>
      </c>
    </row>
    <row r="309" spans="1:8" ht="12.75">
      <c r="A309" s="354">
        <v>316000</v>
      </c>
      <c r="B309" s="345" t="s">
        <v>430</v>
      </c>
      <c r="F309" s="311">
        <f t="shared" si="7"/>
        <v>10230</v>
      </c>
      <c r="G309" s="311">
        <v>0</v>
      </c>
      <c r="H309" s="311">
        <v>10229782</v>
      </c>
    </row>
    <row r="310" spans="1:8" ht="12.75">
      <c r="A310" s="356"/>
      <c r="B310" s="345" t="s">
        <v>431</v>
      </c>
      <c r="F310" s="311">
        <f t="shared" si="7"/>
        <v>253479</v>
      </c>
      <c r="G310" s="311">
        <v>0</v>
      </c>
      <c r="H310" s="311">
        <v>253478627</v>
      </c>
    </row>
    <row r="311" spans="1:8" ht="12.75">
      <c r="A311" s="357"/>
      <c r="B311" s="345"/>
      <c r="F311" s="311">
        <f t="shared" si="7"/>
        <v>0</v>
      </c>
      <c r="G311" s="311">
        <v>0</v>
      </c>
    </row>
    <row r="312" spans="1:8" ht="12.75">
      <c r="A312" s="352"/>
      <c r="B312" s="345" t="s">
        <v>432</v>
      </c>
      <c r="F312" s="311">
        <f t="shared" si="7"/>
        <v>0</v>
      </c>
      <c r="G312" s="311">
        <v>0</v>
      </c>
    </row>
    <row r="313" spans="1:8" ht="12.75">
      <c r="A313" s="354" t="s">
        <v>433</v>
      </c>
      <c r="B313" s="345" t="s">
        <v>424</v>
      </c>
      <c r="F313" s="311">
        <f t="shared" si="7"/>
        <v>37150</v>
      </c>
      <c r="G313" s="311">
        <v>0</v>
      </c>
      <c r="H313" s="311">
        <v>37149857</v>
      </c>
    </row>
    <row r="314" spans="1:8" ht="12.75">
      <c r="A314" s="354" t="s">
        <v>434</v>
      </c>
      <c r="B314" s="345" t="s">
        <v>426</v>
      </c>
      <c r="F314" s="311">
        <f t="shared" si="7"/>
        <v>27880</v>
      </c>
      <c r="G314" s="311">
        <v>0</v>
      </c>
      <c r="H314" s="311">
        <v>27880191</v>
      </c>
    </row>
    <row r="315" spans="1:8" ht="12.75">
      <c r="A315" s="354" t="s">
        <v>435</v>
      </c>
      <c r="B315" s="345" t="s">
        <v>297</v>
      </c>
      <c r="F315" s="311">
        <f t="shared" si="7"/>
        <v>78477</v>
      </c>
      <c r="G315" s="311">
        <v>0</v>
      </c>
      <c r="H315" s="311">
        <v>78476502</v>
      </c>
    </row>
    <row r="316" spans="1:8" ht="12.75">
      <c r="A316" s="354">
        <v>333000</v>
      </c>
      <c r="B316" s="345" t="s">
        <v>436</v>
      </c>
      <c r="F316" s="311">
        <f t="shared" si="7"/>
        <v>100095</v>
      </c>
      <c r="G316" s="311">
        <v>0</v>
      </c>
      <c r="H316" s="311">
        <v>100094738</v>
      </c>
    </row>
    <row r="317" spans="1:8" ht="12.75">
      <c r="A317" s="354">
        <v>334000</v>
      </c>
      <c r="B317" s="345" t="s">
        <v>429</v>
      </c>
      <c r="F317" s="311">
        <f t="shared" si="7"/>
        <v>22086</v>
      </c>
      <c r="G317" s="311">
        <v>0</v>
      </c>
      <c r="H317" s="311">
        <v>22085743</v>
      </c>
    </row>
    <row r="318" spans="1:8" ht="12.75">
      <c r="A318" s="354" t="s">
        <v>437</v>
      </c>
      <c r="B318" s="345" t="s">
        <v>430</v>
      </c>
      <c r="F318" s="311">
        <f t="shared" si="7"/>
        <v>4919</v>
      </c>
      <c r="G318" s="311">
        <v>0</v>
      </c>
      <c r="H318" s="311">
        <v>4919287</v>
      </c>
    </row>
    <row r="319" spans="1:8" ht="12.75">
      <c r="A319" s="354">
        <v>336000</v>
      </c>
      <c r="B319" s="345" t="s">
        <v>438</v>
      </c>
      <c r="F319" s="311">
        <f t="shared" si="7"/>
        <v>1305</v>
      </c>
      <c r="G319" s="311">
        <v>0</v>
      </c>
      <c r="H319" s="311">
        <v>1304515</v>
      </c>
    </row>
    <row r="320" spans="1:8" ht="12.75">
      <c r="A320" s="356"/>
      <c r="B320" s="345" t="s">
        <v>439</v>
      </c>
      <c r="F320" s="311">
        <f t="shared" si="7"/>
        <v>271911</v>
      </c>
      <c r="G320" s="311">
        <v>0</v>
      </c>
      <c r="H320" s="311">
        <v>271910833</v>
      </c>
    </row>
    <row r="321" spans="1:8" ht="12.75">
      <c r="A321" s="357"/>
      <c r="B321" s="345"/>
      <c r="F321" s="311">
        <f t="shared" si="7"/>
        <v>0</v>
      </c>
      <c r="G321" s="311">
        <v>0</v>
      </c>
    </row>
    <row r="322" spans="1:8" ht="12.75">
      <c r="A322" s="352"/>
      <c r="B322" s="345" t="s">
        <v>440</v>
      </c>
      <c r="F322" s="311">
        <f t="shared" si="7"/>
        <v>0</v>
      </c>
      <c r="G322" s="311">
        <v>0</v>
      </c>
    </row>
    <row r="323" spans="1:8" ht="12.75">
      <c r="A323" s="354">
        <v>340200</v>
      </c>
      <c r="B323" s="345" t="s">
        <v>424</v>
      </c>
      <c r="F323" s="311">
        <f t="shared" si="7"/>
        <v>591</v>
      </c>
      <c r="G323" s="311">
        <v>0</v>
      </c>
      <c r="H323" s="311">
        <v>590531</v>
      </c>
    </row>
    <row r="324" spans="1:8" ht="12.75">
      <c r="A324" s="354">
        <v>341000</v>
      </c>
      <c r="B324" s="345" t="s">
        <v>426</v>
      </c>
      <c r="F324" s="311">
        <f t="shared" si="7"/>
        <v>10632</v>
      </c>
      <c r="G324" s="311">
        <v>0</v>
      </c>
      <c r="H324" s="311">
        <v>10632087</v>
      </c>
    </row>
    <row r="325" spans="1:8" ht="12.75">
      <c r="A325" s="354">
        <v>342000</v>
      </c>
      <c r="B325" s="345" t="s">
        <v>441</v>
      </c>
      <c r="F325" s="311">
        <f t="shared" si="7"/>
        <v>13802</v>
      </c>
      <c r="G325" s="311">
        <v>0</v>
      </c>
      <c r="H325" s="311">
        <v>13801909</v>
      </c>
    </row>
    <row r="326" spans="1:8" ht="12.75">
      <c r="A326" s="354">
        <v>343000</v>
      </c>
      <c r="B326" s="345" t="s">
        <v>442</v>
      </c>
      <c r="F326" s="311">
        <f t="shared" si="7"/>
        <v>14272</v>
      </c>
      <c r="G326" s="311">
        <v>0</v>
      </c>
      <c r="H326" s="311">
        <v>14272412</v>
      </c>
    </row>
    <row r="327" spans="1:8" ht="12.75">
      <c r="A327" s="354">
        <v>344000</v>
      </c>
      <c r="B327" s="345" t="s">
        <v>427</v>
      </c>
      <c r="F327" s="311">
        <f t="shared" si="7"/>
        <v>130041</v>
      </c>
      <c r="G327" s="311">
        <v>0</v>
      </c>
      <c r="H327" s="311">
        <v>130040935</v>
      </c>
    </row>
    <row r="328" spans="1:8" ht="12.75">
      <c r="A328" s="354">
        <v>345000</v>
      </c>
      <c r="B328" s="345" t="s">
        <v>429</v>
      </c>
      <c r="F328" s="311">
        <f t="shared" si="7"/>
        <v>11114</v>
      </c>
      <c r="G328" s="311">
        <v>0</v>
      </c>
      <c r="H328" s="311">
        <v>11113985</v>
      </c>
    </row>
    <row r="329" spans="1:8" ht="12.75">
      <c r="A329" s="354">
        <v>346000</v>
      </c>
      <c r="B329" s="345" t="s">
        <v>430</v>
      </c>
      <c r="F329" s="311">
        <f t="shared" si="7"/>
        <v>1053</v>
      </c>
      <c r="G329" s="311">
        <v>0</v>
      </c>
      <c r="H329" s="311">
        <v>1052888</v>
      </c>
    </row>
    <row r="330" spans="1:8" ht="12.75">
      <c r="A330" s="356"/>
      <c r="B330" s="345" t="s">
        <v>443</v>
      </c>
      <c r="F330" s="311">
        <f t="shared" si="7"/>
        <v>181505</v>
      </c>
      <c r="G330" s="311">
        <v>0</v>
      </c>
      <c r="H330" s="311">
        <v>181504747</v>
      </c>
    </row>
    <row r="331" spans="1:8" ht="12.75">
      <c r="A331" s="354"/>
      <c r="B331" s="345" t="s">
        <v>444</v>
      </c>
      <c r="F331" s="311">
        <f t="shared" si="7"/>
        <v>706894</v>
      </c>
      <c r="G331" s="311">
        <v>0</v>
      </c>
      <c r="H331" s="311">
        <v>706894207</v>
      </c>
    </row>
    <row r="332" spans="1:8" ht="12.75">
      <c r="A332" s="354"/>
      <c r="B332" s="345"/>
      <c r="F332" s="311">
        <f t="shared" si="7"/>
        <v>0</v>
      </c>
      <c r="G332" s="311">
        <v>0</v>
      </c>
    </row>
    <row r="333" spans="1:8" ht="12.75">
      <c r="A333" s="358"/>
      <c r="B333" s="345" t="s">
        <v>445</v>
      </c>
      <c r="F333" s="311">
        <f t="shared" si="7"/>
        <v>0</v>
      </c>
      <c r="G333" s="311">
        <v>0</v>
      </c>
    </row>
    <row r="334" spans="1:8" ht="12.75">
      <c r="A334" s="354" t="s">
        <v>446</v>
      </c>
      <c r="B334" s="345" t="s">
        <v>424</v>
      </c>
      <c r="F334" s="311">
        <f t="shared" si="7"/>
        <v>12498</v>
      </c>
      <c r="G334" s="311">
        <v>0</v>
      </c>
      <c r="H334" s="311">
        <v>12497985</v>
      </c>
    </row>
    <row r="335" spans="1:8" ht="12.75">
      <c r="A335" s="354" t="s">
        <v>447</v>
      </c>
      <c r="B335" s="345" t="s">
        <v>426</v>
      </c>
      <c r="F335" s="311">
        <f t="shared" si="7"/>
        <v>10852</v>
      </c>
      <c r="G335" s="311">
        <v>0</v>
      </c>
      <c r="H335" s="311">
        <v>10852402</v>
      </c>
    </row>
    <row r="336" spans="1:8" ht="12.75">
      <c r="A336" s="354">
        <v>353000</v>
      </c>
      <c r="B336" s="345" t="s">
        <v>319</v>
      </c>
      <c r="F336" s="311">
        <f t="shared" si="7"/>
        <v>128201</v>
      </c>
      <c r="G336" s="311">
        <v>0</v>
      </c>
      <c r="H336" s="311">
        <v>128201430</v>
      </c>
    </row>
    <row r="337" spans="1:8" ht="12.75">
      <c r="A337" s="354">
        <v>354000</v>
      </c>
      <c r="B337" s="345" t="s">
        <v>448</v>
      </c>
      <c r="F337" s="311">
        <f t="shared" si="7"/>
        <v>11170</v>
      </c>
      <c r="G337" s="311">
        <v>0</v>
      </c>
      <c r="H337" s="311">
        <v>11169623</v>
      </c>
    </row>
    <row r="338" spans="1:8" ht="12.75">
      <c r="A338" s="354">
        <v>355000</v>
      </c>
      <c r="B338" s="345" t="s">
        <v>449</v>
      </c>
      <c r="F338" s="311">
        <f t="shared" si="7"/>
        <v>89548</v>
      </c>
      <c r="G338" s="311">
        <v>0</v>
      </c>
      <c r="H338" s="311">
        <v>89547806</v>
      </c>
    </row>
    <row r="339" spans="1:8" ht="12.75">
      <c r="A339" s="354">
        <v>356000</v>
      </c>
      <c r="B339" s="345" t="s">
        <v>450</v>
      </c>
      <c r="F339" s="311">
        <f t="shared" si="7"/>
        <v>71301</v>
      </c>
      <c r="G339" s="311">
        <v>0</v>
      </c>
      <c r="H339" s="311">
        <v>71301050</v>
      </c>
    </row>
    <row r="340" spans="1:8" ht="12.75">
      <c r="A340" s="354">
        <v>357000</v>
      </c>
      <c r="B340" s="345" t="s">
        <v>451</v>
      </c>
      <c r="F340" s="311">
        <f t="shared" si="7"/>
        <v>1700</v>
      </c>
      <c r="G340" s="311">
        <v>0</v>
      </c>
      <c r="H340" s="311">
        <v>1699820</v>
      </c>
    </row>
    <row r="341" spans="1:8" ht="12.75">
      <c r="A341" s="354">
        <v>358000</v>
      </c>
      <c r="B341" s="345" t="s">
        <v>452</v>
      </c>
      <c r="F341" s="311">
        <f t="shared" ref="F341:F404" si="8">ROUND(H341/1000,0)</f>
        <v>1520</v>
      </c>
      <c r="G341" s="311">
        <v>0</v>
      </c>
      <c r="H341" s="311">
        <v>1520139</v>
      </c>
    </row>
    <row r="342" spans="1:8" ht="12.75">
      <c r="A342" s="354">
        <v>359000</v>
      </c>
      <c r="B342" s="345" t="s">
        <v>453</v>
      </c>
      <c r="F342" s="311">
        <f t="shared" si="8"/>
        <v>1221</v>
      </c>
      <c r="G342" s="311">
        <v>0</v>
      </c>
      <c r="H342" s="311">
        <v>1221453</v>
      </c>
    </row>
    <row r="343" spans="1:8" ht="12.75">
      <c r="A343" s="356"/>
      <c r="B343" s="345" t="s">
        <v>454</v>
      </c>
      <c r="F343" s="311">
        <f t="shared" si="8"/>
        <v>328012</v>
      </c>
      <c r="G343" s="311">
        <v>0</v>
      </c>
      <c r="H343" s="311">
        <v>328011708</v>
      </c>
    </row>
    <row r="344" spans="1:8" ht="12.75">
      <c r="A344" s="357"/>
      <c r="B344" s="345"/>
      <c r="F344" s="311">
        <f t="shared" si="8"/>
        <v>0</v>
      </c>
      <c r="G344" s="311">
        <v>0</v>
      </c>
    </row>
    <row r="345" spans="1:8" ht="12.75">
      <c r="A345" s="357"/>
      <c r="B345" s="345" t="s">
        <v>455</v>
      </c>
      <c r="F345" s="311">
        <f t="shared" si="8"/>
        <v>0</v>
      </c>
      <c r="G345" s="311">
        <v>0</v>
      </c>
    </row>
    <row r="346" spans="1:8" ht="12.75">
      <c r="A346" s="354">
        <v>360200</v>
      </c>
      <c r="B346" s="345" t="s">
        <v>424</v>
      </c>
      <c r="F346" s="311">
        <f t="shared" si="8"/>
        <v>3341</v>
      </c>
      <c r="G346" s="311">
        <v>0</v>
      </c>
      <c r="H346" s="311">
        <v>3340938</v>
      </c>
    </row>
    <row r="347" spans="1:8" ht="12.75">
      <c r="A347" s="353">
        <v>360400</v>
      </c>
      <c r="B347" s="348" t="s">
        <v>456</v>
      </c>
      <c r="F347" s="311">
        <f t="shared" si="8"/>
        <v>109</v>
      </c>
      <c r="G347" s="311">
        <v>0</v>
      </c>
      <c r="H347" s="311">
        <v>109403</v>
      </c>
    </row>
    <row r="348" spans="1:8" ht="12.75">
      <c r="A348" s="354">
        <v>361000</v>
      </c>
      <c r="B348" s="345" t="s">
        <v>426</v>
      </c>
      <c r="F348" s="311">
        <f t="shared" si="8"/>
        <v>10571</v>
      </c>
      <c r="G348" s="311">
        <v>0</v>
      </c>
      <c r="H348" s="311">
        <v>10571317</v>
      </c>
    </row>
    <row r="349" spans="1:8" ht="12.75">
      <c r="A349" s="354">
        <v>362000</v>
      </c>
      <c r="B349" s="344" t="s">
        <v>319</v>
      </c>
      <c r="F349" s="311">
        <f t="shared" si="8"/>
        <v>65126</v>
      </c>
      <c r="G349" s="311">
        <v>0</v>
      </c>
      <c r="H349" s="311">
        <v>65126051</v>
      </c>
    </row>
    <row r="350" spans="1:8" ht="12.75">
      <c r="A350" s="354">
        <v>364000</v>
      </c>
      <c r="B350" s="345" t="s">
        <v>457</v>
      </c>
      <c r="F350" s="311">
        <f t="shared" si="8"/>
        <v>143857</v>
      </c>
      <c r="G350" s="311">
        <v>0</v>
      </c>
      <c r="H350" s="311">
        <v>143857388</v>
      </c>
    </row>
    <row r="351" spans="1:8" ht="12.75">
      <c r="A351" s="354">
        <v>365000</v>
      </c>
      <c r="B351" s="345" t="s">
        <v>450</v>
      </c>
      <c r="F351" s="311">
        <f t="shared" si="8"/>
        <v>94226</v>
      </c>
      <c r="G351" s="311">
        <v>0</v>
      </c>
      <c r="H351" s="311">
        <v>94225801</v>
      </c>
    </row>
    <row r="352" spans="1:8" ht="12.75">
      <c r="A352" s="354">
        <v>366000</v>
      </c>
      <c r="B352" s="345" t="s">
        <v>451</v>
      </c>
      <c r="F352" s="311">
        <f t="shared" si="8"/>
        <v>49244</v>
      </c>
      <c r="G352" s="311">
        <v>0</v>
      </c>
      <c r="H352" s="311">
        <v>49243852</v>
      </c>
    </row>
    <row r="353" spans="1:8" ht="12.75">
      <c r="A353" s="354">
        <v>367000</v>
      </c>
      <c r="B353" s="345" t="s">
        <v>452</v>
      </c>
      <c r="F353" s="311">
        <f t="shared" si="8"/>
        <v>85236</v>
      </c>
      <c r="G353" s="311">
        <v>0</v>
      </c>
      <c r="H353" s="311">
        <v>85235830</v>
      </c>
    </row>
    <row r="354" spans="1:8" ht="12.75">
      <c r="A354" s="354">
        <v>368000</v>
      </c>
      <c r="B354" s="345" t="s">
        <v>359</v>
      </c>
      <c r="F354" s="311">
        <f t="shared" si="8"/>
        <v>121563</v>
      </c>
      <c r="G354" s="311">
        <v>0</v>
      </c>
      <c r="H354" s="311">
        <v>121562793</v>
      </c>
    </row>
    <row r="355" spans="1:8" ht="12.75">
      <c r="A355" s="354" t="s">
        <v>458</v>
      </c>
      <c r="B355" s="345" t="s">
        <v>459</v>
      </c>
      <c r="F355" s="311">
        <f t="shared" si="8"/>
        <v>76191</v>
      </c>
      <c r="G355" s="311">
        <v>0</v>
      </c>
      <c r="H355" s="311">
        <v>76191151</v>
      </c>
    </row>
    <row r="356" spans="1:8" ht="12.75">
      <c r="A356" s="353">
        <v>370000</v>
      </c>
      <c r="B356" s="348" t="s">
        <v>361</v>
      </c>
      <c r="F356" s="311">
        <f t="shared" si="8"/>
        <v>26286</v>
      </c>
      <c r="G356" s="311">
        <v>0</v>
      </c>
      <c r="H356" s="311">
        <v>26285584</v>
      </c>
    </row>
    <row r="357" spans="1:8" ht="12.75">
      <c r="A357" s="354" t="s">
        <v>460</v>
      </c>
      <c r="B357" s="345" t="s">
        <v>461</v>
      </c>
      <c r="F357" s="311">
        <f t="shared" si="8"/>
        <v>20332</v>
      </c>
      <c r="G357" s="311">
        <v>0</v>
      </c>
      <c r="H357" s="311">
        <v>20332048</v>
      </c>
    </row>
    <row r="358" spans="1:8" ht="12.75">
      <c r="A358" s="356"/>
      <c r="B358" s="345" t="s">
        <v>462</v>
      </c>
      <c r="F358" s="311">
        <f t="shared" si="8"/>
        <v>696082</v>
      </c>
      <c r="G358" s="311">
        <v>0</v>
      </c>
      <c r="H358" s="311">
        <v>696082156</v>
      </c>
    </row>
    <row r="359" spans="1:8" ht="12.75">
      <c r="A359" s="357"/>
      <c r="B359" s="345"/>
      <c r="F359" s="311">
        <f t="shared" si="8"/>
        <v>0</v>
      </c>
      <c r="G359" s="311">
        <v>0</v>
      </c>
    </row>
    <row r="360" spans="1:8" ht="12.75">
      <c r="A360" s="357"/>
      <c r="B360" s="345" t="s">
        <v>463</v>
      </c>
      <c r="F360" s="311">
        <f t="shared" si="8"/>
        <v>0</v>
      </c>
      <c r="G360" s="311">
        <v>0</v>
      </c>
    </row>
    <row r="361" spans="1:8" ht="12.75">
      <c r="A361" s="354" t="s">
        <v>464</v>
      </c>
      <c r="B361" s="345" t="s">
        <v>424</v>
      </c>
      <c r="F361" s="311">
        <f t="shared" si="8"/>
        <v>2477</v>
      </c>
      <c r="G361" s="311">
        <v>0</v>
      </c>
      <c r="H361" s="311">
        <v>2476898</v>
      </c>
    </row>
    <row r="362" spans="1:8" ht="12.75">
      <c r="A362" s="354" t="s">
        <v>465</v>
      </c>
      <c r="B362" s="345" t="s">
        <v>426</v>
      </c>
      <c r="F362" s="311">
        <f t="shared" si="8"/>
        <v>33123</v>
      </c>
      <c r="G362" s="311">
        <v>0</v>
      </c>
      <c r="H362" s="311">
        <v>33123008</v>
      </c>
    </row>
    <row r="363" spans="1:8" ht="12.75">
      <c r="A363" s="354" t="s">
        <v>466</v>
      </c>
      <c r="B363" s="345" t="s">
        <v>467</v>
      </c>
      <c r="F363" s="311">
        <f t="shared" si="8"/>
        <v>21827</v>
      </c>
      <c r="G363" s="311">
        <v>0</v>
      </c>
      <c r="H363" s="311">
        <v>21826575</v>
      </c>
    </row>
    <row r="364" spans="1:8" ht="12.75">
      <c r="A364" s="354" t="s">
        <v>468</v>
      </c>
      <c r="B364" s="345" t="s">
        <v>469</v>
      </c>
      <c r="F364" s="311">
        <f t="shared" si="8"/>
        <v>13320</v>
      </c>
      <c r="G364" s="311">
        <v>0</v>
      </c>
      <c r="H364" s="311">
        <v>13319646</v>
      </c>
    </row>
    <row r="365" spans="1:8" ht="12.75">
      <c r="A365" s="354">
        <v>393000</v>
      </c>
      <c r="B365" s="345" t="s">
        <v>470</v>
      </c>
      <c r="F365" s="311">
        <f t="shared" si="8"/>
        <v>1047</v>
      </c>
      <c r="G365" s="311">
        <v>0</v>
      </c>
      <c r="H365" s="311">
        <v>1047145</v>
      </c>
    </row>
    <row r="366" spans="1:8" ht="12.75">
      <c r="A366" s="354">
        <v>394000</v>
      </c>
      <c r="B366" s="345" t="s">
        <v>471</v>
      </c>
      <c r="F366" s="311">
        <f t="shared" si="8"/>
        <v>5026</v>
      </c>
      <c r="G366" s="311">
        <v>0</v>
      </c>
      <c r="H366" s="311">
        <v>5025782</v>
      </c>
    </row>
    <row r="367" spans="1:8" ht="12.75">
      <c r="A367" s="354">
        <v>395000</v>
      </c>
      <c r="B367" s="345" t="s">
        <v>472</v>
      </c>
      <c r="F367" s="311">
        <f t="shared" si="8"/>
        <v>1033</v>
      </c>
      <c r="G367" s="311">
        <v>0</v>
      </c>
      <c r="H367" s="311">
        <v>1033177</v>
      </c>
    </row>
    <row r="368" spans="1:8" ht="12.75">
      <c r="A368" s="354" t="s">
        <v>473</v>
      </c>
      <c r="B368" s="345" t="s">
        <v>474</v>
      </c>
      <c r="F368" s="311">
        <f t="shared" si="8"/>
        <v>24302</v>
      </c>
      <c r="G368" s="311">
        <v>0</v>
      </c>
      <c r="H368" s="311">
        <v>24301853</v>
      </c>
    </row>
    <row r="369" spans="1:8" ht="12.75">
      <c r="A369" s="354" t="s">
        <v>475</v>
      </c>
      <c r="B369" s="345" t="s">
        <v>476</v>
      </c>
      <c r="F369" s="311">
        <f t="shared" si="8"/>
        <v>37857</v>
      </c>
      <c r="G369" s="311">
        <v>0</v>
      </c>
      <c r="H369" s="311">
        <v>37856790</v>
      </c>
    </row>
    <row r="370" spans="1:8" ht="12.75">
      <c r="A370" s="354">
        <v>398000</v>
      </c>
      <c r="B370" s="345" t="s">
        <v>477</v>
      </c>
      <c r="F370" s="311">
        <f t="shared" si="8"/>
        <v>207</v>
      </c>
      <c r="G370" s="311">
        <v>0</v>
      </c>
      <c r="H370" s="311">
        <v>207038</v>
      </c>
    </row>
    <row r="371" spans="1:8" ht="12.75">
      <c r="A371" s="356"/>
      <c r="B371" s="345" t="s">
        <v>478</v>
      </c>
      <c r="F371" s="311">
        <f t="shared" si="8"/>
        <v>140218</v>
      </c>
      <c r="G371" s="311">
        <v>0</v>
      </c>
      <c r="H371" s="311">
        <v>140217912</v>
      </c>
    </row>
    <row r="372" spans="1:8" ht="12.75">
      <c r="A372" s="357"/>
      <c r="B372" s="345"/>
      <c r="F372" s="311">
        <f t="shared" si="8"/>
        <v>0</v>
      </c>
      <c r="G372" s="311">
        <v>0</v>
      </c>
    </row>
    <row r="373" spans="1:8" ht="12.75">
      <c r="A373" s="357"/>
      <c r="B373" s="345" t="s">
        <v>479</v>
      </c>
      <c r="F373" s="311">
        <f t="shared" si="8"/>
        <v>1955287</v>
      </c>
      <c r="G373" s="311">
        <v>0</v>
      </c>
      <c r="H373" s="311">
        <v>1955287231</v>
      </c>
    </row>
    <row r="374" spans="1:8" ht="12.75">
      <c r="A374" s="357"/>
      <c r="B374" s="345"/>
      <c r="F374" s="311">
        <f t="shared" si="8"/>
        <v>0</v>
      </c>
      <c r="G374" s="311">
        <v>0</v>
      </c>
    </row>
    <row r="375" spans="1:8" ht="12.75">
      <c r="A375" s="357"/>
      <c r="B375" s="345"/>
      <c r="F375" s="311">
        <f t="shared" si="8"/>
        <v>0</v>
      </c>
      <c r="G375" s="311">
        <v>0</v>
      </c>
    </row>
    <row r="376" spans="1:8" ht="12.75">
      <c r="A376" s="357"/>
      <c r="B376" s="345" t="s">
        <v>51</v>
      </c>
      <c r="F376" s="311">
        <f t="shared" si="8"/>
        <v>0</v>
      </c>
      <c r="G376" s="311">
        <v>0</v>
      </c>
    </row>
    <row r="377" spans="1:8" ht="12.75">
      <c r="A377" s="357"/>
      <c r="B377" s="345" t="s">
        <v>480</v>
      </c>
      <c r="F377" s="311">
        <f t="shared" si="8"/>
        <v>173832</v>
      </c>
      <c r="G377" s="311">
        <v>0</v>
      </c>
      <c r="H377" s="311">
        <v>173831746</v>
      </c>
    </row>
    <row r="378" spans="1:8" ht="12.75">
      <c r="A378" s="354"/>
      <c r="B378" s="345" t="s">
        <v>481</v>
      </c>
      <c r="F378" s="311">
        <f t="shared" si="8"/>
        <v>68329</v>
      </c>
      <c r="G378" s="311">
        <v>0</v>
      </c>
      <c r="H378" s="311">
        <v>68328761</v>
      </c>
    </row>
    <row r="379" spans="1:8" ht="12.75">
      <c r="A379" s="357"/>
      <c r="B379" s="345" t="s">
        <v>482</v>
      </c>
      <c r="F379" s="311">
        <f t="shared" si="8"/>
        <v>44139</v>
      </c>
      <c r="G379" s="311">
        <v>0</v>
      </c>
      <c r="H379" s="311">
        <v>44139241</v>
      </c>
    </row>
    <row r="380" spans="1:8" ht="12.75">
      <c r="A380" s="357"/>
      <c r="B380" s="345" t="s">
        <v>483</v>
      </c>
      <c r="F380" s="311">
        <f t="shared" si="8"/>
        <v>111144</v>
      </c>
      <c r="G380" s="311">
        <v>0</v>
      </c>
      <c r="H380" s="311">
        <v>111143875</v>
      </c>
    </row>
    <row r="381" spans="1:8" ht="12.75">
      <c r="A381" s="357"/>
      <c r="B381" s="345" t="s">
        <v>484</v>
      </c>
      <c r="F381" s="311">
        <f t="shared" si="8"/>
        <v>209101</v>
      </c>
      <c r="G381" s="311">
        <v>0</v>
      </c>
      <c r="H381" s="311">
        <v>209101267</v>
      </c>
    </row>
    <row r="382" spans="1:8" ht="12.75">
      <c r="A382" s="357"/>
      <c r="B382" s="345" t="s">
        <v>485</v>
      </c>
      <c r="F382" s="311">
        <f t="shared" si="8"/>
        <v>47187</v>
      </c>
      <c r="G382" s="311">
        <v>0</v>
      </c>
      <c r="H382" s="311">
        <v>47187448</v>
      </c>
    </row>
    <row r="383" spans="1:8" ht="12.75">
      <c r="A383" s="352"/>
      <c r="B383" s="345" t="s">
        <v>486</v>
      </c>
      <c r="F383" s="311">
        <f t="shared" si="8"/>
        <v>653732</v>
      </c>
      <c r="G383" s="311">
        <v>0</v>
      </c>
      <c r="H383" s="311">
        <v>653732338</v>
      </c>
    </row>
    <row r="384" spans="1:8" ht="12.75">
      <c r="A384" s="352"/>
      <c r="B384" s="345"/>
      <c r="F384" s="311">
        <f t="shared" si="8"/>
        <v>0</v>
      </c>
      <c r="G384" s="311">
        <v>0</v>
      </c>
    </row>
    <row r="385" spans="1:8" ht="12.75">
      <c r="A385" s="352"/>
      <c r="B385" s="345" t="s">
        <v>90</v>
      </c>
      <c r="F385" s="311">
        <f t="shared" si="8"/>
        <v>0</v>
      </c>
      <c r="G385" s="311">
        <v>0</v>
      </c>
    </row>
    <row r="386" spans="1:8" ht="12.75">
      <c r="A386" s="357"/>
      <c r="B386" s="345" t="s">
        <v>487</v>
      </c>
      <c r="F386" s="311">
        <f t="shared" si="8"/>
        <v>3689</v>
      </c>
      <c r="G386" s="311">
        <v>0</v>
      </c>
      <c r="H386" s="311">
        <v>3689440</v>
      </c>
    </row>
    <row r="387" spans="1:8" ht="12.75">
      <c r="A387" s="357"/>
      <c r="B387" s="345" t="s">
        <v>488</v>
      </c>
      <c r="F387" s="311">
        <f t="shared" si="8"/>
        <v>55</v>
      </c>
      <c r="G387" s="311">
        <v>0</v>
      </c>
      <c r="H387" s="311">
        <v>55091</v>
      </c>
    </row>
    <row r="388" spans="1:8" ht="12.75">
      <c r="A388" s="357"/>
      <c r="B388" s="345" t="s">
        <v>489</v>
      </c>
      <c r="F388" s="311">
        <f t="shared" si="8"/>
        <v>17</v>
      </c>
      <c r="G388" s="311">
        <v>0</v>
      </c>
      <c r="H388" s="311">
        <v>17311</v>
      </c>
    </row>
    <row r="389" spans="1:8" ht="12.75">
      <c r="A389" s="357"/>
      <c r="B389" s="345" t="s">
        <v>490</v>
      </c>
      <c r="F389" s="311">
        <f t="shared" si="8"/>
        <v>9312</v>
      </c>
      <c r="G389" s="311">
        <v>0</v>
      </c>
      <c r="H389" s="311">
        <v>9312357</v>
      </c>
    </row>
    <row r="390" spans="1:8" ht="12.75">
      <c r="A390" s="357"/>
      <c r="B390" s="345" t="s">
        <v>491</v>
      </c>
      <c r="F390" s="311">
        <f t="shared" si="8"/>
        <v>178</v>
      </c>
      <c r="G390" s="311">
        <v>0</v>
      </c>
      <c r="H390" s="311">
        <v>177697</v>
      </c>
    </row>
    <row r="391" spans="1:8" ht="12.75">
      <c r="A391" s="357"/>
      <c r="B391" s="345" t="s">
        <v>492</v>
      </c>
      <c r="F391" s="311">
        <f t="shared" si="8"/>
        <v>13252</v>
      </c>
      <c r="G391" s="311">
        <v>0</v>
      </c>
      <c r="H391" s="311">
        <v>13251896</v>
      </c>
    </row>
    <row r="392" spans="1:8" ht="12.75">
      <c r="A392" s="357"/>
      <c r="B392" s="345"/>
      <c r="F392" s="311">
        <f t="shared" si="8"/>
        <v>0</v>
      </c>
      <c r="G392" s="311">
        <v>0</v>
      </c>
    </row>
    <row r="393" spans="1:8" ht="12.75">
      <c r="A393" s="357"/>
      <c r="B393" s="345" t="s">
        <v>493</v>
      </c>
      <c r="F393" s="311">
        <f t="shared" si="8"/>
        <v>666984</v>
      </c>
      <c r="G393" s="311">
        <v>0</v>
      </c>
      <c r="H393" s="311">
        <v>666984234</v>
      </c>
    </row>
    <row r="394" spans="1:8" ht="12.75">
      <c r="A394" s="357"/>
      <c r="B394" s="345"/>
      <c r="F394" s="311">
        <f t="shared" si="8"/>
        <v>0</v>
      </c>
      <c r="G394" s="311">
        <v>0</v>
      </c>
    </row>
    <row r="395" spans="1:8" ht="12.75">
      <c r="A395" s="352"/>
      <c r="B395" s="345" t="s">
        <v>494</v>
      </c>
      <c r="F395" s="311">
        <f t="shared" si="8"/>
        <v>1288303</v>
      </c>
      <c r="G395" s="311">
        <v>0</v>
      </c>
      <c r="H395" s="311">
        <v>1288302997</v>
      </c>
    </row>
    <row r="396" spans="1:8" ht="12.75">
      <c r="A396" s="352"/>
      <c r="B396" s="345"/>
      <c r="F396" s="311">
        <f t="shared" si="8"/>
        <v>0</v>
      </c>
      <c r="G396" s="311">
        <v>0</v>
      </c>
    </row>
    <row r="397" spans="1:8" ht="12.75">
      <c r="A397" s="359"/>
      <c r="B397" s="360" t="s">
        <v>495</v>
      </c>
      <c r="F397" s="311">
        <f t="shared" si="8"/>
        <v>0</v>
      </c>
      <c r="G397" s="311">
        <v>0</v>
      </c>
    </row>
    <row r="398" spans="1:8" ht="12.75">
      <c r="A398" s="361"/>
      <c r="B398" s="359" t="s">
        <v>496</v>
      </c>
      <c r="F398" s="311">
        <f t="shared" si="8"/>
        <v>0</v>
      </c>
      <c r="G398" s="311">
        <v>0</v>
      </c>
      <c r="H398" s="311">
        <v>0</v>
      </c>
    </row>
    <row r="399" spans="1:8" ht="12.75">
      <c r="A399" s="361"/>
      <c r="B399" s="360" t="s">
        <v>497</v>
      </c>
      <c r="F399" s="311">
        <f t="shared" si="8"/>
        <v>-305</v>
      </c>
      <c r="G399" s="311">
        <v>0</v>
      </c>
      <c r="H399" s="311">
        <v>-305035</v>
      </c>
    </row>
    <row r="400" spans="1:8" ht="12.75">
      <c r="A400" s="361"/>
      <c r="B400" s="360" t="s">
        <v>498</v>
      </c>
      <c r="F400" s="311">
        <f t="shared" si="8"/>
        <v>-173940</v>
      </c>
      <c r="G400" s="311">
        <v>0</v>
      </c>
      <c r="H400" s="311">
        <v>-173940054</v>
      </c>
    </row>
    <row r="401" spans="1:8" ht="12.75">
      <c r="A401" s="361"/>
      <c r="B401" s="360" t="s">
        <v>499</v>
      </c>
      <c r="F401" s="311">
        <f t="shared" si="8"/>
        <v>-12161</v>
      </c>
      <c r="G401" s="311">
        <v>0</v>
      </c>
      <c r="H401" s="311">
        <v>-12161232</v>
      </c>
    </row>
    <row r="402" spans="1:8" ht="12.75">
      <c r="A402" s="361"/>
      <c r="B402" s="360" t="s">
        <v>500</v>
      </c>
      <c r="F402" s="311">
        <f t="shared" si="8"/>
        <v>-2203</v>
      </c>
      <c r="G402" s="311">
        <v>0</v>
      </c>
      <c r="H402" s="311">
        <v>-2203481</v>
      </c>
    </row>
    <row r="403" spans="1:8" ht="12.75">
      <c r="A403" s="361"/>
      <c r="B403" s="360" t="s">
        <v>501</v>
      </c>
      <c r="F403" s="311">
        <f t="shared" si="8"/>
        <v>-457</v>
      </c>
      <c r="G403" s="311">
        <v>0</v>
      </c>
      <c r="H403" s="311">
        <v>-456680</v>
      </c>
    </row>
    <row r="404" spans="1:8" ht="12.75">
      <c r="A404" s="361"/>
      <c r="B404" s="360" t="s">
        <v>502</v>
      </c>
      <c r="F404" s="311">
        <f t="shared" si="8"/>
        <v>-9065</v>
      </c>
      <c r="G404" s="311">
        <v>0</v>
      </c>
      <c r="H404" s="311">
        <v>-9064560</v>
      </c>
    </row>
    <row r="405" spans="1:8" ht="12.75">
      <c r="A405" s="361"/>
      <c r="B405" s="360" t="s">
        <v>503</v>
      </c>
      <c r="F405" s="311">
        <f t="shared" ref="F405:F444" si="9">ROUND(H405/1000,0)</f>
        <v>-3317</v>
      </c>
      <c r="G405" s="311">
        <v>0</v>
      </c>
      <c r="H405" s="311">
        <v>-3316877</v>
      </c>
    </row>
    <row r="406" spans="1:8" ht="12.75">
      <c r="A406" s="357"/>
      <c r="B406" s="345" t="s">
        <v>504</v>
      </c>
      <c r="F406" s="311">
        <f t="shared" si="9"/>
        <v>-201448</v>
      </c>
      <c r="G406" s="311">
        <v>0</v>
      </c>
      <c r="H406" s="311">
        <v>-201447919</v>
      </c>
    </row>
    <row r="407" spans="1:8" ht="12.75">
      <c r="A407" s="352"/>
      <c r="B407" s="345"/>
      <c r="F407" s="311">
        <f t="shared" si="9"/>
        <v>0</v>
      </c>
      <c r="G407" s="311">
        <v>0</v>
      </c>
    </row>
    <row r="408" spans="1:8" ht="12.75">
      <c r="A408" s="352"/>
      <c r="B408" s="345" t="s">
        <v>505</v>
      </c>
      <c r="F408" s="311">
        <f t="shared" si="9"/>
        <v>1086855</v>
      </c>
      <c r="G408" s="311">
        <v>0</v>
      </c>
      <c r="H408" s="311">
        <v>1086855078</v>
      </c>
    </row>
    <row r="409" spans="1:8">
      <c r="F409" s="311">
        <f t="shared" si="9"/>
        <v>0</v>
      </c>
      <c r="G409" s="311">
        <v>0</v>
      </c>
    </row>
    <row r="410" spans="1:8" ht="12.75">
      <c r="A410" s="344"/>
      <c r="B410" s="345" t="s">
        <v>506</v>
      </c>
      <c r="C410" s="344"/>
      <c r="F410" s="311">
        <f t="shared" si="9"/>
        <v>0</v>
      </c>
      <c r="G410" s="311">
        <v>0</v>
      </c>
    </row>
    <row r="411" spans="1:8" ht="12.75">
      <c r="A411" s="362">
        <v>4</v>
      </c>
      <c r="B411" s="345" t="s">
        <v>507</v>
      </c>
      <c r="C411" s="345"/>
      <c r="F411" s="311">
        <f t="shared" si="9"/>
        <v>-66</v>
      </c>
      <c r="G411" s="311">
        <v>0</v>
      </c>
      <c r="H411" s="311">
        <v>-65719</v>
      </c>
    </row>
    <row r="412" spans="1:8" ht="12.75">
      <c r="A412" s="362">
        <v>4</v>
      </c>
      <c r="B412" s="345" t="s">
        <v>508</v>
      </c>
      <c r="C412" s="345"/>
      <c r="F412" s="311">
        <f t="shared" si="9"/>
        <v>23</v>
      </c>
      <c r="G412" s="311">
        <v>0</v>
      </c>
      <c r="H412" s="311">
        <v>23013</v>
      </c>
    </row>
    <row r="413" spans="1:8" ht="12.75">
      <c r="A413" s="362">
        <v>99</v>
      </c>
      <c r="B413" s="352" t="s">
        <v>509</v>
      </c>
      <c r="C413" s="345"/>
      <c r="F413" s="311">
        <f t="shared" si="9"/>
        <v>-1299</v>
      </c>
      <c r="G413" s="311">
        <v>0</v>
      </c>
      <c r="H413" s="311">
        <v>-1299261</v>
      </c>
    </row>
    <row r="414" spans="1:8" ht="12.75">
      <c r="A414" s="362">
        <v>99</v>
      </c>
      <c r="B414" s="352" t="s">
        <v>510</v>
      </c>
      <c r="C414" s="345"/>
      <c r="F414" s="311">
        <f t="shared" si="9"/>
        <v>1111</v>
      </c>
      <c r="G414" s="311">
        <v>0</v>
      </c>
      <c r="H414" s="311">
        <v>1110999</v>
      </c>
    </row>
    <row r="415" spans="1:8" ht="12.75">
      <c r="A415" s="362">
        <v>99</v>
      </c>
      <c r="B415" s="352" t="s">
        <v>511</v>
      </c>
      <c r="C415" s="345"/>
      <c r="F415" s="311">
        <f t="shared" si="9"/>
        <v>-778</v>
      </c>
      <c r="G415" s="311">
        <v>0</v>
      </c>
      <c r="H415" s="311">
        <v>-777699</v>
      </c>
    </row>
    <row r="416" spans="1:8" ht="12.75">
      <c r="A416" s="362">
        <v>99</v>
      </c>
      <c r="B416" s="352" t="s">
        <v>512</v>
      </c>
      <c r="C416" s="345"/>
      <c r="F416" s="311">
        <f t="shared" si="9"/>
        <v>-5248</v>
      </c>
      <c r="G416" s="311">
        <v>0</v>
      </c>
      <c r="H416" s="311">
        <v>-5247725</v>
      </c>
    </row>
    <row r="417" spans="1:8" ht="12.75">
      <c r="A417" s="362">
        <v>99</v>
      </c>
      <c r="B417" s="352" t="s">
        <v>513</v>
      </c>
      <c r="C417" s="345"/>
      <c r="F417" s="311">
        <f t="shared" si="9"/>
        <v>4235</v>
      </c>
      <c r="G417" s="311">
        <v>0</v>
      </c>
      <c r="H417" s="311">
        <v>4234746</v>
      </c>
    </row>
    <row r="418" spans="1:8" ht="12.75">
      <c r="A418" s="362">
        <v>99</v>
      </c>
      <c r="B418" s="345" t="s">
        <v>514</v>
      </c>
      <c r="C418" s="345"/>
      <c r="F418" s="311">
        <f t="shared" si="9"/>
        <v>416</v>
      </c>
      <c r="G418" s="311">
        <v>0</v>
      </c>
      <c r="H418" s="311">
        <v>415568</v>
      </c>
    </row>
    <row r="419" spans="1:8" ht="12.75">
      <c r="A419" s="362">
        <v>99</v>
      </c>
      <c r="B419" s="352" t="s">
        <v>515</v>
      </c>
      <c r="C419" s="345"/>
      <c r="F419" s="311">
        <f t="shared" si="9"/>
        <v>0</v>
      </c>
      <c r="G419" s="311">
        <v>0</v>
      </c>
      <c r="H419" s="311">
        <v>0</v>
      </c>
    </row>
    <row r="420" spans="1:8" ht="12.75">
      <c r="A420" s="362">
        <v>99</v>
      </c>
      <c r="B420" s="352" t="s">
        <v>516</v>
      </c>
      <c r="C420" s="345"/>
      <c r="F420" s="311">
        <f t="shared" si="9"/>
        <v>0</v>
      </c>
      <c r="G420" s="311">
        <v>0</v>
      </c>
      <c r="H420" s="311">
        <v>0</v>
      </c>
    </row>
    <row r="421" spans="1:8" ht="12.75">
      <c r="A421" s="362">
        <v>99</v>
      </c>
      <c r="B421" s="345" t="s">
        <v>517</v>
      </c>
      <c r="C421" s="345"/>
      <c r="F421" s="311">
        <f t="shared" si="9"/>
        <v>0</v>
      </c>
      <c r="G421" s="311">
        <v>0</v>
      </c>
      <c r="H421" s="311">
        <v>0</v>
      </c>
    </row>
    <row r="422" spans="1:8" ht="12.75">
      <c r="A422" s="362">
        <v>99</v>
      </c>
      <c r="B422" s="352" t="s">
        <v>518</v>
      </c>
      <c r="C422" s="345"/>
      <c r="F422" s="311">
        <f t="shared" si="9"/>
        <v>20008</v>
      </c>
      <c r="G422" s="311">
        <v>0</v>
      </c>
      <c r="H422" s="311">
        <v>20008192</v>
      </c>
    </row>
    <row r="423" spans="1:8" ht="12.75">
      <c r="A423" s="363">
        <v>99</v>
      </c>
      <c r="B423" s="348" t="s">
        <v>519</v>
      </c>
      <c r="C423" s="348"/>
      <c r="F423" s="311">
        <f t="shared" si="9"/>
        <v>-3596</v>
      </c>
      <c r="G423" s="311">
        <v>0</v>
      </c>
      <c r="H423" s="311">
        <v>-3595803</v>
      </c>
    </row>
    <row r="424" spans="1:8" ht="12.75">
      <c r="A424" s="363">
        <v>99</v>
      </c>
      <c r="B424" s="348" t="s">
        <v>520</v>
      </c>
      <c r="C424" s="348"/>
      <c r="F424" s="311">
        <f t="shared" si="9"/>
        <v>1432</v>
      </c>
      <c r="G424" s="311">
        <v>0</v>
      </c>
      <c r="H424" s="311">
        <v>1432446</v>
      </c>
    </row>
    <row r="425" spans="1:8" ht="12.75">
      <c r="A425" s="363">
        <v>99</v>
      </c>
      <c r="B425" s="348" t="s">
        <v>521</v>
      </c>
      <c r="C425" s="348"/>
      <c r="F425" s="311">
        <f t="shared" si="9"/>
        <v>0</v>
      </c>
      <c r="G425" s="311">
        <v>0</v>
      </c>
      <c r="H425" s="311">
        <v>0</v>
      </c>
    </row>
    <row r="426" spans="1:8" ht="12.75">
      <c r="A426" s="364">
        <v>99</v>
      </c>
      <c r="B426" s="360" t="s">
        <v>522</v>
      </c>
      <c r="C426" s="360"/>
      <c r="F426" s="311">
        <f t="shared" si="9"/>
        <v>-501</v>
      </c>
      <c r="G426" s="311">
        <v>0</v>
      </c>
      <c r="H426" s="311">
        <v>-501357</v>
      </c>
    </row>
    <row r="427" spans="1:8" ht="12.75">
      <c r="A427" s="363">
        <v>99</v>
      </c>
      <c r="B427" s="348" t="s">
        <v>523</v>
      </c>
      <c r="C427" s="348"/>
      <c r="F427" s="311">
        <f t="shared" si="9"/>
        <v>104</v>
      </c>
      <c r="G427" s="311">
        <v>0</v>
      </c>
      <c r="H427" s="311">
        <v>104196</v>
      </c>
    </row>
    <row r="428" spans="1:8" ht="12.75">
      <c r="A428" s="364">
        <v>99</v>
      </c>
      <c r="B428" s="360" t="s">
        <v>524</v>
      </c>
      <c r="C428" s="360"/>
      <c r="F428" s="311">
        <f t="shared" si="9"/>
        <v>-36</v>
      </c>
      <c r="G428" s="311">
        <v>0</v>
      </c>
      <c r="H428" s="311">
        <v>-36469</v>
      </c>
    </row>
    <row r="429" spans="1:8" ht="12.75">
      <c r="A429" s="363">
        <v>99</v>
      </c>
      <c r="B429" s="348" t="s">
        <v>525</v>
      </c>
      <c r="C429" s="348"/>
      <c r="F429" s="311">
        <f t="shared" si="9"/>
        <v>687</v>
      </c>
      <c r="G429" s="311">
        <v>0</v>
      </c>
      <c r="H429" s="311">
        <v>686847</v>
      </c>
    </row>
    <row r="430" spans="1:8" ht="12.75">
      <c r="A430" s="363">
        <v>99</v>
      </c>
      <c r="B430" s="348" t="s">
        <v>526</v>
      </c>
      <c r="C430" s="348"/>
      <c r="F430" s="311">
        <f t="shared" si="9"/>
        <v>-240</v>
      </c>
      <c r="G430" s="311">
        <v>0</v>
      </c>
      <c r="H430" s="311">
        <v>-240396</v>
      </c>
    </row>
    <row r="431" spans="1:8" ht="12.75">
      <c r="A431" s="363">
        <v>99</v>
      </c>
      <c r="B431" s="348" t="s">
        <v>527</v>
      </c>
      <c r="C431" s="348"/>
      <c r="F431" s="311">
        <f t="shared" si="9"/>
        <v>436</v>
      </c>
      <c r="G431" s="311">
        <v>0</v>
      </c>
      <c r="H431" s="311">
        <v>436142</v>
      </c>
    </row>
    <row r="432" spans="1:8" ht="12.75">
      <c r="A432" s="363">
        <v>99</v>
      </c>
      <c r="B432" s="348" t="s">
        <v>528</v>
      </c>
      <c r="C432" s="348"/>
      <c r="F432" s="311">
        <f t="shared" si="9"/>
        <v>-153</v>
      </c>
      <c r="G432" s="311">
        <v>0</v>
      </c>
      <c r="H432" s="311">
        <v>-152651</v>
      </c>
    </row>
    <row r="433" spans="1:8" ht="12.75">
      <c r="A433" s="363">
        <v>99</v>
      </c>
      <c r="B433" s="365" t="s">
        <v>529</v>
      </c>
      <c r="C433" s="348"/>
      <c r="F433" s="311">
        <f t="shared" si="9"/>
        <v>3721</v>
      </c>
      <c r="G433" s="311">
        <v>0</v>
      </c>
      <c r="H433" s="311">
        <v>3721428</v>
      </c>
    </row>
    <row r="434" spans="1:8" ht="12.75">
      <c r="A434" s="363">
        <v>99</v>
      </c>
      <c r="B434" s="348" t="s">
        <v>530</v>
      </c>
      <c r="C434" s="348"/>
      <c r="F434" s="311">
        <f t="shared" si="9"/>
        <v>-1303</v>
      </c>
      <c r="G434" s="311">
        <v>0</v>
      </c>
      <c r="H434" s="311">
        <v>-1302501</v>
      </c>
    </row>
    <row r="435" spans="1:8" ht="12.75">
      <c r="A435" s="362">
        <v>99</v>
      </c>
      <c r="B435" s="352" t="s">
        <v>531</v>
      </c>
      <c r="C435" s="345"/>
      <c r="F435" s="311">
        <f t="shared" si="9"/>
        <v>6007</v>
      </c>
      <c r="G435" s="311">
        <v>0</v>
      </c>
      <c r="H435" s="311">
        <v>6006667</v>
      </c>
    </row>
    <row r="436" spans="1:8" ht="12.75">
      <c r="A436" s="363">
        <v>99</v>
      </c>
      <c r="B436" s="348" t="s">
        <v>532</v>
      </c>
      <c r="C436" s="348"/>
      <c r="F436" s="311">
        <f t="shared" si="9"/>
        <v>-2102</v>
      </c>
      <c r="G436" s="311">
        <v>0</v>
      </c>
      <c r="H436" s="311">
        <v>-2102333</v>
      </c>
    </row>
    <row r="437" spans="1:8" ht="12.75">
      <c r="A437" s="362">
        <v>1</v>
      </c>
      <c r="B437" s="352" t="s">
        <v>533</v>
      </c>
      <c r="C437" s="345"/>
      <c r="F437" s="311">
        <f t="shared" si="9"/>
        <v>0</v>
      </c>
      <c r="G437" s="311">
        <v>0</v>
      </c>
      <c r="H437" s="311">
        <v>0</v>
      </c>
    </row>
    <row r="438" spans="1:8" ht="12.75">
      <c r="A438" s="362">
        <v>4</v>
      </c>
      <c r="B438" s="352" t="s">
        <v>534</v>
      </c>
      <c r="C438" s="345"/>
      <c r="F438" s="311">
        <f t="shared" si="9"/>
        <v>-248</v>
      </c>
      <c r="G438" s="311">
        <v>0</v>
      </c>
      <c r="H438" s="311">
        <v>-248439</v>
      </c>
    </row>
    <row r="439" spans="1:8" ht="12.75">
      <c r="A439" s="362">
        <v>99</v>
      </c>
      <c r="B439" s="352" t="s">
        <v>535</v>
      </c>
      <c r="C439" s="345"/>
      <c r="F439" s="311">
        <f t="shared" si="9"/>
        <v>-3743</v>
      </c>
      <c r="G439" s="311">
        <v>0</v>
      </c>
      <c r="H439" s="311">
        <v>-3742640</v>
      </c>
    </row>
    <row r="440" spans="1:8" ht="12.75">
      <c r="A440" s="362" t="s">
        <v>536</v>
      </c>
      <c r="B440" s="352" t="s">
        <v>537</v>
      </c>
      <c r="C440" s="345"/>
      <c r="F440" s="311">
        <f t="shared" si="9"/>
        <v>18188</v>
      </c>
      <c r="G440" s="311">
        <v>0</v>
      </c>
      <c r="H440" s="311">
        <v>18188000</v>
      </c>
    </row>
    <row r="441" spans="1:8" ht="12.75">
      <c r="A441" s="362">
        <v>99</v>
      </c>
      <c r="B441" s="352" t="s">
        <v>538</v>
      </c>
      <c r="C441" s="345"/>
      <c r="F441" s="311">
        <f t="shared" si="9"/>
        <v>0</v>
      </c>
      <c r="G441" s="311">
        <v>0</v>
      </c>
      <c r="H441" s="311">
        <v>0</v>
      </c>
    </row>
    <row r="442" spans="1:8" ht="12.75">
      <c r="A442" s="362"/>
      <c r="B442" s="345" t="s">
        <v>539</v>
      </c>
      <c r="C442" s="345"/>
      <c r="F442" s="311">
        <f t="shared" si="9"/>
        <v>37053</v>
      </c>
      <c r="G442" s="311">
        <v>0</v>
      </c>
      <c r="H442" s="311">
        <v>37053183</v>
      </c>
    </row>
    <row r="443" spans="1:8" ht="12.75">
      <c r="A443" s="362"/>
      <c r="B443" s="345"/>
      <c r="C443" s="345"/>
      <c r="F443" s="311">
        <f t="shared" si="9"/>
        <v>0</v>
      </c>
      <c r="G443" s="311">
        <v>0</v>
      </c>
    </row>
    <row r="444" spans="1:8" ht="12.75">
      <c r="A444" s="362"/>
      <c r="B444" s="345" t="s">
        <v>540</v>
      </c>
      <c r="C444" s="345"/>
      <c r="F444" s="311">
        <f t="shared" si="9"/>
        <v>1123908</v>
      </c>
      <c r="G444" s="311">
        <v>0</v>
      </c>
      <c r="H444" s="311">
        <v>1123908261</v>
      </c>
    </row>
  </sheetData>
  <printOptions horizontalCentered="1"/>
  <pageMargins left="1" right="1" top="0.5" bottom="0.5" header="0.5" footer="0.5"/>
  <pageSetup scale="90" orientation="portrait" horizontalDpi="300" verticalDpi="300" r:id="rId1"/>
  <headerFooter alignWithMargins="0"/>
  <rowBreaks count="1" manualBreakCount="1">
    <brk id="56" max="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O148"/>
  <sheetViews>
    <sheetView zoomScaleNormal="100" workbookViewId="0">
      <selection activeCell="H48" sqref="H48"/>
    </sheetView>
  </sheetViews>
  <sheetFormatPr defaultColWidth="10.7109375" defaultRowHeight="12.75"/>
  <cols>
    <col min="1" max="1" width="8.28515625" style="398" customWidth="1"/>
    <col min="2" max="2" width="18.7109375" style="65" customWidth="1"/>
    <col min="3" max="4" width="10.7109375" style="43" customWidth="1"/>
    <col min="5" max="5" width="14.28515625" style="43" customWidth="1"/>
    <col min="6" max="6" width="13.5703125" style="46" customWidth="1"/>
    <col min="7" max="7" width="11" style="43" customWidth="1"/>
    <col min="8" max="8" width="2.28515625" style="43" customWidth="1"/>
    <col min="9" max="9" width="11.85546875" style="43" customWidth="1"/>
    <col min="10" max="14" width="10.7109375" style="43"/>
    <col min="15" max="15" width="12.7109375" style="43" customWidth="1"/>
    <col min="16" max="16384" width="10.7109375" style="43"/>
  </cols>
  <sheetData>
    <row r="1" spans="1:15">
      <c r="A1" s="518" t="s">
        <v>91</v>
      </c>
      <c r="B1" s="518"/>
      <c r="C1" s="518"/>
      <c r="D1" s="518"/>
      <c r="E1" s="518"/>
      <c r="F1" s="518"/>
      <c r="G1" s="518"/>
      <c r="H1" s="518"/>
    </row>
    <row r="2" spans="1:15">
      <c r="A2" s="519" t="s">
        <v>555</v>
      </c>
      <c r="B2" s="519"/>
      <c r="C2" s="519"/>
      <c r="D2" s="519"/>
      <c r="E2" s="519"/>
      <c r="F2" s="519"/>
      <c r="G2" s="519"/>
      <c r="H2" s="519"/>
    </row>
    <row r="3" spans="1:15">
      <c r="A3" s="519" t="s">
        <v>143</v>
      </c>
      <c r="B3" s="519"/>
      <c r="C3" s="519"/>
      <c r="D3" s="519"/>
      <c r="E3" s="519"/>
      <c r="F3" s="519"/>
      <c r="G3" s="519"/>
      <c r="H3" s="519"/>
    </row>
    <row r="4" spans="1:15">
      <c r="A4" s="520" t="str">
        <f>'ADJ SUMMARY'!A5</f>
        <v>TWELVE MONTHS ENDED DECEMBER 31, 2011</v>
      </c>
      <c r="B4" s="520"/>
      <c r="C4" s="520"/>
      <c r="D4" s="520"/>
      <c r="E4" s="520"/>
      <c r="F4" s="520"/>
      <c r="G4" s="520"/>
      <c r="H4" s="520"/>
    </row>
    <row r="5" spans="1:15">
      <c r="A5" s="521" t="s">
        <v>122</v>
      </c>
      <c r="B5" s="521"/>
      <c r="C5" s="521"/>
      <c r="D5" s="521"/>
      <c r="E5" s="521"/>
      <c r="F5" s="521"/>
      <c r="G5" s="521"/>
      <c r="H5" s="521"/>
    </row>
    <row r="6" spans="1:15" ht="13.5" thickBot="1">
      <c r="A6" s="397"/>
      <c r="B6" s="404"/>
      <c r="C6" s="44"/>
      <c r="D6" s="45"/>
      <c r="E6" s="45"/>
      <c r="F6" s="45"/>
    </row>
    <row r="7" spans="1:15" ht="13.5" thickBot="1">
      <c r="C7" s="46"/>
      <c r="D7" s="46"/>
      <c r="E7" s="515" t="s">
        <v>555</v>
      </c>
      <c r="F7" s="516"/>
      <c r="G7" s="517"/>
    </row>
    <row r="8" spans="1:15">
      <c r="C8" s="46"/>
      <c r="D8" s="46"/>
      <c r="E8" s="462" t="s">
        <v>24</v>
      </c>
      <c r="F8" s="472" t="s">
        <v>215</v>
      </c>
      <c r="G8" s="473"/>
    </row>
    <row r="9" spans="1:15">
      <c r="C9" s="46"/>
      <c r="D9" s="46"/>
      <c r="E9" s="463">
        <f>'ADJ DETAIL-INPUT'!Y10</f>
        <v>2.1699999999999964</v>
      </c>
      <c r="F9" s="474"/>
      <c r="G9" s="475"/>
    </row>
    <row r="10" spans="1:15">
      <c r="B10" s="405" t="s">
        <v>123</v>
      </c>
      <c r="C10" s="46"/>
      <c r="D10" s="46"/>
      <c r="E10" s="464" t="s">
        <v>241</v>
      </c>
      <c r="F10" s="476" t="s">
        <v>124</v>
      </c>
      <c r="G10" s="477" t="s">
        <v>33</v>
      </c>
    </row>
    <row r="11" spans="1:15">
      <c r="B11" s="65" t="str">
        <f>'ADJ SUMMARY'!C11</f>
        <v>Results of Operations</v>
      </c>
      <c r="C11" s="46"/>
      <c r="D11" s="46"/>
      <c r="E11" s="465">
        <f>'ADJ SUMMARY'!E11</f>
        <v>1123911</v>
      </c>
      <c r="F11" s="478"/>
      <c r="G11" s="475">
        <f>SUM(E11:F11)</f>
        <v>1123911</v>
      </c>
    </row>
    <row r="12" spans="1:15">
      <c r="A12" s="398">
        <f>'ADJ SUMMARY'!A12</f>
        <v>1.01</v>
      </c>
      <c r="B12" s="406" t="str">
        <f>'ADJ SUMMARY'!C12</f>
        <v>Deferred FIT Rate Base</v>
      </c>
      <c r="C12" s="46"/>
      <c r="D12" s="46"/>
      <c r="E12" s="466"/>
      <c r="F12" s="479">
        <f>'ADJ SUMMARY'!E12</f>
        <v>285</v>
      </c>
      <c r="G12" s="475">
        <f>SUM(E12:F12)</f>
        <v>285</v>
      </c>
      <c r="I12" s="511" t="s">
        <v>91</v>
      </c>
      <c r="J12" s="511"/>
      <c r="K12" s="511"/>
      <c r="L12" s="511"/>
      <c r="M12" s="511"/>
      <c r="N12" s="511"/>
      <c r="O12" s="511"/>
    </row>
    <row r="13" spans="1:15">
      <c r="A13" s="398">
        <f>'ADJ SUMMARY'!A13</f>
        <v>1.02</v>
      </c>
      <c r="B13" s="406" t="str">
        <f>'ADJ SUMMARY'!C13</f>
        <v>Deferred Debits and Credits</v>
      </c>
      <c r="C13" s="46"/>
      <c r="D13" s="46"/>
      <c r="E13" s="466"/>
      <c r="F13" s="479">
        <f>'ADJ SUMMARY'!E13</f>
        <v>-22</v>
      </c>
      <c r="G13" s="475">
        <f t="shared" ref="G13:G33" si="0">SUM(E13:F13)</f>
        <v>-22</v>
      </c>
      <c r="I13" s="511" t="s">
        <v>583</v>
      </c>
      <c r="J13" s="511"/>
      <c r="K13" s="511"/>
      <c r="L13" s="511"/>
      <c r="M13" s="511"/>
      <c r="N13" s="511"/>
      <c r="O13" s="511"/>
    </row>
    <row r="14" spans="1:15">
      <c r="A14" s="398">
        <f>'ADJ SUMMARY'!A14</f>
        <v>1.03</v>
      </c>
      <c r="B14" s="406" t="str">
        <f>'ADJ SUMMARY'!C14</f>
        <v>Working Capital</v>
      </c>
      <c r="C14" s="46"/>
      <c r="D14" s="46"/>
      <c r="E14" s="466"/>
      <c r="F14" s="479">
        <f>'ADJ SUMMARY'!E14</f>
        <v>13689</v>
      </c>
      <c r="G14" s="475">
        <f t="shared" si="0"/>
        <v>13689</v>
      </c>
      <c r="I14" s="511" t="s">
        <v>591</v>
      </c>
      <c r="J14" s="511"/>
      <c r="K14" s="511"/>
      <c r="L14" s="511"/>
      <c r="M14" s="511"/>
      <c r="N14" s="511"/>
      <c r="O14" s="511"/>
    </row>
    <row r="15" spans="1:15" ht="13.5" thickBot="1">
      <c r="A15" s="398">
        <f>'ADJ SUMMARY'!A15</f>
        <v>2.0099999999999998</v>
      </c>
      <c r="B15" s="406" t="str">
        <f>'ADJ SUMMARY'!C15</f>
        <v>Eliminate B &amp; O Taxes</v>
      </c>
      <c r="C15" s="46"/>
      <c r="D15" s="46"/>
      <c r="E15" s="466"/>
      <c r="F15" s="479">
        <f>'ADJ SUMMARY'!E15</f>
        <v>0</v>
      </c>
      <c r="G15" s="475">
        <f t="shared" si="0"/>
        <v>0</v>
      </c>
      <c r="I15" s="511"/>
      <c r="J15" s="511"/>
      <c r="K15" s="511"/>
      <c r="L15" s="511"/>
      <c r="M15" s="511"/>
      <c r="N15" s="511"/>
      <c r="O15" s="511"/>
    </row>
    <row r="16" spans="1:15">
      <c r="A16" s="398">
        <f>'ADJ SUMMARY'!A16</f>
        <v>2.0199999999999996</v>
      </c>
      <c r="B16" s="406" t="str">
        <f>'ADJ SUMMARY'!C16</f>
        <v>Property Tax</v>
      </c>
      <c r="C16" s="46"/>
      <c r="D16" s="46"/>
      <c r="E16" s="466"/>
      <c r="F16" s="479">
        <f>'ADJ SUMMARY'!E16</f>
        <v>0</v>
      </c>
      <c r="G16" s="475">
        <f t="shared" si="0"/>
        <v>0</v>
      </c>
      <c r="I16" s="439" t="s">
        <v>242</v>
      </c>
      <c r="J16" s="440"/>
      <c r="K16" s="440"/>
      <c r="L16" s="440"/>
      <c r="M16" s="440"/>
      <c r="N16" s="440"/>
      <c r="O16" s="441"/>
    </row>
    <row r="17" spans="1:15">
      <c r="A17" s="398">
        <f>'ADJ SUMMARY'!A17</f>
        <v>2.0299999999999994</v>
      </c>
      <c r="B17" s="406" t="str">
        <f>'ADJ SUMMARY'!C17</f>
        <v>Uncollect. Expense</v>
      </c>
      <c r="C17" s="46"/>
      <c r="D17" s="46"/>
      <c r="E17" s="466"/>
      <c r="F17" s="479">
        <f>'ADJ SUMMARY'!E17</f>
        <v>0</v>
      </c>
      <c r="G17" s="475">
        <f t="shared" si="0"/>
        <v>0</v>
      </c>
      <c r="I17" s="442"/>
      <c r="J17" s="443"/>
      <c r="K17" s="443"/>
      <c r="L17" s="444"/>
      <c r="M17" s="445"/>
      <c r="N17" s="444" t="s">
        <v>120</v>
      </c>
      <c r="O17" s="446"/>
    </row>
    <row r="18" spans="1:15">
      <c r="A18" s="398">
        <f>'ADJ SUMMARY'!A18</f>
        <v>2.0399999999999991</v>
      </c>
      <c r="B18" s="406" t="str">
        <f>'ADJ SUMMARY'!C18</f>
        <v>Regulatory Expense</v>
      </c>
      <c r="C18" s="46"/>
      <c r="D18" s="46"/>
      <c r="E18" s="466"/>
      <c r="F18" s="479">
        <f>'ADJ SUMMARY'!E18</f>
        <v>0</v>
      </c>
      <c r="G18" s="475">
        <f t="shared" si="0"/>
        <v>0</v>
      </c>
      <c r="I18" s="442"/>
      <c r="J18" s="109"/>
      <c r="K18" s="444"/>
      <c r="L18" s="444" t="s">
        <v>97</v>
      </c>
      <c r="M18" s="444" t="s">
        <v>120</v>
      </c>
      <c r="N18" s="444" t="s">
        <v>98</v>
      </c>
      <c r="O18" s="446"/>
    </row>
    <row r="19" spans="1:15">
      <c r="A19" s="398">
        <f>'ADJ SUMMARY'!A19</f>
        <v>2.0499999999999989</v>
      </c>
      <c r="B19" s="406" t="str">
        <f>'ADJ SUMMARY'!C19</f>
        <v>Injuries and Damages</v>
      </c>
      <c r="C19" s="46"/>
      <c r="D19" s="46"/>
      <c r="E19" s="466"/>
      <c r="F19" s="479">
        <f>'ADJ SUMMARY'!E19</f>
        <v>0</v>
      </c>
      <c r="G19" s="475">
        <f t="shared" si="0"/>
        <v>0</v>
      </c>
      <c r="I19" s="442"/>
      <c r="J19" s="447" t="s">
        <v>100</v>
      </c>
      <c r="K19" s="444"/>
      <c r="L19" s="447" t="s">
        <v>102</v>
      </c>
      <c r="M19" s="447" t="s">
        <v>103</v>
      </c>
      <c r="N19" s="447" t="s">
        <v>103</v>
      </c>
      <c r="O19" s="446"/>
    </row>
    <row r="20" spans="1:15">
      <c r="A20" s="398">
        <f>'ADJ SUMMARY'!A20</f>
        <v>2.0599999999999987</v>
      </c>
      <c r="B20" s="406" t="str">
        <f>'ADJ SUMMARY'!C20</f>
        <v>FIT / DFIT Expense</v>
      </c>
      <c r="C20" s="46"/>
      <c r="D20" s="46"/>
      <c r="E20" s="466"/>
      <c r="F20" s="479">
        <f>'ADJ SUMMARY'!E20</f>
        <v>0</v>
      </c>
      <c r="G20" s="475">
        <f t="shared" si="0"/>
        <v>0</v>
      </c>
      <c r="I20" s="442"/>
      <c r="J20" s="443"/>
      <c r="K20" s="443"/>
      <c r="L20" s="443"/>
      <c r="M20" s="445"/>
      <c r="N20" s="443"/>
      <c r="O20" s="448"/>
    </row>
    <row r="21" spans="1:15">
      <c r="A21" s="398">
        <f>'ADJ SUMMARY'!A21</f>
        <v>2.0699999999999985</v>
      </c>
      <c r="B21" s="406" t="str">
        <f>'ADJ SUMMARY'!C21</f>
        <v>Eliminate WA Power Cost Defer</v>
      </c>
      <c r="C21" s="46"/>
      <c r="D21" s="46"/>
      <c r="E21" s="466"/>
      <c r="F21" s="479">
        <f>'ADJ SUMMARY'!E21</f>
        <v>0</v>
      </c>
      <c r="G21" s="475">
        <f t="shared" si="0"/>
        <v>0</v>
      </c>
      <c r="I21" s="442"/>
      <c r="J21" s="109" t="s">
        <v>211</v>
      </c>
      <c r="K21" s="449"/>
      <c r="L21" s="450">
        <f>100%-L23-L25</f>
        <v>0.5071</v>
      </c>
      <c r="M21" s="454">
        <v>5.6210000000000003E-2</v>
      </c>
      <c r="N21" s="450">
        <f>ROUND(L21*M21,4)</f>
        <v>2.8500000000000001E-2</v>
      </c>
      <c r="O21" s="448"/>
    </row>
    <row r="22" spans="1:15">
      <c r="A22" s="398">
        <f>'ADJ SUMMARY'!A22</f>
        <v>2.0799999999999983</v>
      </c>
      <c r="B22" s="406" t="str">
        <f>'ADJ SUMMARY'!C22</f>
        <v>Nez Perce Settlement Adjustment</v>
      </c>
      <c r="C22" s="46"/>
      <c r="D22" s="46"/>
      <c r="E22" s="466"/>
      <c r="F22" s="479">
        <f>'ADJ SUMMARY'!E22</f>
        <v>0</v>
      </c>
      <c r="G22" s="475">
        <f t="shared" si="0"/>
        <v>0</v>
      </c>
      <c r="I22" s="442"/>
      <c r="J22" s="109"/>
      <c r="K22" s="124"/>
      <c r="L22" s="450"/>
      <c r="M22" s="451"/>
      <c r="N22" s="450"/>
      <c r="O22" s="505" t="s">
        <v>203</v>
      </c>
    </row>
    <row r="23" spans="1:15">
      <c r="A23" s="398">
        <f>'ADJ SUMMARY'!A23</f>
        <v>2.0899999999999981</v>
      </c>
      <c r="B23" s="406" t="str">
        <f>'ADJ SUMMARY'!C23</f>
        <v>Eliminate A/R Expenses</v>
      </c>
      <c r="C23" s="46"/>
      <c r="D23" s="46"/>
      <c r="E23" s="466"/>
      <c r="F23" s="479">
        <f>'ADJ SUMMARY'!E23</f>
        <v>0</v>
      </c>
      <c r="G23" s="475">
        <f t="shared" si="0"/>
        <v>0</v>
      </c>
      <c r="I23" s="442"/>
      <c r="J23" s="109"/>
      <c r="K23" s="124"/>
      <c r="L23" s="450"/>
      <c r="M23" s="451"/>
      <c r="N23" s="450"/>
      <c r="O23" s="452">
        <f>SUM(N21:N23)</f>
        <v>2.8500000000000001E-2</v>
      </c>
    </row>
    <row r="24" spans="1:15">
      <c r="A24" s="398">
        <f>'ADJ SUMMARY'!A24</f>
        <v>2.0999999999999979</v>
      </c>
      <c r="B24" s="406" t="str">
        <f>'ADJ SUMMARY'!C24</f>
        <v>Office Space Charges to Subsidiaries</v>
      </c>
      <c r="C24" s="46"/>
      <c r="D24" s="46"/>
      <c r="E24" s="466"/>
      <c r="F24" s="479">
        <f>'ADJ SUMMARY'!E24</f>
        <v>0</v>
      </c>
      <c r="G24" s="475">
        <f t="shared" si="0"/>
        <v>0</v>
      </c>
      <c r="I24" s="442"/>
      <c r="J24" s="109"/>
      <c r="K24" s="124"/>
      <c r="L24" s="450"/>
      <c r="M24" s="451"/>
      <c r="N24" s="450"/>
      <c r="O24" s="448"/>
    </row>
    <row r="25" spans="1:15">
      <c r="A25" s="398">
        <f>'ADJ SUMMARY'!A25</f>
        <v>2.1099999999999977</v>
      </c>
      <c r="B25" s="406" t="str">
        <f>'ADJ SUMMARY'!C25</f>
        <v>Restate Excise Taxes</v>
      </c>
      <c r="C25" s="46"/>
      <c r="D25" s="46"/>
      <c r="E25" s="466"/>
      <c r="F25" s="479">
        <f>'ADJ SUMMARY'!E25</f>
        <v>0</v>
      </c>
      <c r="G25" s="475">
        <f t="shared" si="0"/>
        <v>0</v>
      </c>
      <c r="I25" s="442"/>
      <c r="J25" s="109" t="s">
        <v>10</v>
      </c>
      <c r="K25" s="124"/>
      <c r="L25" s="450">
        <v>0.4929</v>
      </c>
      <c r="M25" s="451">
        <v>0.10199999999999999</v>
      </c>
      <c r="N25" s="450">
        <f>ROUND(L25*M25,4)</f>
        <v>5.0299999999999997E-2</v>
      </c>
      <c r="O25" s="448"/>
    </row>
    <row r="26" spans="1:15">
      <c r="A26" s="398">
        <f>'ADJ SUMMARY'!A26</f>
        <v>2.1199999999999974</v>
      </c>
      <c r="B26" s="406" t="str">
        <f>'ADJ SUMMARY'!C26</f>
        <v>Net Gains / Losses</v>
      </c>
      <c r="C26" s="46"/>
      <c r="D26" s="46"/>
      <c r="E26" s="466"/>
      <c r="F26" s="479">
        <f>'ADJ SUMMARY'!E26</f>
        <v>0</v>
      </c>
      <c r="G26" s="475">
        <f t="shared" si="0"/>
        <v>0</v>
      </c>
      <c r="I26" s="442"/>
      <c r="J26" s="109"/>
      <c r="K26" s="124"/>
      <c r="L26" s="453"/>
      <c r="M26" s="454"/>
      <c r="N26" s="450"/>
      <c r="O26" s="446"/>
    </row>
    <row r="27" spans="1:15" ht="13.5" thickBot="1">
      <c r="A27" s="398">
        <f>'ADJ SUMMARY'!A27</f>
        <v>2.1299999999999972</v>
      </c>
      <c r="B27" s="406" t="str">
        <f>'ADJ SUMMARY'!C27</f>
        <v>Revenue Normalization</v>
      </c>
      <c r="C27" s="46"/>
      <c r="D27" s="46"/>
      <c r="E27" s="466"/>
      <c r="F27" s="479">
        <f>'ADJ SUMMARY'!E27</f>
        <v>0</v>
      </c>
      <c r="G27" s="475">
        <f t="shared" si="0"/>
        <v>0</v>
      </c>
      <c r="I27" s="442"/>
      <c r="J27" s="109" t="s">
        <v>112</v>
      </c>
      <c r="K27" s="449"/>
      <c r="L27" s="455">
        <f>SUM(L21:L25)</f>
        <v>1</v>
      </c>
      <c r="M27" s="454"/>
      <c r="N27" s="455">
        <f>SUM(N21:N25)</f>
        <v>7.8799999999999995E-2</v>
      </c>
      <c r="O27" s="446"/>
    </row>
    <row r="28" spans="1:15" ht="14.25" thickTop="1" thickBot="1">
      <c r="A28" s="398">
        <f>'ADJ SUMMARY'!A28</f>
        <v>2.139999999999997</v>
      </c>
      <c r="B28" s="406" t="str">
        <f>'ADJ SUMMARY'!C28</f>
        <v>Misc Restating</v>
      </c>
      <c r="C28" s="46"/>
      <c r="D28" s="46"/>
      <c r="E28" s="466"/>
      <c r="F28" s="479">
        <f>'ADJ SUMMARY'!E28</f>
        <v>0</v>
      </c>
      <c r="G28" s="475">
        <f t="shared" si="0"/>
        <v>0</v>
      </c>
      <c r="I28" s="456"/>
      <c r="J28" s="457"/>
      <c r="K28" s="458"/>
      <c r="L28" s="459"/>
      <c r="M28" s="460"/>
      <c r="N28" s="459"/>
      <c r="O28" s="461"/>
    </row>
    <row r="29" spans="1:15">
      <c r="A29" s="398">
        <f>'ADJ SUMMARY'!A31</f>
        <v>2.1699999999999964</v>
      </c>
      <c r="B29" s="406" t="str">
        <f>'ADJ SUMMARY'!C31</f>
        <v>Restate Debt Interest</v>
      </c>
      <c r="C29" s="46"/>
      <c r="D29" s="46"/>
      <c r="E29" s="466"/>
      <c r="F29" s="479">
        <f>'ADJ SUMMARY'!E31</f>
        <v>0</v>
      </c>
      <c r="G29" s="475">
        <f t="shared" si="0"/>
        <v>0</v>
      </c>
    </row>
    <row r="30" spans="1:15" hidden="1">
      <c r="B30" s="406"/>
      <c r="C30" s="46"/>
      <c r="D30" s="46"/>
      <c r="E30" s="466"/>
      <c r="F30" s="479"/>
      <c r="G30" s="475">
        <f t="shared" si="0"/>
        <v>0</v>
      </c>
    </row>
    <row r="31" spans="1:15" hidden="1">
      <c r="B31" s="406"/>
      <c r="C31" s="46"/>
      <c r="D31" s="46"/>
      <c r="E31" s="466"/>
      <c r="F31" s="479"/>
      <c r="G31" s="475">
        <f t="shared" si="0"/>
        <v>0</v>
      </c>
    </row>
    <row r="32" spans="1:15" hidden="1">
      <c r="B32" s="406"/>
      <c r="C32" s="46"/>
      <c r="D32" s="46"/>
      <c r="E32" s="466"/>
      <c r="F32" s="479"/>
      <c r="G32" s="475">
        <f t="shared" si="0"/>
        <v>0</v>
      </c>
    </row>
    <row r="33" spans="1:8">
      <c r="A33" s="398">
        <f>'ADJ SUMMARY'!A30</f>
        <v>2.1599999999999966</v>
      </c>
      <c r="B33" s="406" t="str">
        <f>'ADJ SUMMARY'!C30</f>
        <v>Normalizing Power Supply</v>
      </c>
      <c r="C33" s="46"/>
      <c r="D33" s="46"/>
      <c r="E33" s="466"/>
      <c r="F33" s="479">
        <f>'ADJ SUMMARY'!E30</f>
        <v>0</v>
      </c>
      <c r="G33" s="475">
        <f t="shared" si="0"/>
        <v>0</v>
      </c>
    </row>
    <row r="34" spans="1:8">
      <c r="B34" s="406"/>
      <c r="C34" s="46"/>
      <c r="D34" s="46"/>
      <c r="E34" s="466"/>
      <c r="F34" s="478"/>
      <c r="G34" s="480"/>
    </row>
    <row r="35" spans="1:8">
      <c r="B35" s="406"/>
      <c r="C35" s="46"/>
      <c r="D35" s="46"/>
      <c r="E35" s="467">
        <f>SUM(E11:E33)</f>
        <v>1123911</v>
      </c>
      <c r="F35" s="481">
        <f>SUM(F11:F33)</f>
        <v>13952</v>
      </c>
      <c r="G35" s="482">
        <f>SUM(G11:G33)</f>
        <v>1137863</v>
      </c>
      <c r="H35" s="50"/>
    </row>
    <row r="36" spans="1:8">
      <c r="B36" s="406"/>
      <c r="C36" s="46"/>
      <c r="D36" s="46"/>
      <c r="E36" s="467"/>
      <c r="F36" s="483"/>
      <c r="G36" s="484"/>
    </row>
    <row r="37" spans="1:8">
      <c r="B37" s="406"/>
      <c r="C37" s="46"/>
      <c r="D37" s="46"/>
      <c r="E37" s="467"/>
      <c r="F37" s="483"/>
      <c r="G37" s="484"/>
    </row>
    <row r="38" spans="1:8" ht="5.25" customHeight="1">
      <c r="C38" s="46"/>
      <c r="D38" s="46"/>
      <c r="E38" s="467"/>
      <c r="F38" s="481"/>
      <c r="G38" s="482"/>
    </row>
    <row r="39" spans="1:8">
      <c r="B39" s="65" t="s">
        <v>144</v>
      </c>
      <c r="C39" s="46"/>
      <c r="D39" s="46"/>
      <c r="E39" s="468">
        <f>O23</f>
        <v>2.8500000000000001E-2</v>
      </c>
      <c r="F39" s="485">
        <f>E39</f>
        <v>2.8500000000000001E-2</v>
      </c>
      <c r="G39" s="486">
        <f>E39</f>
        <v>2.8500000000000001E-2</v>
      </c>
    </row>
    <row r="40" spans="1:8" ht="6" customHeight="1">
      <c r="C40" s="46"/>
      <c r="D40" s="46"/>
      <c r="E40" s="467"/>
      <c r="F40" s="481"/>
      <c r="G40" s="482"/>
    </row>
    <row r="41" spans="1:8">
      <c r="B41" s="65" t="s">
        <v>125</v>
      </c>
      <c r="C41" s="46"/>
      <c r="D41" s="46"/>
      <c r="E41" s="467">
        <f>E35*E39</f>
        <v>32031.463500000002</v>
      </c>
      <c r="F41" s="481">
        <f>F35*F39</f>
        <v>397.63200000000001</v>
      </c>
      <c r="G41" s="482">
        <f>SUM(E41:F41)</f>
        <v>32429.095500000003</v>
      </c>
    </row>
    <row r="42" spans="1:8">
      <c r="C42" s="46"/>
      <c r="D42" s="46"/>
      <c r="E42" s="467"/>
      <c r="F42" s="481"/>
      <c r="G42" s="482"/>
    </row>
    <row r="43" spans="1:8">
      <c r="B43" s="65" t="s">
        <v>554</v>
      </c>
      <c r="C43" s="46"/>
      <c r="D43" s="46"/>
      <c r="E43" s="469">
        <v>33020</v>
      </c>
      <c r="F43" s="487">
        <v>0</v>
      </c>
      <c r="G43" s="488">
        <f>SUM(E43:F43)</f>
        <v>33020</v>
      </c>
    </row>
    <row r="44" spans="1:8" ht="5.25" customHeight="1">
      <c r="C44" s="46"/>
      <c r="D44" s="46"/>
      <c r="E44" s="467"/>
      <c r="F44" s="481"/>
      <c r="G44" s="482"/>
    </row>
    <row r="45" spans="1:8">
      <c r="B45" s="65" t="s">
        <v>127</v>
      </c>
      <c r="C45" s="46"/>
      <c r="D45" s="46"/>
      <c r="E45" s="467">
        <f>E41-E43</f>
        <v>-988.53649999999834</v>
      </c>
      <c r="F45" s="481">
        <f>F41-F43</f>
        <v>397.63200000000001</v>
      </c>
      <c r="G45" s="482">
        <f>SUM(E45:F45)</f>
        <v>-590.90449999999828</v>
      </c>
    </row>
    <row r="46" spans="1:8" ht="18" customHeight="1">
      <c r="B46" s="65" t="s">
        <v>128</v>
      </c>
      <c r="D46" s="46"/>
      <c r="E46" s="470">
        <v>0.35</v>
      </c>
      <c r="F46" s="489">
        <v>0.35</v>
      </c>
      <c r="G46" s="488"/>
    </row>
    <row r="47" spans="1:8" ht="5.25" customHeight="1" thickBot="1">
      <c r="D47" s="46"/>
      <c r="E47" s="467"/>
      <c r="F47" s="481"/>
      <c r="G47" s="482"/>
    </row>
    <row r="48" spans="1:8" ht="13.5" thickBot="1">
      <c r="B48" s="65" t="s">
        <v>129</v>
      </c>
      <c r="D48" s="46"/>
      <c r="E48" s="471">
        <f>ROUND(E45*-E46,0)</f>
        <v>346</v>
      </c>
      <c r="F48" s="490">
        <f>ROUND(F45*-F46,0)</f>
        <v>-139</v>
      </c>
      <c r="G48" s="488">
        <f>SUM(E48:F48)</f>
        <v>207</v>
      </c>
      <c r="H48" s="43">
        <f>G48-'ADJ DETAIL-INPUT'!Z51</f>
        <v>0.17119999999999891</v>
      </c>
    </row>
    <row r="49" spans="1:8" ht="22.5">
      <c r="D49" s="46"/>
      <c r="E49" s="492" t="s">
        <v>585</v>
      </c>
      <c r="F49" s="85"/>
      <c r="G49" s="491" t="s">
        <v>586</v>
      </c>
    </row>
    <row r="50" spans="1:8" ht="14.25" customHeight="1">
      <c r="F50" s="408"/>
    </row>
    <row r="51" spans="1:8" hidden="1">
      <c r="A51" s="399" t="s">
        <v>207</v>
      </c>
      <c r="B51" s="407" t="s">
        <v>206</v>
      </c>
    </row>
    <row r="52" spans="1:8" hidden="1">
      <c r="B52" s="405" t="s">
        <v>126</v>
      </c>
    </row>
    <row r="53" spans="1:8" hidden="1">
      <c r="B53" s="65" t="s">
        <v>130</v>
      </c>
      <c r="C53" s="96">
        <v>2430</v>
      </c>
      <c r="H53" s="43" t="s">
        <v>202</v>
      </c>
    </row>
    <row r="54" spans="1:8" hidden="1">
      <c r="B54" s="65" t="s">
        <v>131</v>
      </c>
      <c r="C54" s="95">
        <v>2935</v>
      </c>
      <c r="H54" s="43" t="s">
        <v>202</v>
      </c>
    </row>
    <row r="55" spans="1:8" hidden="1">
      <c r="B55" s="65" t="s">
        <v>132</v>
      </c>
      <c r="C55" s="51">
        <f>C53+C54</f>
        <v>5365</v>
      </c>
    </row>
    <row r="56" spans="1:8" hidden="1">
      <c r="C56" s="50"/>
    </row>
    <row r="57" spans="1:8" hidden="1">
      <c r="C57" s="55"/>
      <c r="D57" s="47"/>
      <c r="E57" s="47" t="s">
        <v>133</v>
      </c>
    </row>
    <row r="58" spans="1:8" hidden="1">
      <c r="C58" s="49" t="s">
        <v>101</v>
      </c>
      <c r="D58" s="49" t="s">
        <v>134</v>
      </c>
      <c r="E58" s="49" t="s">
        <v>30</v>
      </c>
    </row>
    <row r="59" spans="1:8" hidden="1">
      <c r="B59" s="65" t="s">
        <v>135</v>
      </c>
      <c r="C59" s="66" t="e">
        <f>#REF!</f>
        <v>#REF!</v>
      </c>
      <c r="D59" s="67" t="e">
        <f>ROUND(C59/$C$62,4)</f>
        <v>#REF!</v>
      </c>
      <c r="E59" s="66" t="e">
        <f>D59*E62</f>
        <v>#REF!</v>
      </c>
      <c r="F59" s="102"/>
    </row>
    <row r="60" spans="1:8" hidden="1">
      <c r="B60" s="65" t="s">
        <v>136</v>
      </c>
      <c r="C60" s="68" t="e">
        <f>#REF!</f>
        <v>#REF!</v>
      </c>
      <c r="D60" s="67" t="e">
        <f>ROUND(C60/$C$62,4)</f>
        <v>#REF!</v>
      </c>
      <c r="E60" s="68" t="e">
        <f>D60*E62</f>
        <v>#REF!</v>
      </c>
    </row>
    <row r="61" spans="1:8" hidden="1">
      <c r="B61" s="65" t="s">
        <v>137</v>
      </c>
      <c r="C61" s="68" t="e">
        <f>#REF!</f>
        <v>#REF!</v>
      </c>
      <c r="D61" s="67" t="e">
        <f>ROUND(C61/$C$62,4)-0.0001</f>
        <v>#REF!</v>
      </c>
      <c r="E61" s="68" t="e">
        <f>E62*D61</f>
        <v>#REF!</v>
      </c>
    </row>
    <row r="62" spans="1:8" hidden="1">
      <c r="B62" s="65" t="s">
        <v>138</v>
      </c>
      <c r="C62" s="69" t="e">
        <f>C59+C60+C61</f>
        <v>#REF!</v>
      </c>
      <c r="D62" s="70" t="e">
        <f>D59+D60+D61</f>
        <v>#REF!</v>
      </c>
      <c r="E62" s="69">
        <f>C55</f>
        <v>5365</v>
      </c>
    </row>
    <row r="63" spans="1:8" hidden="1">
      <c r="C63" s="71"/>
      <c r="D63" s="71"/>
      <c r="E63" s="71"/>
    </row>
    <row r="64" spans="1:8" hidden="1">
      <c r="B64" s="65" t="s">
        <v>139</v>
      </c>
      <c r="C64" s="66" t="e">
        <f>#REF!</f>
        <v>#REF!</v>
      </c>
      <c r="D64" s="67" t="e">
        <f>C64/C66</f>
        <v>#REF!</v>
      </c>
      <c r="E64" s="66" t="e">
        <f>D64*E66</f>
        <v>#REF!</v>
      </c>
    </row>
    <row r="65" spans="1:6" hidden="1">
      <c r="B65" s="65" t="s">
        <v>140</v>
      </c>
      <c r="C65" s="71" t="e">
        <f>#REF!</f>
        <v>#REF!</v>
      </c>
      <c r="D65" s="67" t="e">
        <f>C65/C66</f>
        <v>#REF!</v>
      </c>
      <c r="E65" s="71" t="e">
        <f>D65*E66</f>
        <v>#REF!</v>
      </c>
    </row>
    <row r="66" spans="1:6" hidden="1">
      <c r="B66" s="65" t="s">
        <v>138</v>
      </c>
      <c r="C66" s="69" t="e">
        <f>C64+C65</f>
        <v>#REF!</v>
      </c>
      <c r="D66" s="70" t="e">
        <f>D64+D65</f>
        <v>#REF!</v>
      </c>
      <c r="E66" s="69" t="e">
        <f>E59</f>
        <v>#REF!</v>
      </c>
    </row>
    <row r="67" spans="1:6" hidden="1">
      <c r="C67" s="71"/>
      <c r="D67" s="71"/>
      <c r="E67" s="71"/>
    </row>
    <row r="68" spans="1:6" hidden="1">
      <c r="B68" s="65" t="s">
        <v>141</v>
      </c>
      <c r="C68" s="66" t="e">
        <f>#REF!</f>
        <v>#REF!</v>
      </c>
      <c r="D68" s="72" t="e">
        <f>C68/C70</f>
        <v>#REF!</v>
      </c>
      <c r="E68" s="66" t="e">
        <f>E70*D68</f>
        <v>#REF!</v>
      </c>
    </row>
    <row r="69" spans="1:6" hidden="1">
      <c r="B69" s="65" t="s">
        <v>142</v>
      </c>
      <c r="C69" s="71" t="e">
        <f>#REF!</f>
        <v>#REF!</v>
      </c>
      <c r="D69" s="73" t="e">
        <f>C69/C70</f>
        <v>#REF!</v>
      </c>
      <c r="E69" s="71" t="e">
        <f>E70*D69</f>
        <v>#REF!</v>
      </c>
    </row>
    <row r="70" spans="1:6" hidden="1">
      <c r="B70" s="65" t="s">
        <v>138</v>
      </c>
      <c r="C70" s="69" t="e">
        <f>SUM(C68:C69)</f>
        <v>#REF!</v>
      </c>
      <c r="D70" s="74" t="e">
        <f>SUM(D68:D69)</f>
        <v>#REF!</v>
      </c>
      <c r="E70" s="69" t="e">
        <f>E60</f>
        <v>#REF!</v>
      </c>
    </row>
    <row r="71" spans="1:6" hidden="1">
      <c r="A71" s="400" t="str">
        <f>A1</f>
        <v>AVISTA UTILITIES</v>
      </c>
      <c r="C71" s="41"/>
      <c r="D71" s="42"/>
      <c r="E71" s="41"/>
      <c r="F71" s="42"/>
    </row>
    <row r="72" spans="1:6" hidden="1">
      <c r="A72" s="400" t="str">
        <f>A2</f>
        <v>Restate Debt Interest</v>
      </c>
      <c r="C72" s="41"/>
      <c r="D72" s="42"/>
      <c r="E72" s="41"/>
      <c r="F72" s="42"/>
    </row>
    <row r="73" spans="1:6" hidden="1">
      <c r="A73" s="400" t="s">
        <v>145</v>
      </c>
      <c r="C73" s="41"/>
      <c r="D73" s="42"/>
      <c r="E73" s="41"/>
      <c r="F73" s="42"/>
    </row>
    <row r="74" spans="1:6" hidden="1">
      <c r="A74" s="401" t="str">
        <f>A4</f>
        <v>TWELVE MONTHS ENDED DECEMBER 31, 2011</v>
      </c>
      <c r="C74" s="44"/>
      <c r="D74" s="42"/>
      <c r="E74" s="44"/>
      <c r="F74" s="42"/>
    </row>
    <row r="75" spans="1:6" hidden="1">
      <c r="A75" s="402" t="s">
        <v>122</v>
      </c>
      <c r="C75" s="41"/>
      <c r="D75" s="42"/>
      <c r="E75" s="42"/>
      <c r="F75" s="42"/>
    </row>
    <row r="76" spans="1:6" hidden="1">
      <c r="C76" s="46"/>
      <c r="D76" s="46"/>
      <c r="E76" s="48"/>
      <c r="F76" s="47" t="s">
        <v>23</v>
      </c>
    </row>
    <row r="77" spans="1:6" hidden="1">
      <c r="B77" s="405" t="s">
        <v>123</v>
      </c>
      <c r="C77" s="46"/>
      <c r="D77" s="46"/>
      <c r="E77" s="48"/>
      <c r="F77" s="49" t="s">
        <v>124</v>
      </c>
    </row>
    <row r="78" spans="1:6" hidden="1">
      <c r="A78" s="398" t="e">
        <f>'ADJ SUMMARY'!#REF!</f>
        <v>#REF!</v>
      </c>
      <c r="B78" s="65" t="e">
        <f>'ADJ SUMMARY'!#REF!</f>
        <v>#REF!</v>
      </c>
      <c r="C78" s="46"/>
      <c r="D78" s="46"/>
      <c r="E78" s="50"/>
      <c r="F78" s="98" t="e">
        <f>'ADJ SUMMARY'!#REF!</f>
        <v>#REF!</v>
      </c>
    </row>
    <row r="79" spans="1:6" hidden="1">
      <c r="A79" s="398" t="e">
        <f>'ADJ SUMMARY'!#REF!</f>
        <v>#REF!</v>
      </c>
      <c r="B79" s="65" t="e">
        <f>'ADJ SUMMARY'!#REF!</f>
        <v>#REF!</v>
      </c>
      <c r="C79" s="46"/>
      <c r="D79" s="46"/>
      <c r="E79" s="50"/>
      <c r="F79" s="98" t="e">
        <f>'ADJ SUMMARY'!#REF!</f>
        <v>#REF!</v>
      </c>
    </row>
    <row r="80" spans="1:6" hidden="1">
      <c r="A80" s="398" t="e">
        <f>'ADJ SUMMARY'!#REF!</f>
        <v>#REF!</v>
      </c>
      <c r="B80" s="65" t="e">
        <f>'ADJ SUMMARY'!#REF!</f>
        <v>#REF!</v>
      </c>
      <c r="C80" s="46"/>
      <c r="D80" s="46"/>
      <c r="E80" s="50"/>
      <c r="F80" s="98" t="e">
        <f>'ADJ SUMMARY'!#REF!</f>
        <v>#REF!</v>
      </c>
    </row>
    <row r="81" spans="1:6" hidden="1">
      <c r="A81" s="398" t="e">
        <f>'ADJ SUMMARY'!#REF!</f>
        <v>#REF!</v>
      </c>
      <c r="B81" s="65" t="e">
        <f>'ADJ SUMMARY'!#REF!</f>
        <v>#REF!</v>
      </c>
      <c r="C81" s="46"/>
      <c r="D81" s="46"/>
      <c r="E81" s="50"/>
      <c r="F81" s="98" t="e">
        <f>'ADJ SUMMARY'!#REF!</f>
        <v>#REF!</v>
      </c>
    </row>
    <row r="82" spans="1:6" hidden="1">
      <c r="A82" s="398" t="e">
        <f>'ADJ SUMMARY'!#REF!</f>
        <v>#REF!</v>
      </c>
      <c r="B82" s="65" t="e">
        <f>'ADJ SUMMARY'!#REF!</f>
        <v>#REF!</v>
      </c>
      <c r="C82" s="46"/>
      <c r="D82" s="46"/>
      <c r="E82" s="50"/>
      <c r="F82" s="98" t="e">
        <f>'ADJ SUMMARY'!#REF!</f>
        <v>#REF!</v>
      </c>
    </row>
    <row r="83" spans="1:6" hidden="1">
      <c r="A83" s="398" t="e">
        <f>'ADJ SUMMARY'!#REF!</f>
        <v>#REF!</v>
      </c>
      <c r="B83" s="65" t="e">
        <f>'ADJ SUMMARY'!#REF!</f>
        <v>#REF!</v>
      </c>
      <c r="C83" s="46"/>
      <c r="D83" s="46"/>
      <c r="E83" s="50"/>
      <c r="F83" s="98" t="e">
        <f>'ADJ SUMMARY'!#REF!</f>
        <v>#REF!</v>
      </c>
    </row>
    <row r="84" spans="1:6" hidden="1">
      <c r="A84" s="398" t="e">
        <f>'ADJ SUMMARY'!#REF!</f>
        <v>#REF!</v>
      </c>
      <c r="B84" s="65" t="e">
        <f>'ADJ SUMMARY'!#REF!</f>
        <v>#REF!</v>
      </c>
      <c r="C84" s="46"/>
      <c r="D84" s="46"/>
      <c r="E84" s="50"/>
      <c r="F84" s="98" t="e">
        <f>'ADJ SUMMARY'!#REF!</f>
        <v>#REF!</v>
      </c>
    </row>
    <row r="85" spans="1:6" hidden="1">
      <c r="A85" s="398" t="e">
        <f>'ADJ SUMMARY'!#REF!</f>
        <v>#REF!</v>
      </c>
      <c r="B85" s="65" t="e">
        <f>'ADJ SUMMARY'!#REF!</f>
        <v>#REF!</v>
      </c>
      <c r="C85" s="46"/>
      <c r="D85" s="46"/>
      <c r="E85" s="50"/>
      <c r="F85" s="98" t="e">
        <f>'ADJ SUMMARY'!#REF!</f>
        <v>#REF!</v>
      </c>
    </row>
    <row r="86" spans="1:6" hidden="1">
      <c r="A86" s="398" t="e">
        <f>'ADJ SUMMARY'!#REF!</f>
        <v>#REF!</v>
      </c>
      <c r="B86" s="65" t="e">
        <f>'ADJ SUMMARY'!#REF!</f>
        <v>#REF!</v>
      </c>
      <c r="C86" s="46"/>
      <c r="D86" s="46"/>
      <c r="E86" s="50"/>
      <c r="F86" s="98" t="e">
        <f>'ADJ SUMMARY'!#REF!</f>
        <v>#REF!</v>
      </c>
    </row>
    <row r="87" spans="1:6" hidden="1">
      <c r="A87" s="398" t="e">
        <f>'ADJ SUMMARY'!#REF!</f>
        <v>#REF!</v>
      </c>
      <c r="B87" s="65" t="e">
        <f>'ADJ SUMMARY'!#REF!</f>
        <v>#REF!</v>
      </c>
      <c r="C87" s="46"/>
      <c r="D87" s="46"/>
      <c r="E87" s="50"/>
      <c r="F87" s="98" t="e">
        <f>'ADJ SUMMARY'!#REF!</f>
        <v>#REF!</v>
      </c>
    </row>
    <row r="88" spans="1:6" hidden="1">
      <c r="A88" s="398" t="e">
        <f>'ADJ SUMMARY'!#REF!</f>
        <v>#REF!</v>
      </c>
      <c r="B88" s="65" t="e">
        <f>'ADJ SUMMARY'!#REF!</f>
        <v>#REF!</v>
      </c>
      <c r="C88" s="46"/>
      <c r="D88" s="46"/>
      <c r="E88" s="50"/>
      <c r="F88" s="98" t="e">
        <f>'ADJ SUMMARY'!#REF!</f>
        <v>#REF!</v>
      </c>
    </row>
    <row r="89" spans="1:6" hidden="1">
      <c r="A89" s="398" t="e">
        <f>'ADJ SUMMARY'!#REF!</f>
        <v>#REF!</v>
      </c>
      <c r="B89" s="65" t="e">
        <f>'ADJ SUMMARY'!#REF!</f>
        <v>#REF!</v>
      </c>
      <c r="C89" s="46"/>
      <c r="D89" s="46"/>
      <c r="E89" s="50"/>
      <c r="F89" s="98" t="e">
        <f>'ADJ SUMMARY'!#REF!</f>
        <v>#REF!</v>
      </c>
    </row>
    <row r="90" spans="1:6" hidden="1">
      <c r="A90" s="398" t="e">
        <f>'ADJ SUMMARY'!#REF!</f>
        <v>#REF!</v>
      </c>
      <c r="B90" s="65" t="e">
        <f>'ADJ SUMMARY'!#REF!</f>
        <v>#REF!</v>
      </c>
      <c r="C90" s="46"/>
      <c r="D90" s="46"/>
      <c r="E90" s="50"/>
      <c r="F90" s="98" t="e">
        <f>'ADJ SUMMARY'!#REF!</f>
        <v>#REF!</v>
      </c>
    </row>
    <row r="91" spans="1:6" hidden="1">
      <c r="A91" s="398" t="e">
        <f>'ADJ SUMMARY'!#REF!</f>
        <v>#REF!</v>
      </c>
      <c r="B91" s="65" t="e">
        <f>'ADJ SUMMARY'!#REF!</f>
        <v>#REF!</v>
      </c>
      <c r="C91" s="46"/>
      <c r="D91" s="46"/>
      <c r="E91" s="50"/>
      <c r="F91" s="98" t="e">
        <f>'ADJ SUMMARY'!#REF!</f>
        <v>#REF!</v>
      </c>
    </row>
    <row r="92" spans="1:6" hidden="1">
      <c r="A92" s="398" t="e">
        <f>'ADJ SUMMARY'!#REF!</f>
        <v>#REF!</v>
      </c>
      <c r="B92" s="65" t="e">
        <f>'ADJ SUMMARY'!#REF!</f>
        <v>#REF!</v>
      </c>
      <c r="C92" s="46"/>
      <c r="D92" s="46"/>
      <c r="E92" s="50"/>
      <c r="F92" s="98" t="e">
        <f>'ADJ SUMMARY'!#REF!</f>
        <v>#REF!</v>
      </c>
    </row>
    <row r="93" spans="1:6" hidden="1">
      <c r="A93" s="398" t="e">
        <f>'ADJ SUMMARY'!#REF!</f>
        <v>#REF!</v>
      </c>
      <c r="B93" s="65" t="e">
        <f>'ADJ SUMMARY'!#REF!</f>
        <v>#REF!</v>
      </c>
      <c r="C93" s="46"/>
      <c r="D93" s="46"/>
      <c r="E93" s="50"/>
      <c r="F93" s="98" t="e">
        <f>'ADJ SUMMARY'!#REF!</f>
        <v>#REF!</v>
      </c>
    </row>
    <row r="94" spans="1:6" hidden="1">
      <c r="A94" s="398" t="e">
        <f>'ADJ SUMMARY'!#REF!</f>
        <v>#REF!</v>
      </c>
      <c r="B94" s="65" t="e">
        <f>'ADJ SUMMARY'!#REF!</f>
        <v>#REF!</v>
      </c>
      <c r="C94" s="46"/>
      <c r="D94" s="46"/>
      <c r="E94" s="50"/>
      <c r="F94" s="98" t="e">
        <f>'ADJ SUMMARY'!#REF!</f>
        <v>#REF!</v>
      </c>
    </row>
    <row r="95" spans="1:6" hidden="1">
      <c r="A95" s="398" t="e">
        <f>'ADJ SUMMARY'!#REF!</f>
        <v>#REF!</v>
      </c>
      <c r="B95" s="65" t="e">
        <f>'ADJ SUMMARY'!#REF!</f>
        <v>#REF!</v>
      </c>
      <c r="C95" s="46"/>
      <c r="D95" s="46"/>
      <c r="E95" s="50"/>
      <c r="F95" s="98" t="e">
        <f>'ADJ SUMMARY'!#REF!</f>
        <v>#REF!</v>
      </c>
    </row>
    <row r="96" spans="1:6" hidden="1">
      <c r="A96" s="398" t="e">
        <f>'ADJ SUMMARY'!#REF!</f>
        <v>#REF!</v>
      </c>
      <c r="B96" s="65" t="e">
        <f>'ADJ SUMMARY'!#REF!</f>
        <v>#REF!</v>
      </c>
      <c r="C96" s="46"/>
      <c r="D96" s="46"/>
      <c r="E96" s="50"/>
      <c r="F96" s="98" t="e">
        <f>'ADJ SUMMARY'!#REF!</f>
        <v>#REF!</v>
      </c>
    </row>
    <row r="97" spans="1:6" hidden="1">
      <c r="A97" s="398" t="e">
        <f>'ADJ SUMMARY'!#REF!</f>
        <v>#REF!</v>
      </c>
      <c r="B97" s="65" t="e">
        <f>'ADJ SUMMARY'!#REF!</f>
        <v>#REF!</v>
      </c>
      <c r="C97" s="46"/>
      <c r="D97" s="46"/>
      <c r="E97" s="50"/>
      <c r="F97" s="98" t="e">
        <f>'ADJ SUMMARY'!#REF!</f>
        <v>#REF!</v>
      </c>
    </row>
    <row r="98" spans="1:6" hidden="1">
      <c r="A98" s="398" t="e">
        <f>'ADJ SUMMARY'!#REF!</f>
        <v>#REF!</v>
      </c>
      <c r="B98" s="65" t="e">
        <f>'ADJ SUMMARY'!#REF!</f>
        <v>#REF!</v>
      </c>
      <c r="C98" s="46"/>
      <c r="D98" s="46"/>
      <c r="E98" s="50"/>
      <c r="F98" s="98" t="e">
        <f>'ADJ SUMMARY'!#REF!</f>
        <v>#REF!</v>
      </c>
    </row>
    <row r="99" spans="1:6" hidden="1">
      <c r="C99" s="46"/>
      <c r="D99" s="46"/>
      <c r="E99" s="50"/>
      <c r="F99" s="98"/>
    </row>
    <row r="100" spans="1:6" hidden="1">
      <c r="A100" s="398" t="e">
        <f>'ADJ SUMMARY'!#REF!</f>
        <v>#REF!</v>
      </c>
      <c r="B100" s="65" t="e">
        <f>'ADJ SUMMARY'!#REF!</f>
        <v>#REF!</v>
      </c>
      <c r="C100" s="46"/>
      <c r="D100" s="46"/>
      <c r="E100" s="50"/>
      <c r="F100" s="98" t="e">
        <f>'ADJ SUMMARY'!#REF!</f>
        <v>#REF!</v>
      </c>
    </row>
    <row r="101" spans="1:6" hidden="1">
      <c r="A101" s="398" t="e">
        <f>'ADJ SUMMARY'!#REF!</f>
        <v>#REF!</v>
      </c>
      <c r="B101" s="65" t="e">
        <f>'ADJ SUMMARY'!#REF!</f>
        <v>#REF!</v>
      </c>
      <c r="C101" s="46"/>
      <c r="D101" s="46"/>
      <c r="E101" s="50"/>
      <c r="F101" s="98" t="e">
        <f>'ADJ SUMMARY'!#REF!</f>
        <v>#REF!</v>
      </c>
    </row>
    <row r="102" spans="1:6" hidden="1">
      <c r="A102" s="398" t="e">
        <f>'ADJ SUMMARY'!#REF!</f>
        <v>#REF!</v>
      </c>
      <c r="B102" s="65" t="e">
        <f>'ADJ SUMMARY'!#REF!</f>
        <v>#REF!</v>
      </c>
      <c r="C102" s="46"/>
      <c r="D102" s="46"/>
      <c r="E102" s="50"/>
      <c r="F102" s="98" t="e">
        <f>'ADJ SUMMARY'!#REF!</f>
        <v>#REF!</v>
      </c>
    </row>
    <row r="103" spans="1:6" hidden="1">
      <c r="A103" s="398" t="e">
        <f>'ADJ SUMMARY'!#REF!</f>
        <v>#REF!</v>
      </c>
      <c r="B103" s="65" t="e">
        <f>'ADJ SUMMARY'!#REF!</f>
        <v>#REF!</v>
      </c>
      <c r="C103" s="46"/>
      <c r="D103" s="46"/>
      <c r="E103" s="50"/>
      <c r="F103" s="98" t="e">
        <f>'ADJ SUMMARY'!#REF!</f>
        <v>#REF!</v>
      </c>
    </row>
    <row r="104" spans="1:6" hidden="1">
      <c r="A104" s="398" t="e">
        <f>'ADJ SUMMARY'!#REF!</f>
        <v>#REF!</v>
      </c>
      <c r="B104" s="65" t="e">
        <f>'ADJ SUMMARY'!#REF!</f>
        <v>#REF!</v>
      </c>
      <c r="C104" s="46"/>
      <c r="D104" s="46"/>
      <c r="E104" s="50"/>
      <c r="F104" s="98" t="e">
        <f>'ADJ SUMMARY'!#REF!</f>
        <v>#REF!</v>
      </c>
    </row>
    <row r="105" spans="1:6" hidden="1">
      <c r="A105" s="398" t="e">
        <f>'ADJ SUMMARY'!#REF!</f>
        <v>#REF!</v>
      </c>
      <c r="B105" s="65" t="e">
        <f>'ADJ SUMMARY'!#REF!</f>
        <v>#REF!</v>
      </c>
      <c r="C105" s="46"/>
      <c r="D105" s="46"/>
      <c r="E105" s="50"/>
      <c r="F105" s="98" t="e">
        <f>'ADJ SUMMARY'!#REF!</f>
        <v>#REF!</v>
      </c>
    </row>
    <row r="106" spans="1:6" hidden="1">
      <c r="A106" s="398" t="e">
        <f>'ADJ SUMMARY'!#REF!</f>
        <v>#REF!</v>
      </c>
      <c r="B106" s="65" t="e">
        <f>'ADJ SUMMARY'!#REF!</f>
        <v>#REF!</v>
      </c>
      <c r="C106" s="46"/>
      <c r="D106" s="46"/>
      <c r="E106" s="50"/>
      <c r="F106" s="98" t="e">
        <f>'ADJ SUMMARY'!#REF!</f>
        <v>#REF!</v>
      </c>
    </row>
    <row r="107" spans="1:6" hidden="1">
      <c r="A107" s="398" t="e">
        <f>'ADJ SUMMARY'!#REF!</f>
        <v>#REF!</v>
      </c>
      <c r="B107" s="65" t="e">
        <f>'ADJ SUMMARY'!#REF!</f>
        <v>#REF!</v>
      </c>
      <c r="C107" s="46"/>
      <c r="D107" s="46"/>
      <c r="E107" s="50"/>
      <c r="F107" s="98" t="e">
        <f>'ADJ SUMMARY'!#REF!</f>
        <v>#REF!</v>
      </c>
    </row>
    <row r="108" spans="1:6" hidden="1">
      <c r="A108" s="398" t="e">
        <f>'ADJ SUMMARY'!#REF!</f>
        <v>#REF!</v>
      </c>
      <c r="B108" s="65" t="e">
        <f>'ADJ SUMMARY'!#REF!</f>
        <v>#REF!</v>
      </c>
      <c r="C108" s="46"/>
      <c r="D108" s="46"/>
      <c r="E108" s="50"/>
      <c r="F108" s="98" t="e">
        <f>'ADJ SUMMARY'!#REF!</f>
        <v>#REF!</v>
      </c>
    </row>
    <row r="109" spans="1:6" hidden="1">
      <c r="A109" s="398" t="e">
        <f>'ADJ SUMMARY'!#REF!</f>
        <v>#REF!</v>
      </c>
      <c r="B109" s="65" t="e">
        <f>'ADJ SUMMARY'!#REF!</f>
        <v>#REF!</v>
      </c>
      <c r="C109" s="46"/>
      <c r="D109" s="46"/>
      <c r="E109" s="50"/>
      <c r="F109" s="98" t="e">
        <f>'ADJ SUMMARY'!#REF!</f>
        <v>#REF!</v>
      </c>
    </row>
    <row r="110" spans="1:6" hidden="1">
      <c r="A110" s="398" t="e">
        <f>'ADJ SUMMARY'!#REF!</f>
        <v>#REF!</v>
      </c>
      <c r="B110" s="65" t="e">
        <f>'ADJ SUMMARY'!#REF!</f>
        <v>#REF!</v>
      </c>
      <c r="C110" s="46"/>
      <c r="D110" s="46"/>
      <c r="E110" s="50"/>
      <c r="F110" s="98" t="e">
        <f>'ADJ SUMMARY'!#REF!</f>
        <v>#REF!</v>
      </c>
    </row>
    <row r="111" spans="1:6" hidden="1">
      <c r="A111" s="398" t="e">
        <f>'ADJ SUMMARY'!#REF!</f>
        <v>#REF!</v>
      </c>
      <c r="B111" s="65" t="e">
        <f>'ADJ SUMMARY'!#REF!</f>
        <v>#REF!</v>
      </c>
      <c r="C111" s="46"/>
      <c r="D111" s="46"/>
      <c r="E111" s="50"/>
      <c r="F111" s="98" t="e">
        <f>'ADJ SUMMARY'!#REF!</f>
        <v>#REF!</v>
      </c>
    </row>
    <row r="112" spans="1:6" hidden="1">
      <c r="A112" s="398" t="e">
        <f>'ADJ SUMMARY'!#REF!</f>
        <v>#REF!</v>
      </c>
      <c r="B112" s="65" t="e">
        <f>'ADJ SUMMARY'!#REF!</f>
        <v>#REF!</v>
      </c>
      <c r="C112" s="46"/>
      <c r="D112" s="46"/>
      <c r="E112" s="50"/>
      <c r="F112" s="98" t="e">
        <f>'ADJ SUMMARY'!#REF!</f>
        <v>#REF!</v>
      </c>
    </row>
    <row r="113" spans="1:8" hidden="1">
      <c r="A113" s="398" t="e">
        <f>'ADJ SUMMARY'!#REF!</f>
        <v>#REF!</v>
      </c>
      <c r="B113" s="65" t="e">
        <f>'ADJ SUMMARY'!#REF!</f>
        <v>#REF!</v>
      </c>
      <c r="C113" s="46"/>
      <c r="D113" s="46"/>
      <c r="E113" s="50"/>
      <c r="F113" s="98" t="e">
        <f>'ADJ SUMMARY'!#REF!</f>
        <v>#REF!</v>
      </c>
    </row>
    <row r="114" spans="1:8" hidden="1">
      <c r="A114" s="398" t="e">
        <f>'ADJ SUMMARY'!#REF!</f>
        <v>#REF!</v>
      </c>
      <c r="B114" s="65" t="e">
        <f>'ADJ SUMMARY'!#REF!</f>
        <v>#REF!</v>
      </c>
      <c r="C114" s="46"/>
      <c r="D114" s="46"/>
      <c r="E114" s="50"/>
      <c r="F114" s="98" t="e">
        <f>'ADJ SUMMARY'!#REF!</f>
        <v>#REF!</v>
      </c>
    </row>
    <row r="115" spans="1:8" hidden="1">
      <c r="A115" s="398" t="e">
        <f>'ADJ SUMMARY'!#REF!</f>
        <v>#REF!</v>
      </c>
      <c r="B115" s="65" t="e">
        <f>'ADJ SUMMARY'!#REF!</f>
        <v>#REF!</v>
      </c>
      <c r="C115" s="46"/>
      <c r="D115" s="46"/>
      <c r="E115" s="50"/>
      <c r="F115" s="98" t="e">
        <f>'ADJ SUMMARY'!#REF!</f>
        <v>#REF!</v>
      </c>
    </row>
    <row r="116" spans="1:8" hidden="1">
      <c r="B116" s="65" t="s">
        <v>160</v>
      </c>
      <c r="C116" s="46"/>
      <c r="D116" s="46"/>
      <c r="E116" s="50"/>
      <c r="F116" s="51" t="e">
        <f>SUM(F78:F115)</f>
        <v>#REF!</v>
      </c>
    </row>
    <row r="117" spans="1:8" hidden="1">
      <c r="C117" s="46"/>
      <c r="D117" s="46"/>
      <c r="E117" s="46"/>
      <c r="F117" s="43"/>
      <c r="G117" s="108"/>
    </row>
    <row r="118" spans="1:8" hidden="1">
      <c r="B118" s="65" t="str">
        <f>B39</f>
        <v>Weighted Average Cost of Debt</v>
      </c>
      <c r="C118" s="62"/>
      <c r="D118" s="62"/>
      <c r="E118" s="63"/>
      <c r="F118" s="122" t="e">
        <f>'not used RR SUMMARY'!#REF!</f>
        <v>#REF!</v>
      </c>
      <c r="H118" s="123" t="s">
        <v>205</v>
      </c>
    </row>
    <row r="119" spans="1:8" hidden="1">
      <c r="C119" s="46"/>
      <c r="D119" s="46"/>
      <c r="F119" s="43"/>
    </row>
    <row r="120" spans="1:8" hidden="1">
      <c r="B120" s="65" t="s">
        <v>125</v>
      </c>
      <c r="C120" s="46"/>
      <c r="D120" s="46"/>
      <c r="E120" s="50"/>
      <c r="F120" s="50" t="e">
        <f>F116*F118</f>
        <v>#REF!</v>
      </c>
    </row>
    <row r="121" spans="1:8" hidden="1">
      <c r="C121" s="46"/>
      <c r="D121" s="46"/>
      <c r="E121" s="46"/>
      <c r="F121" s="43"/>
    </row>
    <row r="122" spans="1:8" hidden="1">
      <c r="B122" s="65" t="s">
        <v>208</v>
      </c>
      <c r="C122" s="46"/>
      <c r="D122" s="46"/>
      <c r="F122" s="110">
        <v>21469</v>
      </c>
      <c r="H122" s="114" t="s">
        <v>213</v>
      </c>
    </row>
    <row r="123" spans="1:8" hidden="1">
      <c r="C123" s="46"/>
      <c r="D123" s="46"/>
      <c r="E123" s="46"/>
      <c r="F123" s="43"/>
    </row>
    <row r="124" spans="1:8" hidden="1">
      <c r="B124" s="65" t="s">
        <v>127</v>
      </c>
      <c r="C124" s="46"/>
      <c r="D124" s="46"/>
      <c r="E124" s="50"/>
      <c r="F124" s="50" t="e">
        <f>F120-F122</f>
        <v>#REF!</v>
      </c>
    </row>
    <row r="125" spans="1:8" hidden="1">
      <c r="B125" s="65" t="s">
        <v>128</v>
      </c>
      <c r="D125" s="46"/>
      <c r="E125" s="53"/>
      <c r="F125" s="54">
        <v>0.35</v>
      </c>
    </row>
    <row r="126" spans="1:8" hidden="1">
      <c r="D126" s="46"/>
      <c r="E126" s="46"/>
      <c r="F126" s="43"/>
    </row>
    <row r="127" spans="1:8" hidden="1">
      <c r="B127" s="65" t="s">
        <v>129</v>
      </c>
      <c r="D127" s="46"/>
      <c r="E127" s="50"/>
      <c r="F127" s="50" t="e">
        <f>F124*-F125</f>
        <v>#REF!</v>
      </c>
      <c r="G127" s="50"/>
    </row>
    <row r="128" spans="1:8" ht="13.5" hidden="1" thickTop="1">
      <c r="D128" s="46"/>
      <c r="E128" s="50"/>
      <c r="F128" s="64"/>
    </row>
    <row r="129" spans="1:6" hidden="1">
      <c r="A129" s="403"/>
      <c r="F129" s="43"/>
    </row>
    <row r="130" spans="1:6" hidden="1">
      <c r="A130" s="403"/>
      <c r="B130" s="405" t="s">
        <v>126</v>
      </c>
      <c r="F130" s="43"/>
    </row>
    <row r="131" spans="1:6" hidden="1">
      <c r="A131" s="403"/>
      <c r="B131" s="65" t="s">
        <v>130</v>
      </c>
      <c r="C131" s="50">
        <f>C53</f>
        <v>2430</v>
      </c>
      <c r="F131" s="43"/>
    </row>
    <row r="132" spans="1:6" hidden="1">
      <c r="A132" s="403"/>
      <c r="B132" s="65" t="s">
        <v>131</v>
      </c>
      <c r="C132" s="43">
        <f>C54</f>
        <v>2935</v>
      </c>
      <c r="F132" s="43"/>
    </row>
    <row r="133" spans="1:6" hidden="1">
      <c r="A133" s="403"/>
      <c r="B133" s="65" t="s">
        <v>132</v>
      </c>
      <c r="C133" s="51">
        <f>C131+C132</f>
        <v>5365</v>
      </c>
      <c r="F133" s="43"/>
    </row>
    <row r="134" spans="1:6" hidden="1">
      <c r="A134" s="403"/>
      <c r="C134" s="50"/>
      <c r="F134" s="43"/>
    </row>
    <row r="135" spans="1:6" hidden="1">
      <c r="A135" s="403"/>
      <c r="C135" s="55"/>
      <c r="D135" s="47"/>
      <c r="E135" s="47" t="s">
        <v>133</v>
      </c>
      <c r="F135" s="43"/>
    </row>
    <row r="136" spans="1:6" hidden="1">
      <c r="A136" s="403"/>
      <c r="C136" s="49" t="s">
        <v>101</v>
      </c>
      <c r="D136" s="49" t="s">
        <v>134</v>
      </c>
      <c r="E136" s="49" t="s">
        <v>30</v>
      </c>
      <c r="F136" s="43"/>
    </row>
    <row r="137" spans="1:6" hidden="1">
      <c r="A137" s="403"/>
      <c r="B137" s="65" t="s">
        <v>135</v>
      </c>
      <c r="C137" s="50" t="e">
        <f>$C$59</f>
        <v>#REF!</v>
      </c>
      <c r="D137" s="52" t="e">
        <f>C137/C140</f>
        <v>#REF!</v>
      </c>
      <c r="E137" s="50" t="e">
        <f>D137*E140</f>
        <v>#REF!</v>
      </c>
      <c r="F137" s="43"/>
    </row>
    <row r="138" spans="1:6" hidden="1">
      <c r="A138" s="403"/>
      <c r="B138" s="65" t="s">
        <v>136</v>
      </c>
      <c r="C138" s="43" t="e">
        <f>$C$60</f>
        <v>#REF!</v>
      </c>
      <c r="D138" s="61" t="e">
        <f>C138/C140</f>
        <v>#REF!</v>
      </c>
      <c r="E138" s="56" t="e">
        <f>D138*E140</f>
        <v>#REF!</v>
      </c>
      <c r="F138" s="43"/>
    </row>
    <row r="139" spans="1:6" hidden="1">
      <c r="A139" s="403"/>
      <c r="B139" s="65" t="s">
        <v>137</v>
      </c>
      <c r="C139" s="43" t="e">
        <f>$C$61</f>
        <v>#REF!</v>
      </c>
      <c r="D139" s="61" t="e">
        <f>C139/C140</f>
        <v>#REF!</v>
      </c>
      <c r="E139" s="56" t="e">
        <f>E140*D139</f>
        <v>#REF!</v>
      </c>
      <c r="F139" s="43"/>
    </row>
    <row r="140" spans="1:6" hidden="1">
      <c r="A140" s="403"/>
      <c r="B140" s="65" t="s">
        <v>138</v>
      </c>
      <c r="C140" s="51" t="e">
        <f>C137+C138+C139</f>
        <v>#REF!</v>
      </c>
      <c r="D140" s="57" t="e">
        <f>D137+D138+D139</f>
        <v>#REF!</v>
      </c>
      <c r="E140" s="51">
        <f>C133</f>
        <v>5365</v>
      </c>
      <c r="F140" s="43"/>
    </row>
    <row r="141" spans="1:6" hidden="1">
      <c r="A141" s="403"/>
      <c r="F141" s="43"/>
    </row>
    <row r="142" spans="1:6" hidden="1">
      <c r="A142" s="403"/>
      <c r="B142" s="65" t="s">
        <v>139</v>
      </c>
      <c r="C142" s="50" t="e">
        <f>$C$64</f>
        <v>#REF!</v>
      </c>
      <c r="D142" s="52" t="e">
        <f>C142/C144</f>
        <v>#REF!</v>
      </c>
      <c r="E142" s="50" t="e">
        <f>D142*E144</f>
        <v>#REF!</v>
      </c>
      <c r="F142" s="43"/>
    </row>
    <row r="143" spans="1:6" hidden="1">
      <c r="A143" s="403"/>
      <c r="B143" s="65" t="s">
        <v>140</v>
      </c>
      <c r="C143" s="43" t="e">
        <f>$C$65</f>
        <v>#REF!</v>
      </c>
      <c r="D143" s="52" t="e">
        <f>C143/C144</f>
        <v>#REF!</v>
      </c>
      <c r="E143" s="43" t="e">
        <f>D143*E144</f>
        <v>#REF!</v>
      </c>
      <c r="F143" s="43"/>
    </row>
    <row r="144" spans="1:6" hidden="1">
      <c r="A144" s="403"/>
      <c r="B144" s="65" t="s">
        <v>138</v>
      </c>
      <c r="C144" s="51" t="e">
        <f>C142+C143</f>
        <v>#REF!</v>
      </c>
      <c r="D144" s="57" t="e">
        <f>D142+D143</f>
        <v>#REF!</v>
      </c>
      <c r="E144" s="51" t="e">
        <f>E137</f>
        <v>#REF!</v>
      </c>
      <c r="F144" s="43"/>
    </row>
    <row r="145" spans="1:6" hidden="1">
      <c r="A145" s="403"/>
      <c r="F145" s="43"/>
    </row>
    <row r="146" spans="1:6" hidden="1">
      <c r="A146" s="403"/>
      <c r="B146" s="65" t="s">
        <v>141</v>
      </c>
      <c r="C146" s="50" t="e">
        <f>$C$68</f>
        <v>#REF!</v>
      </c>
      <c r="D146" s="58" t="e">
        <f>C146/C148</f>
        <v>#REF!</v>
      </c>
      <c r="E146" s="50" t="e">
        <f>E148*D146</f>
        <v>#REF!</v>
      </c>
      <c r="F146" s="43"/>
    </row>
    <row r="147" spans="1:6" hidden="1">
      <c r="A147" s="403"/>
      <c r="B147" s="65" t="s">
        <v>142</v>
      </c>
      <c r="C147" s="43" t="e">
        <f>C$69</f>
        <v>#REF!</v>
      </c>
      <c r="D147" s="59" t="e">
        <f>C147/C148</f>
        <v>#REF!</v>
      </c>
      <c r="E147" s="43" t="e">
        <f>E148*D147</f>
        <v>#REF!</v>
      </c>
      <c r="F147" s="43"/>
    </row>
    <row r="148" spans="1:6" hidden="1">
      <c r="A148" s="403"/>
      <c r="B148" s="65" t="s">
        <v>138</v>
      </c>
      <c r="C148" s="51" t="e">
        <f>SUM(C146:C147)</f>
        <v>#REF!</v>
      </c>
      <c r="D148" s="60" t="e">
        <f>SUM(D146:D147)</f>
        <v>#REF!</v>
      </c>
      <c r="E148" s="51" t="e">
        <f>E138</f>
        <v>#REF!</v>
      </c>
      <c r="F148" s="43"/>
    </row>
  </sheetData>
  <mergeCells count="10">
    <mergeCell ref="A1:H1"/>
    <mergeCell ref="A2:H2"/>
    <mergeCell ref="A3:H3"/>
    <mergeCell ref="A4:H4"/>
    <mergeCell ref="A5:H5"/>
    <mergeCell ref="I12:O12"/>
    <mergeCell ref="I13:O13"/>
    <mergeCell ref="I14:O14"/>
    <mergeCell ref="I15:O15"/>
    <mergeCell ref="E7:G7"/>
  </mergeCells>
  <phoneticPr fontId="0" type="noConversion"/>
  <printOptions horizontalCentered="1"/>
  <pageMargins left="0.75" right="0.75" top="0.5" bottom="0.5" header="0.5" footer="0.25"/>
  <pageSetup scale="80" orientation="portrait" horizontalDpi="300" verticalDpi="300" r:id="rId1"/>
  <headerFooter alignWithMargins="0">
    <oddFooter>&amp;Lfile:  &amp;f&amp;Rkm &amp;d</oddFooter>
  </headerFooter>
  <rowBreaks count="1" manualBreakCount="1">
    <brk id="70" max="16383" man="1"/>
  </rowBreaks>
  <colBreaks count="1" manualBreakCount="1">
    <brk id="8" max="48"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AP42"/>
  <sheetViews>
    <sheetView topLeftCell="D1" zoomScaleNormal="100" workbookViewId="0">
      <selection activeCell="Y35" sqref="Y35"/>
    </sheetView>
  </sheetViews>
  <sheetFormatPr defaultRowHeight="14.25" customHeight="1"/>
  <cols>
    <col min="1" max="1" width="6" style="263" customWidth="1"/>
    <col min="2" max="2" width="2.85546875" style="263" customWidth="1"/>
    <col min="3" max="3" width="48.5703125" style="263" customWidth="1"/>
    <col min="4" max="4" width="7.7109375" style="263" customWidth="1"/>
    <col min="5" max="5" width="15.140625" style="263" customWidth="1"/>
    <col min="6" max="6" width="4.7109375" style="263" hidden="1" customWidth="1"/>
    <col min="7" max="7" width="2.140625" style="23" customWidth="1"/>
    <col min="8" max="8" width="5.28515625" style="23" customWidth="1"/>
    <col min="9" max="9" width="12.85546875" style="23" customWidth="1"/>
    <col min="10" max="10" width="12.85546875" style="23" hidden="1" customWidth="1"/>
    <col min="11" max="11" width="12.85546875" style="23" customWidth="1"/>
    <col min="12" max="12" width="14.5703125" style="35" customWidth="1"/>
    <col min="13" max="13" width="14.140625" style="23" customWidth="1"/>
    <col min="14" max="14" width="14" style="23" customWidth="1"/>
    <col min="15" max="15" width="8.7109375" style="23" customWidth="1"/>
    <col min="16" max="23" width="9.140625" style="23" hidden="1" customWidth="1"/>
    <col min="24" max="29" width="9.140625" style="23"/>
    <col min="30" max="30" width="10.7109375" style="23" bestFit="1" customWidth="1"/>
    <col min="31" max="46" width="9.140625" style="23"/>
    <col min="47" max="47" width="11.42578125" style="23" customWidth="1"/>
    <col min="48" max="16384" width="9.140625" style="23"/>
  </cols>
  <sheetData>
    <row r="1" spans="1:42" ht="14.25" customHeight="1">
      <c r="A1" s="80" t="s">
        <v>91</v>
      </c>
      <c r="B1" s="80"/>
      <c r="C1" s="80"/>
      <c r="D1" s="80"/>
      <c r="E1" s="80"/>
      <c r="F1" s="80"/>
      <c r="H1" s="511" t="s">
        <v>91</v>
      </c>
      <c r="I1" s="511"/>
      <c r="J1" s="511"/>
      <c r="K1" s="511"/>
      <c r="L1" s="511"/>
      <c r="M1" s="511"/>
      <c r="N1" s="511"/>
    </row>
    <row r="2" spans="1:42" ht="14.25" customHeight="1">
      <c r="A2" s="80" t="s">
        <v>230</v>
      </c>
      <c r="B2" s="80"/>
      <c r="C2" s="80"/>
      <c r="D2" s="80"/>
      <c r="E2" s="80"/>
      <c r="F2" s="80"/>
      <c r="H2" s="511" t="s">
        <v>231</v>
      </c>
      <c r="I2" s="511"/>
      <c r="J2" s="511"/>
      <c r="K2" s="511"/>
      <c r="L2" s="511"/>
      <c r="M2" s="511"/>
      <c r="N2" s="511"/>
    </row>
    <row r="3" spans="1:42" ht="14.25" customHeight="1">
      <c r="A3" s="80" t="s">
        <v>146</v>
      </c>
      <c r="B3" s="80"/>
      <c r="C3" s="80"/>
      <c r="D3" s="80"/>
      <c r="E3" s="80"/>
      <c r="F3" s="80"/>
      <c r="H3" s="511" t="s">
        <v>146</v>
      </c>
      <c r="I3" s="511"/>
      <c r="J3" s="511"/>
      <c r="K3" s="511"/>
      <c r="L3" s="511"/>
      <c r="M3" s="511"/>
      <c r="N3" s="511"/>
    </row>
    <row r="4" spans="1:42" ht="14.25" customHeight="1" thickBot="1">
      <c r="A4" s="80" t="str">
        <f>'ADJ DETAIL-INPUT'!A4</f>
        <v>TWELVE MONTHS ENDED DECEMBER 31, 2011</v>
      </c>
      <c r="B4" s="80"/>
      <c r="C4" s="80"/>
      <c r="D4" s="80"/>
      <c r="E4" s="80"/>
      <c r="F4" s="80"/>
      <c r="H4" s="511"/>
      <c r="I4" s="511"/>
      <c r="J4" s="511"/>
      <c r="K4" s="511"/>
      <c r="L4" s="511"/>
      <c r="M4" s="511"/>
      <c r="N4" s="511"/>
    </row>
    <row r="5" spans="1:42" ht="14.25" customHeight="1">
      <c r="A5" s="511"/>
      <c r="B5" s="511"/>
      <c r="C5" s="511"/>
      <c r="D5" s="511"/>
      <c r="E5" s="511"/>
      <c r="F5" s="219"/>
      <c r="H5" s="266" t="s">
        <v>242</v>
      </c>
      <c r="I5" s="267"/>
      <c r="J5" s="267"/>
      <c r="K5" s="267"/>
      <c r="L5" s="267"/>
      <c r="M5" s="267"/>
      <c r="N5" s="268"/>
      <c r="X5" s="286" t="s">
        <v>243</v>
      </c>
      <c r="Y5" s="287"/>
      <c r="Z5" s="287"/>
      <c r="AA5" s="287"/>
      <c r="AB5" s="287"/>
      <c r="AC5" s="287"/>
      <c r="AD5" s="288"/>
    </row>
    <row r="6" spans="1:42" ht="14.25" customHeight="1">
      <c r="A6" s="218" t="s">
        <v>95</v>
      </c>
      <c r="B6" s="218"/>
      <c r="C6" s="218"/>
      <c r="D6" s="218"/>
      <c r="E6" s="218" t="s">
        <v>96</v>
      </c>
      <c r="F6" s="218"/>
      <c r="H6" s="247"/>
      <c r="I6" s="221"/>
      <c r="J6" s="221"/>
      <c r="K6" s="269"/>
      <c r="L6" s="222"/>
      <c r="M6" s="269" t="s">
        <v>120</v>
      </c>
      <c r="N6" s="223"/>
      <c r="X6" s="259"/>
      <c r="Y6" s="227"/>
      <c r="Z6" s="227"/>
      <c r="AA6" s="289"/>
      <c r="AB6" s="228"/>
      <c r="AC6" s="289" t="s">
        <v>120</v>
      </c>
      <c r="AD6" s="229"/>
    </row>
    <row r="7" spans="1:42" ht="14.25" customHeight="1">
      <c r="A7" s="83" t="s">
        <v>21</v>
      </c>
      <c r="B7" s="218"/>
      <c r="C7" s="83" t="s">
        <v>57</v>
      </c>
      <c r="D7" s="219"/>
      <c r="E7" s="83" t="s">
        <v>99</v>
      </c>
      <c r="F7" s="219"/>
      <c r="H7" s="247"/>
      <c r="I7" s="224"/>
      <c r="J7" s="269"/>
      <c r="K7" s="269" t="s">
        <v>97</v>
      </c>
      <c r="L7" s="269" t="s">
        <v>120</v>
      </c>
      <c r="M7" s="269" t="s">
        <v>98</v>
      </c>
      <c r="N7" s="223"/>
      <c r="X7" s="259"/>
      <c r="Y7" s="230"/>
      <c r="Z7" s="289"/>
      <c r="AA7" s="289" t="s">
        <v>97</v>
      </c>
      <c r="AB7" s="289" t="s">
        <v>120</v>
      </c>
      <c r="AC7" s="289" t="s">
        <v>98</v>
      </c>
      <c r="AD7" s="229"/>
    </row>
    <row r="8" spans="1:42" ht="14.25" customHeight="1">
      <c r="A8" s="23"/>
      <c r="B8" s="23"/>
      <c r="C8" s="23"/>
      <c r="D8" s="23"/>
      <c r="E8" s="23"/>
      <c r="F8" s="23"/>
      <c r="H8" s="247"/>
      <c r="I8" s="270" t="s">
        <v>100</v>
      </c>
      <c r="J8" s="269"/>
      <c r="K8" s="270" t="s">
        <v>102</v>
      </c>
      <c r="L8" s="270" t="s">
        <v>103</v>
      </c>
      <c r="M8" s="270" t="s">
        <v>103</v>
      </c>
      <c r="N8" s="223"/>
      <c r="P8" s="248" t="s">
        <v>209</v>
      </c>
      <c r="Q8" s="249"/>
      <c r="R8" s="250" t="s">
        <v>121</v>
      </c>
      <c r="S8" s="251"/>
      <c r="T8" s="218" t="s">
        <v>120</v>
      </c>
      <c r="X8" s="259"/>
      <c r="Y8" s="290" t="s">
        <v>100</v>
      </c>
      <c r="Z8" s="289"/>
      <c r="AA8" s="290" t="s">
        <v>102</v>
      </c>
      <c r="AB8" s="290" t="s">
        <v>103</v>
      </c>
      <c r="AC8" s="290" t="s">
        <v>103</v>
      </c>
      <c r="AD8" s="229"/>
    </row>
    <row r="9" spans="1:42" ht="14.25" customHeight="1">
      <c r="A9" s="220">
        <v>1</v>
      </c>
      <c r="B9" s="23"/>
      <c r="C9" s="23" t="s">
        <v>158</v>
      </c>
      <c r="D9" s="23"/>
      <c r="E9" s="31">
        <f>'ADJ DETAIL-INPUT'!AS79</f>
        <v>1137863</v>
      </c>
      <c r="F9" s="31"/>
      <c r="H9" s="247"/>
      <c r="I9" s="221"/>
      <c r="J9" s="221"/>
      <c r="K9" s="221"/>
      <c r="L9" s="222"/>
      <c r="M9" s="221"/>
      <c r="N9" s="225"/>
      <c r="P9" s="271" t="s">
        <v>210</v>
      </c>
      <c r="Q9" s="219"/>
      <c r="R9" s="218" t="s">
        <v>97</v>
      </c>
      <c r="S9" s="218" t="s">
        <v>120</v>
      </c>
      <c r="T9" s="218" t="s">
        <v>98</v>
      </c>
      <c r="X9" s="259"/>
      <c r="Y9" s="227"/>
      <c r="Z9" s="227"/>
      <c r="AA9" s="227"/>
      <c r="AB9" s="228"/>
      <c r="AC9" s="227"/>
      <c r="AD9" s="231"/>
    </row>
    <row r="10" spans="1:42" ht="14.25" customHeight="1">
      <c r="A10" s="220"/>
      <c r="B10" s="23"/>
      <c r="C10" s="23"/>
      <c r="D10" s="23"/>
      <c r="E10" s="31"/>
      <c r="F10" s="31"/>
      <c r="H10" s="247"/>
      <c r="I10" s="224" t="s">
        <v>211</v>
      </c>
      <c r="J10" s="272"/>
      <c r="K10" s="273">
        <f>100%-K12-K14</f>
        <v>0.53</v>
      </c>
      <c r="L10" s="274">
        <v>0.06</v>
      </c>
      <c r="M10" s="273">
        <f>ROUND(K10*L10,4)</f>
        <v>3.1800000000000002E-2</v>
      </c>
      <c r="N10" s="225"/>
      <c r="P10" s="83" t="s">
        <v>100</v>
      </c>
      <c r="Q10" s="219"/>
      <c r="R10" s="83" t="s">
        <v>102</v>
      </c>
      <c r="S10" s="83" t="s">
        <v>103</v>
      </c>
      <c r="T10" s="83" t="s">
        <v>103</v>
      </c>
      <c r="X10" s="259"/>
      <c r="Y10" s="230" t="s">
        <v>211</v>
      </c>
      <c r="Z10" s="291"/>
      <c r="AA10" s="292">
        <f>100%-AA12-AA14</f>
        <v>0.53</v>
      </c>
      <c r="AB10" s="293">
        <v>0.06</v>
      </c>
      <c r="AC10" s="292">
        <f>ROUND(AA10*AB10,4)</f>
        <v>3.1800000000000002E-2</v>
      </c>
      <c r="AD10" s="231"/>
    </row>
    <row r="11" spans="1:42" ht="14.25" customHeight="1">
      <c r="A11" s="220">
        <v>2</v>
      </c>
      <c r="B11" s="23"/>
      <c r="C11" s="23" t="s">
        <v>105</v>
      </c>
      <c r="D11" s="23"/>
      <c r="E11" s="252">
        <f>M16</f>
        <v>8.3000000000000004E-2</v>
      </c>
      <c r="F11" s="132"/>
      <c r="H11" s="247"/>
      <c r="I11" s="224"/>
      <c r="J11" s="275"/>
      <c r="K11" s="273"/>
      <c r="L11" s="274"/>
      <c r="M11" s="273"/>
      <c r="N11" s="253" t="s">
        <v>203</v>
      </c>
      <c r="P11" s="251"/>
      <c r="Q11" s="249"/>
      <c r="R11" s="251"/>
      <c r="S11" s="251"/>
      <c r="T11" s="251"/>
      <c r="X11" s="259"/>
      <c r="Y11" s="230"/>
      <c r="Z11" s="294"/>
      <c r="AA11" s="292"/>
      <c r="AB11" s="293"/>
      <c r="AC11" s="292"/>
      <c r="AD11" s="262" t="s">
        <v>203</v>
      </c>
    </row>
    <row r="12" spans="1:42" ht="14.25" customHeight="1">
      <c r="A12" s="220"/>
      <c r="B12" s="23"/>
      <c r="C12" s="23"/>
      <c r="D12" s="23"/>
      <c r="E12" s="132"/>
      <c r="F12" s="132"/>
      <c r="H12" s="247"/>
      <c r="I12" s="224" t="s">
        <v>108</v>
      </c>
      <c r="J12" s="275"/>
      <c r="K12" s="273">
        <v>0</v>
      </c>
      <c r="L12" s="274">
        <v>0</v>
      </c>
      <c r="M12" s="273">
        <f>ROUND(K12*L12,4)</f>
        <v>0</v>
      </c>
      <c r="N12" s="307">
        <f>SUM(M10:M12)</f>
        <v>3.1800000000000002E-2</v>
      </c>
      <c r="P12" s="23" t="s">
        <v>104</v>
      </c>
      <c r="Q12" s="29"/>
      <c r="R12" s="116">
        <v>0.4415</v>
      </c>
      <c r="S12" s="116">
        <v>7.7499999999999999E-2</v>
      </c>
      <c r="T12" s="116">
        <f>ROUND(R12*S12,4)</f>
        <v>3.4200000000000001E-2</v>
      </c>
      <c r="X12" s="259"/>
      <c r="Y12" s="230" t="s">
        <v>108</v>
      </c>
      <c r="Z12" s="294"/>
      <c r="AA12" s="292">
        <v>0</v>
      </c>
      <c r="AB12" s="293">
        <v>0</v>
      </c>
      <c r="AC12" s="292">
        <f>ROUND(AA12*AB12,4)</f>
        <v>0</v>
      </c>
      <c r="AD12" s="308">
        <f>SUM(AC10:AC12)</f>
        <v>3.1800000000000002E-2</v>
      </c>
    </row>
    <row r="13" spans="1:42" ht="14.25" customHeight="1">
      <c r="A13" s="220">
        <v>3</v>
      </c>
      <c r="B13" s="23"/>
      <c r="C13" s="23" t="s">
        <v>106</v>
      </c>
      <c r="D13" s="23"/>
      <c r="E13" s="135">
        <f>ROUND(E9*E11,0)</f>
        <v>94443</v>
      </c>
      <c r="F13" s="31"/>
      <c r="H13" s="247"/>
      <c r="I13" s="224"/>
      <c r="J13" s="275"/>
      <c r="K13" s="273"/>
      <c r="L13" s="274"/>
      <c r="M13" s="273"/>
      <c r="N13" s="225"/>
      <c r="Q13" s="85"/>
      <c r="R13" s="116"/>
      <c r="S13" s="116"/>
      <c r="T13" s="116"/>
      <c r="X13" s="259"/>
      <c r="Y13" s="230"/>
      <c r="Z13" s="294"/>
      <c r="AA13" s="292"/>
      <c r="AB13" s="293"/>
      <c r="AC13" s="292"/>
      <c r="AD13" s="231"/>
    </row>
    <row r="14" spans="1:42" ht="14.25" customHeight="1">
      <c r="A14" s="220"/>
      <c r="B14" s="23"/>
      <c r="C14" s="23"/>
      <c r="D14" s="23"/>
      <c r="E14" s="31"/>
      <c r="F14" s="31"/>
      <c r="H14" s="247"/>
      <c r="I14" s="224" t="s">
        <v>10</v>
      </c>
      <c r="J14" s="275"/>
      <c r="K14" s="273">
        <v>0.47</v>
      </c>
      <c r="L14" s="274">
        <v>0.109</v>
      </c>
      <c r="M14" s="273">
        <f>ROUND(K14*L14,4)</f>
        <v>5.1200000000000002E-2</v>
      </c>
      <c r="N14" s="225"/>
      <c r="P14" s="276" t="s">
        <v>107</v>
      </c>
      <c r="Q14" s="277"/>
      <c r="R14" s="278">
        <v>3.39E-2</v>
      </c>
      <c r="S14" s="278">
        <v>7.0800000000000002E-2</v>
      </c>
      <c r="T14" s="278">
        <f>ROUND(R14*S14,4)</f>
        <v>2.3999999999999998E-3</v>
      </c>
      <c r="X14" s="259"/>
      <c r="Y14" s="230" t="s">
        <v>10</v>
      </c>
      <c r="Z14" s="294"/>
      <c r="AA14" s="292">
        <v>0.47</v>
      </c>
      <c r="AB14" s="293">
        <v>0.109</v>
      </c>
      <c r="AC14" s="292">
        <f>ROUND(AA14*AB14,4)</f>
        <v>5.1200000000000002E-2</v>
      </c>
      <c r="AD14" s="231"/>
    </row>
    <row r="15" spans="1:42" ht="14.25" customHeight="1">
      <c r="A15" s="220">
        <v>4</v>
      </c>
      <c r="B15" s="23"/>
      <c r="C15" s="23" t="s">
        <v>110</v>
      </c>
      <c r="D15" s="23"/>
      <c r="E15" s="254">
        <f>'ADJ DETAIL-INPUT'!AS55</f>
        <v>74694.856389999972</v>
      </c>
      <c r="F15" s="29"/>
      <c r="G15" s="125"/>
      <c r="H15" s="247"/>
      <c r="I15" s="224"/>
      <c r="J15" s="275"/>
      <c r="K15" s="279"/>
      <c r="L15" s="280"/>
      <c r="M15" s="273"/>
      <c r="N15" s="223"/>
      <c r="O15" s="111"/>
      <c r="Q15" s="85"/>
      <c r="R15" s="116"/>
      <c r="S15" s="116"/>
      <c r="T15" s="116"/>
      <c r="U15" s="255" t="s">
        <v>203</v>
      </c>
      <c r="V15" s="255" t="s">
        <v>204</v>
      </c>
      <c r="X15" s="259"/>
      <c r="Y15" s="230"/>
      <c r="Z15" s="294"/>
      <c r="AA15" s="295"/>
      <c r="AB15" s="296"/>
      <c r="AC15" s="292"/>
      <c r="AD15" s="229"/>
      <c r="AP15" s="157"/>
    </row>
    <row r="16" spans="1:42" ht="14.25" customHeight="1" thickBot="1">
      <c r="A16" s="220"/>
      <c r="B16" s="23"/>
      <c r="C16" s="23"/>
      <c r="D16" s="23"/>
      <c r="E16" s="23"/>
      <c r="F16" s="23"/>
      <c r="H16" s="247"/>
      <c r="I16" s="224" t="s">
        <v>112</v>
      </c>
      <c r="J16" s="272"/>
      <c r="K16" s="281">
        <f>SUM(K10:K14)</f>
        <v>1</v>
      </c>
      <c r="L16" s="280"/>
      <c r="M16" s="281">
        <f>SUM(M10:M14)</f>
        <v>8.3000000000000004E-2</v>
      </c>
      <c r="N16" s="223"/>
      <c r="O16" s="112"/>
      <c r="P16" s="23" t="s">
        <v>108</v>
      </c>
      <c r="Q16" s="85"/>
      <c r="R16" s="116">
        <f>K12</f>
        <v>0</v>
      </c>
      <c r="S16" s="116">
        <f>L12</f>
        <v>0</v>
      </c>
      <c r="T16" s="116">
        <f>ROUND(R16*S16,4)</f>
        <v>0</v>
      </c>
      <c r="U16" s="256">
        <f>SUM(T12:T16)</f>
        <v>3.6600000000000001E-2</v>
      </c>
      <c r="V16" s="256">
        <f>T12+T16</f>
        <v>3.4200000000000001E-2</v>
      </c>
      <c r="X16" s="259"/>
      <c r="Y16" s="230" t="s">
        <v>112</v>
      </c>
      <c r="Z16" s="291"/>
      <c r="AA16" s="297">
        <f>SUM(AA10:AA14)</f>
        <v>1</v>
      </c>
      <c r="AB16" s="296"/>
      <c r="AC16" s="297">
        <f>SUM(AC10:AC14)</f>
        <v>8.3000000000000004E-2</v>
      </c>
      <c r="AD16" s="229"/>
    </row>
    <row r="17" spans="1:42" ht="14.25" customHeight="1" thickTop="1" thickBot="1">
      <c r="A17" s="220">
        <v>5</v>
      </c>
      <c r="B17" s="23"/>
      <c r="C17" s="23" t="s">
        <v>111</v>
      </c>
      <c r="D17" s="23"/>
      <c r="E17" s="31">
        <f>E13-E15</f>
        <v>19748.143610000028</v>
      </c>
      <c r="F17" s="31"/>
      <c r="G17" s="31"/>
      <c r="H17" s="257"/>
      <c r="I17" s="282"/>
      <c r="J17" s="283"/>
      <c r="K17" s="284"/>
      <c r="L17" s="285"/>
      <c r="M17" s="284"/>
      <c r="N17" s="226"/>
      <c r="Q17" s="85"/>
      <c r="R17" s="116"/>
      <c r="S17" s="116"/>
      <c r="T17" s="116"/>
      <c r="V17" s="113"/>
      <c r="X17" s="232"/>
      <c r="Y17" s="233"/>
      <c r="Z17" s="233"/>
      <c r="AA17" s="233"/>
      <c r="AB17" s="234"/>
      <c r="AC17" s="233"/>
      <c r="AD17" s="235"/>
    </row>
    <row r="18" spans="1:42" ht="14.25" customHeight="1">
      <c r="A18" s="220"/>
      <c r="B18" s="23"/>
      <c r="C18" s="23"/>
      <c r="D18" s="23"/>
      <c r="E18" s="23"/>
      <c r="F18" s="23"/>
      <c r="H18" s="138"/>
      <c r="N18" s="138"/>
      <c r="P18" s="23" t="s">
        <v>109</v>
      </c>
      <c r="Q18" s="85"/>
      <c r="R18" s="116"/>
      <c r="S18" s="116"/>
      <c r="T18" s="116">
        <v>0</v>
      </c>
    </row>
    <row r="19" spans="1:42" ht="14.25" customHeight="1">
      <c r="A19" s="220">
        <v>6</v>
      </c>
      <c r="B19" s="23"/>
      <c r="C19" s="23" t="s">
        <v>113</v>
      </c>
      <c r="D19" s="23"/>
      <c r="E19" s="258">
        <f>'CF '!E26</f>
        <v>0.62082000000000004</v>
      </c>
      <c r="F19" s="23"/>
      <c r="Q19" s="85"/>
      <c r="R19" s="116"/>
      <c r="S19" s="116"/>
      <c r="T19" s="116"/>
    </row>
    <row r="20" spans="1:42" ht="14.25" customHeight="1" thickBot="1">
      <c r="A20" s="220"/>
      <c r="B20" s="23"/>
      <c r="C20" s="23"/>
      <c r="D20" s="23"/>
      <c r="E20" s="23"/>
      <c r="F20" s="23"/>
      <c r="P20" s="23" t="s">
        <v>10</v>
      </c>
      <c r="Q20" s="85"/>
      <c r="R20" s="116">
        <f>K14</f>
        <v>0.47</v>
      </c>
      <c r="S20" s="116">
        <f>L14</f>
        <v>0.109</v>
      </c>
      <c r="T20" s="116">
        <f>ROUND(R20*S20,4)</f>
        <v>5.1200000000000002E-2</v>
      </c>
    </row>
    <row r="21" spans="1:42" ht="14.25" customHeight="1" thickBot="1">
      <c r="A21" s="220">
        <v>7</v>
      </c>
      <c r="B21" s="23"/>
      <c r="C21" s="23" t="s">
        <v>114</v>
      </c>
      <c r="D21" s="23"/>
      <c r="E21" s="128">
        <f>ROUND(E17/E19,0)</f>
        <v>31810</v>
      </c>
      <c r="F21" s="29"/>
      <c r="G21" s="31"/>
      <c r="Q21" s="85"/>
      <c r="R21" s="58"/>
      <c r="S21" s="58"/>
      <c r="T21" s="116"/>
    </row>
    <row r="22" spans="1:42" ht="14.25" customHeight="1">
      <c r="A22" s="220"/>
      <c r="B22" s="251"/>
      <c r="C22" s="23"/>
      <c r="D22" s="23"/>
      <c r="E22" s="23"/>
      <c r="F22" s="23"/>
      <c r="Q22" s="85"/>
      <c r="R22" s="58"/>
      <c r="S22" s="58"/>
      <c r="T22" s="116"/>
      <c r="AP22" s="157"/>
    </row>
    <row r="23" spans="1:42" ht="14.25" customHeight="1">
      <c r="A23" s="220">
        <v>8</v>
      </c>
      <c r="B23" s="251"/>
      <c r="C23" s="23" t="s">
        <v>115</v>
      </c>
      <c r="D23" s="23"/>
      <c r="E23" s="29">
        <f>'ADJ DETAIL-INPUT'!AS14+'ADJ DETAIL-INPUT'!AS15</f>
        <v>452657</v>
      </c>
      <c r="F23" s="29"/>
      <c r="Q23" s="85"/>
      <c r="R23" s="58"/>
      <c r="S23" s="58"/>
      <c r="T23" s="116"/>
    </row>
    <row r="24" spans="1:42" ht="14.25" customHeight="1">
      <c r="A24" s="220"/>
      <c r="B24" s="251"/>
      <c r="C24" s="23"/>
      <c r="D24" s="23"/>
      <c r="E24" s="23"/>
      <c r="F24" s="23"/>
      <c r="Q24" s="85"/>
      <c r="R24" s="58"/>
      <c r="S24" s="58"/>
      <c r="T24" s="116"/>
    </row>
    <row r="25" spans="1:42" ht="14.25" customHeight="1" thickBot="1">
      <c r="A25" s="220">
        <v>9</v>
      </c>
      <c r="B25" s="251"/>
      <c r="C25" s="23" t="s">
        <v>116</v>
      </c>
      <c r="D25" s="23"/>
      <c r="E25" s="260">
        <f>ROUND(E21/E23,4)</f>
        <v>7.0300000000000001E-2</v>
      </c>
      <c r="F25" s="261"/>
      <c r="P25" s="23" t="s">
        <v>112</v>
      </c>
      <c r="Q25" s="29"/>
      <c r="R25" s="260">
        <f>SUM(R12:R20)</f>
        <v>0.94540000000000002</v>
      </c>
      <c r="S25" s="58"/>
      <c r="T25" s="260">
        <f>SUM(T12:T20)</f>
        <v>8.7800000000000003E-2</v>
      </c>
    </row>
    <row r="26" spans="1:42" ht="14.25" customHeight="1" thickTop="1">
      <c r="E26" s="264"/>
    </row>
    <row r="27" spans="1:42" ht="14.25" customHeight="1">
      <c r="A27" s="264"/>
      <c r="B27" s="264"/>
      <c r="C27" s="264"/>
      <c r="D27" s="264"/>
      <c r="E27" s="264"/>
      <c r="F27" s="264"/>
      <c r="G27" s="25"/>
      <c r="O27" s="25"/>
    </row>
    <row r="28" spans="1:42" ht="14.25" customHeight="1">
      <c r="A28" s="264"/>
      <c r="B28" s="264"/>
      <c r="C28" s="264"/>
      <c r="D28" s="264"/>
      <c r="E28" s="29"/>
      <c r="F28" s="264"/>
      <c r="G28" s="25"/>
      <c r="O28" s="25"/>
    </row>
    <row r="29" spans="1:42" ht="14.25" customHeight="1">
      <c r="A29" s="264"/>
      <c r="B29" s="264"/>
      <c r="C29" s="264"/>
      <c r="D29" s="264"/>
      <c r="E29" s="265"/>
      <c r="F29" s="264"/>
      <c r="G29" s="25"/>
      <c r="O29" s="25"/>
    </row>
    <row r="30" spans="1:42" ht="14.25" customHeight="1">
      <c r="A30" s="264"/>
      <c r="B30" s="264"/>
      <c r="C30" s="264"/>
      <c r="D30" s="264"/>
      <c r="E30" s="265"/>
      <c r="F30" s="264"/>
      <c r="G30" s="25"/>
      <c r="O30" s="25"/>
    </row>
    <row r="31" spans="1:42" ht="14.25" customHeight="1">
      <c r="A31" s="264"/>
      <c r="B31" s="264"/>
      <c r="C31" s="264"/>
      <c r="D31" s="264"/>
      <c r="E31" s="264"/>
      <c r="F31" s="264"/>
      <c r="G31" s="25"/>
      <c r="O31" s="25"/>
    </row>
    <row r="32" spans="1:42" ht="14.25" customHeight="1">
      <c r="A32" s="264"/>
      <c r="B32" s="264"/>
      <c r="C32" s="264"/>
      <c r="D32" s="264"/>
      <c r="E32" s="264"/>
      <c r="F32" s="264"/>
      <c r="G32" s="25"/>
      <c r="H32" s="25"/>
      <c r="I32" s="25"/>
      <c r="J32" s="25"/>
      <c r="K32" s="25"/>
      <c r="L32" s="107"/>
      <c r="M32" s="25"/>
      <c r="N32" s="25"/>
      <c r="O32" s="25"/>
    </row>
    <row r="33" spans="1:15" ht="14.25" customHeight="1">
      <c r="A33" s="264"/>
      <c r="B33" s="264"/>
      <c r="C33" s="264"/>
      <c r="D33" s="264"/>
      <c r="E33" s="264"/>
      <c r="F33" s="264"/>
      <c r="G33" s="25"/>
      <c r="H33" s="25"/>
      <c r="I33" s="25"/>
      <c r="J33" s="25"/>
      <c r="K33" s="25"/>
      <c r="L33" s="107"/>
      <c r="M33" s="25"/>
      <c r="N33" s="25"/>
      <c r="O33" s="25"/>
    </row>
    <row r="34" spans="1:15" ht="14.25" customHeight="1">
      <c r="A34" s="264"/>
      <c r="B34" s="264"/>
      <c r="C34" s="264"/>
      <c r="D34" s="264"/>
      <c r="E34" s="264"/>
      <c r="F34" s="264"/>
      <c r="G34" s="25"/>
      <c r="H34" s="25"/>
      <c r="I34" s="25"/>
      <c r="J34" s="25"/>
      <c r="K34" s="25"/>
      <c r="L34" s="107"/>
      <c r="M34" s="25"/>
      <c r="N34" s="25"/>
      <c r="O34" s="25"/>
    </row>
    <row r="35" spans="1:15" ht="14.25" customHeight="1">
      <c r="A35" s="264"/>
      <c r="B35" s="264"/>
      <c r="C35" s="264"/>
      <c r="D35" s="264"/>
      <c r="E35" s="264"/>
      <c r="F35" s="264"/>
      <c r="G35" s="25"/>
      <c r="H35" s="25"/>
      <c r="I35" s="25"/>
      <c r="J35" s="25"/>
      <c r="K35" s="25"/>
      <c r="L35" s="107"/>
      <c r="M35" s="25"/>
      <c r="N35" s="25"/>
      <c r="O35" s="25"/>
    </row>
    <row r="36" spans="1:15" ht="14.25" customHeight="1">
      <c r="A36" s="264"/>
      <c r="B36" s="264"/>
      <c r="C36" s="264"/>
      <c r="D36" s="264"/>
      <c r="E36" s="264"/>
      <c r="F36" s="264"/>
      <c r="G36" s="25"/>
      <c r="H36" s="25"/>
      <c r="N36" s="25"/>
      <c r="O36" s="25"/>
    </row>
    <row r="37" spans="1:15" ht="14.25" customHeight="1">
      <c r="A37" s="264"/>
      <c r="B37" s="264"/>
      <c r="C37" s="264"/>
      <c r="D37" s="264"/>
      <c r="E37" s="264"/>
      <c r="F37" s="264"/>
      <c r="G37" s="25"/>
      <c r="H37" s="25"/>
      <c r="N37" s="25"/>
      <c r="O37" s="25"/>
    </row>
    <row r="38" spans="1:15" ht="14.25" customHeight="1">
      <c r="A38" s="264"/>
      <c r="B38" s="264"/>
      <c r="C38" s="264"/>
      <c r="D38" s="264"/>
      <c r="E38" s="264"/>
      <c r="F38" s="264"/>
      <c r="G38" s="25"/>
      <c r="H38" s="25"/>
      <c r="N38" s="25"/>
      <c r="O38" s="25"/>
    </row>
    <row r="39" spans="1:15" ht="14.25" customHeight="1">
      <c r="A39" s="264"/>
      <c r="B39" s="264"/>
      <c r="C39" s="264"/>
      <c r="D39" s="264"/>
      <c r="E39" s="264"/>
      <c r="F39" s="264"/>
      <c r="G39" s="25"/>
      <c r="H39" s="25"/>
      <c r="N39" s="25"/>
      <c r="O39" s="25"/>
    </row>
    <row r="40" spans="1:15" ht="14.25" customHeight="1">
      <c r="A40" s="264"/>
      <c r="B40" s="264"/>
      <c r="C40" s="264"/>
      <c r="D40" s="264"/>
      <c r="E40" s="264"/>
      <c r="F40" s="264"/>
      <c r="G40" s="25"/>
      <c r="H40" s="25"/>
      <c r="N40" s="25"/>
      <c r="O40" s="25"/>
    </row>
    <row r="41" spans="1:15" ht="14.25" customHeight="1">
      <c r="A41" s="264"/>
      <c r="B41" s="264"/>
      <c r="C41" s="264"/>
      <c r="D41" s="264"/>
      <c r="E41" s="264"/>
      <c r="F41" s="264"/>
      <c r="G41" s="25"/>
      <c r="O41" s="25"/>
    </row>
    <row r="42" spans="1:15" ht="14.25" customHeight="1">
      <c r="A42" s="264"/>
      <c r="B42" s="264"/>
      <c r="C42" s="264"/>
      <c r="D42" s="264"/>
      <c r="E42" s="264"/>
      <c r="F42" s="264"/>
      <c r="G42" s="25"/>
      <c r="O42" s="25"/>
    </row>
  </sheetData>
  <mergeCells count="5">
    <mergeCell ref="A5:E5"/>
    <mergeCell ref="H1:N1"/>
    <mergeCell ref="H2:N2"/>
    <mergeCell ref="H3:N3"/>
    <mergeCell ref="H4:N4"/>
  </mergeCells>
  <phoneticPr fontId="0" type="noConversion"/>
  <pageMargins left="1.25" right="0.51" top="1.25" bottom="0.5" header="0.5" footer="0.5"/>
  <pageSetup firstPageNumber="4" orientation="portrait" r:id="rId1"/>
  <headerFooter scaleWithDoc="0" alignWithMargins="0">
    <oddHeader xml:space="preserve">&amp;RExhibit No. ____(EMA-2) </oddHeader>
    <oddFooter>&amp;RPage &amp;P of &amp;N</oddFooter>
  </headerFooter>
  <colBreaks count="1" manualBreakCount="1">
    <brk id="5" max="2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2016-08-17T07:00:00+00:00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6E09637-404D-4885-95B3-B35FD6CC5FFA}"/>
</file>

<file path=customXml/itemProps2.xml><?xml version="1.0" encoding="utf-8"?>
<ds:datastoreItem xmlns:ds="http://schemas.openxmlformats.org/officeDocument/2006/customXml" ds:itemID="{14C0F120-597F-4BA4-A4EC-248F7CC8036E}"/>
</file>

<file path=customXml/itemProps3.xml><?xml version="1.0" encoding="utf-8"?>
<ds:datastoreItem xmlns:ds="http://schemas.openxmlformats.org/officeDocument/2006/customXml" ds:itemID="{D6E86C42-72A7-4567-98FF-3FA87BBC3286}"/>
</file>

<file path=customXml/itemProps4.xml><?xml version="1.0" encoding="utf-8"?>
<ds:datastoreItem xmlns:ds="http://schemas.openxmlformats.org/officeDocument/2006/customXml" ds:itemID="{64EEFA21-FD7C-4981-AFF5-4BA0212961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ADJ DETAIL-INPUT</vt:lpstr>
      <vt:lpstr>CF </vt:lpstr>
      <vt:lpstr>ADJ SUMMARY</vt:lpstr>
      <vt:lpstr>LEAD SHEETS-DO NOT ENTER</vt:lpstr>
      <vt:lpstr>ROO INPUT</vt:lpstr>
      <vt:lpstr>DEBT CALC</vt:lpstr>
      <vt:lpstr>not used RR SUMMARY</vt:lpstr>
      <vt:lpstr>ID_Elec</vt:lpstr>
      <vt:lpstr>'ADJ DETAIL-INPUT'!Print_Area</vt:lpstr>
      <vt:lpstr>'ADJ SUMMARY'!Print_Area</vt:lpstr>
      <vt:lpstr>'CF '!Print_Area</vt:lpstr>
      <vt:lpstr>'DEBT CALC'!Print_Area</vt:lpstr>
      <vt:lpstr>'LEAD SHEETS-DO NOT ENTER'!Print_Area</vt:lpstr>
      <vt:lpstr>'not used RR SUMMARY'!Print_Area</vt:lpstr>
      <vt:lpstr>'ROO INPUT'!Print_Area</vt:lpstr>
      <vt:lpstr>Print_for_CBReport</vt:lpstr>
      <vt:lpstr>'ADJ DETAIL-INPUT'!Print_Titles</vt:lpstr>
      <vt:lpstr>'LEAD SHEETS-DO NOT ENTER'!Print_Titles</vt:lpstr>
      <vt:lpstr>'ROO INPUT'!Print_Titles</vt:lpstr>
      <vt:lpstr>WA_Elec</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Liz Andrews</cp:lastModifiedBy>
  <cp:lastPrinted>2012-03-30T13:55:08Z</cp:lastPrinted>
  <dcterms:created xsi:type="dcterms:W3CDTF">1997-05-15T21:41:44Z</dcterms:created>
  <dcterms:modified xsi:type="dcterms:W3CDTF">2016-05-10T20:24:17Z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