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TIVE\Cases\UE\UE_UG_170485-86_Avista_2017_GRC\1_Filings\Testimony_Direct_Response\PC\Mark Garrett\"/>
    </mc:Choice>
  </mc:AlternateContent>
  <bookViews>
    <workbookView xWindow="0" yWindow="0" windowWidth="14370" windowHeight="7425"/>
  </bookViews>
  <sheets>
    <sheet name="RevReq" sheetId="1" r:id="rId1"/>
    <sheet name="Summary" sheetId="12" r:id="rId2"/>
    <sheet name="Labor" sheetId="8" r:id="rId3"/>
    <sheet name="PropTax" sheetId="6" r:id="rId4"/>
    <sheet name="Director Fees" sheetId="4" r:id="rId5"/>
    <sheet name="Cost of Capital" sheetId="13" r:id="rId6"/>
  </sheets>
  <definedNames>
    <definedName name="_xlnm.Print_Area" localSheetId="1">Summary!$A$1:$W$51</definedName>
  </definedNames>
  <calcPr calcId="162913" calcMode="manual"/>
</workbook>
</file>

<file path=xl/calcChain.xml><?xml version="1.0" encoding="utf-8"?>
<calcChain xmlns="http://schemas.openxmlformats.org/spreadsheetml/2006/main">
  <c r="G21" i="6" l="1"/>
  <c r="G19" i="6"/>
  <c r="G24" i="8"/>
  <c r="G22" i="8"/>
  <c r="I14" i="8"/>
  <c r="I20" i="8"/>
  <c r="G20" i="8"/>
  <c r="I17" i="6"/>
  <c r="I11" i="6" s="1"/>
  <c r="I15" i="6" s="1"/>
  <c r="G17" i="6"/>
  <c r="G21" i="4"/>
  <c r="G15" i="4"/>
  <c r="G11" i="4"/>
  <c r="I15" i="4"/>
  <c r="I11" i="4"/>
  <c r="G16" i="1"/>
  <c r="G10" i="1"/>
  <c r="G20" i="1"/>
  <c r="E16" i="1"/>
  <c r="E10" i="1"/>
  <c r="O42" i="12"/>
  <c r="O32" i="12"/>
  <c r="M42" i="12"/>
  <c r="M36" i="12"/>
  <c r="O36" i="12" s="1"/>
  <c r="M32" i="12"/>
  <c r="S20" i="12"/>
  <c r="Q43" i="12"/>
  <c r="O43" i="12"/>
  <c r="S43" i="12" s="1"/>
  <c r="Q42" i="12"/>
  <c r="Q41" i="12"/>
  <c r="O41" i="12"/>
  <c r="S41" i="12" s="1"/>
  <c r="Q40" i="12"/>
  <c r="O40" i="12"/>
  <c r="S40" i="12" s="1"/>
  <c r="W40" i="12" s="1"/>
  <c r="Q39" i="12"/>
  <c r="O39" i="12"/>
  <c r="S39" i="12" s="1"/>
  <c r="Q38" i="12"/>
  <c r="S38" i="12" s="1"/>
  <c r="W38" i="12" s="1"/>
  <c r="O38" i="12"/>
  <c r="Q37" i="12"/>
  <c r="O37" i="12"/>
  <c r="S37" i="12" s="1"/>
  <c r="Q36" i="12"/>
  <c r="S36" i="12" s="1"/>
  <c r="W36" i="12" s="1"/>
  <c r="Q35" i="12"/>
  <c r="O35" i="12"/>
  <c r="Q34" i="12"/>
  <c r="O34" i="12"/>
  <c r="Q33" i="12"/>
  <c r="O33" i="12"/>
  <c r="Q32" i="12"/>
  <c r="Q31" i="12"/>
  <c r="O31" i="12"/>
  <c r="S31" i="12" s="1"/>
  <c r="Q28" i="12"/>
  <c r="O28" i="12"/>
  <c r="Q27" i="12"/>
  <c r="O27" i="12"/>
  <c r="S27" i="12" s="1"/>
  <c r="Q26" i="12"/>
  <c r="O26" i="12"/>
  <c r="S26" i="12" s="1"/>
  <c r="Q25" i="12"/>
  <c r="O25" i="12"/>
  <c r="S25" i="12" s="1"/>
  <c r="Q24" i="12"/>
  <c r="O24" i="12"/>
  <c r="Q23" i="12"/>
  <c r="O23" i="12"/>
  <c r="S23" i="12" s="1"/>
  <c r="Q22" i="12"/>
  <c r="O22" i="12"/>
  <c r="S22" i="12" s="1"/>
  <c r="Q21" i="12"/>
  <c r="O21" i="12"/>
  <c r="S21" i="12" s="1"/>
  <c r="Q20" i="12"/>
  <c r="O20" i="12"/>
  <c r="Q19" i="12"/>
  <c r="O19" i="12"/>
  <c r="S19" i="12" s="1"/>
  <c r="Q18" i="12"/>
  <c r="O18" i="12"/>
  <c r="S18" i="12" s="1"/>
  <c r="Q17" i="12"/>
  <c r="O17" i="12"/>
  <c r="S17" i="12" s="1"/>
  <c r="Q16" i="12"/>
  <c r="O16" i="12"/>
  <c r="Q15" i="12"/>
  <c r="O15" i="12"/>
  <c r="S15" i="12" s="1"/>
  <c r="Q14" i="12"/>
  <c r="O14" i="12"/>
  <c r="S14" i="12" s="1"/>
  <c r="Q13" i="12"/>
  <c r="O13" i="12"/>
  <c r="S13" i="12" s="1"/>
  <c r="Q12" i="12"/>
  <c r="O12" i="12"/>
  <c r="Q11" i="12"/>
  <c r="O11" i="12"/>
  <c r="S11" i="12" s="1"/>
  <c r="Q10" i="12"/>
  <c r="Q45" i="12" s="1"/>
  <c r="O10" i="12"/>
  <c r="S10" i="12" s="1"/>
  <c r="K45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W26" i="12" l="1"/>
  <c r="S34" i="12"/>
  <c r="W34" i="12" s="1"/>
  <c r="S12" i="12"/>
  <c r="S16" i="12"/>
  <c r="S24" i="12"/>
  <c r="S28" i="12"/>
  <c r="W28" i="12" s="1"/>
  <c r="S33" i="12"/>
  <c r="W33" i="12" s="1"/>
  <c r="S35" i="12"/>
  <c r="W35" i="12" s="1"/>
  <c r="S32" i="12"/>
  <c r="W32" i="12" s="1"/>
  <c r="S42" i="12"/>
  <c r="W42" i="12" s="1"/>
  <c r="W25" i="12"/>
  <c r="W27" i="12"/>
  <c r="W31" i="12"/>
  <c r="W37" i="12"/>
  <c r="W39" i="12"/>
  <c r="W41" i="12"/>
  <c r="O45" i="12"/>
  <c r="S45" i="12" l="1"/>
  <c r="G14" i="8" l="1"/>
  <c r="G37" i="13"/>
  <c r="G35" i="13"/>
  <c r="G39" i="13" s="1"/>
  <c r="E35" i="13"/>
  <c r="E39" i="13" s="1"/>
  <c r="G19" i="13"/>
  <c r="E17" i="13"/>
  <c r="G17" i="13" s="1"/>
  <c r="W11" i="12" l="1"/>
  <c r="W10" i="12"/>
  <c r="G11" i="6"/>
  <c r="E21" i="13"/>
  <c r="G21" i="13"/>
  <c r="W43" i="12"/>
  <c r="W12" i="12"/>
  <c r="W16" i="12"/>
  <c r="W20" i="12"/>
  <c r="W24" i="12"/>
  <c r="W14" i="12"/>
  <c r="W18" i="12"/>
  <c r="W22" i="12"/>
  <c r="W13" i="12"/>
  <c r="W17" i="12"/>
  <c r="W21" i="12"/>
  <c r="W15" i="12"/>
  <c r="W19" i="12"/>
  <c r="W23" i="12"/>
  <c r="W45" i="12" l="1"/>
  <c r="G18" i="8" l="1"/>
  <c r="I18" i="8"/>
  <c r="G15" i="6" l="1"/>
  <c r="E14" i="1" l="1"/>
  <c r="G14" i="1" l="1"/>
  <c r="E18" i="1"/>
  <c r="E22" i="1" s="1"/>
  <c r="G18" i="1" l="1"/>
  <c r="G22" i="1" s="1"/>
</calcChain>
</file>

<file path=xl/sharedStrings.xml><?xml version="1.0" encoding="utf-8"?>
<sst xmlns="http://schemas.openxmlformats.org/spreadsheetml/2006/main" count="267" uniqueCount="159">
  <si>
    <t>AVISTA CORPORATION</t>
  </si>
  <si>
    <t>CALCULATION OF GENERAL REVENUE REQUIREMENT</t>
  </si>
  <si>
    <t>Line</t>
  </si>
  <si>
    <t>No.</t>
  </si>
  <si>
    <t>Description</t>
  </si>
  <si>
    <t>Rate Base</t>
  </si>
  <si>
    <t>Net Operating Income Requirement</t>
  </si>
  <si>
    <t>Adjusted Net Operating Income</t>
  </si>
  <si>
    <t>Adjusted Rate Base</t>
  </si>
  <si>
    <t>Net Operating Income Deficiency/(Sufficiency)</t>
  </si>
  <si>
    <t>Revenue Conversion Factor</t>
  </si>
  <si>
    <t>Revenue Requirement</t>
  </si>
  <si>
    <t>Amount</t>
  </si>
  <si>
    <t>Per Company</t>
  </si>
  <si>
    <t>Per PC</t>
  </si>
  <si>
    <t>(000s of Dollars)</t>
  </si>
  <si>
    <t>Schedule No. 1</t>
  </si>
  <si>
    <t>Deferred FIT Rate Base</t>
  </si>
  <si>
    <t>Deferred Debits and Credits</t>
  </si>
  <si>
    <t>Working Capital</t>
  </si>
  <si>
    <t>Eliminate B &amp; O Taxes</t>
  </si>
  <si>
    <t>Restate Property Tax</t>
  </si>
  <si>
    <t>Regulatory Expense</t>
  </si>
  <si>
    <t>Restate Excise Taxes</t>
  </si>
  <si>
    <t>Eliminate Adder Schedules</t>
  </si>
  <si>
    <t>Restate Debt Interest</t>
  </si>
  <si>
    <t>Pro Forma Labor Non-Exec</t>
  </si>
  <si>
    <t>Pro Forma Labor Exec</t>
  </si>
  <si>
    <t>Pro Forma Employee Benefits</t>
  </si>
  <si>
    <t>Pro Forma Property Tax</t>
  </si>
  <si>
    <t>Pro Forma Revenue Normalization</t>
  </si>
  <si>
    <t>Avista</t>
  </si>
  <si>
    <t>Adj. #</t>
  </si>
  <si>
    <t xml:space="preserve">NOI   </t>
  </si>
  <si>
    <t>Rev Req</t>
  </si>
  <si>
    <t>Public Counsel</t>
  </si>
  <si>
    <t>Position on Avista's</t>
  </si>
  <si>
    <t>Revised Position</t>
  </si>
  <si>
    <t>Rev. Req.</t>
  </si>
  <si>
    <t>Impact of</t>
  </si>
  <si>
    <t>Differences</t>
  </si>
  <si>
    <t>PC Neutral in Direct</t>
  </si>
  <si>
    <t>PC Opposes</t>
  </si>
  <si>
    <t>Public Counsel Adjustments</t>
  </si>
  <si>
    <t>and/or PC Neutral in Direct</t>
  </si>
  <si>
    <t>Schedule No. 2</t>
  </si>
  <si>
    <t>Source/Notes:</t>
  </si>
  <si>
    <t>Per Avista</t>
  </si>
  <si>
    <t>Adjustment</t>
  </si>
  <si>
    <t>PRO FORMA PROPERTY TAX EXPENSE</t>
  </si>
  <si>
    <t>PC-E.3.06</t>
  </si>
  <si>
    <t>Pro Forma Property Tax Expense Adjustment</t>
  </si>
  <si>
    <t>Federal Income Tax Rate</t>
  </si>
  <si>
    <t>Reduction in Federal Income Tax Expense</t>
  </si>
  <si>
    <t>Adjustment to Net Operating Income</t>
  </si>
  <si>
    <t>NON-EXECUTIVE LABOR ADJUSTMENT</t>
  </si>
  <si>
    <t>PC-E.3.02</t>
  </si>
  <si>
    <t>Schedule No. 3</t>
  </si>
  <si>
    <t>Schedule No. 4</t>
  </si>
  <si>
    <t>Schedule No. 5</t>
  </si>
  <si>
    <t>ELECTRIC DOCKET NO. UE-170485</t>
  </si>
  <si>
    <t>TEST YEAR ENDED DECEMBER 31, 2016</t>
  </si>
  <si>
    <t>Dockets UE-170485 &amp; UG-170486</t>
  </si>
  <si>
    <t>Restatement Summary</t>
  </si>
  <si>
    <t>Washington Electric</t>
  </si>
  <si>
    <t>WP Ref</t>
  </si>
  <si>
    <t>Description of Adjustment</t>
  </si>
  <si>
    <t>Pro Forma Adjustments</t>
  </si>
  <si>
    <t xml:space="preserve">AVISTA UTILITIES  </t>
  </si>
  <si>
    <t>TWELVE MONTHS ENDED DECEMBER 31, 2016</t>
  </si>
  <si>
    <t>Restating Incentives</t>
  </si>
  <si>
    <t>Pro Forma IS/IT Expense</t>
  </si>
  <si>
    <t>Pro Forma 2017 Threshhold Capital Adds</t>
  </si>
  <si>
    <t>Pro Forma O&amp;M Offsets</t>
  </si>
  <si>
    <t>Rate of Return</t>
  </si>
  <si>
    <t>Avista Adjustments</t>
  </si>
  <si>
    <t>(1)</t>
  </si>
  <si>
    <t>(3)</t>
  </si>
  <si>
    <t>(2)</t>
  </si>
  <si>
    <t>PC</t>
  </si>
  <si>
    <t>Reverse 50% of Company's proposed adjustment to Pyroll Expense.</t>
  </si>
  <si>
    <t>Reverse 50% of Company's proposed adjustment to Property Tax Expense.</t>
  </si>
  <si>
    <t>Reverse 100% of Company's proposed adjustment for Director's Fees.</t>
  </si>
  <si>
    <t>AVISTA UTILITIES</t>
  </si>
  <si>
    <t>TRADITIONAL PRO FORMA COST OF CAPITAL</t>
  </si>
  <si>
    <t>WASHINGTON ELECTRIC</t>
  </si>
  <si>
    <t>Capital</t>
  </si>
  <si>
    <t>Weighted</t>
  </si>
  <si>
    <t>Component</t>
  </si>
  <si>
    <t>Structure</t>
  </si>
  <si>
    <t>Cost</t>
  </si>
  <si>
    <t>Total Debt</t>
  </si>
  <si>
    <t>Common</t>
  </si>
  <si>
    <t>Total</t>
  </si>
  <si>
    <t>PUBLIC COUNSEL</t>
  </si>
  <si>
    <t>COST OF CAPITAL</t>
  </si>
  <si>
    <t>Page 5 of 6</t>
  </si>
  <si>
    <t>DIRECTOR'S FEES</t>
  </si>
  <si>
    <t>Avista Adjustment to Net Operating Income</t>
  </si>
  <si>
    <t>Remove Half of Company Adjustment</t>
  </si>
  <si>
    <t>PC Adjustment</t>
  </si>
  <si>
    <t>Total Non-Exec. Labor Adjustment</t>
  </si>
  <si>
    <t>Remove 100% of Company Adjustment</t>
  </si>
  <si>
    <t>Directors Fee per Avista</t>
  </si>
  <si>
    <t xml:space="preserve">     Pro Forma Total</t>
  </si>
  <si>
    <t>G-ROO</t>
  </si>
  <si>
    <t>Per Results Report</t>
  </si>
  <si>
    <t>G-DFIT</t>
  </si>
  <si>
    <t>G-DDC</t>
  </si>
  <si>
    <t>G-WC</t>
  </si>
  <si>
    <t>G-EBO</t>
  </si>
  <si>
    <t>G-RPT</t>
  </si>
  <si>
    <t>G-UE</t>
  </si>
  <si>
    <t>Uncollectible Expense</t>
  </si>
  <si>
    <t>G-RE</t>
  </si>
  <si>
    <t>G-ID</t>
  </si>
  <si>
    <t>Injuries &amp; Damages</t>
  </si>
  <si>
    <t>G-FIT</t>
  </si>
  <si>
    <t>FIT / DFIT Expense</t>
  </si>
  <si>
    <t>G-OSC</t>
  </si>
  <si>
    <t>Office Space Charges to Subs</t>
  </si>
  <si>
    <t>G-RET</t>
  </si>
  <si>
    <t>G-NGL</t>
  </si>
  <si>
    <t>Net Gains &amp; Losses</t>
  </si>
  <si>
    <t>G-WNGC</t>
  </si>
  <si>
    <t>Weather Normalization / Gas Cost Adjust</t>
  </si>
  <si>
    <t>G-EAS</t>
  </si>
  <si>
    <t>G-MR</t>
  </si>
  <si>
    <t>Misc. Restating Non-Util / Non- Recurring Expenses</t>
  </si>
  <si>
    <t>G-CD</t>
  </si>
  <si>
    <t>Project Compass Deferral</t>
  </si>
  <si>
    <t>G-RI</t>
  </si>
  <si>
    <t>G-DI</t>
  </si>
  <si>
    <t>G-PAT</t>
  </si>
  <si>
    <t>Pro Forma Atmospheric Testing &amp; Leak Survey</t>
  </si>
  <si>
    <t>G-PLN</t>
  </si>
  <si>
    <t>G-PLE</t>
  </si>
  <si>
    <t>G-PEB</t>
  </si>
  <si>
    <t>G-PI</t>
  </si>
  <si>
    <t>Pro Forma Incentive Adjustment</t>
  </si>
  <si>
    <t>G-PPT</t>
  </si>
  <si>
    <t>G-PIS</t>
  </si>
  <si>
    <t>G-PREV</t>
  </si>
  <si>
    <t>G-PRA</t>
  </si>
  <si>
    <t>Pro Forma Regulatory Amortization</t>
  </si>
  <si>
    <t>G-PCAP16</t>
  </si>
  <si>
    <t>G-POFF</t>
  </si>
  <si>
    <t>G-PDF</t>
  </si>
  <si>
    <t>Pro Forma Director Fees Expense</t>
  </si>
  <si>
    <t>G-PLEAP</t>
  </si>
  <si>
    <t>Pro Forma Leap Deferral Gas Line Ext.</t>
  </si>
  <si>
    <t>Exh EMA-6 Pro Forma Study Electric Model; Adj Detail Input Tab</t>
  </si>
  <si>
    <t>Page 1 of 6</t>
  </si>
  <si>
    <t>Page 2 of 6</t>
  </si>
  <si>
    <t>Page 3 of 6</t>
  </si>
  <si>
    <t>Page 4 of 6</t>
  </si>
  <si>
    <t>Page 6 of 6</t>
  </si>
  <si>
    <t>Schedule No. 6</t>
  </si>
  <si>
    <t>Exhibit No. MEG-12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</si>
</sst>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00_);_(* \(#,##0.000\);_(* &quot;-&quot;??_);_(@_)"/>
    <numFmt numFmtId="167" formatCode="0.0%"/>
    <numFmt numFmtId="168" formatCode="0.000%"/>
  </numFmts>
  <fonts count="9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2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7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2" applyNumberFormat="1" applyFont="1"/>
    <xf numFmtId="10" fontId="0" fillId="0" borderId="1" xfId="2" applyNumberFormat="1" applyFont="1" applyBorder="1"/>
    <xf numFmtId="0" fontId="0" fillId="0" borderId="0" xfId="0" quotePrefix="1"/>
    <xf numFmtId="164" fontId="0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4" fontId="0" fillId="0" borderId="2" xfId="0" applyNumberFormat="1" applyBorder="1"/>
    <xf numFmtId="0" fontId="0" fillId="0" borderId="0" xfId="0" applyAlignment="1">
      <alignment horizontal="right"/>
    </xf>
    <xf numFmtId="3" fontId="0" fillId="0" borderId="0" xfId="0" applyNumberFormat="1"/>
    <xf numFmtId="5" fontId="0" fillId="0" borderId="0" xfId="0" applyNumberFormat="1"/>
    <xf numFmtId="37" fontId="0" fillId="0" borderId="0" xfId="0" applyNumberFormat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9" fontId="0" fillId="0" borderId="1" xfId="2" applyFont="1" applyBorder="1"/>
    <xf numFmtId="164" fontId="0" fillId="0" borderId="0" xfId="1" applyNumberFormat="1" applyFont="1" applyBorder="1"/>
    <xf numFmtId="0" fontId="3" fillId="0" borderId="0" xfId="0" applyFont="1" applyAlignment="1">
      <alignment horizontal="right" vertical="center"/>
    </xf>
    <xf numFmtId="41" fontId="0" fillId="0" borderId="0" xfId="0" applyNumberFormat="1"/>
    <xf numFmtId="10" fontId="0" fillId="0" borderId="0" xfId="0" applyNumberFormat="1"/>
    <xf numFmtId="9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165" fontId="0" fillId="0" borderId="0" xfId="0" applyNumberFormat="1"/>
    <xf numFmtId="9" fontId="0" fillId="0" borderId="0" xfId="0" quotePrefix="1" applyNumberFormat="1"/>
    <xf numFmtId="41" fontId="0" fillId="0" borderId="0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10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4" xfId="0" applyBorder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41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37" fontId="7" fillId="2" borderId="0" xfId="3" applyNumberFormat="1" applyFont="1" applyFill="1" applyBorder="1"/>
    <xf numFmtId="0" fontId="5" fillId="2" borderId="0" xfId="0" applyFont="1" applyFill="1" applyBorder="1" applyAlignment="1">
      <alignment horizontal="center"/>
    </xf>
    <xf numFmtId="37" fontId="8" fillId="2" borderId="0" xfId="3" applyNumberFormat="1" applyFont="1" applyFill="1" applyBorder="1"/>
    <xf numFmtId="0" fontId="7" fillId="2" borderId="0" xfId="0" applyFont="1" applyFill="1" applyBorder="1"/>
    <xf numFmtId="5" fontId="7" fillId="2" borderId="0" xfId="0" applyNumberFormat="1" applyFont="1" applyFill="1" applyBorder="1"/>
    <xf numFmtId="164" fontId="7" fillId="2" borderId="0" xfId="1" applyNumberFormat="1" applyFont="1" applyFill="1" applyBorder="1"/>
    <xf numFmtId="10" fontId="7" fillId="2" borderId="0" xfId="2" applyNumberFormat="1" applyFont="1" applyFill="1" applyBorder="1"/>
    <xf numFmtId="168" fontId="8" fillId="2" borderId="0" xfId="2" applyNumberFormat="1" applyFont="1" applyFill="1" applyBorder="1"/>
    <xf numFmtId="0" fontId="5" fillId="2" borderId="0" xfId="0" applyFont="1" applyFill="1" applyBorder="1" applyAlignment="1">
      <alignment horizontal="left"/>
    </xf>
    <xf numFmtId="10" fontId="8" fillId="2" borderId="0" xfId="2" applyNumberFormat="1" applyFont="1" applyFill="1" applyBorder="1"/>
    <xf numFmtId="166" fontId="0" fillId="0" borderId="0" xfId="1" applyNumberFormat="1" applyFont="1"/>
    <xf numFmtId="0" fontId="5" fillId="2" borderId="1" xfId="0" applyFont="1" applyFill="1" applyBorder="1" applyAlignment="1">
      <alignment horizontal="center"/>
    </xf>
    <xf numFmtId="37" fontId="8" fillId="2" borderId="0" xfId="3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68" fontId="8" fillId="2" borderId="0" xfId="2" applyNumberFormat="1" applyFont="1" applyFill="1" applyBorder="1" applyAlignment="1">
      <alignment horizontal="center"/>
    </xf>
    <xf numFmtId="37" fontId="7" fillId="2" borderId="0" xfId="3" applyNumberFormat="1" applyFont="1" applyFill="1" applyBorder="1" applyAlignment="1">
      <alignment horizontal="center"/>
    </xf>
    <xf numFmtId="167" fontId="7" fillId="2" borderId="0" xfId="2" applyNumberFormat="1" applyFont="1" applyFill="1" applyBorder="1" applyAlignment="1">
      <alignment horizontal="center"/>
    </xf>
    <xf numFmtId="168" fontId="7" fillId="2" borderId="0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0" xfId="0" applyFill="1" applyBorder="1" applyAlignment="1">
      <alignment horizontal="left"/>
    </xf>
    <xf numFmtId="4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WAElec6_97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G2" sqref="G2"/>
    </sheetView>
  </sheetViews>
  <sheetFormatPr defaultRowHeight="15.75"/>
  <cols>
    <col min="1" max="1" width="4.375" customWidth="1"/>
    <col min="2" max="2" width="1.5" customWidth="1"/>
    <col min="3" max="3" width="50.125" customWidth="1"/>
    <col min="4" max="4" width="1.5" customWidth="1"/>
    <col min="5" max="5" width="12.75" customWidth="1"/>
    <col min="6" max="6" width="1.625" customWidth="1"/>
    <col min="7" max="7" width="11.875" customWidth="1"/>
  </cols>
  <sheetData>
    <row r="1" spans="1:7">
      <c r="A1" t="s">
        <v>0</v>
      </c>
      <c r="G1" s="12" t="s">
        <v>62</v>
      </c>
    </row>
    <row r="2" spans="1:7">
      <c r="A2" t="s">
        <v>60</v>
      </c>
      <c r="G2" s="12" t="s">
        <v>158</v>
      </c>
    </row>
    <row r="3" spans="1:7">
      <c r="A3" t="s">
        <v>1</v>
      </c>
      <c r="G3" s="12" t="s">
        <v>152</v>
      </c>
    </row>
    <row r="4" spans="1:7">
      <c r="A4" t="s">
        <v>61</v>
      </c>
      <c r="G4" s="12" t="s">
        <v>16</v>
      </c>
    </row>
    <row r="5" spans="1:7">
      <c r="A5" s="6" t="s">
        <v>15</v>
      </c>
    </row>
    <row r="7" spans="1:7">
      <c r="A7" t="s">
        <v>2</v>
      </c>
      <c r="E7" s="2" t="s">
        <v>12</v>
      </c>
      <c r="G7" s="2" t="s">
        <v>12</v>
      </c>
    </row>
    <row r="8" spans="1:7">
      <c r="A8" s="1" t="s">
        <v>3</v>
      </c>
      <c r="C8" s="1" t="s">
        <v>4</v>
      </c>
      <c r="E8" s="3" t="s">
        <v>13</v>
      </c>
      <c r="G8" s="3" t="s">
        <v>14</v>
      </c>
    </row>
    <row r="10" spans="1:7">
      <c r="A10" s="2">
        <v>1</v>
      </c>
      <c r="C10" t="s">
        <v>8</v>
      </c>
      <c r="E10" s="7">
        <f>+Summary!I45</f>
        <v>305913</v>
      </c>
      <c r="F10" s="7"/>
      <c r="G10" s="7">
        <f>+Summary!Q45</f>
        <v>305913</v>
      </c>
    </row>
    <row r="11" spans="1:7">
      <c r="A11" s="2"/>
    </row>
    <row r="12" spans="1:7">
      <c r="A12" s="2">
        <v>2</v>
      </c>
      <c r="C12" t="s">
        <v>74</v>
      </c>
      <c r="E12" s="5">
        <v>7.6899999999999996E-2</v>
      </c>
      <c r="F12" s="4"/>
      <c r="G12" s="5">
        <v>7.2599999999999998E-2</v>
      </c>
    </row>
    <row r="13" spans="1:7">
      <c r="A13" s="2"/>
    </row>
    <row r="14" spans="1:7">
      <c r="A14" s="2">
        <v>3</v>
      </c>
      <c r="C14" t="s">
        <v>6</v>
      </c>
      <c r="E14" s="8">
        <f>E10*E12</f>
        <v>23524.709699999999</v>
      </c>
      <c r="G14" s="8">
        <f>G10*G12</f>
        <v>22209.283800000001</v>
      </c>
    </row>
    <row r="15" spans="1:7">
      <c r="A15" s="2"/>
    </row>
    <row r="16" spans="1:7">
      <c r="A16" s="2">
        <v>4</v>
      </c>
      <c r="C16" t="s">
        <v>7</v>
      </c>
      <c r="E16" s="9">
        <f>+Summary!G45</f>
        <v>20712.494490000005</v>
      </c>
      <c r="F16" s="8"/>
      <c r="G16" s="9">
        <f>+Summary!O45</f>
        <v>21221.444490000005</v>
      </c>
    </row>
    <row r="17" spans="1:7">
      <c r="A17" s="2"/>
      <c r="E17" s="8"/>
      <c r="F17" s="8"/>
      <c r="G17" s="8"/>
    </row>
    <row r="18" spans="1:7">
      <c r="A18" s="2">
        <v>5</v>
      </c>
      <c r="C18" t="s">
        <v>9</v>
      </c>
      <c r="E18" s="8">
        <f>E14-E16</f>
        <v>2812.2152099999948</v>
      </c>
      <c r="F18" s="8"/>
      <c r="G18" s="8">
        <f>G14-G16</f>
        <v>987.83930999999575</v>
      </c>
    </row>
    <row r="19" spans="1:7">
      <c r="A19" s="2"/>
      <c r="E19" s="8"/>
      <c r="F19" s="8"/>
      <c r="G19" s="8"/>
    </row>
    <row r="20" spans="1:7">
      <c r="A20" s="2">
        <v>6</v>
      </c>
      <c r="C20" t="s">
        <v>10</v>
      </c>
      <c r="E20" s="10">
        <v>0.620645</v>
      </c>
      <c r="F20" s="8"/>
      <c r="G20" s="10">
        <f>+E20</f>
        <v>0.620645</v>
      </c>
    </row>
    <row r="21" spans="1:7">
      <c r="A21" s="2"/>
      <c r="E21" s="8"/>
      <c r="F21" s="8"/>
      <c r="G21" s="8"/>
    </row>
    <row r="22" spans="1:7" ht="16.5" thickBot="1">
      <c r="A22" s="2">
        <v>7</v>
      </c>
      <c r="C22" t="s">
        <v>11</v>
      </c>
      <c r="E22" s="11">
        <f>E18/E20</f>
        <v>4531.1171603734738</v>
      </c>
      <c r="F22" s="8"/>
      <c r="G22" s="11">
        <f>G18/G20</f>
        <v>1591.6333975138698</v>
      </c>
    </row>
    <row r="23" spans="1:7" ht="16.5" thickTop="1">
      <c r="E23" s="8"/>
      <c r="F23" s="8"/>
      <c r="G23" s="8"/>
    </row>
    <row r="24" spans="1:7">
      <c r="G24" s="8"/>
    </row>
    <row r="26" spans="1:7">
      <c r="G26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topLeftCell="A34" workbookViewId="0">
      <selection activeCell="G2" sqref="G2"/>
    </sheetView>
  </sheetViews>
  <sheetFormatPr defaultRowHeight="15.75"/>
  <cols>
    <col min="1" max="1" width="9.625" customWidth="1"/>
    <col min="2" max="2" width="1.5" customWidth="1"/>
    <col min="3" max="3" width="13.75" customWidth="1"/>
    <col min="4" max="4" width="1.25" customWidth="1"/>
    <col min="5" max="5" width="34.25" customWidth="1"/>
    <col min="6" max="6" width="1.375" customWidth="1"/>
    <col min="8" max="8" width="1.25" customWidth="1"/>
    <col min="9" max="9" width="10.375" customWidth="1"/>
    <col min="10" max="10" width="1.25" customWidth="1"/>
    <col min="11" max="11" width="12.125" bestFit="1" customWidth="1"/>
    <col min="12" max="12" width="3" customWidth="1"/>
    <col min="14" max="14" width="2" customWidth="1"/>
    <col min="16" max="16" width="1.125" customWidth="1"/>
    <col min="17" max="17" width="10.25" bestFit="1" customWidth="1"/>
    <col min="18" max="18" width="1.75" customWidth="1"/>
    <col min="20" max="20" width="2.5" customWidth="1"/>
    <col min="21" max="21" width="17.375" bestFit="1" customWidth="1"/>
    <col min="22" max="22" width="0.75" customWidth="1"/>
  </cols>
  <sheetData>
    <row r="1" spans="1:23">
      <c r="A1" t="s">
        <v>68</v>
      </c>
      <c r="V1" s="12"/>
      <c r="W1" s="12" t="s">
        <v>62</v>
      </c>
    </row>
    <row r="2" spans="1:23">
      <c r="A2" t="s">
        <v>63</v>
      </c>
      <c r="V2" s="12"/>
      <c r="W2" s="12" t="s">
        <v>158</v>
      </c>
    </row>
    <row r="3" spans="1:23">
      <c r="A3" t="s">
        <v>64</v>
      </c>
      <c r="V3" s="12"/>
      <c r="W3" s="12" t="s">
        <v>153</v>
      </c>
    </row>
    <row r="4" spans="1:23">
      <c r="A4" t="s">
        <v>69</v>
      </c>
      <c r="V4" s="12"/>
      <c r="W4" s="12" t="s">
        <v>45</v>
      </c>
    </row>
    <row r="5" spans="1:23">
      <c r="G5" s="25"/>
      <c r="H5" s="25"/>
      <c r="I5" s="25"/>
      <c r="J5" s="25"/>
    </row>
    <row r="6" spans="1:23">
      <c r="G6" s="67"/>
      <c r="H6" s="67"/>
      <c r="I6" s="67"/>
      <c r="J6" s="67"/>
      <c r="K6" s="67"/>
      <c r="M6" s="2"/>
      <c r="O6" s="68" t="s">
        <v>43</v>
      </c>
      <c r="P6" s="68"/>
      <c r="Q6" s="68"/>
      <c r="R6" s="68"/>
      <c r="S6" s="68"/>
      <c r="T6" s="18"/>
      <c r="U6" s="2" t="s">
        <v>35</v>
      </c>
      <c r="V6" s="2"/>
      <c r="W6" s="2" t="s">
        <v>38</v>
      </c>
    </row>
    <row r="7" spans="1:23">
      <c r="A7" s="2" t="s">
        <v>31</v>
      </c>
      <c r="B7" s="2"/>
      <c r="C7" s="2"/>
      <c r="D7" s="2"/>
      <c r="G7" s="70" t="s">
        <v>75</v>
      </c>
      <c r="H7" s="70"/>
      <c r="I7" s="70"/>
      <c r="J7" s="70"/>
      <c r="K7" s="70"/>
      <c r="M7" s="2" t="s">
        <v>79</v>
      </c>
      <c r="O7" s="69" t="s">
        <v>44</v>
      </c>
      <c r="P7" s="69"/>
      <c r="Q7" s="69"/>
      <c r="R7" s="69"/>
      <c r="S7" s="69"/>
      <c r="T7" s="18"/>
      <c r="U7" s="2" t="s">
        <v>36</v>
      </c>
      <c r="V7" s="2"/>
      <c r="W7" s="2" t="s">
        <v>39</v>
      </c>
    </row>
    <row r="8" spans="1:23">
      <c r="A8" s="3" t="s">
        <v>32</v>
      </c>
      <c r="B8" s="18"/>
      <c r="C8" s="3" t="s">
        <v>65</v>
      </c>
      <c r="D8" s="18"/>
      <c r="E8" s="3" t="s">
        <v>66</v>
      </c>
      <c r="F8" s="18"/>
      <c r="G8" s="34" t="s">
        <v>33</v>
      </c>
      <c r="H8" s="33"/>
      <c r="I8" s="34" t="s">
        <v>5</v>
      </c>
      <c r="J8" s="33"/>
      <c r="K8" s="3" t="s">
        <v>34</v>
      </c>
      <c r="M8" s="3" t="s">
        <v>48</v>
      </c>
      <c r="O8" s="34" t="s">
        <v>33</v>
      </c>
      <c r="P8" s="33"/>
      <c r="Q8" s="34" t="s">
        <v>5</v>
      </c>
      <c r="R8" s="33"/>
      <c r="S8" s="3" t="s">
        <v>34</v>
      </c>
      <c r="T8" s="18"/>
      <c r="U8" s="3" t="s">
        <v>37</v>
      </c>
      <c r="V8" s="18"/>
      <c r="W8" s="3" t="s">
        <v>40</v>
      </c>
    </row>
    <row r="9" spans="1:23">
      <c r="C9" s="30"/>
      <c r="D9" s="18"/>
      <c r="G9" s="25"/>
      <c r="H9" s="25"/>
      <c r="I9" s="25"/>
      <c r="J9" s="25"/>
      <c r="T9" s="19"/>
    </row>
    <row r="10" spans="1:23">
      <c r="A10">
        <v>1</v>
      </c>
      <c r="B10" s="28"/>
      <c r="C10" t="s">
        <v>105</v>
      </c>
      <c r="D10" s="28"/>
      <c r="E10" t="s">
        <v>106</v>
      </c>
      <c r="F10" s="13"/>
      <c r="G10" s="15">
        <v>23458</v>
      </c>
      <c r="H10" s="25"/>
      <c r="I10" s="15">
        <v>287787</v>
      </c>
      <c r="J10" s="25"/>
      <c r="K10" s="15">
        <f>((I10*0.0769)-G10)/0.620645</f>
        <v>-2138.3878062338385</v>
      </c>
      <c r="L10" s="26"/>
      <c r="O10" s="25">
        <f>+G10</f>
        <v>23458</v>
      </c>
      <c r="P10" s="25"/>
      <c r="Q10" s="25">
        <f>+I10</f>
        <v>287787</v>
      </c>
      <c r="R10" s="25"/>
      <c r="S10" s="15">
        <f>((Q10*0.0726)-O10)/0.620645</f>
        <v>-4132.2556372805748</v>
      </c>
      <c r="T10" s="19"/>
      <c r="U10" s="16" t="s">
        <v>41</v>
      </c>
      <c r="V10" s="16"/>
      <c r="W10" s="15">
        <f t="shared" ref="W10:W42" si="0">+S10-K10</f>
        <v>-1993.8678310467362</v>
      </c>
    </row>
    <row r="11" spans="1:23">
      <c r="A11">
        <v>1.01</v>
      </c>
      <c r="B11" s="28"/>
      <c r="C11" t="s">
        <v>107</v>
      </c>
      <c r="D11" s="28"/>
      <c r="E11" t="s">
        <v>17</v>
      </c>
      <c r="F11" s="13"/>
      <c r="G11" s="15">
        <v>-3.2873749999999999</v>
      </c>
      <c r="H11" s="8"/>
      <c r="I11" s="15">
        <v>-325</v>
      </c>
      <c r="J11" s="8"/>
      <c r="K11" s="15">
        <f t="shared" ref="K11:K43" si="1">((I11*0.0769)-G11)/0.620645</f>
        <v>-34.971884088327464</v>
      </c>
      <c r="O11" s="25">
        <f t="shared" ref="O11:O43" si="2">+G11</f>
        <v>-3.2873749999999999</v>
      </c>
      <c r="P11" s="25"/>
      <c r="Q11" s="25">
        <f t="shared" ref="Q11:Q43" si="3">+I11</f>
        <v>-325</v>
      </c>
      <c r="R11" s="8"/>
      <c r="S11" s="15">
        <f t="shared" ref="S11:S43" si="4">((Q11*0.0726)-O11)/0.620645</f>
        <v>-32.72019431397981</v>
      </c>
      <c r="U11" s="16" t="s">
        <v>41</v>
      </c>
      <c r="V11" s="16"/>
      <c r="W11" s="15">
        <f t="shared" si="0"/>
        <v>2.2516897743476534</v>
      </c>
    </row>
    <row r="12" spans="1:23">
      <c r="A12">
        <v>1.02</v>
      </c>
      <c r="B12" s="28"/>
      <c r="C12" t="s">
        <v>108</v>
      </c>
      <c r="D12" s="28"/>
      <c r="E12" t="s">
        <v>18</v>
      </c>
      <c r="F12" s="13"/>
      <c r="G12" s="15">
        <v>-1.3</v>
      </c>
      <c r="H12" s="8"/>
      <c r="I12" s="15">
        <v>0</v>
      </c>
      <c r="J12" s="8"/>
      <c r="K12" s="15">
        <f t="shared" si="1"/>
        <v>2.0945951389280508</v>
      </c>
      <c r="O12" s="25">
        <f t="shared" si="2"/>
        <v>-1.3</v>
      </c>
      <c r="P12" s="25"/>
      <c r="Q12" s="25">
        <f t="shared" si="3"/>
        <v>0</v>
      </c>
      <c r="R12" s="8"/>
      <c r="S12" s="15">
        <f t="shared" si="4"/>
        <v>2.0945951389280508</v>
      </c>
      <c r="U12" s="16" t="s">
        <v>41</v>
      </c>
      <c r="V12" s="16"/>
      <c r="W12" s="15">
        <f t="shared" si="0"/>
        <v>0</v>
      </c>
    </row>
    <row r="13" spans="1:23">
      <c r="A13">
        <v>1.03</v>
      </c>
      <c r="B13" s="28"/>
      <c r="C13" t="s">
        <v>109</v>
      </c>
      <c r="D13" s="28"/>
      <c r="E13" t="s">
        <v>19</v>
      </c>
      <c r="F13" s="13"/>
      <c r="G13" s="15">
        <v>-8.7393599999999996</v>
      </c>
      <c r="H13" s="8"/>
      <c r="I13" s="15">
        <v>-864</v>
      </c>
      <c r="J13" s="8"/>
      <c r="K13" s="15">
        <f t="shared" si="1"/>
        <v>-92.971408776353627</v>
      </c>
      <c r="O13" s="25">
        <f t="shared" si="2"/>
        <v>-8.7393599999999996</v>
      </c>
      <c r="P13" s="25"/>
      <c r="Q13" s="25">
        <f t="shared" si="3"/>
        <v>-864</v>
      </c>
      <c r="R13" s="8"/>
      <c r="S13" s="15">
        <f t="shared" si="4"/>
        <v>-86.985378114703252</v>
      </c>
      <c r="U13" s="16" t="s">
        <v>41</v>
      </c>
      <c r="V13" s="16"/>
      <c r="W13" s="15">
        <f t="shared" si="0"/>
        <v>5.9860306616503749</v>
      </c>
    </row>
    <row r="14" spans="1:23">
      <c r="A14">
        <v>2.0099999999999998</v>
      </c>
      <c r="B14" s="28"/>
      <c r="C14" t="s">
        <v>110</v>
      </c>
      <c r="D14" s="28"/>
      <c r="E14" t="s">
        <v>20</v>
      </c>
      <c r="F14" s="13"/>
      <c r="G14" s="15">
        <v>-20.8</v>
      </c>
      <c r="H14" s="8"/>
      <c r="I14" s="15">
        <v>0</v>
      </c>
      <c r="J14" s="8"/>
      <c r="K14" s="15">
        <f t="shared" si="1"/>
        <v>33.513522222848813</v>
      </c>
      <c r="O14" s="25">
        <f t="shared" si="2"/>
        <v>-20.8</v>
      </c>
      <c r="P14" s="25"/>
      <c r="Q14" s="25">
        <f t="shared" si="3"/>
        <v>0</v>
      </c>
      <c r="R14" s="8"/>
      <c r="S14" s="15">
        <f t="shared" si="4"/>
        <v>33.513522222848813</v>
      </c>
      <c r="U14" s="16" t="s">
        <v>41</v>
      </c>
      <c r="V14" s="16"/>
      <c r="W14" s="15">
        <f t="shared" si="0"/>
        <v>0</v>
      </c>
    </row>
    <row r="15" spans="1:23">
      <c r="A15">
        <v>2.0199999999999996</v>
      </c>
      <c r="B15" s="28"/>
      <c r="C15" t="s">
        <v>111</v>
      </c>
      <c r="D15" s="28"/>
      <c r="E15" t="s">
        <v>21</v>
      </c>
      <c r="F15" s="13"/>
      <c r="G15" s="15">
        <v>-243.75</v>
      </c>
      <c r="H15" s="8"/>
      <c r="I15" s="15">
        <v>0</v>
      </c>
      <c r="J15" s="8"/>
      <c r="K15" s="15">
        <f t="shared" si="1"/>
        <v>392.73658854900947</v>
      </c>
      <c r="O15" s="25">
        <f t="shared" si="2"/>
        <v>-243.75</v>
      </c>
      <c r="P15" s="25"/>
      <c r="Q15" s="25">
        <f t="shared" si="3"/>
        <v>0</v>
      </c>
      <c r="R15" s="8"/>
      <c r="S15" s="15">
        <f t="shared" si="4"/>
        <v>392.73658854900947</v>
      </c>
      <c r="U15" s="16" t="s">
        <v>41</v>
      </c>
      <c r="V15" s="16"/>
      <c r="W15" s="15">
        <f t="shared" si="0"/>
        <v>0</v>
      </c>
    </row>
    <row r="16" spans="1:23">
      <c r="A16">
        <v>2.0299999999999994</v>
      </c>
      <c r="B16" s="28"/>
      <c r="C16" t="s">
        <v>112</v>
      </c>
      <c r="D16" s="28"/>
      <c r="E16" t="s">
        <v>113</v>
      </c>
      <c r="F16" s="13"/>
      <c r="G16" s="15">
        <v>383.5</v>
      </c>
      <c r="H16" s="8"/>
      <c r="I16" s="15">
        <v>0</v>
      </c>
      <c r="J16" s="8"/>
      <c r="K16" s="15">
        <f t="shared" si="1"/>
        <v>-617.90556598377498</v>
      </c>
      <c r="O16" s="25">
        <f t="shared" si="2"/>
        <v>383.5</v>
      </c>
      <c r="P16" s="25"/>
      <c r="Q16" s="25">
        <f t="shared" si="3"/>
        <v>0</v>
      </c>
      <c r="R16" s="8"/>
      <c r="S16" s="15">
        <f t="shared" si="4"/>
        <v>-617.90556598377498</v>
      </c>
      <c r="U16" s="16" t="s">
        <v>41</v>
      </c>
      <c r="V16" s="16"/>
      <c r="W16" s="15">
        <f t="shared" si="0"/>
        <v>0</v>
      </c>
    </row>
    <row r="17" spans="1:23">
      <c r="A17">
        <v>2.0399999999999991</v>
      </c>
      <c r="B17" s="28"/>
      <c r="C17" t="s">
        <v>114</v>
      </c>
      <c r="D17" s="28"/>
      <c r="E17" t="s">
        <v>22</v>
      </c>
      <c r="F17" s="13"/>
      <c r="G17" s="15">
        <v>1.9500000000000002</v>
      </c>
      <c r="H17" s="8"/>
      <c r="I17" s="15">
        <v>0</v>
      </c>
      <c r="J17" s="8"/>
      <c r="K17" s="15">
        <f t="shared" si="1"/>
        <v>-3.1418927083920765</v>
      </c>
      <c r="O17" s="25">
        <f t="shared" si="2"/>
        <v>1.9500000000000002</v>
      </c>
      <c r="P17" s="25"/>
      <c r="Q17" s="25">
        <f t="shared" si="3"/>
        <v>0</v>
      </c>
      <c r="R17" s="8"/>
      <c r="S17" s="15">
        <f t="shared" si="4"/>
        <v>-3.1418927083920765</v>
      </c>
      <c r="U17" s="16" t="s">
        <v>41</v>
      </c>
      <c r="V17" s="16"/>
      <c r="W17" s="15">
        <f t="shared" si="0"/>
        <v>0</v>
      </c>
    </row>
    <row r="18" spans="1:23">
      <c r="A18">
        <v>2.0499999999999989</v>
      </c>
      <c r="B18" s="28"/>
      <c r="C18" t="s">
        <v>115</v>
      </c>
      <c r="D18" s="28"/>
      <c r="E18" t="s">
        <v>116</v>
      </c>
      <c r="F18" s="13"/>
      <c r="G18" s="15">
        <v>-49.400000000000006</v>
      </c>
      <c r="H18" s="8"/>
      <c r="I18" s="15">
        <v>0</v>
      </c>
      <c r="J18" s="8"/>
      <c r="K18" s="15">
        <f t="shared" si="1"/>
        <v>79.594615279265938</v>
      </c>
      <c r="O18" s="25">
        <f t="shared" si="2"/>
        <v>-49.400000000000006</v>
      </c>
      <c r="P18" s="25"/>
      <c r="Q18" s="25">
        <f t="shared" si="3"/>
        <v>0</v>
      </c>
      <c r="R18" s="8"/>
      <c r="S18" s="15">
        <f t="shared" si="4"/>
        <v>79.594615279265938</v>
      </c>
      <c r="U18" s="16" t="s">
        <v>41</v>
      </c>
      <c r="V18" s="16"/>
      <c r="W18" s="15">
        <f t="shared" si="0"/>
        <v>0</v>
      </c>
    </row>
    <row r="19" spans="1:23">
      <c r="A19">
        <v>2.0599999999999987</v>
      </c>
      <c r="B19" s="28"/>
      <c r="C19" t="s">
        <v>117</v>
      </c>
      <c r="D19" s="28"/>
      <c r="E19" t="s">
        <v>118</v>
      </c>
      <c r="F19" s="13"/>
      <c r="G19" s="15">
        <v>0</v>
      </c>
      <c r="H19" s="8"/>
      <c r="I19" s="15">
        <v>0</v>
      </c>
      <c r="J19" s="8"/>
      <c r="K19" s="15">
        <f t="shared" si="1"/>
        <v>0</v>
      </c>
      <c r="O19" s="25">
        <f t="shared" si="2"/>
        <v>0</v>
      </c>
      <c r="P19" s="25"/>
      <c r="Q19" s="25">
        <f t="shared" si="3"/>
        <v>0</v>
      </c>
      <c r="R19" s="8"/>
      <c r="S19" s="15">
        <f t="shared" si="4"/>
        <v>0</v>
      </c>
      <c r="U19" s="16" t="s">
        <v>41</v>
      </c>
      <c r="V19" s="16"/>
      <c r="W19" s="15">
        <f t="shared" si="0"/>
        <v>0</v>
      </c>
    </row>
    <row r="20" spans="1:23">
      <c r="A20">
        <v>2.0699999999999985</v>
      </c>
      <c r="B20" s="28"/>
      <c r="C20" t="s">
        <v>119</v>
      </c>
      <c r="D20" s="28"/>
      <c r="E20" t="s">
        <v>120</v>
      </c>
      <c r="F20" s="13"/>
      <c r="G20" s="15">
        <v>5.85</v>
      </c>
      <c r="H20" s="8"/>
      <c r="I20" s="15">
        <v>0</v>
      </c>
      <c r="J20" s="8"/>
      <c r="K20" s="15">
        <f t="shared" si="1"/>
        <v>-9.4256781251762281</v>
      </c>
      <c r="O20" s="25">
        <f t="shared" si="2"/>
        <v>5.85</v>
      </c>
      <c r="P20" s="25"/>
      <c r="Q20" s="25">
        <f t="shared" si="3"/>
        <v>0</v>
      </c>
      <c r="R20" s="8"/>
      <c r="S20" s="15">
        <f t="shared" si="4"/>
        <v>-9.4256781251762281</v>
      </c>
      <c r="U20" s="16" t="s">
        <v>41</v>
      </c>
      <c r="V20" s="16"/>
      <c r="W20" s="15">
        <f t="shared" si="0"/>
        <v>0</v>
      </c>
    </row>
    <row r="21" spans="1:23">
      <c r="A21">
        <v>2.0799999999999983</v>
      </c>
      <c r="B21" s="28"/>
      <c r="C21" t="s">
        <v>121</v>
      </c>
      <c r="D21" s="28"/>
      <c r="E21" t="s">
        <v>23</v>
      </c>
      <c r="F21" s="13"/>
      <c r="G21" s="15">
        <v>-1.3</v>
      </c>
      <c r="H21" s="8"/>
      <c r="I21" s="15">
        <v>0</v>
      </c>
      <c r="J21" s="8"/>
      <c r="K21" s="15">
        <f t="shared" si="1"/>
        <v>2.0945951389280508</v>
      </c>
      <c r="O21" s="25">
        <f t="shared" si="2"/>
        <v>-1.3</v>
      </c>
      <c r="P21" s="25"/>
      <c r="Q21" s="25">
        <f t="shared" si="3"/>
        <v>0</v>
      </c>
      <c r="R21" s="8"/>
      <c r="S21" s="15">
        <f t="shared" si="4"/>
        <v>2.0945951389280508</v>
      </c>
      <c r="U21" s="16" t="s">
        <v>41</v>
      </c>
      <c r="V21" s="16"/>
      <c r="W21" s="15">
        <f t="shared" si="0"/>
        <v>0</v>
      </c>
    </row>
    <row r="22" spans="1:23">
      <c r="A22">
        <v>2.0899999999999981</v>
      </c>
      <c r="B22" s="28"/>
      <c r="C22" t="s">
        <v>122</v>
      </c>
      <c r="D22" s="28"/>
      <c r="E22" t="s">
        <v>123</v>
      </c>
      <c r="F22" s="13"/>
      <c r="G22" s="15">
        <v>8.4499999999999993</v>
      </c>
      <c r="H22" s="8"/>
      <c r="I22" s="15">
        <v>0</v>
      </c>
      <c r="J22" s="8"/>
      <c r="K22" s="15">
        <f t="shared" si="1"/>
        <v>-13.614868403032329</v>
      </c>
      <c r="O22" s="25">
        <f t="shared" si="2"/>
        <v>8.4499999999999993</v>
      </c>
      <c r="P22" s="25"/>
      <c r="Q22" s="25">
        <f t="shared" si="3"/>
        <v>0</v>
      </c>
      <c r="R22" s="8"/>
      <c r="S22" s="15">
        <f t="shared" si="4"/>
        <v>-13.614868403032329</v>
      </c>
      <c r="U22" s="16" t="s">
        <v>41</v>
      </c>
      <c r="V22" s="16"/>
      <c r="W22" s="15">
        <f t="shared" si="0"/>
        <v>0</v>
      </c>
    </row>
    <row r="23" spans="1:23">
      <c r="A23">
        <v>2.0999999999999979</v>
      </c>
      <c r="B23" s="28"/>
      <c r="C23" t="s">
        <v>124</v>
      </c>
      <c r="D23" s="28"/>
      <c r="E23" t="s">
        <v>125</v>
      </c>
      <c r="F23" s="13"/>
      <c r="G23" s="15">
        <v>-2.6</v>
      </c>
      <c r="H23" s="8"/>
      <c r="I23" s="15">
        <v>0</v>
      </c>
      <c r="J23" s="8"/>
      <c r="K23" s="15">
        <f t="shared" si="1"/>
        <v>4.1891902778561017</v>
      </c>
      <c r="L23" s="27"/>
      <c r="O23" s="25">
        <f t="shared" si="2"/>
        <v>-2.6</v>
      </c>
      <c r="P23" s="25"/>
      <c r="Q23" s="25">
        <f t="shared" si="3"/>
        <v>0</v>
      </c>
      <c r="R23" s="8"/>
      <c r="S23" s="15">
        <f t="shared" si="4"/>
        <v>4.1891902778561017</v>
      </c>
      <c r="U23" s="16" t="s">
        <v>41</v>
      </c>
      <c r="V23" s="16"/>
      <c r="W23" s="15">
        <f t="shared" si="0"/>
        <v>0</v>
      </c>
    </row>
    <row r="24" spans="1:23">
      <c r="A24">
        <v>2.1099999999999977</v>
      </c>
      <c r="B24" s="28"/>
      <c r="C24" t="s">
        <v>126</v>
      </c>
      <c r="D24" s="28"/>
      <c r="E24" t="s">
        <v>24</v>
      </c>
      <c r="F24" s="13"/>
      <c r="G24" s="15">
        <v>-310.05</v>
      </c>
      <c r="H24" s="8"/>
      <c r="I24" s="15">
        <v>0</v>
      </c>
      <c r="J24" s="8"/>
      <c r="K24" s="15">
        <f t="shared" si="1"/>
        <v>499.56094063434011</v>
      </c>
      <c r="O24" s="25">
        <f t="shared" si="2"/>
        <v>-310.05</v>
      </c>
      <c r="P24" s="25"/>
      <c r="Q24" s="25">
        <f t="shared" si="3"/>
        <v>0</v>
      </c>
      <c r="R24" s="8"/>
      <c r="S24" s="15">
        <f t="shared" si="4"/>
        <v>499.56094063434011</v>
      </c>
      <c r="U24" s="16" t="s">
        <v>41</v>
      </c>
      <c r="V24" s="16"/>
      <c r="W24" s="15">
        <f t="shared" si="0"/>
        <v>0</v>
      </c>
    </row>
    <row r="25" spans="1:23">
      <c r="A25">
        <v>2.1199999999999974</v>
      </c>
      <c r="B25" s="28"/>
      <c r="C25" t="s">
        <v>127</v>
      </c>
      <c r="D25" s="28"/>
      <c r="E25" t="s">
        <v>128</v>
      </c>
      <c r="F25" s="13"/>
      <c r="G25" s="15">
        <v>204.75</v>
      </c>
      <c r="H25" s="8"/>
      <c r="I25" s="15">
        <v>0</v>
      </c>
      <c r="J25" s="8"/>
      <c r="K25" s="15">
        <f t="shared" si="1"/>
        <v>-329.89873438116797</v>
      </c>
      <c r="O25" s="25">
        <f t="shared" si="2"/>
        <v>204.75</v>
      </c>
      <c r="P25" s="25"/>
      <c r="Q25" s="25">
        <f t="shared" si="3"/>
        <v>0</v>
      </c>
      <c r="R25" s="8"/>
      <c r="S25" s="15">
        <f t="shared" si="4"/>
        <v>-329.89873438116797</v>
      </c>
      <c r="U25" s="16" t="s">
        <v>41</v>
      </c>
      <c r="V25" s="16"/>
      <c r="W25" s="15">
        <f t="shared" si="0"/>
        <v>0</v>
      </c>
    </row>
    <row r="26" spans="1:23">
      <c r="A26">
        <v>2.1299999999999972</v>
      </c>
      <c r="B26" s="28"/>
      <c r="C26" t="s">
        <v>129</v>
      </c>
      <c r="D26" s="28"/>
      <c r="E26" t="s">
        <v>130</v>
      </c>
      <c r="F26" s="13"/>
      <c r="G26" s="15">
        <v>-701.35</v>
      </c>
      <c r="H26" s="8"/>
      <c r="I26" s="15">
        <v>0</v>
      </c>
      <c r="J26" s="8"/>
      <c r="K26" s="15">
        <f t="shared" si="1"/>
        <v>1130.0340774516833</v>
      </c>
      <c r="O26" s="25">
        <f t="shared" si="2"/>
        <v>-701.35</v>
      </c>
      <c r="P26" s="25"/>
      <c r="Q26" s="25">
        <f t="shared" si="3"/>
        <v>0</v>
      </c>
      <c r="R26" s="8"/>
      <c r="S26" s="15">
        <f t="shared" si="4"/>
        <v>1130.0340774516833</v>
      </c>
      <c r="U26" s="16" t="s">
        <v>41</v>
      </c>
      <c r="V26" s="16"/>
      <c r="W26" s="15">
        <f t="shared" si="0"/>
        <v>0</v>
      </c>
    </row>
    <row r="27" spans="1:23">
      <c r="A27">
        <v>2.139999999999997</v>
      </c>
      <c r="B27" s="28"/>
      <c r="C27" t="s">
        <v>131</v>
      </c>
      <c r="D27" s="28"/>
      <c r="E27" t="s">
        <v>70</v>
      </c>
      <c r="F27" s="13"/>
      <c r="G27" s="15">
        <v>117.65</v>
      </c>
      <c r="H27" s="8"/>
      <c r="I27" s="15">
        <v>0</v>
      </c>
      <c r="J27" s="8"/>
      <c r="K27" s="15">
        <f t="shared" si="1"/>
        <v>-189.56086007298859</v>
      </c>
      <c r="O27" s="25">
        <f t="shared" si="2"/>
        <v>117.65</v>
      </c>
      <c r="P27" s="25"/>
      <c r="Q27" s="25">
        <f t="shared" si="3"/>
        <v>0</v>
      </c>
      <c r="R27" s="8"/>
      <c r="S27" s="15">
        <f t="shared" si="4"/>
        <v>-189.56086007298859</v>
      </c>
      <c r="U27" s="16" t="s">
        <v>41</v>
      </c>
      <c r="V27" s="16"/>
      <c r="W27" s="15">
        <f t="shared" si="0"/>
        <v>0</v>
      </c>
    </row>
    <row r="28" spans="1:23">
      <c r="A28">
        <v>2.1499999999999968</v>
      </c>
      <c r="B28" s="28"/>
      <c r="C28" t="s">
        <v>132</v>
      </c>
      <c r="D28" s="28"/>
      <c r="E28" t="s">
        <v>25</v>
      </c>
      <c r="F28" s="13"/>
      <c r="G28" s="15">
        <v>171</v>
      </c>
      <c r="H28" s="8"/>
      <c r="I28" s="15">
        <v>0</v>
      </c>
      <c r="J28" s="8"/>
      <c r="K28" s="15">
        <f t="shared" si="1"/>
        <v>-275.51982212053588</v>
      </c>
      <c r="O28" s="25">
        <f t="shared" si="2"/>
        <v>171</v>
      </c>
      <c r="P28" s="25"/>
      <c r="Q28" s="25">
        <f t="shared" si="3"/>
        <v>0</v>
      </c>
      <c r="R28" s="8"/>
      <c r="S28" s="15">
        <f t="shared" si="4"/>
        <v>-275.51982212053588</v>
      </c>
      <c r="U28" s="16" t="s">
        <v>41</v>
      </c>
      <c r="V28" s="16"/>
      <c r="W28" s="15">
        <f t="shared" si="0"/>
        <v>0</v>
      </c>
    </row>
    <row r="29" spans="1:23">
      <c r="B29" s="28"/>
      <c r="D29" s="28"/>
      <c r="F29" s="13"/>
      <c r="G29" s="15"/>
      <c r="H29" s="14"/>
      <c r="I29" s="15"/>
      <c r="J29" s="8"/>
      <c r="K29" s="15"/>
      <c r="O29" s="25"/>
      <c r="P29" s="25"/>
      <c r="Q29" s="25"/>
      <c r="R29" s="8"/>
      <c r="S29" s="15"/>
      <c r="U29" s="16"/>
      <c r="V29" s="16"/>
      <c r="W29" s="15"/>
    </row>
    <row r="30" spans="1:23">
      <c r="A30" t="s">
        <v>67</v>
      </c>
      <c r="B30" s="28"/>
      <c r="D30" s="28"/>
      <c r="F30" s="13"/>
      <c r="G30" s="15"/>
      <c r="H30" s="8"/>
      <c r="I30" s="15"/>
      <c r="J30" s="8"/>
      <c r="K30" s="15"/>
      <c r="O30" s="25"/>
      <c r="P30" s="25"/>
      <c r="Q30" s="25"/>
      <c r="R30" s="8"/>
      <c r="S30" s="15"/>
      <c r="U30" s="16"/>
      <c r="V30" s="16"/>
      <c r="W30" s="15"/>
    </row>
    <row r="31" spans="1:23">
      <c r="A31">
        <v>3.01</v>
      </c>
      <c r="B31" s="28"/>
      <c r="C31" t="s">
        <v>133</v>
      </c>
      <c r="D31" s="28"/>
      <c r="E31" t="s">
        <v>134</v>
      </c>
      <c r="F31" s="13"/>
      <c r="G31" s="15">
        <v>-226.2</v>
      </c>
      <c r="H31" s="25"/>
      <c r="I31" s="15">
        <v>0</v>
      </c>
      <c r="J31" s="25"/>
      <c r="K31" s="15">
        <f t="shared" si="1"/>
        <v>364.4595541734808</v>
      </c>
      <c r="O31" s="25">
        <f t="shared" si="2"/>
        <v>-226.2</v>
      </c>
      <c r="P31" s="25"/>
      <c r="Q31" s="25">
        <f t="shared" si="3"/>
        <v>0</v>
      </c>
      <c r="R31" s="25"/>
      <c r="S31" s="15">
        <f t="shared" si="4"/>
        <v>364.4595541734808</v>
      </c>
      <c r="U31" s="16" t="s">
        <v>41</v>
      </c>
      <c r="V31" s="16"/>
      <c r="W31" s="15">
        <f t="shared" si="0"/>
        <v>0</v>
      </c>
    </row>
    <row r="32" spans="1:23">
      <c r="A32">
        <v>3.0199999999999996</v>
      </c>
      <c r="B32" s="29"/>
      <c r="C32" t="s">
        <v>135</v>
      </c>
      <c r="D32" s="29"/>
      <c r="E32" t="s">
        <v>26</v>
      </c>
      <c r="F32" s="13"/>
      <c r="G32" s="15">
        <v>-568.1</v>
      </c>
      <c r="H32" s="25"/>
      <c r="I32" s="15">
        <v>0</v>
      </c>
      <c r="J32" s="25"/>
      <c r="K32" s="15">
        <f t="shared" si="1"/>
        <v>915.33807571155819</v>
      </c>
      <c r="L32" s="32" t="s">
        <v>76</v>
      </c>
      <c r="M32" s="25">
        <f>-G32/2</f>
        <v>284.05</v>
      </c>
      <c r="O32" s="65">
        <f>+G32+M32</f>
        <v>-284.05</v>
      </c>
      <c r="P32" s="25"/>
      <c r="Q32" s="25">
        <f t="shared" si="3"/>
        <v>0</v>
      </c>
      <c r="R32" s="25"/>
      <c r="S32" s="15">
        <f t="shared" si="4"/>
        <v>457.6690378557791</v>
      </c>
      <c r="U32" s="66" t="s">
        <v>42</v>
      </c>
      <c r="W32" s="15">
        <f t="shared" si="0"/>
        <v>-457.6690378557791</v>
      </c>
    </row>
    <row r="33" spans="1:23">
      <c r="A33">
        <v>3.0299999999999994</v>
      </c>
      <c r="B33" s="2"/>
      <c r="C33" t="s">
        <v>136</v>
      </c>
      <c r="D33" s="2"/>
      <c r="E33" t="s">
        <v>27</v>
      </c>
      <c r="G33" s="15">
        <v>6.5</v>
      </c>
      <c r="H33" s="25"/>
      <c r="I33" s="15">
        <v>0</v>
      </c>
      <c r="J33" s="25"/>
      <c r="K33" s="15">
        <f t="shared" si="1"/>
        <v>-10.472975694640253</v>
      </c>
      <c r="L33" s="26"/>
      <c r="M33" s="25"/>
      <c r="O33" s="25">
        <f t="shared" si="2"/>
        <v>6.5</v>
      </c>
      <c r="P33" s="25"/>
      <c r="Q33" s="25">
        <f t="shared" si="3"/>
        <v>0</v>
      </c>
      <c r="R33" s="25"/>
      <c r="S33" s="15">
        <f t="shared" si="4"/>
        <v>-10.472975694640253</v>
      </c>
      <c r="U33" s="16" t="s">
        <v>41</v>
      </c>
      <c r="W33" s="15">
        <f t="shared" si="0"/>
        <v>0</v>
      </c>
    </row>
    <row r="34" spans="1:23">
      <c r="A34">
        <v>3.0399999999999991</v>
      </c>
      <c r="B34" s="2"/>
      <c r="C34" t="s">
        <v>137</v>
      </c>
      <c r="D34" s="2"/>
      <c r="E34" t="s">
        <v>28</v>
      </c>
      <c r="G34" s="15">
        <v>114.4</v>
      </c>
      <c r="H34" s="25"/>
      <c r="I34" s="15">
        <v>0</v>
      </c>
      <c r="J34" s="25"/>
      <c r="K34" s="15">
        <f t="shared" si="1"/>
        <v>-184.32437222566847</v>
      </c>
      <c r="L34" s="26"/>
      <c r="M34" s="25"/>
      <c r="O34" s="25">
        <f t="shared" si="2"/>
        <v>114.4</v>
      </c>
      <c r="P34" s="25"/>
      <c r="Q34" s="25">
        <f t="shared" si="3"/>
        <v>0</v>
      </c>
      <c r="R34" s="25"/>
      <c r="S34" s="15">
        <f t="shared" si="4"/>
        <v>-184.32437222566847</v>
      </c>
      <c r="U34" s="16" t="s">
        <v>41</v>
      </c>
      <c r="W34" s="15">
        <f t="shared" si="0"/>
        <v>0</v>
      </c>
    </row>
    <row r="35" spans="1:23">
      <c r="A35">
        <v>3.0499999999999989</v>
      </c>
      <c r="B35" s="28"/>
      <c r="C35" t="s">
        <v>138</v>
      </c>
      <c r="D35" s="28"/>
      <c r="E35" t="s">
        <v>139</v>
      </c>
      <c r="F35" s="13"/>
      <c r="G35" s="15">
        <v>-22.1</v>
      </c>
      <c r="H35" s="25"/>
      <c r="I35" s="15">
        <v>0</v>
      </c>
      <c r="J35" s="25"/>
      <c r="K35" s="15">
        <f t="shared" si="1"/>
        <v>35.608117361776863</v>
      </c>
      <c r="M35" s="25"/>
      <c r="O35" s="25">
        <f t="shared" si="2"/>
        <v>-22.1</v>
      </c>
      <c r="P35" s="25"/>
      <c r="Q35" s="25">
        <f t="shared" si="3"/>
        <v>0</v>
      </c>
      <c r="R35" s="25"/>
      <c r="S35" s="15">
        <f t="shared" si="4"/>
        <v>35.608117361776863</v>
      </c>
      <c r="U35" s="16" t="s">
        <v>41</v>
      </c>
      <c r="V35" s="16"/>
      <c r="W35" s="15">
        <f t="shared" si="0"/>
        <v>0</v>
      </c>
    </row>
    <row r="36" spans="1:23">
      <c r="A36">
        <v>3.0599999999999987</v>
      </c>
      <c r="B36" s="28"/>
      <c r="C36" t="s">
        <v>140</v>
      </c>
      <c r="D36" s="28"/>
      <c r="E36" t="s">
        <v>29</v>
      </c>
      <c r="F36" s="13"/>
      <c r="G36" s="15">
        <v>-309.39999999999998</v>
      </c>
      <c r="H36" s="25"/>
      <c r="I36" s="15">
        <v>0</v>
      </c>
      <c r="J36" s="25"/>
      <c r="K36" s="15">
        <f t="shared" si="1"/>
        <v>498.51364306487602</v>
      </c>
      <c r="L36" s="32" t="s">
        <v>78</v>
      </c>
      <c r="M36" s="25">
        <f>-G36/2</f>
        <v>154.69999999999999</v>
      </c>
      <c r="O36" s="65">
        <f>+G36+M36</f>
        <v>-154.69999999999999</v>
      </c>
      <c r="P36" s="25"/>
      <c r="Q36" s="25">
        <f t="shared" si="3"/>
        <v>0</v>
      </c>
      <c r="R36" s="25"/>
      <c r="S36" s="15">
        <f t="shared" si="4"/>
        <v>249.25682153243801</v>
      </c>
      <c r="U36" s="66" t="s">
        <v>42</v>
      </c>
      <c r="W36" s="15">
        <f t="shared" si="0"/>
        <v>-249.25682153243801</v>
      </c>
    </row>
    <row r="37" spans="1:23">
      <c r="A37">
        <v>3.0699999999999985</v>
      </c>
      <c r="B37" s="28"/>
      <c r="C37" t="s">
        <v>141</v>
      </c>
      <c r="D37" s="28"/>
      <c r="E37" t="s">
        <v>71</v>
      </c>
      <c r="F37" s="13"/>
      <c r="G37" s="15">
        <v>-130.65</v>
      </c>
      <c r="H37" s="25"/>
      <c r="I37" s="15">
        <v>0</v>
      </c>
      <c r="J37" s="25"/>
      <c r="K37" s="15">
        <f t="shared" si="1"/>
        <v>210.5068114622691</v>
      </c>
      <c r="M37" s="25"/>
      <c r="O37" s="25">
        <f t="shared" si="2"/>
        <v>-130.65</v>
      </c>
      <c r="P37" s="25"/>
      <c r="Q37" s="25">
        <f t="shared" si="3"/>
        <v>0</v>
      </c>
      <c r="R37" s="25"/>
      <c r="S37" s="15">
        <f t="shared" si="4"/>
        <v>210.5068114622691</v>
      </c>
      <c r="U37" s="16" t="s">
        <v>41</v>
      </c>
      <c r="V37" s="16"/>
      <c r="W37" s="15">
        <f t="shared" si="0"/>
        <v>0</v>
      </c>
    </row>
    <row r="38" spans="1:23">
      <c r="A38">
        <v>3.0799999999999983</v>
      </c>
      <c r="B38" s="28"/>
      <c r="C38" t="s">
        <v>142</v>
      </c>
      <c r="D38" s="28"/>
      <c r="E38" t="s">
        <v>30</v>
      </c>
      <c r="F38" s="13"/>
      <c r="G38" s="15">
        <v>-599.29999999999995</v>
      </c>
      <c r="H38" s="25"/>
      <c r="I38" s="15">
        <v>0</v>
      </c>
      <c r="J38" s="25"/>
      <c r="K38" s="15">
        <f t="shared" si="1"/>
        <v>965.60835904583132</v>
      </c>
      <c r="M38" s="25"/>
      <c r="O38" s="25">
        <f t="shared" si="2"/>
        <v>-599.29999999999995</v>
      </c>
      <c r="P38" s="25"/>
      <c r="Q38" s="25">
        <f t="shared" si="3"/>
        <v>0</v>
      </c>
      <c r="R38" s="25"/>
      <c r="S38" s="15">
        <f t="shared" si="4"/>
        <v>965.60835904583132</v>
      </c>
      <c r="U38" s="16" t="s">
        <v>41</v>
      </c>
      <c r="V38" s="16"/>
      <c r="W38" s="15">
        <f t="shared" si="0"/>
        <v>0</v>
      </c>
    </row>
    <row r="39" spans="1:23">
      <c r="A39">
        <v>3.0899999999999981</v>
      </c>
      <c r="B39" s="28"/>
      <c r="C39" t="s">
        <v>143</v>
      </c>
      <c r="D39" s="28"/>
      <c r="E39" t="s">
        <v>144</v>
      </c>
      <c r="F39" s="13"/>
      <c r="G39" s="15">
        <v>701.35</v>
      </c>
      <c r="H39" s="8"/>
      <c r="I39" s="15">
        <v>0</v>
      </c>
      <c r="J39" s="8"/>
      <c r="K39" s="15">
        <f t="shared" si="1"/>
        <v>-1130.0340774516833</v>
      </c>
      <c r="M39" s="25"/>
      <c r="O39" s="25">
        <f t="shared" si="2"/>
        <v>701.35</v>
      </c>
      <c r="P39" s="25"/>
      <c r="Q39" s="25">
        <f t="shared" si="3"/>
        <v>0</v>
      </c>
      <c r="R39" s="8"/>
      <c r="S39" s="15">
        <f t="shared" si="4"/>
        <v>-1130.0340774516833</v>
      </c>
      <c r="U39" s="16" t="s">
        <v>41</v>
      </c>
      <c r="V39" s="16"/>
      <c r="W39" s="15">
        <f t="shared" si="0"/>
        <v>0</v>
      </c>
    </row>
    <row r="40" spans="1:23">
      <c r="A40">
        <v>3.0999999999999979</v>
      </c>
      <c r="B40" s="28"/>
      <c r="C40" t="s">
        <v>145</v>
      </c>
      <c r="D40" s="28"/>
      <c r="E40" t="s">
        <v>72</v>
      </c>
      <c r="F40" s="13"/>
      <c r="G40" s="15">
        <v>-848.48828500000013</v>
      </c>
      <c r="H40" s="25"/>
      <c r="I40" s="15">
        <v>17841</v>
      </c>
      <c r="J40" s="25"/>
      <c r="K40" s="15">
        <f t="shared" si="1"/>
        <v>3577.6670802149379</v>
      </c>
      <c r="O40" s="25">
        <f t="shared" si="2"/>
        <v>-848.48828500000013</v>
      </c>
      <c r="P40" s="25"/>
      <c r="Q40" s="25">
        <f t="shared" si="3"/>
        <v>17841</v>
      </c>
      <c r="R40" s="25"/>
      <c r="S40" s="15">
        <f t="shared" si="4"/>
        <v>3454.0597040175949</v>
      </c>
      <c r="U40" s="16" t="s">
        <v>41</v>
      </c>
      <c r="W40" s="15">
        <f t="shared" si="0"/>
        <v>-123.607376197343</v>
      </c>
    </row>
    <row r="41" spans="1:23">
      <c r="A41">
        <v>3.1099999999999977</v>
      </c>
      <c r="B41" s="28"/>
      <c r="C41" t="s">
        <v>146</v>
      </c>
      <c r="D41" s="28"/>
      <c r="E41" t="s">
        <v>73</v>
      </c>
      <c r="F41" s="13"/>
      <c r="G41" s="15">
        <v>20.8</v>
      </c>
      <c r="H41" s="25"/>
      <c r="I41" s="15">
        <v>0</v>
      </c>
      <c r="J41" s="25"/>
      <c r="K41" s="15">
        <f t="shared" si="1"/>
        <v>-33.513522222848813</v>
      </c>
      <c r="M41" s="25"/>
      <c r="O41" s="25">
        <f t="shared" si="2"/>
        <v>20.8</v>
      </c>
      <c r="P41" s="25"/>
      <c r="Q41" s="25">
        <f t="shared" si="3"/>
        <v>0</v>
      </c>
      <c r="R41" s="25"/>
      <c r="S41" s="15">
        <f t="shared" si="4"/>
        <v>-33.513522222848813</v>
      </c>
      <c r="U41" s="16" t="s">
        <v>41</v>
      </c>
      <c r="V41" s="16"/>
      <c r="W41" s="15">
        <f t="shared" si="0"/>
        <v>0</v>
      </c>
    </row>
    <row r="42" spans="1:23">
      <c r="A42">
        <v>3.1199999999999974</v>
      </c>
      <c r="B42" s="28"/>
      <c r="C42" t="s">
        <v>147</v>
      </c>
      <c r="D42" s="28"/>
      <c r="E42" t="s">
        <v>148</v>
      </c>
      <c r="F42" s="13"/>
      <c r="G42" s="15">
        <v>-70.2</v>
      </c>
      <c r="H42" s="25"/>
      <c r="I42" s="15">
        <v>0</v>
      </c>
      <c r="J42" s="25"/>
      <c r="K42" s="15">
        <f t="shared" si="1"/>
        <v>113.10813750211474</v>
      </c>
      <c r="L42" s="32" t="s">
        <v>77</v>
      </c>
      <c r="M42" s="25">
        <f>-G42</f>
        <v>70.2</v>
      </c>
      <c r="O42" s="65">
        <f>+G42+M42</f>
        <v>0</v>
      </c>
      <c r="P42" s="25"/>
      <c r="Q42" s="25">
        <f t="shared" si="3"/>
        <v>0</v>
      </c>
      <c r="R42" s="25"/>
      <c r="S42" s="15">
        <f t="shared" si="4"/>
        <v>0</v>
      </c>
      <c r="U42" s="66" t="s">
        <v>42</v>
      </c>
      <c r="V42" s="16"/>
      <c r="W42" s="15">
        <f t="shared" si="0"/>
        <v>-113.10813750211474</v>
      </c>
    </row>
    <row r="43" spans="1:23">
      <c r="A43">
        <v>3.1299999999999972</v>
      </c>
      <c r="B43" s="28"/>
      <c r="C43" t="s">
        <v>149</v>
      </c>
      <c r="D43" s="28"/>
      <c r="E43" t="s">
        <v>150</v>
      </c>
      <c r="F43" s="13"/>
      <c r="G43" s="15">
        <v>-364.69049000000001</v>
      </c>
      <c r="H43" s="25"/>
      <c r="I43" s="15">
        <v>1474</v>
      </c>
      <c r="J43" s="25"/>
      <c r="K43" s="15">
        <f t="shared" si="1"/>
        <v>770.23272563220519</v>
      </c>
      <c r="O43" s="25">
        <f t="shared" si="2"/>
        <v>-364.69049000000001</v>
      </c>
      <c r="P43" s="25"/>
      <c r="Q43" s="25">
        <f t="shared" si="3"/>
        <v>1474</v>
      </c>
      <c r="R43" s="25"/>
      <c r="S43" s="15">
        <f t="shared" si="4"/>
        <v>760.02044647101002</v>
      </c>
      <c r="U43" s="16" t="s">
        <v>41</v>
      </c>
      <c r="V43" s="16"/>
      <c r="W43" s="15">
        <f t="shared" ref="W43" si="5">+S43-K43</f>
        <v>-10.21227916119517</v>
      </c>
    </row>
    <row r="44" spans="1:23">
      <c r="B44" s="28"/>
      <c r="D44" s="28"/>
      <c r="F44" s="13"/>
      <c r="G44" s="15"/>
      <c r="H44" s="25"/>
      <c r="I44" s="15"/>
      <c r="J44" s="25"/>
      <c r="K44" s="15"/>
      <c r="O44" s="25"/>
      <c r="P44" s="25"/>
      <c r="Q44" s="25"/>
      <c r="R44" s="25"/>
      <c r="S44" s="15"/>
      <c r="U44" s="16"/>
      <c r="V44" s="16"/>
      <c r="W44" s="15"/>
    </row>
    <row r="45" spans="1:23">
      <c r="A45" s="28"/>
      <c r="B45" s="28"/>
      <c r="C45" s="28"/>
      <c r="D45" s="28"/>
      <c r="E45" t="s">
        <v>104</v>
      </c>
      <c r="F45" s="13"/>
      <c r="G45" s="15">
        <v>20712.494490000005</v>
      </c>
      <c r="H45" s="25"/>
      <c r="I45" s="15">
        <v>305913</v>
      </c>
      <c r="J45" s="25"/>
      <c r="K45" s="15">
        <f>((I45*0.0769)-G45)/0.620645</f>
        <v>4531.1171603734738</v>
      </c>
      <c r="O45" s="25">
        <f>SUM(O10:O43)</f>
        <v>21221.444490000005</v>
      </c>
      <c r="P45" s="25"/>
      <c r="Q45" s="25">
        <f>SUM(Q10:Q43)</f>
        <v>305913</v>
      </c>
      <c r="R45" s="25"/>
      <c r="S45" s="25">
        <f>SUM(S10:S43)</f>
        <v>1591.6333975138737</v>
      </c>
      <c r="U45" s="16"/>
      <c r="V45" s="16"/>
      <c r="W45" s="25">
        <f>SUM(W10:W43)</f>
        <v>-2939.4837628596083</v>
      </c>
    </row>
    <row r="46" spans="1:23">
      <c r="A46" s="2"/>
      <c r="B46" s="2"/>
      <c r="C46" s="2"/>
      <c r="D46" s="2"/>
      <c r="G46" s="25"/>
      <c r="H46" s="25"/>
      <c r="I46" s="25"/>
      <c r="J46" s="25"/>
      <c r="K46" s="26"/>
      <c r="L46" s="26"/>
      <c r="O46" s="25"/>
      <c r="P46" s="25"/>
      <c r="Q46" s="25"/>
      <c r="R46" s="25"/>
      <c r="S46" s="8"/>
    </row>
    <row r="47" spans="1:23" ht="16.5" thickBot="1">
      <c r="A47" s="2"/>
      <c r="B47" s="38" t="s">
        <v>43</v>
      </c>
      <c r="C47" s="37"/>
      <c r="D47" s="39"/>
      <c r="E47" s="40"/>
      <c r="F47" s="41"/>
      <c r="G47" s="42"/>
      <c r="H47" s="25"/>
      <c r="I47" s="25"/>
      <c r="J47" s="25"/>
      <c r="K47" s="26"/>
      <c r="O47" s="25"/>
      <c r="P47" s="25"/>
      <c r="Q47" s="25"/>
      <c r="R47" s="25"/>
    </row>
    <row r="48" spans="1:23">
      <c r="A48" s="2"/>
      <c r="B48" s="43"/>
      <c r="C48" s="19"/>
      <c r="D48" s="44"/>
      <c r="E48" s="41"/>
      <c r="F48" s="41"/>
      <c r="G48" s="42"/>
      <c r="H48" s="25"/>
      <c r="I48" s="25"/>
      <c r="J48" s="25"/>
      <c r="K48" s="26"/>
      <c r="O48" s="25"/>
      <c r="P48" s="25"/>
      <c r="Q48" s="25"/>
      <c r="R48" s="25"/>
    </row>
    <row r="49" spans="2:3">
      <c r="B49" s="35" t="s">
        <v>76</v>
      </c>
      <c r="C49" t="s">
        <v>80</v>
      </c>
    </row>
    <row r="50" spans="2:3">
      <c r="B50" s="36" t="s">
        <v>78</v>
      </c>
      <c r="C50" t="s">
        <v>81</v>
      </c>
    </row>
    <row r="51" spans="2:3">
      <c r="B51" s="36" t="s">
        <v>77</v>
      </c>
      <c r="C51" t="s">
        <v>82</v>
      </c>
    </row>
    <row r="52" spans="2:3">
      <c r="C52" s="12"/>
    </row>
  </sheetData>
  <mergeCells count="4">
    <mergeCell ref="G6:K6"/>
    <mergeCell ref="O6:S6"/>
    <mergeCell ref="O7:S7"/>
    <mergeCell ref="G7:K7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G2" sqref="G2"/>
    </sheetView>
  </sheetViews>
  <sheetFormatPr defaultRowHeight="15.75"/>
  <cols>
    <col min="1" max="1" width="4.125" customWidth="1"/>
    <col min="2" max="2" width="1.625" customWidth="1"/>
    <col min="3" max="3" width="38.5" customWidth="1"/>
    <col min="4" max="4" width="2" customWidth="1"/>
    <col min="5" max="6" width="4.125" customWidth="1"/>
    <col min="7" max="7" width="11.75" customWidth="1"/>
    <col min="8" max="8" width="0.875" customWidth="1"/>
    <col min="9" max="9" width="11.875" customWidth="1"/>
    <col min="10" max="10" width="0.75" customWidth="1"/>
  </cols>
  <sheetData>
    <row r="1" spans="1:10">
      <c r="A1" t="s">
        <v>0</v>
      </c>
      <c r="I1" s="12" t="s">
        <v>62</v>
      </c>
    </row>
    <row r="2" spans="1:10">
      <c r="A2" t="s">
        <v>60</v>
      </c>
      <c r="I2" s="12" t="s">
        <v>158</v>
      </c>
    </row>
    <row r="3" spans="1:10">
      <c r="A3" t="s">
        <v>55</v>
      </c>
      <c r="I3" s="12" t="s">
        <v>154</v>
      </c>
    </row>
    <row r="4" spans="1:10">
      <c r="A4" t="s">
        <v>61</v>
      </c>
      <c r="I4" s="12" t="s">
        <v>57</v>
      </c>
    </row>
    <row r="5" spans="1:10">
      <c r="A5" s="6"/>
      <c r="I5" s="12" t="s">
        <v>56</v>
      </c>
    </row>
    <row r="10" spans="1:10">
      <c r="A10" t="s">
        <v>2</v>
      </c>
      <c r="G10" s="2" t="s">
        <v>14</v>
      </c>
      <c r="H10" s="2"/>
      <c r="I10" s="2" t="s">
        <v>47</v>
      </c>
    </row>
    <row r="11" spans="1:10">
      <c r="A11" s="1" t="s">
        <v>3</v>
      </c>
      <c r="C11" s="1" t="s">
        <v>4</v>
      </c>
      <c r="G11" s="64" t="s">
        <v>48</v>
      </c>
      <c r="H11" s="2"/>
      <c r="I11" s="64" t="s">
        <v>48</v>
      </c>
      <c r="J11" s="2"/>
    </row>
    <row r="13" spans="1:10">
      <c r="J13" s="7"/>
    </row>
    <row r="14" spans="1:10">
      <c r="A14">
        <v>1</v>
      </c>
      <c r="C14" t="s">
        <v>101</v>
      </c>
      <c r="G14" s="7">
        <f>+G20/0.65</f>
        <v>-874</v>
      </c>
      <c r="H14" s="7"/>
      <c r="I14" s="7">
        <f>+I20/0.65</f>
        <v>-874</v>
      </c>
      <c r="J14" s="7"/>
    </row>
    <row r="15" spans="1:10">
      <c r="G15" s="7"/>
      <c r="H15" s="7"/>
      <c r="I15" s="7"/>
      <c r="J15" s="7"/>
    </row>
    <row r="16" spans="1:10">
      <c r="A16">
        <v>2</v>
      </c>
      <c r="C16" t="s">
        <v>52</v>
      </c>
      <c r="G16" s="22">
        <v>0.35</v>
      </c>
      <c r="H16" s="7"/>
      <c r="I16" s="22">
        <v>0.35</v>
      </c>
      <c r="J16" s="7"/>
    </row>
    <row r="17" spans="1:10">
      <c r="H17" s="7"/>
      <c r="J17" s="7"/>
    </row>
    <row r="18" spans="1:10">
      <c r="A18">
        <v>3</v>
      </c>
      <c r="C18" t="s">
        <v>53</v>
      </c>
      <c r="G18" s="20">
        <f>ROUND(G14*-G16,0)</f>
        <v>306</v>
      </c>
      <c r="H18" s="7"/>
      <c r="I18" s="20">
        <f>ROUND(I14*-I16,0)</f>
        <v>306</v>
      </c>
      <c r="J18" s="7"/>
    </row>
    <row r="19" spans="1:10">
      <c r="G19" s="7"/>
      <c r="H19" s="7"/>
      <c r="I19" s="7"/>
      <c r="J19" s="7"/>
    </row>
    <row r="20" spans="1:10" ht="16.5" thickBot="1">
      <c r="A20">
        <v>4</v>
      </c>
      <c r="C20" t="s">
        <v>98</v>
      </c>
      <c r="G20" s="21">
        <f>+Summary!G32</f>
        <v>-568.1</v>
      </c>
      <c r="H20" s="7"/>
      <c r="I20" s="21">
        <f>+G20</f>
        <v>-568.1</v>
      </c>
      <c r="J20" s="7"/>
    </row>
    <row r="21" spans="1:10" ht="16.5" thickTop="1">
      <c r="G21" s="23"/>
      <c r="H21" s="7"/>
      <c r="I21" s="23"/>
      <c r="J21" s="7"/>
    </row>
    <row r="22" spans="1:10">
      <c r="A22">
        <v>5</v>
      </c>
      <c r="C22" t="s">
        <v>99</v>
      </c>
      <c r="G22" s="20">
        <f>-G20/2</f>
        <v>284.05</v>
      </c>
      <c r="H22" s="7"/>
      <c r="I22" s="20"/>
      <c r="J22" s="7"/>
    </row>
    <row r="23" spans="1:10">
      <c r="G23" s="7"/>
      <c r="H23" s="7"/>
      <c r="I23" s="7"/>
      <c r="J23" s="7"/>
    </row>
    <row r="24" spans="1:10" ht="16.5" thickBot="1">
      <c r="A24">
        <v>6</v>
      </c>
      <c r="C24" t="s">
        <v>100</v>
      </c>
      <c r="G24" s="21">
        <f>+G20+G22</f>
        <v>-284.05</v>
      </c>
      <c r="H24" s="7"/>
      <c r="I24" s="21"/>
      <c r="J24" s="7"/>
    </row>
    <row r="25" spans="1:10" ht="16.5" thickTop="1">
      <c r="G25" s="7"/>
      <c r="H25" s="7"/>
      <c r="I25" s="7"/>
      <c r="J25" s="7"/>
    </row>
    <row r="26" spans="1:10">
      <c r="G26" s="55"/>
      <c r="H26" s="7"/>
      <c r="I26" s="55"/>
    </row>
    <row r="27" spans="1:10">
      <c r="C27" s="17" t="s">
        <v>46</v>
      </c>
      <c r="G27" s="7"/>
      <c r="H27" s="7"/>
      <c r="I27" s="7"/>
    </row>
    <row r="28" spans="1:10">
      <c r="C28" t="s">
        <v>151</v>
      </c>
      <c r="G28" s="7"/>
      <c r="H28" s="7"/>
      <c r="I28" s="7"/>
    </row>
    <row r="29" spans="1:10">
      <c r="G29" s="7"/>
      <c r="H29" s="7"/>
      <c r="I29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G2" sqref="G2"/>
    </sheetView>
  </sheetViews>
  <sheetFormatPr defaultRowHeight="15.75"/>
  <cols>
    <col min="1" max="1" width="4.125" customWidth="1"/>
    <col min="2" max="2" width="1.625" customWidth="1"/>
    <col min="3" max="3" width="40.75" customWidth="1"/>
    <col min="4" max="4" width="4.75" customWidth="1"/>
    <col min="5" max="5" width="4.125" customWidth="1"/>
    <col min="6" max="6" width="2.875" customWidth="1"/>
    <col min="7" max="7" width="11.75" customWidth="1"/>
    <col min="8" max="8" width="0.875" customWidth="1"/>
    <col min="9" max="9" width="10.25" customWidth="1"/>
    <col min="10" max="10" width="5" customWidth="1"/>
    <col min="11" max="11" width="8.875" customWidth="1"/>
  </cols>
  <sheetData>
    <row r="1" spans="1:9">
      <c r="A1" t="s">
        <v>0</v>
      </c>
      <c r="I1" s="24" t="s">
        <v>62</v>
      </c>
    </row>
    <row r="2" spans="1:9">
      <c r="A2" t="s">
        <v>60</v>
      </c>
      <c r="I2" s="12" t="s">
        <v>158</v>
      </c>
    </row>
    <row r="3" spans="1:9">
      <c r="A3" t="s">
        <v>49</v>
      </c>
      <c r="I3" s="12" t="s">
        <v>155</v>
      </c>
    </row>
    <row r="4" spans="1:9">
      <c r="A4" t="s">
        <v>61</v>
      </c>
      <c r="I4" s="12" t="s">
        <v>58</v>
      </c>
    </row>
    <row r="5" spans="1:9">
      <c r="A5" s="6" t="s">
        <v>15</v>
      </c>
      <c r="I5" s="12"/>
    </row>
    <row r="8" spans="1:9">
      <c r="A8" t="s">
        <v>2</v>
      </c>
      <c r="G8" s="2" t="s">
        <v>14</v>
      </c>
      <c r="H8" s="2"/>
      <c r="I8" s="2" t="s">
        <v>47</v>
      </c>
    </row>
    <row r="9" spans="1:9">
      <c r="A9" s="1" t="s">
        <v>3</v>
      </c>
      <c r="C9" s="1" t="s">
        <v>4</v>
      </c>
      <c r="G9" s="3" t="s">
        <v>48</v>
      </c>
      <c r="H9" s="2"/>
      <c r="I9" s="3" t="s">
        <v>48</v>
      </c>
    </row>
    <row r="11" spans="1:9">
      <c r="A11">
        <v>1</v>
      </c>
      <c r="C11" t="s">
        <v>51</v>
      </c>
      <c r="G11" s="7">
        <f>+G17/0.65</f>
        <v>-475.99999999999994</v>
      </c>
      <c r="H11" s="7"/>
      <c r="I11" s="7">
        <f>+I17/0.65</f>
        <v>-475.99999999999994</v>
      </c>
    </row>
    <row r="13" spans="1:9">
      <c r="A13">
        <v>2</v>
      </c>
      <c r="C13" t="s">
        <v>52</v>
      </c>
      <c r="G13" s="22">
        <v>0.35</v>
      </c>
      <c r="I13" s="22">
        <v>0.35</v>
      </c>
    </row>
    <row r="15" spans="1:9">
      <c r="A15">
        <v>3</v>
      </c>
      <c r="C15" t="s">
        <v>53</v>
      </c>
      <c r="G15" s="20">
        <f>ROUND(G11*-G13,0)</f>
        <v>167</v>
      </c>
      <c r="I15" s="20">
        <f>ROUND(I11*-I13,0)</f>
        <v>167</v>
      </c>
    </row>
    <row r="16" spans="1:9">
      <c r="G16" s="7"/>
      <c r="I16" s="7"/>
    </row>
    <row r="17" spans="1:9" ht="16.5" thickBot="1">
      <c r="A17">
        <v>4</v>
      </c>
      <c r="C17" t="s">
        <v>54</v>
      </c>
      <c r="G17" s="21">
        <f>+Summary!G36</f>
        <v>-309.39999999999998</v>
      </c>
      <c r="I17" s="21">
        <f>+G17</f>
        <v>-309.39999999999998</v>
      </c>
    </row>
    <row r="18" spans="1:9" ht="16.5" thickTop="1"/>
    <row r="19" spans="1:9">
      <c r="A19">
        <v>5</v>
      </c>
      <c r="C19" t="s">
        <v>99</v>
      </c>
      <c r="G19" s="20">
        <f>-G17/2</f>
        <v>154.69999999999999</v>
      </c>
      <c r="I19" s="20"/>
    </row>
    <row r="20" spans="1:9">
      <c r="G20" s="7"/>
      <c r="I20" s="7"/>
    </row>
    <row r="21" spans="1:9" ht="16.5" thickBot="1">
      <c r="A21">
        <v>6</v>
      </c>
      <c r="C21" t="s">
        <v>100</v>
      </c>
      <c r="G21" s="21">
        <f>+G17+G19</f>
        <v>-154.69999999999999</v>
      </c>
      <c r="I21" s="21"/>
    </row>
    <row r="22" spans="1:9" ht="16.5" thickTop="1">
      <c r="G22" s="7"/>
    </row>
    <row r="24" spans="1:9">
      <c r="C24" s="17" t="s">
        <v>46</v>
      </c>
    </row>
    <row r="25" spans="1:9">
      <c r="C25" t="s">
        <v>151</v>
      </c>
    </row>
    <row r="28" spans="1:9">
      <c r="C28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G2" sqref="G2"/>
    </sheetView>
  </sheetViews>
  <sheetFormatPr defaultRowHeight="15.75"/>
  <cols>
    <col min="1" max="1" width="4.125" customWidth="1"/>
    <col min="2" max="2" width="1.625" customWidth="1"/>
    <col min="3" max="3" width="40.75" customWidth="1"/>
    <col min="4" max="4" width="4.75" customWidth="1"/>
    <col min="5" max="5" width="4.125" customWidth="1"/>
    <col min="6" max="6" width="2.875" customWidth="1"/>
    <col min="7" max="7" width="11.75" customWidth="1"/>
    <col min="8" max="8" width="0.875" customWidth="1"/>
    <col min="9" max="9" width="10.25" customWidth="1"/>
    <col min="10" max="10" width="5" customWidth="1"/>
    <col min="11" max="11" width="8.875" customWidth="1"/>
  </cols>
  <sheetData>
    <row r="1" spans="1:9">
      <c r="A1" t="s">
        <v>0</v>
      </c>
      <c r="I1" s="24" t="s">
        <v>62</v>
      </c>
    </row>
    <row r="2" spans="1:9">
      <c r="A2" t="s">
        <v>60</v>
      </c>
      <c r="I2" s="12" t="s">
        <v>158</v>
      </c>
    </row>
    <row r="3" spans="1:9">
      <c r="A3" t="s">
        <v>97</v>
      </c>
      <c r="I3" s="12" t="s">
        <v>96</v>
      </c>
    </row>
    <row r="4" spans="1:9">
      <c r="A4" t="s">
        <v>61</v>
      </c>
      <c r="I4" s="12" t="s">
        <v>59</v>
      </c>
    </row>
    <row r="5" spans="1:9">
      <c r="A5" s="6" t="s">
        <v>15</v>
      </c>
      <c r="I5" s="12" t="s">
        <v>50</v>
      </c>
    </row>
    <row r="8" spans="1:9">
      <c r="A8" t="s">
        <v>2</v>
      </c>
      <c r="G8" s="2" t="s">
        <v>14</v>
      </c>
      <c r="H8" s="2"/>
      <c r="I8" s="2" t="s">
        <v>47</v>
      </c>
    </row>
    <row r="9" spans="1:9">
      <c r="A9" s="1" t="s">
        <v>3</v>
      </c>
      <c r="C9" s="1" t="s">
        <v>4</v>
      </c>
      <c r="G9" s="3" t="s">
        <v>48</v>
      </c>
      <c r="H9" s="2"/>
      <c r="I9" s="3" t="s">
        <v>48</v>
      </c>
    </row>
    <row r="11" spans="1:9">
      <c r="A11">
        <v>1</v>
      </c>
      <c r="C11" t="s">
        <v>103</v>
      </c>
      <c r="G11" s="7">
        <f>+G17/0.65</f>
        <v>-107.69230769230769</v>
      </c>
      <c r="H11" s="7"/>
      <c r="I11" s="7">
        <f>+I17/0.65</f>
        <v>-107.69230769230769</v>
      </c>
    </row>
    <row r="13" spans="1:9">
      <c r="A13">
        <v>2</v>
      </c>
      <c r="C13" t="s">
        <v>52</v>
      </c>
      <c r="G13" s="22">
        <v>0.35</v>
      </c>
      <c r="I13" s="22">
        <v>0.35</v>
      </c>
    </row>
    <row r="15" spans="1:9">
      <c r="A15">
        <v>3</v>
      </c>
      <c r="C15" t="s">
        <v>53</v>
      </c>
      <c r="G15" s="20">
        <f>+G11*G13</f>
        <v>-37.692307692307693</v>
      </c>
      <c r="I15" s="20">
        <f>+I11*I13</f>
        <v>-37.692307692307693</v>
      </c>
    </row>
    <row r="16" spans="1:9">
      <c r="G16" s="7"/>
      <c r="I16" s="7"/>
    </row>
    <row r="17" spans="1:9" ht="16.5" thickBot="1">
      <c r="A17">
        <v>4</v>
      </c>
      <c r="C17" t="s">
        <v>54</v>
      </c>
      <c r="G17" s="21">
        <v>-70</v>
      </c>
      <c r="I17" s="21">
        <v>-70</v>
      </c>
    </row>
    <row r="18" spans="1:9" ht="16.5" thickTop="1"/>
    <row r="19" spans="1:9">
      <c r="A19">
        <v>5</v>
      </c>
      <c r="C19" t="s">
        <v>102</v>
      </c>
      <c r="G19" s="20">
        <v>0</v>
      </c>
      <c r="I19" s="20"/>
    </row>
    <row r="20" spans="1:9">
      <c r="G20" s="7"/>
      <c r="I20" s="7"/>
    </row>
    <row r="21" spans="1:9" ht="16.5" thickBot="1">
      <c r="A21">
        <v>6</v>
      </c>
      <c r="C21" t="s">
        <v>100</v>
      </c>
      <c r="G21" s="21">
        <f>+G19-G17</f>
        <v>70</v>
      </c>
      <c r="I21" s="21"/>
    </row>
    <row r="22" spans="1:9" ht="16.5" thickTop="1"/>
    <row r="24" spans="1:9">
      <c r="C24" s="17" t="s">
        <v>46</v>
      </c>
    </row>
    <row r="25" spans="1:9">
      <c r="C25" t="s">
        <v>151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6" workbookViewId="0">
      <selection activeCell="G2" sqref="G2"/>
    </sheetView>
  </sheetViews>
  <sheetFormatPr defaultRowHeight="15.75"/>
  <cols>
    <col min="2" max="2" width="6.25" customWidth="1"/>
    <col min="3" max="3" width="12.75" customWidth="1"/>
    <col min="4" max="4" width="0" hidden="1" customWidth="1"/>
    <col min="5" max="5" width="11.625" customWidth="1"/>
    <col min="6" max="6" width="17" customWidth="1"/>
    <col min="7" max="7" width="12.75" customWidth="1"/>
    <col min="8" max="8" width="1.5" customWidth="1"/>
  </cols>
  <sheetData>
    <row r="1" spans="1:9">
      <c r="A1" t="s">
        <v>0</v>
      </c>
      <c r="I1" s="12" t="s">
        <v>62</v>
      </c>
    </row>
    <row r="2" spans="1:9">
      <c r="A2" t="s">
        <v>60</v>
      </c>
      <c r="I2" s="12" t="s">
        <v>158</v>
      </c>
    </row>
    <row r="3" spans="1:9">
      <c r="A3" t="s">
        <v>95</v>
      </c>
      <c r="I3" s="12" t="s">
        <v>156</v>
      </c>
    </row>
    <row r="4" spans="1:9">
      <c r="A4" t="s">
        <v>61</v>
      </c>
      <c r="I4" s="12" t="s">
        <v>157</v>
      </c>
    </row>
    <row r="5" spans="1:9">
      <c r="I5" s="12"/>
    </row>
    <row r="6" spans="1:9">
      <c r="I6" s="12"/>
    </row>
    <row r="8" spans="1:9">
      <c r="B8" s="71" t="s">
        <v>83</v>
      </c>
      <c r="C8" s="71"/>
      <c r="D8" s="71"/>
      <c r="E8" s="71"/>
      <c r="F8" s="71"/>
      <c r="G8" s="71"/>
    </row>
    <row r="9" spans="1:9">
      <c r="B9" s="71" t="s">
        <v>84</v>
      </c>
      <c r="C9" s="71"/>
      <c r="D9" s="71"/>
      <c r="E9" s="71"/>
      <c r="F9" s="71"/>
      <c r="G9" s="71"/>
    </row>
    <row r="10" spans="1:9">
      <c r="B10" s="71" t="s">
        <v>85</v>
      </c>
      <c r="C10" s="71"/>
      <c r="D10" s="71"/>
      <c r="E10" s="71"/>
      <c r="F10" s="71"/>
      <c r="G10" s="71"/>
    </row>
    <row r="11" spans="1:9">
      <c r="B11" s="72"/>
      <c r="C11" s="72"/>
      <c r="D11" s="72"/>
      <c r="E11" s="72"/>
      <c r="F11" s="72"/>
      <c r="G11" s="72"/>
    </row>
    <row r="12" spans="1:9">
      <c r="B12" s="53"/>
      <c r="C12" s="46"/>
      <c r="D12" s="46"/>
      <c r="E12" s="46"/>
      <c r="F12" s="46"/>
      <c r="G12" s="46"/>
    </row>
    <row r="13" spans="1:9">
      <c r="B13" s="45"/>
      <c r="C13" s="45"/>
      <c r="D13" s="45"/>
      <c r="E13" s="46"/>
      <c r="F13" s="47"/>
      <c r="G13" s="46"/>
    </row>
    <row r="14" spans="1:9">
      <c r="B14" s="45"/>
      <c r="C14" s="46" t="s">
        <v>86</v>
      </c>
      <c r="D14" s="46"/>
      <c r="E14" s="46" t="s">
        <v>86</v>
      </c>
      <c r="F14" s="46"/>
      <c r="G14" s="46" t="s">
        <v>87</v>
      </c>
    </row>
    <row r="15" spans="1:9">
      <c r="B15" s="45"/>
      <c r="C15" s="56" t="s">
        <v>88</v>
      </c>
      <c r="D15" s="56"/>
      <c r="E15" s="56" t="s">
        <v>89</v>
      </c>
      <c r="F15" s="56" t="s">
        <v>90</v>
      </c>
      <c r="G15" s="56" t="s">
        <v>90</v>
      </c>
    </row>
    <row r="16" spans="1:9">
      <c r="B16" s="45"/>
      <c r="C16" s="45"/>
      <c r="D16" s="45"/>
      <c r="E16" s="61"/>
      <c r="F16" s="57"/>
      <c r="G16" s="45"/>
    </row>
    <row r="17" spans="2:7">
      <c r="B17" s="45"/>
      <c r="C17" s="48" t="s">
        <v>91</v>
      </c>
      <c r="D17" s="49"/>
      <c r="E17" s="62">
        <f>100%-E19</f>
        <v>0.51500000000000001</v>
      </c>
      <c r="F17" s="58">
        <v>5.62E-2</v>
      </c>
      <c r="G17" s="59">
        <f>ROUND(E17*F17,4)</f>
        <v>2.8899999999999999E-2</v>
      </c>
    </row>
    <row r="18" spans="2:7">
      <c r="B18" s="45"/>
      <c r="C18" s="48"/>
      <c r="D18" s="50"/>
      <c r="E18" s="62"/>
      <c r="F18" s="59"/>
      <c r="G18" s="59"/>
    </row>
    <row r="19" spans="2:7">
      <c r="B19" s="45"/>
      <c r="C19" s="48" t="s">
        <v>92</v>
      </c>
      <c r="D19" s="50"/>
      <c r="E19" s="62">
        <v>0.48499999999999999</v>
      </c>
      <c r="F19" s="59">
        <v>0.09</v>
      </c>
      <c r="G19" s="59">
        <f>ROUND(E19*F19,4)</f>
        <v>4.3700000000000003E-2</v>
      </c>
    </row>
    <row r="20" spans="2:7">
      <c r="B20" s="45"/>
      <c r="C20" s="48"/>
      <c r="D20" s="50"/>
      <c r="E20" s="63"/>
      <c r="F20" s="60"/>
      <c r="G20" s="59"/>
    </row>
    <row r="21" spans="2:7">
      <c r="B21" s="45"/>
      <c r="C21" s="48" t="s">
        <v>93</v>
      </c>
      <c r="D21" s="49"/>
      <c r="E21" s="59">
        <f>SUM(E17:E19)</f>
        <v>1</v>
      </c>
      <c r="F21" s="52"/>
      <c r="G21" s="59">
        <f>SUM(G17:G19)</f>
        <v>7.2599999999999998E-2</v>
      </c>
    </row>
    <row r="22" spans="2:7">
      <c r="B22" s="45"/>
      <c r="C22" s="48"/>
      <c r="D22" s="50"/>
      <c r="E22" s="51"/>
      <c r="F22" s="54"/>
      <c r="G22" s="51"/>
    </row>
    <row r="23" spans="2:7">
      <c r="B23" s="45"/>
      <c r="C23" s="48"/>
      <c r="D23" s="50"/>
      <c r="E23" s="51"/>
      <c r="F23" s="54"/>
      <c r="G23" s="51"/>
    </row>
    <row r="24" spans="2:7">
      <c r="B24" s="45"/>
      <c r="C24" s="48"/>
      <c r="D24" s="50"/>
      <c r="E24" s="51"/>
      <c r="F24" s="54"/>
      <c r="G24" s="51"/>
    </row>
    <row r="26" spans="2:7">
      <c r="B26" s="71" t="s">
        <v>94</v>
      </c>
      <c r="C26" s="71"/>
      <c r="D26" s="71"/>
      <c r="E26" s="71"/>
      <c r="F26" s="71"/>
      <c r="G26" s="71"/>
    </row>
    <row r="27" spans="2:7">
      <c r="B27" s="71" t="s">
        <v>84</v>
      </c>
      <c r="C27" s="71"/>
      <c r="D27" s="71"/>
      <c r="E27" s="71"/>
      <c r="F27" s="71"/>
      <c r="G27" s="71"/>
    </row>
    <row r="28" spans="2:7">
      <c r="B28" s="71" t="s">
        <v>85</v>
      </c>
      <c r="C28" s="71"/>
      <c r="D28" s="71"/>
      <c r="E28" s="71"/>
      <c r="F28" s="71"/>
      <c r="G28" s="71"/>
    </row>
    <row r="29" spans="2:7">
      <c r="B29" s="72"/>
      <c r="C29" s="72"/>
      <c r="D29" s="72"/>
      <c r="E29" s="72"/>
      <c r="F29" s="72"/>
      <c r="G29" s="72"/>
    </row>
    <row r="30" spans="2:7">
      <c r="B30" s="53"/>
      <c r="C30" s="46"/>
      <c r="D30" s="46"/>
      <c r="E30" s="46"/>
      <c r="F30" s="46"/>
      <c r="G30" s="46"/>
    </row>
    <row r="31" spans="2:7">
      <c r="B31" s="45"/>
      <c r="C31" s="45"/>
      <c r="D31" s="45"/>
      <c r="E31" s="46"/>
      <c r="F31" s="47"/>
      <c r="G31" s="46"/>
    </row>
    <row r="32" spans="2:7">
      <c r="B32" s="45"/>
      <c r="C32" s="46" t="s">
        <v>86</v>
      </c>
      <c r="D32" s="46"/>
      <c r="E32" s="46" t="s">
        <v>86</v>
      </c>
      <c r="F32" s="46"/>
      <c r="G32" s="46" t="s">
        <v>87</v>
      </c>
    </row>
    <row r="33" spans="2:7">
      <c r="B33" s="45"/>
      <c r="C33" s="56" t="s">
        <v>88</v>
      </c>
      <c r="D33" s="56"/>
      <c r="E33" s="56" t="s">
        <v>89</v>
      </c>
      <c r="F33" s="56" t="s">
        <v>90</v>
      </c>
      <c r="G33" s="56" t="s">
        <v>90</v>
      </c>
    </row>
    <row r="34" spans="2:7">
      <c r="B34" s="45"/>
      <c r="C34" s="45"/>
      <c r="D34" s="45"/>
      <c r="E34" s="61"/>
      <c r="F34" s="47"/>
      <c r="G34" s="45"/>
    </row>
    <row r="35" spans="2:7">
      <c r="B35" s="45"/>
      <c r="C35" s="48" t="s">
        <v>91</v>
      </c>
      <c r="D35" s="49"/>
      <c r="E35" s="62">
        <f>100%-E37</f>
        <v>0.51500000000000001</v>
      </c>
      <c r="F35" s="58">
        <v>5.62E-2</v>
      </c>
      <c r="G35" s="59">
        <f>ROUND(E35*F35,4)</f>
        <v>2.8899999999999999E-2</v>
      </c>
    </row>
    <row r="36" spans="2:7">
      <c r="B36" s="45"/>
      <c r="C36" s="48"/>
      <c r="D36" s="50"/>
      <c r="E36" s="62"/>
      <c r="F36" s="59"/>
      <c r="G36" s="59"/>
    </row>
    <row r="37" spans="2:7">
      <c r="B37" s="45"/>
      <c r="C37" s="48" t="s">
        <v>92</v>
      </c>
      <c r="D37" s="50"/>
      <c r="E37" s="62">
        <v>0.48499999999999999</v>
      </c>
      <c r="F37" s="59">
        <v>0.09</v>
      </c>
      <c r="G37" s="59">
        <f>ROUND(E37*F37,4)</f>
        <v>4.3700000000000003E-2</v>
      </c>
    </row>
    <row r="38" spans="2:7">
      <c r="B38" s="45"/>
      <c r="C38" s="48"/>
      <c r="D38" s="50"/>
      <c r="E38" s="63"/>
      <c r="F38" s="60"/>
      <c r="G38" s="59"/>
    </row>
    <row r="39" spans="2:7">
      <c r="B39" s="45"/>
      <c r="C39" s="48" t="s">
        <v>93</v>
      </c>
      <c r="D39" s="49"/>
      <c r="E39" s="59">
        <f>SUM(E35:E37)</f>
        <v>1</v>
      </c>
      <c r="F39" s="52"/>
      <c r="G39" s="59">
        <f>SUM(G35:G37)</f>
        <v>7.2599999999999998E-2</v>
      </c>
    </row>
  </sheetData>
  <mergeCells count="8">
    <mergeCell ref="B28:G28"/>
    <mergeCell ref="B29:G29"/>
    <mergeCell ref="B8:G8"/>
    <mergeCell ref="B9:G9"/>
    <mergeCell ref="B10:G10"/>
    <mergeCell ref="B11:G11"/>
    <mergeCell ref="B26:G26"/>
    <mergeCell ref="B27:G2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C90AD38-3590-46CE-906C-6D77E958464E}"/>
</file>

<file path=customXml/itemProps2.xml><?xml version="1.0" encoding="utf-8"?>
<ds:datastoreItem xmlns:ds="http://schemas.openxmlformats.org/officeDocument/2006/customXml" ds:itemID="{610560E7-5303-43C4-8459-FEFCCE7935E8}"/>
</file>

<file path=customXml/itemProps3.xml><?xml version="1.0" encoding="utf-8"?>
<ds:datastoreItem xmlns:ds="http://schemas.openxmlformats.org/officeDocument/2006/customXml" ds:itemID="{13A8C703-E064-4157-A7EF-68E9F22CBC57}"/>
</file>

<file path=customXml/itemProps4.xml><?xml version="1.0" encoding="utf-8"?>
<ds:datastoreItem xmlns:ds="http://schemas.openxmlformats.org/officeDocument/2006/customXml" ds:itemID="{B6FC3E78-27A3-43B7-B30C-24F7913D3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RevReq</vt:lpstr>
      <vt:lpstr>Summary</vt:lpstr>
      <vt:lpstr>Labor</vt:lpstr>
      <vt:lpstr>PropTax</vt:lpstr>
      <vt:lpstr>Director Fees</vt:lpstr>
      <vt:lpstr>Cost of Capital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Mak, Chanda (ATG)</cp:lastModifiedBy>
  <cp:lastPrinted>2017-10-27T15:39:48Z</cp:lastPrinted>
  <dcterms:created xsi:type="dcterms:W3CDTF">2015-07-06T17:53:07Z</dcterms:created>
  <dcterms:modified xsi:type="dcterms:W3CDTF">2017-10-27T15:40:05Z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0x0101006E56B4D1795A2E4DB2F0B01679ED314A004293D7BF2DB2434CBA4573E3DBB11230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