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CTIVE\Cases\UE\UE_UG_170485-86_Avista_2017_GRC\1_Filings\Testimony_Direct_Response\PC\Mark Garrett\"/>
    </mc:Choice>
  </mc:AlternateContent>
  <bookViews>
    <workbookView xWindow="0" yWindow="0" windowWidth="19200" windowHeight="11460"/>
  </bookViews>
  <sheets>
    <sheet name="RevReq" sheetId="1" r:id="rId1"/>
    <sheet name="Summary" sheetId="12" r:id="rId2"/>
    <sheet name="Labor" sheetId="8" r:id="rId3"/>
    <sheet name="PropTax" sheetId="6" r:id="rId4"/>
    <sheet name="Director Fees" sheetId="4" r:id="rId5"/>
    <sheet name="Power Cost " sheetId="5" r:id="rId6"/>
    <sheet name="Cost of Capital" sheetId="13" r:id="rId7"/>
  </sheets>
  <definedNames>
    <definedName name="_xlnm.Print_Area" localSheetId="1">Summary!$A$1:$W$61</definedName>
  </definedNames>
  <calcPr calcId="162913" calcMode="manual"/>
</workbook>
</file>

<file path=xl/calcChain.xml><?xml version="1.0" encoding="utf-8"?>
<calcChain xmlns="http://schemas.openxmlformats.org/spreadsheetml/2006/main">
  <c r="G18" i="5" l="1"/>
  <c r="G20" i="5" s="1"/>
  <c r="G22" i="5" s="1"/>
  <c r="I16" i="5"/>
  <c r="I18" i="5" s="1"/>
  <c r="G11" i="4"/>
  <c r="G15" i="4" s="1"/>
  <c r="G17" i="4"/>
  <c r="G19" i="4" s="1"/>
  <c r="G21" i="4" s="1"/>
  <c r="G11" i="6"/>
  <c r="G17" i="6"/>
  <c r="G19" i="6" s="1"/>
  <c r="G21" i="6" s="1"/>
  <c r="G20" i="8"/>
  <c r="G14" i="8" s="1"/>
  <c r="I15" i="4"/>
  <c r="I17" i="4" s="1"/>
  <c r="G37" i="13"/>
  <c r="E35" i="13"/>
  <c r="E39" i="13" s="1"/>
  <c r="G19" i="13"/>
  <c r="E17" i="13"/>
  <c r="G17" i="13" s="1"/>
  <c r="O36" i="12"/>
  <c r="S36" i="12" s="1"/>
  <c r="O38" i="12"/>
  <c r="S38" i="12" s="1"/>
  <c r="O39" i="12"/>
  <c r="S39" i="12" s="1"/>
  <c r="O40" i="12"/>
  <c r="S40" i="12" s="1"/>
  <c r="O42" i="12"/>
  <c r="S42" i="12" s="1"/>
  <c r="O43" i="12"/>
  <c r="O46" i="12"/>
  <c r="S46" i="12" s="1"/>
  <c r="O48" i="12"/>
  <c r="O49" i="12"/>
  <c r="O44" i="12"/>
  <c r="S44" i="12" s="1"/>
  <c r="O45" i="12"/>
  <c r="S45" i="12" s="1"/>
  <c r="S35" i="12"/>
  <c r="W50" i="12"/>
  <c r="W32" i="12"/>
  <c r="S49" i="12"/>
  <c r="S43" i="12"/>
  <c r="S48" i="12"/>
  <c r="S31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S10" i="12"/>
  <c r="W10" i="12" s="1"/>
  <c r="K10" i="12"/>
  <c r="K52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M52" i="12"/>
  <c r="O52" i="12" s="1"/>
  <c r="S52" i="12" s="1"/>
  <c r="W52" i="12" s="1"/>
  <c r="M47" i="12"/>
  <c r="O47" i="12" s="1"/>
  <c r="S47" i="12" s="1"/>
  <c r="M41" i="12"/>
  <c r="O41" i="12" s="1"/>
  <c r="S41" i="12" s="1"/>
  <c r="M37" i="12"/>
  <c r="O37" i="12" s="1"/>
  <c r="S37" i="12" s="1"/>
  <c r="Q34" i="12"/>
  <c r="Q50" i="12" s="1"/>
  <c r="Q54" i="12" s="1"/>
  <c r="G10" i="1" s="1"/>
  <c r="O34" i="12"/>
  <c r="E16" i="1"/>
  <c r="E10" i="1"/>
  <c r="W37" i="12" l="1"/>
  <c r="W11" i="12"/>
  <c r="G35" i="13"/>
  <c r="G39" i="13" s="1"/>
  <c r="W41" i="12"/>
  <c r="G22" i="8"/>
  <c r="G24" i="8" s="1"/>
  <c r="E21" i="13"/>
  <c r="G12" i="5"/>
  <c r="G16" i="5" s="1"/>
  <c r="G21" i="13"/>
  <c r="W40" i="12"/>
  <c r="W39" i="12"/>
  <c r="W48" i="12"/>
  <c r="W44" i="12"/>
  <c r="W36" i="12"/>
  <c r="W12" i="12"/>
  <c r="W16" i="12"/>
  <c r="W20" i="12"/>
  <c r="W24" i="12"/>
  <c r="W28" i="12"/>
  <c r="W46" i="12"/>
  <c r="W42" i="12"/>
  <c r="K54" i="12"/>
  <c r="W14" i="12"/>
  <c r="W18" i="12"/>
  <c r="W22" i="12"/>
  <c r="W26" i="12"/>
  <c r="W30" i="12"/>
  <c r="W43" i="12"/>
  <c r="W47" i="12"/>
  <c r="W13" i="12"/>
  <c r="W17" i="12"/>
  <c r="W21" i="12"/>
  <c r="W25" i="12"/>
  <c r="W29" i="12"/>
  <c r="W15" i="12"/>
  <c r="W19" i="12"/>
  <c r="W23" i="12"/>
  <c r="W27" i="12"/>
  <c r="W31" i="12"/>
  <c r="W38" i="12"/>
  <c r="W49" i="12"/>
  <c r="W45" i="12"/>
  <c r="S54" i="12"/>
  <c r="O50" i="12"/>
  <c r="O54" i="12" s="1"/>
  <c r="W54" i="12" l="1"/>
  <c r="G16" i="1"/>
  <c r="G18" i="8" l="1"/>
  <c r="I14" i="8"/>
  <c r="I18" i="8" s="1"/>
  <c r="I20" i="8" l="1"/>
  <c r="G15" i="6" l="1"/>
  <c r="E14" i="1" l="1"/>
  <c r="G14" i="1" l="1"/>
  <c r="E18" i="1"/>
  <c r="E22" i="1" s="1"/>
  <c r="G18" i="1" l="1"/>
  <c r="G22" i="1" s="1"/>
</calcChain>
</file>

<file path=xl/sharedStrings.xml><?xml version="1.0" encoding="utf-8"?>
<sst xmlns="http://schemas.openxmlformats.org/spreadsheetml/2006/main" count="312" uniqueCount="180">
  <si>
    <t>AVISTA CORPORATION</t>
  </si>
  <si>
    <t>CALCULATION OF GENERAL REVENUE REQUIREMENT</t>
  </si>
  <si>
    <t>Line</t>
  </si>
  <si>
    <t>No.</t>
  </si>
  <si>
    <t>Description</t>
  </si>
  <si>
    <t>Rate Base</t>
  </si>
  <si>
    <t>Net Operating Income Requirement</t>
  </si>
  <si>
    <t>Adjusted Net Operating Income</t>
  </si>
  <si>
    <t>Adjusted Rate Base</t>
  </si>
  <si>
    <t>Net Operating Income Deficiency/(Sufficiency)</t>
  </si>
  <si>
    <t>Revenue Conversion Factor</t>
  </si>
  <si>
    <t>Revenue Requirement</t>
  </si>
  <si>
    <t>Amount</t>
  </si>
  <si>
    <t>Per Company</t>
  </si>
  <si>
    <t>Per PC</t>
  </si>
  <si>
    <t>(000s of Dollars)</t>
  </si>
  <si>
    <t>Schedule No. 1</t>
  </si>
  <si>
    <t xml:space="preserve">     Restated Total</t>
  </si>
  <si>
    <t>Results of Operations</t>
  </si>
  <si>
    <t>Deferred FIT Rate Base</t>
  </si>
  <si>
    <t>Deferred Debits and Credits</t>
  </si>
  <si>
    <t>Working Capital</t>
  </si>
  <si>
    <t>Eliminate B &amp; O Taxes</t>
  </si>
  <si>
    <t>Restate Property Tax</t>
  </si>
  <si>
    <t>Uncollect. Expense</t>
  </si>
  <si>
    <t>Regulatory Expense</t>
  </si>
  <si>
    <t>Injuries and Damages</t>
  </si>
  <si>
    <t>Restate Excise Taxes</t>
  </si>
  <si>
    <t>Net Gains / Losses</t>
  </si>
  <si>
    <t>Weather Normalization</t>
  </si>
  <si>
    <t>Eliminate Adder Schedules</t>
  </si>
  <si>
    <t>Eliminate WA Power Cost Defer</t>
  </si>
  <si>
    <t>Nez Perce Settlement Adjustment</t>
  </si>
  <si>
    <t>Restate Debt Interest</t>
  </si>
  <si>
    <t>Pro Forma Labor Non-Exec</t>
  </si>
  <si>
    <t>Pro Forma Labor Exec</t>
  </si>
  <si>
    <t>Pro Forma Employee Benefits</t>
  </si>
  <si>
    <t>Pro Forma Property Tax</t>
  </si>
  <si>
    <t>Pro Forma Revenue Normalization</t>
  </si>
  <si>
    <t>Avista</t>
  </si>
  <si>
    <t>Adj. #</t>
  </si>
  <si>
    <t xml:space="preserve">NOI   </t>
  </si>
  <si>
    <t>Rev Req</t>
  </si>
  <si>
    <t>Public Counsel</t>
  </si>
  <si>
    <t>Position on Avista's</t>
  </si>
  <si>
    <t>Revised Position</t>
  </si>
  <si>
    <t>Rev. Req.</t>
  </si>
  <si>
    <t>Impact of</t>
  </si>
  <si>
    <t>Differences</t>
  </si>
  <si>
    <t>PC Neutral in Direct</t>
  </si>
  <si>
    <t>PC Opposes</t>
  </si>
  <si>
    <t>Public Counsel Adjustments</t>
  </si>
  <si>
    <t>and/or PC Neutral in Direct</t>
  </si>
  <si>
    <t>Schedule No. 2</t>
  </si>
  <si>
    <t>Source/Notes:</t>
  </si>
  <si>
    <t>Per Avista</t>
  </si>
  <si>
    <t>Adjustment</t>
  </si>
  <si>
    <t>PRO FORMA MAJOR PLANT ADDITIONS</t>
  </si>
  <si>
    <t>PRO FORMA PROPERTY TAX EXPENSE</t>
  </si>
  <si>
    <t>PC-E.3.06</t>
  </si>
  <si>
    <t>Pro Forma Property Tax Expense Adjustment</t>
  </si>
  <si>
    <t>Federal Income Tax Rate</t>
  </si>
  <si>
    <t>Reduction in Federal Income Tax Expense</t>
  </si>
  <si>
    <t>Adjustment to Net Operating Income</t>
  </si>
  <si>
    <t>WA-Electric</t>
  </si>
  <si>
    <t>WA-Gas</t>
  </si>
  <si>
    <t>NON-EXECUTIVE LABOR ADJUSTMENT</t>
  </si>
  <si>
    <t>PC-E.3.02</t>
  </si>
  <si>
    <t>Schedule No. 3</t>
  </si>
  <si>
    <t>Schedule No. 4</t>
  </si>
  <si>
    <t>Schedule No. 5</t>
  </si>
  <si>
    <t>Schedule No. 6</t>
  </si>
  <si>
    <t>Schedule No. 7</t>
  </si>
  <si>
    <t>ELECTRIC DOCKET NO. UE-170485</t>
  </si>
  <si>
    <t>TEST YEAR ENDED DECEMBER 31, 2016</t>
  </si>
  <si>
    <t>Dockets UE-170485 &amp; UG-170486</t>
  </si>
  <si>
    <t>Restatement Summary</t>
  </si>
  <si>
    <t>Washington Electric</t>
  </si>
  <si>
    <t>WP Ref</t>
  </si>
  <si>
    <t>Description of Adjustment</t>
  </si>
  <si>
    <t>Pro Forma Adjustments</t>
  </si>
  <si>
    <t xml:space="preserve">     Pro Forma Study (Step 1 increase excluding ERM net change)</t>
  </si>
  <si>
    <t>Total Pro Forma Study: Step 1 increases &amp; Change above current P.S.:</t>
  </si>
  <si>
    <t xml:space="preserve">AVISTA UTILITIES  </t>
  </si>
  <si>
    <t>TWELVE MONTHS ENDED DECEMBER 31, 2016</t>
  </si>
  <si>
    <t>E-ROO</t>
  </si>
  <si>
    <t>E-DFIT</t>
  </si>
  <si>
    <t>E-DDC</t>
  </si>
  <si>
    <t xml:space="preserve">E-WC </t>
  </si>
  <si>
    <t>E-EBO</t>
  </si>
  <si>
    <t>E-RPT</t>
  </si>
  <si>
    <t>E-UE</t>
  </si>
  <si>
    <t>E-RE</t>
  </si>
  <si>
    <t>E-ID</t>
  </si>
  <si>
    <t xml:space="preserve">E-FIT </t>
  </si>
  <si>
    <t>FIT/DFIT/ ITC Expense</t>
  </si>
  <si>
    <t>E-OSC</t>
  </si>
  <si>
    <t>Office Space Charges to Non-Utility</t>
  </si>
  <si>
    <t>E-RET</t>
  </si>
  <si>
    <t>E-NGL</t>
  </si>
  <si>
    <t>E-WN</t>
  </si>
  <si>
    <t>E-EAS</t>
  </si>
  <si>
    <t>E-MR</t>
  </si>
  <si>
    <t>E-EWPC</t>
  </si>
  <si>
    <t>E-NPS</t>
  </si>
  <si>
    <t>E-RI</t>
  </si>
  <si>
    <t>Restating Incentives</t>
  </si>
  <si>
    <t>E-PMM</t>
  </si>
  <si>
    <t>Normalize CS2/Colstrip Major Maint</t>
  </si>
  <si>
    <t>E-RDI</t>
  </si>
  <si>
    <t>E-APS</t>
  </si>
  <si>
    <t>Authorized Power Supply</t>
  </si>
  <si>
    <t>OPEN</t>
  </si>
  <si>
    <t>E-PTR</t>
  </si>
  <si>
    <t>Pro Forma Trans/Power Sup Non-ERM Rev/Exp</t>
  </si>
  <si>
    <t>E-PLN</t>
  </si>
  <si>
    <t>E-PLE</t>
  </si>
  <si>
    <t>E-PEB</t>
  </si>
  <si>
    <t>E-PI</t>
  </si>
  <si>
    <t>Pro Forma Incentive Expenses</t>
  </si>
  <si>
    <t>E-PPT</t>
  </si>
  <si>
    <t>E-CI</t>
  </si>
  <si>
    <t>Pro Forma IS/IT Expense</t>
  </si>
  <si>
    <t>E-PREV</t>
  </si>
  <si>
    <t>E-PRA</t>
  </si>
  <si>
    <t>Pro Forma Def. Debits, Credits &amp; Regulatory Amorts</t>
  </si>
  <si>
    <t>E-PCAP16</t>
  </si>
  <si>
    <t>Pro Forma 2017 Threshhold Capital Adds</t>
  </si>
  <si>
    <t>E-POFF</t>
  </si>
  <si>
    <t>Pro Forma O&amp;M Offsets</t>
  </si>
  <si>
    <t>E-PDF</t>
  </si>
  <si>
    <t>Pro Forma Director Fees Exp</t>
  </si>
  <si>
    <t>E-PNM</t>
  </si>
  <si>
    <t>PF Normalize CS2/Colstrip Major Maint</t>
  </si>
  <si>
    <t>E-PUEI</t>
  </si>
  <si>
    <t>Pro Forma Underground Equip Inspection</t>
  </si>
  <si>
    <t>E-PPS</t>
  </si>
  <si>
    <t>Pro Forma Power Supply &amp; Transm Revs</t>
  </si>
  <si>
    <t>Rate of Return</t>
  </si>
  <si>
    <t>Avista Adjustments</t>
  </si>
  <si>
    <t>(1)</t>
  </si>
  <si>
    <t>(4)</t>
  </si>
  <si>
    <t>(3)</t>
  </si>
  <si>
    <t>(2)</t>
  </si>
  <si>
    <t>PC</t>
  </si>
  <si>
    <t>Reverse 50% of Company's proposed adjustment to Pyroll Expense.</t>
  </si>
  <si>
    <t>Reverse 50% of Company's proposed adjustment to Property Tax Expense.</t>
  </si>
  <si>
    <t>Reverse 100% of Company's proposed adjustment for Director's Fees.</t>
  </si>
  <si>
    <t>Reverse 100% of Company's proposed adjustment for Power Costs.</t>
  </si>
  <si>
    <t>AVISTA UTILITIES</t>
  </si>
  <si>
    <t>TRADITIONAL PRO FORMA COST OF CAPITAL</t>
  </si>
  <si>
    <t>WASHINGTON ELECTRIC</t>
  </si>
  <si>
    <t>Capital</t>
  </si>
  <si>
    <t>Weighted</t>
  </si>
  <si>
    <t>Component</t>
  </si>
  <si>
    <t>Structure</t>
  </si>
  <si>
    <t>Cost</t>
  </si>
  <si>
    <t>Total Debt</t>
  </si>
  <si>
    <t>Common</t>
  </si>
  <si>
    <t>Total</t>
  </si>
  <si>
    <t>PUBLIC COUNSEL</t>
  </si>
  <si>
    <t>COST OF CAPITAL</t>
  </si>
  <si>
    <t>DIRECTOR'S FEES</t>
  </si>
  <si>
    <t>Page 7 of 7</t>
  </si>
  <si>
    <t>Page 6 of 7</t>
  </si>
  <si>
    <t>Page 4 of 7</t>
  </si>
  <si>
    <t>Page 3 of 7</t>
  </si>
  <si>
    <t>Page 2 of 7</t>
  </si>
  <si>
    <t>Page 1 of 7</t>
  </si>
  <si>
    <t>Avista Adjustment to Net Operating Income</t>
  </si>
  <si>
    <t>Remove Half of Company Adjustment</t>
  </si>
  <si>
    <t>PC Adjustment</t>
  </si>
  <si>
    <t>Total Non-Exec. Labor Adjustment</t>
  </si>
  <si>
    <t>Remove 100% of Company Adjustment</t>
  </si>
  <si>
    <t>Directors Fee per Avista</t>
  </si>
  <si>
    <t>Power Cost Adjustment</t>
  </si>
  <si>
    <t>Exh EMA-2 Pro Forma Study Electric Model; Adj Detail Input Tab</t>
  </si>
  <si>
    <t>Misc. Restating Non-Util / Non-Rec Exp.</t>
  </si>
  <si>
    <t>Page 5 of 7</t>
  </si>
  <si>
    <t>Exhibit No. MEG-11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</si>
</sst>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_(* #,##0.000_);_(* \(#,##0.000\);_(* &quot;-&quot;??_);_(@_)"/>
    <numFmt numFmtId="167" formatCode="0.0%"/>
    <numFmt numFmtId="168" formatCode="0.000%"/>
  </numFmts>
  <fonts count="9">
    <font>
      <sz val="12"/>
      <color theme="1"/>
      <name val="Times New Roman"/>
      <family val="2"/>
    </font>
    <font>
      <sz val="12"/>
      <color theme="1"/>
      <name val="Times New Roman"/>
      <family val="2"/>
    </font>
    <font>
      <u/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0"/>
      <name val="Geneva"/>
      <family val="2"/>
    </font>
    <font>
      <sz val="12"/>
      <name val="Times New Roman"/>
      <family val="1"/>
    </font>
    <font>
      <sz val="12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7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2" applyNumberFormat="1" applyFont="1"/>
    <xf numFmtId="10" fontId="0" fillId="0" borderId="1" xfId="2" applyNumberFormat="1" applyFont="1" applyBorder="1"/>
    <xf numFmtId="0" fontId="0" fillId="0" borderId="0" xfId="0" quotePrefix="1"/>
    <xf numFmtId="164" fontId="0" fillId="0" borderId="0" xfId="1" applyNumberFormat="1" applyFont="1"/>
    <xf numFmtId="164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64" fontId="0" fillId="0" borderId="2" xfId="0" applyNumberFormat="1" applyBorder="1"/>
    <xf numFmtId="0" fontId="0" fillId="0" borderId="0" xfId="0" applyAlignment="1">
      <alignment horizontal="right"/>
    </xf>
    <xf numFmtId="3" fontId="0" fillId="0" borderId="0" xfId="0" applyNumberFormat="1"/>
    <xf numFmtId="5" fontId="0" fillId="0" borderId="0" xfId="0" applyNumberFormat="1"/>
    <xf numFmtId="37" fontId="0" fillId="0" borderId="0" xfId="0" applyNumberFormat="1"/>
    <xf numFmtId="0" fontId="0" fillId="0" borderId="0" xfId="0" applyFill="1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9" fontId="0" fillId="0" borderId="1" xfId="2" applyFont="1" applyBorder="1"/>
    <xf numFmtId="164" fontId="0" fillId="0" borderId="0" xfId="1" applyNumberFormat="1" applyFont="1" applyBorder="1"/>
    <xf numFmtId="0" fontId="3" fillId="0" borderId="0" xfId="0" applyFont="1" applyAlignment="1">
      <alignment horizontal="right" vertical="center"/>
    </xf>
    <xf numFmtId="41" fontId="0" fillId="0" borderId="0" xfId="0" applyNumberFormat="1"/>
    <xf numFmtId="10" fontId="0" fillId="0" borderId="0" xfId="0" applyNumberFormat="1"/>
    <xf numFmtId="9" fontId="0" fillId="0" borderId="0" xfId="0" applyNumberFormat="1"/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165" fontId="0" fillId="0" borderId="0" xfId="0" applyNumberFormat="1"/>
    <xf numFmtId="43" fontId="0" fillId="0" borderId="0" xfId="1" applyFont="1"/>
    <xf numFmtId="9" fontId="0" fillId="0" borderId="0" xfId="0" quotePrefix="1" applyNumberFormat="1"/>
    <xf numFmtId="41" fontId="0" fillId="0" borderId="0" xfId="0" applyNumberFormat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10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0" fillId="0" borderId="4" xfId="0" applyBorder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41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37" fontId="7" fillId="2" borderId="0" xfId="3" applyNumberFormat="1" applyFont="1" applyFill="1" applyBorder="1"/>
    <xf numFmtId="0" fontId="5" fillId="2" borderId="0" xfId="0" applyFont="1" applyFill="1" applyBorder="1" applyAlignment="1">
      <alignment horizontal="center"/>
    </xf>
    <xf numFmtId="37" fontId="8" fillId="2" borderId="0" xfId="3" applyNumberFormat="1" applyFont="1" applyFill="1" applyBorder="1"/>
    <xf numFmtId="0" fontId="7" fillId="2" borderId="0" xfId="0" applyFont="1" applyFill="1" applyBorder="1"/>
    <xf numFmtId="5" fontId="7" fillId="2" borderId="0" xfId="0" applyNumberFormat="1" applyFont="1" applyFill="1" applyBorder="1"/>
    <xf numFmtId="164" fontId="7" fillId="2" borderId="0" xfId="1" applyNumberFormat="1" applyFont="1" applyFill="1" applyBorder="1"/>
    <xf numFmtId="10" fontId="7" fillId="2" borderId="0" xfId="2" applyNumberFormat="1" applyFont="1" applyFill="1" applyBorder="1"/>
    <xf numFmtId="168" fontId="8" fillId="2" borderId="0" xfId="2" applyNumberFormat="1" applyFont="1" applyFill="1" applyBorder="1"/>
    <xf numFmtId="0" fontId="5" fillId="2" borderId="0" xfId="0" applyFont="1" applyFill="1" applyBorder="1" applyAlignment="1">
      <alignment horizontal="left"/>
    </xf>
    <xf numFmtId="10" fontId="8" fillId="2" borderId="0" xfId="2" applyNumberFormat="1" applyFont="1" applyFill="1" applyBorder="1"/>
    <xf numFmtId="166" fontId="0" fillId="0" borderId="0" xfId="1" applyNumberFormat="1" applyFont="1"/>
    <xf numFmtId="0" fontId="5" fillId="2" borderId="1" xfId="0" applyFont="1" applyFill="1" applyBorder="1" applyAlignment="1">
      <alignment horizontal="center"/>
    </xf>
    <xf numFmtId="37" fontId="8" fillId="2" borderId="0" xfId="3" applyNumberFormat="1" applyFont="1" applyFill="1" applyBorder="1" applyAlignment="1">
      <alignment horizontal="center"/>
    </xf>
    <xf numFmtId="10" fontId="7" fillId="0" borderId="0" xfId="2" applyNumberFormat="1" applyFont="1" applyFill="1" applyBorder="1" applyAlignment="1">
      <alignment horizontal="center"/>
    </xf>
    <xf numFmtId="10" fontId="7" fillId="2" borderId="0" xfId="2" applyNumberFormat="1" applyFont="1" applyFill="1" applyBorder="1" applyAlignment="1">
      <alignment horizontal="center"/>
    </xf>
    <xf numFmtId="168" fontId="8" fillId="2" borderId="0" xfId="2" applyNumberFormat="1" applyFont="1" applyFill="1" applyBorder="1" applyAlignment="1">
      <alignment horizontal="center"/>
    </xf>
    <xf numFmtId="37" fontId="7" fillId="2" borderId="0" xfId="3" applyNumberFormat="1" applyFont="1" applyFill="1" applyBorder="1" applyAlignment="1">
      <alignment horizontal="center"/>
    </xf>
    <xf numFmtId="167" fontId="7" fillId="2" borderId="0" xfId="2" applyNumberFormat="1" applyFont="1" applyFill="1" applyBorder="1" applyAlignment="1">
      <alignment horizontal="center"/>
    </xf>
    <xf numFmtId="168" fontId="7" fillId="2" borderId="0" xfId="2" applyNumberFormat="1" applyFont="1" applyFill="1" applyBorder="1" applyAlignment="1">
      <alignment horizontal="center"/>
    </xf>
    <xf numFmtId="4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41" fontId="0" fillId="0" borderId="1" xfId="0" applyNumberForma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_WAElec6_97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selection activeCell="H5" sqref="H5"/>
    </sheetView>
  </sheetViews>
  <sheetFormatPr defaultRowHeight="15.75"/>
  <cols>
    <col min="1" max="1" width="4.375" customWidth="1"/>
    <col min="2" max="2" width="1.5" customWidth="1"/>
    <col min="3" max="3" width="50.125" customWidth="1"/>
    <col min="4" max="4" width="1.5" customWidth="1"/>
    <col min="5" max="5" width="12.75" customWidth="1"/>
    <col min="6" max="6" width="1.625" customWidth="1"/>
    <col min="7" max="7" width="11.875" customWidth="1"/>
  </cols>
  <sheetData>
    <row r="1" spans="1:7">
      <c r="A1" t="s">
        <v>0</v>
      </c>
      <c r="G1" s="12" t="s">
        <v>75</v>
      </c>
    </row>
    <row r="2" spans="1:7">
      <c r="A2" t="s">
        <v>73</v>
      </c>
      <c r="G2" s="12" t="s">
        <v>179</v>
      </c>
    </row>
    <row r="3" spans="1:7">
      <c r="A3" t="s">
        <v>1</v>
      </c>
      <c r="G3" s="12" t="s">
        <v>168</v>
      </c>
    </row>
    <row r="4" spans="1:7">
      <c r="A4" t="s">
        <v>74</v>
      </c>
      <c r="G4" s="12" t="s">
        <v>16</v>
      </c>
    </row>
    <row r="5" spans="1:7">
      <c r="A5" s="6" t="s">
        <v>15</v>
      </c>
    </row>
    <row r="7" spans="1:7">
      <c r="A7" t="s">
        <v>2</v>
      </c>
      <c r="E7" s="2" t="s">
        <v>12</v>
      </c>
      <c r="G7" s="2" t="s">
        <v>12</v>
      </c>
    </row>
    <row r="8" spans="1:7">
      <c r="A8" s="1" t="s">
        <v>3</v>
      </c>
      <c r="C8" s="1" t="s">
        <v>4</v>
      </c>
      <c r="E8" s="3" t="s">
        <v>13</v>
      </c>
      <c r="G8" s="3" t="s">
        <v>14</v>
      </c>
    </row>
    <row r="10" spans="1:7">
      <c r="A10" s="2">
        <v>1</v>
      </c>
      <c r="C10" t="s">
        <v>8</v>
      </c>
      <c r="E10" s="7">
        <f>+Summary!I54</f>
        <v>1472291</v>
      </c>
      <c r="F10" s="7"/>
      <c r="G10" s="7">
        <f>+Summary!Q54</f>
        <v>1472291</v>
      </c>
    </row>
    <row r="11" spans="1:7">
      <c r="A11" s="2"/>
    </row>
    <row r="12" spans="1:7">
      <c r="A12" s="2">
        <v>2</v>
      </c>
      <c r="C12" t="s">
        <v>138</v>
      </c>
      <c r="E12" s="5">
        <v>7.6899999999999996E-2</v>
      </c>
      <c r="F12" s="4"/>
      <c r="G12" s="5">
        <v>7.2599999999999998E-2</v>
      </c>
    </row>
    <row r="13" spans="1:7">
      <c r="A13" s="2"/>
    </row>
    <row r="14" spans="1:7">
      <c r="A14" s="2">
        <v>3</v>
      </c>
      <c r="C14" t="s">
        <v>6</v>
      </c>
      <c r="E14" s="8">
        <f>E10*E12</f>
        <v>113219.1779</v>
      </c>
      <c r="G14" s="8">
        <f>G10*G12</f>
        <v>106888.3266</v>
      </c>
    </row>
    <row r="15" spans="1:7">
      <c r="A15" s="2"/>
    </row>
    <row r="16" spans="1:7">
      <c r="A16" s="2">
        <v>4</v>
      </c>
      <c r="C16" t="s">
        <v>7</v>
      </c>
      <c r="E16" s="9">
        <f>+Summary!G54</f>
        <v>89990.646975000011</v>
      </c>
      <c r="F16" s="8"/>
      <c r="G16" s="9">
        <f>+Summary!O54</f>
        <v>102251.59697500001</v>
      </c>
    </row>
    <row r="17" spans="1:7">
      <c r="A17" s="2"/>
      <c r="E17" s="8"/>
      <c r="F17" s="8"/>
      <c r="G17" s="8"/>
    </row>
    <row r="18" spans="1:7">
      <c r="A18" s="2">
        <v>5</v>
      </c>
      <c r="C18" t="s">
        <v>9</v>
      </c>
      <c r="E18" s="8">
        <f>E14-E16</f>
        <v>23228.530924999985</v>
      </c>
      <c r="F18" s="8"/>
      <c r="G18" s="8">
        <f>G14-G16</f>
        <v>4636.7296249999927</v>
      </c>
    </row>
    <row r="19" spans="1:7">
      <c r="A19" s="2"/>
      <c r="E19" s="8"/>
      <c r="F19" s="8"/>
      <c r="G19" s="8"/>
    </row>
    <row r="20" spans="1:7">
      <c r="A20" s="2">
        <v>6</v>
      </c>
      <c r="C20" t="s">
        <v>10</v>
      </c>
      <c r="E20" s="10">
        <v>0.61941299999999999</v>
      </c>
      <c r="F20" s="8"/>
      <c r="G20" s="10">
        <v>0.61941299999999999</v>
      </c>
    </row>
    <row r="21" spans="1:7">
      <c r="A21" s="2"/>
      <c r="E21" s="8"/>
      <c r="F21" s="8"/>
      <c r="G21" s="8"/>
    </row>
    <row r="22" spans="1:7" ht="16.5" thickBot="1">
      <c r="A22" s="2">
        <v>7</v>
      </c>
      <c r="C22" t="s">
        <v>11</v>
      </c>
      <c r="E22" s="11">
        <f>E18/E20</f>
        <v>37500.877322561821</v>
      </c>
      <c r="F22" s="8"/>
      <c r="G22" s="11">
        <f>G18/G20</f>
        <v>7485.6834212391295</v>
      </c>
    </row>
    <row r="23" spans="1:7" ht="16.5" thickTop="1">
      <c r="E23" s="8"/>
      <c r="F23" s="8"/>
      <c r="G23" s="8"/>
    </row>
    <row r="24" spans="1:7">
      <c r="G24" s="8"/>
    </row>
    <row r="26" spans="1:7">
      <c r="G26" s="3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tabSelected="1" topLeftCell="A37" workbookViewId="0">
      <selection activeCell="H5" sqref="H5"/>
    </sheetView>
  </sheetViews>
  <sheetFormatPr defaultRowHeight="15.75"/>
  <cols>
    <col min="1" max="1" width="9.625" customWidth="1"/>
    <col min="2" max="2" width="1.5" customWidth="1"/>
    <col min="3" max="3" width="13.75" customWidth="1"/>
    <col min="4" max="4" width="1.375" customWidth="1"/>
    <col min="5" max="5" width="34.25" customWidth="1"/>
    <col min="6" max="6" width="1.375" customWidth="1"/>
    <col min="8" max="8" width="1.375" customWidth="1"/>
    <col min="9" max="9" width="10.375" customWidth="1"/>
    <col min="10" max="10" width="1.375" customWidth="1"/>
    <col min="11" max="11" width="12.125" bestFit="1" customWidth="1"/>
    <col min="12" max="12" width="3" customWidth="1"/>
    <col min="14" max="14" width="2" customWidth="1"/>
    <col min="16" max="16" width="1.125" customWidth="1"/>
    <col min="17" max="17" width="10.375" bestFit="1" customWidth="1"/>
    <col min="18" max="18" width="1.875" customWidth="1"/>
    <col min="20" max="20" width="2.5" customWidth="1"/>
    <col min="21" max="21" width="17" customWidth="1"/>
    <col min="22" max="22" width="0.875" customWidth="1"/>
  </cols>
  <sheetData>
    <row r="1" spans="1:23">
      <c r="A1" t="s">
        <v>83</v>
      </c>
      <c r="V1" s="12"/>
      <c r="W1" s="12" t="s">
        <v>75</v>
      </c>
    </row>
    <row r="2" spans="1:23">
      <c r="A2" t="s">
        <v>76</v>
      </c>
      <c r="V2" s="12"/>
      <c r="W2" s="12" t="s">
        <v>179</v>
      </c>
    </row>
    <row r="3" spans="1:23">
      <c r="A3" t="s">
        <v>77</v>
      </c>
      <c r="V3" s="12"/>
      <c r="W3" s="12" t="s">
        <v>167</v>
      </c>
    </row>
    <row r="4" spans="1:23">
      <c r="A4" t="s">
        <v>84</v>
      </c>
      <c r="V4" s="12"/>
      <c r="W4" s="12" t="s">
        <v>53</v>
      </c>
    </row>
    <row r="5" spans="1:23">
      <c r="G5" s="25"/>
      <c r="H5" s="25"/>
      <c r="I5" s="25"/>
      <c r="J5" s="25"/>
    </row>
    <row r="6" spans="1:23">
      <c r="G6" s="65"/>
      <c r="H6" s="65"/>
      <c r="I6" s="65"/>
      <c r="J6" s="65"/>
      <c r="K6" s="65"/>
      <c r="M6" s="2"/>
      <c r="O6" s="66" t="s">
        <v>51</v>
      </c>
      <c r="P6" s="66"/>
      <c r="Q6" s="66"/>
      <c r="R6" s="66"/>
      <c r="S6" s="66"/>
      <c r="T6" s="18"/>
      <c r="U6" s="2" t="s">
        <v>43</v>
      </c>
      <c r="V6" s="2"/>
      <c r="W6" s="2" t="s">
        <v>46</v>
      </c>
    </row>
    <row r="7" spans="1:23">
      <c r="A7" s="2" t="s">
        <v>39</v>
      </c>
      <c r="B7" s="2"/>
      <c r="C7" s="2"/>
      <c r="D7" s="2"/>
      <c r="G7" s="68" t="s">
        <v>139</v>
      </c>
      <c r="H7" s="68"/>
      <c r="I7" s="68"/>
      <c r="J7" s="68"/>
      <c r="K7" s="68"/>
      <c r="M7" s="2" t="s">
        <v>144</v>
      </c>
      <c r="O7" s="67" t="s">
        <v>52</v>
      </c>
      <c r="P7" s="67"/>
      <c r="Q7" s="67"/>
      <c r="R7" s="67"/>
      <c r="S7" s="67"/>
      <c r="T7" s="18"/>
      <c r="U7" s="2" t="s">
        <v>44</v>
      </c>
      <c r="V7" s="2"/>
      <c r="W7" s="2" t="s">
        <v>47</v>
      </c>
    </row>
    <row r="8" spans="1:23">
      <c r="A8" s="3" t="s">
        <v>40</v>
      </c>
      <c r="B8" s="18"/>
      <c r="C8" s="3" t="s">
        <v>78</v>
      </c>
      <c r="D8" s="18"/>
      <c r="E8" s="3" t="s">
        <v>79</v>
      </c>
      <c r="F8" s="18"/>
      <c r="G8" s="35" t="s">
        <v>41</v>
      </c>
      <c r="H8" s="34"/>
      <c r="I8" s="35" t="s">
        <v>5</v>
      </c>
      <c r="J8" s="34"/>
      <c r="K8" s="3" t="s">
        <v>42</v>
      </c>
      <c r="M8" s="3" t="s">
        <v>56</v>
      </c>
      <c r="O8" s="35" t="s">
        <v>41</v>
      </c>
      <c r="P8" s="34"/>
      <c r="Q8" s="35" t="s">
        <v>5</v>
      </c>
      <c r="R8" s="34"/>
      <c r="S8" s="3" t="s">
        <v>42</v>
      </c>
      <c r="T8" s="18"/>
      <c r="U8" s="3" t="s">
        <v>45</v>
      </c>
      <c r="V8" s="18"/>
      <c r="W8" s="3" t="s">
        <v>48</v>
      </c>
    </row>
    <row r="9" spans="1:23">
      <c r="C9" s="30"/>
      <c r="D9" s="18"/>
      <c r="G9" s="25"/>
      <c r="H9" s="25"/>
      <c r="I9" s="25"/>
      <c r="J9" s="25"/>
      <c r="T9" s="19"/>
    </row>
    <row r="10" spans="1:23">
      <c r="A10" s="28">
        <v>1</v>
      </c>
      <c r="B10" s="28"/>
      <c r="C10" s="28" t="s">
        <v>85</v>
      </c>
      <c r="D10" s="28"/>
      <c r="E10" s="13" t="s">
        <v>18</v>
      </c>
      <c r="F10" s="13"/>
      <c r="G10" s="25">
        <v>110557</v>
      </c>
      <c r="H10" s="25"/>
      <c r="I10" s="25">
        <v>1444926</v>
      </c>
      <c r="J10" s="25"/>
      <c r="K10" s="15">
        <f>((I10*0.0769)-G10)/0.619413</f>
        <v>900.54519359457788</v>
      </c>
      <c r="L10" s="26"/>
      <c r="O10" s="25">
        <v>110557</v>
      </c>
      <c r="P10" s="25"/>
      <c r="Q10" s="25">
        <v>1444926</v>
      </c>
      <c r="R10" s="25"/>
      <c r="S10" s="15">
        <f>((Q10*0.0726)-O10)/0.619413</f>
        <v>-9130.2126368029203</v>
      </c>
      <c r="T10" s="19"/>
      <c r="U10" s="16" t="s">
        <v>49</v>
      </c>
      <c r="V10" s="16"/>
      <c r="W10" s="15">
        <f t="shared" ref="W10:W32" si="0">+S10-K10</f>
        <v>-10030.757830397499</v>
      </c>
    </row>
    <row r="11" spans="1:23">
      <c r="A11" s="28">
        <v>1.01</v>
      </c>
      <c r="B11" s="28"/>
      <c r="C11" s="28" t="s">
        <v>86</v>
      </c>
      <c r="D11" s="28"/>
      <c r="E11" s="13" t="s">
        <v>19</v>
      </c>
      <c r="F11" s="13"/>
      <c r="G11" s="8">
        <v>8.1526899999999998</v>
      </c>
      <c r="H11" s="8"/>
      <c r="I11" s="8">
        <v>806</v>
      </c>
      <c r="J11" s="8"/>
      <c r="K11" s="15">
        <f>((I11*0.0769)-G11)/0.619413</f>
        <v>86.902777306901854</v>
      </c>
      <c r="O11" s="8">
        <v>8.1526899999999998</v>
      </c>
      <c r="P11" s="8"/>
      <c r="Q11" s="8">
        <v>806</v>
      </c>
      <c r="R11" s="8"/>
      <c r="S11" s="15">
        <f t="shared" ref="S11:S52" si="1">((Q11*0.0726)-O11)/0.619413</f>
        <v>81.307479823639483</v>
      </c>
      <c r="U11" s="16" t="s">
        <v>49</v>
      </c>
      <c r="V11" s="16"/>
      <c r="W11" s="15">
        <f t="shared" si="0"/>
        <v>-5.595297483262371</v>
      </c>
    </row>
    <row r="12" spans="1:23">
      <c r="A12" s="28">
        <v>1.02</v>
      </c>
      <c r="B12" s="28"/>
      <c r="C12" s="28" t="s">
        <v>87</v>
      </c>
      <c r="D12" s="28"/>
      <c r="E12" s="13" t="s">
        <v>20</v>
      </c>
      <c r="F12" s="13"/>
      <c r="G12" s="8">
        <v>-7.8000000000000007</v>
      </c>
      <c r="H12" s="8"/>
      <c r="I12" s="8">
        <v>0</v>
      </c>
      <c r="J12" s="8"/>
      <c r="K12" s="15">
        <f t="shared" ref="K12:K49" si="2">((I12*0.0769)-G12)/0.619413</f>
        <v>12.592567479210157</v>
      </c>
      <c r="O12" s="8">
        <v>-7.8000000000000007</v>
      </c>
      <c r="P12" s="8"/>
      <c r="Q12" s="8">
        <v>0</v>
      </c>
      <c r="R12" s="8"/>
      <c r="S12" s="15">
        <f t="shared" si="1"/>
        <v>12.592567479210157</v>
      </c>
      <c r="U12" s="16" t="s">
        <v>49</v>
      </c>
      <c r="V12" s="16"/>
      <c r="W12" s="15">
        <f t="shared" si="0"/>
        <v>0</v>
      </c>
    </row>
    <row r="13" spans="1:23">
      <c r="A13" s="28">
        <v>1.03</v>
      </c>
      <c r="B13" s="28"/>
      <c r="C13" s="28" t="s">
        <v>88</v>
      </c>
      <c r="D13" s="28"/>
      <c r="E13" s="13" t="s">
        <v>21</v>
      </c>
      <c r="F13" s="13"/>
      <c r="G13" s="8">
        <v>-30.405689999999993</v>
      </c>
      <c r="H13" s="8"/>
      <c r="I13" s="8">
        <v>-3006</v>
      </c>
      <c r="J13" s="8"/>
      <c r="K13" s="15">
        <f t="shared" si="2"/>
        <v>-324.10638782201858</v>
      </c>
      <c r="O13" s="8">
        <v>-30.405689999999993</v>
      </c>
      <c r="P13" s="8"/>
      <c r="Q13" s="8">
        <v>-3006</v>
      </c>
      <c r="R13" s="8"/>
      <c r="S13" s="15">
        <f t="shared" si="1"/>
        <v>-303.23856619089366</v>
      </c>
      <c r="U13" s="16" t="s">
        <v>49</v>
      </c>
      <c r="V13" s="16"/>
      <c r="W13" s="15">
        <f t="shared" si="0"/>
        <v>20.867821631124912</v>
      </c>
    </row>
    <row r="14" spans="1:23">
      <c r="A14" s="28">
        <v>2.0099999999999998</v>
      </c>
      <c r="B14" s="28"/>
      <c r="C14" s="28" t="s">
        <v>89</v>
      </c>
      <c r="D14" s="28"/>
      <c r="E14" s="13" t="s">
        <v>22</v>
      </c>
      <c r="F14" s="13"/>
      <c r="G14" s="8">
        <v>-95.550000000000011</v>
      </c>
      <c r="H14" s="8"/>
      <c r="I14" s="8">
        <v>0</v>
      </c>
      <c r="J14" s="8"/>
      <c r="K14" s="15">
        <f t="shared" si="2"/>
        <v>154.25895162032441</v>
      </c>
      <c r="O14" s="8">
        <v>-95.550000000000011</v>
      </c>
      <c r="P14" s="8"/>
      <c r="Q14" s="8">
        <v>0</v>
      </c>
      <c r="R14" s="8"/>
      <c r="S14" s="15">
        <f t="shared" si="1"/>
        <v>154.25895162032441</v>
      </c>
      <c r="U14" s="16" t="s">
        <v>49</v>
      </c>
      <c r="V14" s="16"/>
      <c r="W14" s="15">
        <f t="shared" si="0"/>
        <v>0</v>
      </c>
    </row>
    <row r="15" spans="1:23">
      <c r="A15" s="28">
        <v>2.0199999999999996</v>
      </c>
      <c r="B15" s="28"/>
      <c r="C15" s="28" t="s">
        <v>90</v>
      </c>
      <c r="D15" s="28"/>
      <c r="E15" s="13" t="s">
        <v>23</v>
      </c>
      <c r="F15" s="13"/>
      <c r="G15" s="8">
        <v>162.5</v>
      </c>
      <c r="H15" s="8"/>
      <c r="I15" s="8">
        <v>0</v>
      </c>
      <c r="J15" s="8"/>
      <c r="K15" s="15">
        <f t="shared" si="2"/>
        <v>-262.34515581687822</v>
      </c>
      <c r="O15" s="8">
        <v>162.5</v>
      </c>
      <c r="P15" s="8"/>
      <c r="Q15" s="8">
        <v>0</v>
      </c>
      <c r="R15" s="8"/>
      <c r="S15" s="15">
        <f t="shared" si="1"/>
        <v>-262.34515581687822</v>
      </c>
      <c r="U15" s="16" t="s">
        <v>49</v>
      </c>
      <c r="V15" s="16"/>
      <c r="W15" s="15">
        <f t="shared" si="0"/>
        <v>0</v>
      </c>
    </row>
    <row r="16" spans="1:23">
      <c r="A16" s="28">
        <v>2.0299999999999994</v>
      </c>
      <c r="B16" s="28"/>
      <c r="C16" s="28" t="s">
        <v>91</v>
      </c>
      <c r="D16" s="28"/>
      <c r="E16" s="13" t="s">
        <v>24</v>
      </c>
      <c r="F16" s="13"/>
      <c r="G16" s="8">
        <v>-858.65000000000009</v>
      </c>
      <c r="H16" s="8"/>
      <c r="I16" s="8">
        <v>0</v>
      </c>
      <c r="J16" s="8"/>
      <c r="K16" s="15">
        <f t="shared" si="2"/>
        <v>1386.2318033363847</v>
      </c>
      <c r="O16" s="8">
        <v>-858.65000000000009</v>
      </c>
      <c r="P16" s="8"/>
      <c r="Q16" s="8">
        <v>0</v>
      </c>
      <c r="R16" s="8"/>
      <c r="S16" s="15">
        <f t="shared" si="1"/>
        <v>1386.2318033363847</v>
      </c>
      <c r="U16" s="16" t="s">
        <v>49</v>
      </c>
      <c r="V16" s="16"/>
      <c r="W16" s="15">
        <f t="shared" si="0"/>
        <v>0</v>
      </c>
    </row>
    <row r="17" spans="1:23">
      <c r="A17" s="28">
        <v>2.0399999999999991</v>
      </c>
      <c r="B17" s="28"/>
      <c r="C17" s="28" t="s">
        <v>92</v>
      </c>
      <c r="D17" s="28"/>
      <c r="E17" s="13" t="s">
        <v>25</v>
      </c>
      <c r="F17" s="13"/>
      <c r="G17" s="8">
        <v>-4.5500000000000007</v>
      </c>
      <c r="H17" s="8"/>
      <c r="I17" s="8">
        <v>0</v>
      </c>
      <c r="J17" s="8"/>
      <c r="K17" s="15">
        <f t="shared" si="2"/>
        <v>7.3456643628725917</v>
      </c>
      <c r="O17" s="8">
        <v>-4.5500000000000007</v>
      </c>
      <c r="P17" s="8"/>
      <c r="Q17" s="8">
        <v>0</v>
      </c>
      <c r="R17" s="8"/>
      <c r="S17" s="15">
        <f t="shared" si="1"/>
        <v>7.3456643628725917</v>
      </c>
      <c r="U17" s="16" t="s">
        <v>49</v>
      </c>
      <c r="V17" s="16"/>
      <c r="W17" s="15">
        <f t="shared" si="0"/>
        <v>0</v>
      </c>
    </row>
    <row r="18" spans="1:23">
      <c r="A18" s="28">
        <v>2.0499999999999989</v>
      </c>
      <c r="B18" s="28"/>
      <c r="C18" s="28" t="s">
        <v>93</v>
      </c>
      <c r="D18" s="28"/>
      <c r="E18" s="13" t="s">
        <v>26</v>
      </c>
      <c r="F18" s="13"/>
      <c r="G18" s="8">
        <v>-98.15</v>
      </c>
      <c r="H18" s="8"/>
      <c r="I18" s="8">
        <v>0</v>
      </c>
      <c r="J18" s="8"/>
      <c r="K18" s="15">
        <f t="shared" si="2"/>
        <v>158.45647411339448</v>
      </c>
      <c r="O18" s="8">
        <v>-98.15</v>
      </c>
      <c r="P18" s="8"/>
      <c r="Q18" s="8">
        <v>0</v>
      </c>
      <c r="R18" s="8"/>
      <c r="S18" s="15">
        <f t="shared" si="1"/>
        <v>158.45647411339448</v>
      </c>
      <c r="U18" s="16" t="s">
        <v>49</v>
      </c>
      <c r="V18" s="16"/>
      <c r="W18" s="15">
        <f t="shared" si="0"/>
        <v>0</v>
      </c>
    </row>
    <row r="19" spans="1:23">
      <c r="A19" s="28">
        <v>2.0599999999999987</v>
      </c>
      <c r="B19" s="28"/>
      <c r="C19" s="28" t="s">
        <v>94</v>
      </c>
      <c r="D19" s="28"/>
      <c r="E19" s="13" t="s">
        <v>95</v>
      </c>
      <c r="F19" s="13"/>
      <c r="G19" s="8">
        <v>-69</v>
      </c>
      <c r="H19" s="8"/>
      <c r="I19" s="8">
        <v>0</v>
      </c>
      <c r="J19" s="8"/>
      <c r="K19" s="15">
        <f t="shared" si="2"/>
        <v>111.39578923916676</v>
      </c>
      <c r="O19" s="8">
        <v>-69</v>
      </c>
      <c r="P19" s="8"/>
      <c r="Q19" s="8">
        <v>0</v>
      </c>
      <c r="R19" s="8"/>
      <c r="S19" s="15">
        <f t="shared" si="1"/>
        <v>111.39578923916676</v>
      </c>
      <c r="U19" s="16" t="s">
        <v>49</v>
      </c>
      <c r="V19" s="16"/>
      <c r="W19" s="15">
        <f t="shared" si="0"/>
        <v>0</v>
      </c>
    </row>
    <row r="20" spans="1:23">
      <c r="A20" s="28">
        <v>2.0699999999999985</v>
      </c>
      <c r="B20" s="28"/>
      <c r="C20" s="28" t="s">
        <v>96</v>
      </c>
      <c r="D20" s="28"/>
      <c r="E20" s="13" t="s">
        <v>97</v>
      </c>
      <c r="F20" s="13"/>
      <c r="G20" s="8">
        <v>20.149999999999999</v>
      </c>
      <c r="H20" s="8"/>
      <c r="I20" s="8">
        <v>0</v>
      </c>
      <c r="J20" s="8"/>
      <c r="K20" s="15">
        <f t="shared" si="2"/>
        <v>-32.530799321292896</v>
      </c>
      <c r="O20" s="8">
        <v>20.149999999999999</v>
      </c>
      <c r="P20" s="8"/>
      <c r="Q20" s="8">
        <v>0</v>
      </c>
      <c r="R20" s="8"/>
      <c r="S20" s="15">
        <f t="shared" si="1"/>
        <v>-32.530799321292896</v>
      </c>
      <c r="U20" s="16" t="s">
        <v>49</v>
      </c>
      <c r="V20" s="16"/>
      <c r="W20" s="15">
        <f t="shared" si="0"/>
        <v>0</v>
      </c>
    </row>
    <row r="21" spans="1:23">
      <c r="A21" s="28">
        <v>2.0799999999999983</v>
      </c>
      <c r="B21" s="28"/>
      <c r="C21" s="28" t="s">
        <v>98</v>
      </c>
      <c r="D21" s="28"/>
      <c r="E21" s="13" t="s">
        <v>27</v>
      </c>
      <c r="F21" s="13"/>
      <c r="G21" s="8">
        <v>40.299999999999997</v>
      </c>
      <c r="H21" s="8"/>
      <c r="I21" s="8">
        <v>0</v>
      </c>
      <c r="J21" s="8"/>
      <c r="K21" s="15">
        <f t="shared" si="2"/>
        <v>-65.061598642585793</v>
      </c>
      <c r="O21" s="8">
        <v>40.299999999999997</v>
      </c>
      <c r="P21" s="8"/>
      <c r="Q21" s="8">
        <v>0</v>
      </c>
      <c r="R21" s="8"/>
      <c r="S21" s="15">
        <f t="shared" si="1"/>
        <v>-65.061598642585793</v>
      </c>
      <c r="U21" s="16" t="s">
        <v>49</v>
      </c>
      <c r="V21" s="16"/>
      <c r="W21" s="15">
        <f t="shared" si="0"/>
        <v>0</v>
      </c>
    </row>
    <row r="22" spans="1:23">
      <c r="A22" s="28">
        <v>2.0899999999999981</v>
      </c>
      <c r="B22" s="28"/>
      <c r="C22" s="28" t="s">
        <v>99</v>
      </c>
      <c r="D22" s="28"/>
      <c r="E22" s="13" t="s">
        <v>28</v>
      </c>
      <c r="F22" s="13"/>
      <c r="G22" s="8">
        <v>61.1</v>
      </c>
      <c r="H22" s="8"/>
      <c r="I22" s="8">
        <v>0</v>
      </c>
      <c r="J22" s="8"/>
      <c r="K22" s="15">
        <f t="shared" si="2"/>
        <v>-98.64177858714622</v>
      </c>
      <c r="O22" s="8">
        <v>61.1</v>
      </c>
      <c r="P22" s="8"/>
      <c r="Q22" s="8">
        <v>0</v>
      </c>
      <c r="R22" s="8"/>
      <c r="S22" s="15">
        <f t="shared" si="1"/>
        <v>-98.64177858714622</v>
      </c>
      <c r="U22" s="16" t="s">
        <v>49</v>
      </c>
      <c r="V22" s="16"/>
      <c r="W22" s="15">
        <f t="shared" si="0"/>
        <v>0</v>
      </c>
    </row>
    <row r="23" spans="1:23">
      <c r="A23" s="28">
        <v>2.0999999999999979</v>
      </c>
      <c r="B23" s="28"/>
      <c r="C23" s="28" t="s">
        <v>100</v>
      </c>
      <c r="D23" s="28"/>
      <c r="E23" s="13" t="s">
        <v>29</v>
      </c>
      <c r="F23" s="13"/>
      <c r="G23" s="8">
        <v>824.85</v>
      </c>
      <c r="H23" s="8"/>
      <c r="I23" s="8">
        <v>0</v>
      </c>
      <c r="J23" s="8"/>
      <c r="K23" s="15">
        <f t="shared" si="2"/>
        <v>-1331.664010926474</v>
      </c>
      <c r="L23" s="27"/>
      <c r="O23" s="8">
        <v>824.85</v>
      </c>
      <c r="P23" s="8"/>
      <c r="Q23" s="8">
        <v>0</v>
      </c>
      <c r="R23" s="8"/>
      <c r="S23" s="15">
        <f t="shared" si="1"/>
        <v>-1331.664010926474</v>
      </c>
      <c r="U23" s="16" t="s">
        <v>49</v>
      </c>
      <c r="V23" s="16"/>
      <c r="W23" s="15">
        <f t="shared" si="0"/>
        <v>0</v>
      </c>
    </row>
    <row r="24" spans="1:23">
      <c r="A24" s="28">
        <v>2.1099999999999977</v>
      </c>
      <c r="B24" s="28"/>
      <c r="C24" s="28" t="s">
        <v>101</v>
      </c>
      <c r="D24" s="28"/>
      <c r="E24" s="13" t="s">
        <v>30</v>
      </c>
      <c r="F24" s="13"/>
      <c r="G24" s="8">
        <v>0</v>
      </c>
      <c r="H24" s="8"/>
      <c r="I24" s="8">
        <v>0</v>
      </c>
      <c r="J24" s="8"/>
      <c r="K24" s="15">
        <f t="shared" si="2"/>
        <v>0</v>
      </c>
      <c r="O24" s="8">
        <v>0</v>
      </c>
      <c r="P24" s="8"/>
      <c r="Q24" s="8">
        <v>0</v>
      </c>
      <c r="R24" s="8"/>
      <c r="S24" s="15">
        <f t="shared" si="1"/>
        <v>0</v>
      </c>
      <c r="U24" s="16" t="s">
        <v>49</v>
      </c>
      <c r="V24" s="16"/>
      <c r="W24" s="15">
        <f t="shared" si="0"/>
        <v>0</v>
      </c>
    </row>
    <row r="25" spans="1:23">
      <c r="A25" s="28">
        <v>2.1199999999999974</v>
      </c>
      <c r="B25" s="28"/>
      <c r="C25" s="28" t="s">
        <v>102</v>
      </c>
      <c r="D25" s="28"/>
      <c r="E25" s="13" t="s">
        <v>177</v>
      </c>
      <c r="F25" s="13"/>
      <c r="G25" s="8">
        <v>-969.15</v>
      </c>
      <c r="H25" s="8"/>
      <c r="I25" s="8">
        <v>0</v>
      </c>
      <c r="J25" s="8"/>
      <c r="K25" s="15">
        <f t="shared" si="2"/>
        <v>1564.6265092918618</v>
      </c>
      <c r="O25" s="8">
        <v>-969.15</v>
      </c>
      <c r="P25" s="8"/>
      <c r="Q25" s="8">
        <v>0</v>
      </c>
      <c r="R25" s="8"/>
      <c r="S25" s="15">
        <f t="shared" si="1"/>
        <v>1564.6265092918618</v>
      </c>
      <c r="U25" s="16" t="s">
        <v>49</v>
      </c>
      <c r="V25" s="16"/>
      <c r="W25" s="15">
        <f t="shared" si="0"/>
        <v>0</v>
      </c>
    </row>
    <row r="26" spans="1:23">
      <c r="A26" s="28">
        <v>2.1299999999999972</v>
      </c>
      <c r="B26" s="28"/>
      <c r="C26" s="28" t="s">
        <v>103</v>
      </c>
      <c r="D26" s="28"/>
      <c r="E26" s="13" t="s">
        <v>31</v>
      </c>
      <c r="F26" s="13"/>
      <c r="G26" s="8">
        <v>4386</v>
      </c>
      <c r="H26" s="8"/>
      <c r="I26" s="8">
        <v>0</v>
      </c>
      <c r="J26" s="8"/>
      <c r="K26" s="15">
        <f t="shared" si="2"/>
        <v>-7080.8975594635567</v>
      </c>
      <c r="O26" s="8">
        <v>4386</v>
      </c>
      <c r="P26" s="8"/>
      <c r="Q26" s="8">
        <v>0</v>
      </c>
      <c r="R26" s="8"/>
      <c r="S26" s="15">
        <f t="shared" si="1"/>
        <v>-7080.8975594635567</v>
      </c>
      <c r="U26" s="16" t="s">
        <v>49</v>
      </c>
      <c r="V26" s="16"/>
      <c r="W26" s="15">
        <f t="shared" si="0"/>
        <v>0</v>
      </c>
    </row>
    <row r="27" spans="1:23">
      <c r="A27" s="28">
        <v>2.139999999999997</v>
      </c>
      <c r="B27" s="28"/>
      <c r="C27" s="28" t="s">
        <v>104</v>
      </c>
      <c r="D27" s="28"/>
      <c r="E27" s="13" t="s">
        <v>32</v>
      </c>
      <c r="F27" s="13"/>
      <c r="G27" s="8">
        <v>2.6</v>
      </c>
      <c r="H27" s="8"/>
      <c r="I27" s="8">
        <v>0</v>
      </c>
      <c r="J27" s="8"/>
      <c r="K27" s="15">
        <f t="shared" si="2"/>
        <v>-4.1975224930700517</v>
      </c>
      <c r="O27" s="8">
        <v>2.6</v>
      </c>
      <c r="P27" s="8"/>
      <c r="Q27" s="8">
        <v>0</v>
      </c>
      <c r="R27" s="8"/>
      <c r="S27" s="15">
        <f t="shared" si="1"/>
        <v>-4.1975224930700517</v>
      </c>
      <c r="U27" s="16" t="s">
        <v>49</v>
      </c>
      <c r="V27" s="16"/>
      <c r="W27" s="15">
        <f t="shared" si="0"/>
        <v>0</v>
      </c>
    </row>
    <row r="28" spans="1:23">
      <c r="A28" s="28">
        <v>2.1499999999999968</v>
      </c>
      <c r="B28" s="28"/>
      <c r="C28" s="28" t="s">
        <v>105</v>
      </c>
      <c r="D28" s="28"/>
      <c r="E28" s="13" t="s">
        <v>106</v>
      </c>
      <c r="F28" s="13"/>
      <c r="G28" s="8">
        <v>406.9</v>
      </c>
      <c r="H28" s="8"/>
      <c r="I28" s="8">
        <v>0</v>
      </c>
      <c r="J28" s="8"/>
      <c r="K28" s="15">
        <f t="shared" si="2"/>
        <v>-656.91227016546304</v>
      </c>
      <c r="O28" s="8">
        <v>406.9</v>
      </c>
      <c r="P28" s="8"/>
      <c r="Q28" s="8">
        <v>0</v>
      </c>
      <c r="R28" s="8"/>
      <c r="S28" s="15">
        <f t="shared" si="1"/>
        <v>-656.91227016546304</v>
      </c>
      <c r="U28" s="16" t="s">
        <v>49</v>
      </c>
      <c r="V28" s="16"/>
      <c r="W28" s="15">
        <f t="shared" si="0"/>
        <v>0</v>
      </c>
    </row>
    <row r="29" spans="1:23">
      <c r="A29" s="28">
        <v>2.1599999999999966</v>
      </c>
      <c r="B29" s="28"/>
      <c r="C29" s="28" t="s">
        <v>107</v>
      </c>
      <c r="D29" s="28"/>
      <c r="E29" s="13" t="s">
        <v>108</v>
      </c>
      <c r="F29" s="13"/>
      <c r="G29" s="14">
        <v>763.1</v>
      </c>
      <c r="H29" s="14"/>
      <c r="I29" s="8">
        <v>0</v>
      </c>
      <c r="J29" s="8"/>
      <c r="K29" s="15">
        <f t="shared" si="2"/>
        <v>-1231.9728517160602</v>
      </c>
      <c r="O29" s="14">
        <v>763.1</v>
      </c>
      <c r="P29" s="14"/>
      <c r="Q29" s="8">
        <v>0</v>
      </c>
      <c r="R29" s="8"/>
      <c r="S29" s="15">
        <f t="shared" si="1"/>
        <v>-1231.9728517160602</v>
      </c>
      <c r="U29" s="16" t="s">
        <v>49</v>
      </c>
      <c r="V29" s="16"/>
      <c r="W29" s="15">
        <f t="shared" si="0"/>
        <v>0</v>
      </c>
    </row>
    <row r="30" spans="1:23">
      <c r="A30" s="28">
        <v>2.1699999999999964</v>
      </c>
      <c r="B30" s="28"/>
      <c r="C30" s="28" t="s">
        <v>109</v>
      </c>
      <c r="D30" s="28"/>
      <c r="E30" s="13" t="s">
        <v>33</v>
      </c>
      <c r="F30" s="13"/>
      <c r="G30" s="8">
        <v>860</v>
      </c>
      <c r="H30" s="8"/>
      <c r="I30" s="8">
        <v>0</v>
      </c>
      <c r="J30" s="8"/>
      <c r="K30" s="15">
        <f t="shared" si="2"/>
        <v>-1388.4112861693247</v>
      </c>
      <c r="O30" s="8">
        <v>860</v>
      </c>
      <c r="P30" s="8"/>
      <c r="Q30" s="8">
        <v>0</v>
      </c>
      <c r="R30" s="8"/>
      <c r="S30" s="15">
        <f t="shared" si="1"/>
        <v>-1388.4112861693247</v>
      </c>
      <c r="U30" s="16" t="s">
        <v>49</v>
      </c>
      <c r="V30" s="16"/>
      <c r="W30" s="15">
        <f t="shared" si="0"/>
        <v>0</v>
      </c>
    </row>
    <row r="31" spans="1:23">
      <c r="A31" s="28">
        <v>2.1799999999999962</v>
      </c>
      <c r="B31" s="28"/>
      <c r="C31" s="28" t="s">
        <v>110</v>
      </c>
      <c r="D31" s="28"/>
      <c r="E31" s="13" t="s">
        <v>111</v>
      </c>
      <c r="F31" s="13"/>
      <c r="G31" s="8">
        <v>-7696</v>
      </c>
      <c r="H31" s="8"/>
      <c r="I31" s="8">
        <v>0</v>
      </c>
      <c r="J31" s="8"/>
      <c r="K31" s="15">
        <f t="shared" si="2"/>
        <v>12424.666579487353</v>
      </c>
      <c r="O31" s="8">
        <v>-7696</v>
      </c>
      <c r="P31" s="8"/>
      <c r="Q31" s="8">
        <v>0</v>
      </c>
      <c r="R31" s="8"/>
      <c r="S31" s="15">
        <f t="shared" si="1"/>
        <v>12424.666579487353</v>
      </c>
      <c r="U31" s="16" t="s">
        <v>49</v>
      </c>
      <c r="V31" s="16"/>
      <c r="W31" s="15">
        <f t="shared" si="0"/>
        <v>0</v>
      </c>
    </row>
    <row r="32" spans="1:23">
      <c r="A32" s="28">
        <v>2.1899999999999959</v>
      </c>
      <c r="B32" s="28"/>
      <c r="C32" s="28" t="s">
        <v>112</v>
      </c>
      <c r="D32" s="28"/>
      <c r="E32" s="13" t="s">
        <v>112</v>
      </c>
      <c r="F32" s="13"/>
      <c r="G32" s="25">
        <v>0</v>
      </c>
      <c r="H32" s="25"/>
      <c r="I32" s="25">
        <v>0</v>
      </c>
      <c r="J32" s="25"/>
      <c r="K32" s="15"/>
      <c r="O32" s="25">
        <v>0</v>
      </c>
      <c r="P32" s="25"/>
      <c r="Q32" s="25">
        <v>0</v>
      </c>
      <c r="R32" s="25"/>
      <c r="S32" s="15"/>
      <c r="U32" s="16" t="s">
        <v>49</v>
      </c>
      <c r="V32" s="16"/>
      <c r="W32" s="15">
        <f t="shared" si="0"/>
        <v>0</v>
      </c>
    </row>
    <row r="33" spans="1:23">
      <c r="A33" s="29"/>
      <c r="B33" s="29"/>
      <c r="C33" s="29"/>
      <c r="D33" s="29"/>
      <c r="E33" s="13"/>
      <c r="F33" s="13"/>
      <c r="G33" s="25"/>
      <c r="H33" s="25"/>
      <c r="I33" s="25"/>
      <c r="J33" s="25"/>
      <c r="K33" s="15"/>
      <c r="M33" s="25"/>
      <c r="O33" s="25"/>
      <c r="P33" s="25"/>
      <c r="Q33" s="25"/>
      <c r="R33" s="25"/>
      <c r="S33" s="15"/>
      <c r="W33" s="15"/>
    </row>
    <row r="34" spans="1:23">
      <c r="A34" s="2"/>
      <c r="B34" s="2"/>
      <c r="C34" s="2"/>
      <c r="D34" s="2"/>
      <c r="E34" t="s">
        <v>17</v>
      </c>
      <c r="G34" s="25">
        <v>108263.39700000003</v>
      </c>
      <c r="H34" s="25"/>
      <c r="I34" s="25">
        <v>1442726</v>
      </c>
      <c r="J34" s="25"/>
      <c r="K34" s="15"/>
      <c r="L34" s="26"/>
      <c r="M34" s="25"/>
      <c r="O34" s="25">
        <f>SUM(O10:O33)</f>
        <v>108263.39700000003</v>
      </c>
      <c r="P34" s="25"/>
      <c r="Q34" s="25">
        <f>SUM(Q10:Q33)</f>
        <v>1442726</v>
      </c>
      <c r="R34" s="25"/>
      <c r="S34" s="15"/>
      <c r="W34" s="15"/>
    </row>
    <row r="35" spans="1:23">
      <c r="A35" s="2" t="s">
        <v>80</v>
      </c>
      <c r="B35" s="2"/>
      <c r="C35" s="2"/>
      <c r="D35" s="2"/>
      <c r="G35" s="25"/>
      <c r="H35" s="25"/>
      <c r="I35" s="25"/>
      <c r="J35" s="25"/>
      <c r="K35" s="15"/>
      <c r="L35" s="26"/>
      <c r="M35" s="25"/>
      <c r="O35" s="25"/>
      <c r="P35" s="25"/>
      <c r="Q35" s="25"/>
      <c r="R35" s="25"/>
      <c r="S35" s="15">
        <f t="shared" si="1"/>
        <v>0</v>
      </c>
      <c r="W35" s="15"/>
    </row>
    <row r="36" spans="1:23">
      <c r="A36" s="28">
        <v>3.01</v>
      </c>
      <c r="B36" s="28"/>
      <c r="C36" s="28" t="s">
        <v>113</v>
      </c>
      <c r="D36" s="28"/>
      <c r="E36" s="13" t="s">
        <v>114</v>
      </c>
      <c r="F36" s="13"/>
      <c r="G36" s="25">
        <v>-65.650000000000006</v>
      </c>
      <c r="H36" s="25"/>
      <c r="I36" s="25">
        <v>0</v>
      </c>
      <c r="J36" s="25"/>
      <c r="K36" s="15">
        <f t="shared" si="2"/>
        <v>105.98744295001882</v>
      </c>
      <c r="M36" s="25"/>
      <c r="O36" s="25">
        <f>+G36+M36</f>
        <v>-65.650000000000006</v>
      </c>
      <c r="P36" s="25"/>
      <c r="Q36" s="25">
        <v>0</v>
      </c>
      <c r="R36" s="25"/>
      <c r="S36" s="15">
        <f t="shared" si="1"/>
        <v>105.98744295001882</v>
      </c>
      <c r="U36" s="16" t="s">
        <v>49</v>
      </c>
      <c r="V36" s="16"/>
      <c r="W36" s="15">
        <f t="shared" ref="W36:W50" si="3">+S36-K36</f>
        <v>0</v>
      </c>
    </row>
    <row r="37" spans="1:23">
      <c r="A37" s="28">
        <v>3.0199999999999996</v>
      </c>
      <c r="B37" s="28"/>
      <c r="C37" s="28" t="s">
        <v>115</v>
      </c>
      <c r="D37" s="28"/>
      <c r="E37" s="13" t="s">
        <v>34</v>
      </c>
      <c r="F37" s="13"/>
      <c r="G37" s="25">
        <v>-1861.6</v>
      </c>
      <c r="H37" s="25"/>
      <c r="I37" s="25">
        <v>0</v>
      </c>
      <c r="J37" s="25"/>
      <c r="K37" s="15">
        <f t="shared" si="2"/>
        <v>3005.4261050381569</v>
      </c>
      <c r="L37" s="33" t="s">
        <v>140</v>
      </c>
      <c r="M37" s="25">
        <f>-G37/2</f>
        <v>930.8</v>
      </c>
      <c r="O37" s="25">
        <f t="shared" ref="O37:O49" si="4">+G37+M37</f>
        <v>-930.8</v>
      </c>
      <c r="P37" s="25"/>
      <c r="Q37" s="25">
        <v>0</v>
      </c>
      <c r="R37" s="25"/>
      <c r="S37" s="15">
        <f t="shared" si="1"/>
        <v>1502.7130525190785</v>
      </c>
      <c r="U37" t="s">
        <v>50</v>
      </c>
      <c r="W37" s="15">
        <f t="shared" si="3"/>
        <v>-1502.7130525190785</v>
      </c>
    </row>
    <row r="38" spans="1:23">
      <c r="A38" s="28">
        <v>3.0299999999999994</v>
      </c>
      <c r="B38" s="28"/>
      <c r="C38" s="28" t="s">
        <v>116</v>
      </c>
      <c r="D38" s="28"/>
      <c r="E38" s="13" t="s">
        <v>35</v>
      </c>
      <c r="F38" s="13"/>
      <c r="G38" s="25">
        <v>21.450000000000003</v>
      </c>
      <c r="H38" s="25"/>
      <c r="I38" s="25">
        <v>0</v>
      </c>
      <c r="J38" s="25"/>
      <c r="K38" s="15">
        <f t="shared" si="2"/>
        <v>-34.62956056782793</v>
      </c>
      <c r="M38" s="25"/>
      <c r="O38" s="25">
        <f t="shared" si="4"/>
        <v>21.450000000000003</v>
      </c>
      <c r="P38" s="25"/>
      <c r="Q38" s="25">
        <v>0</v>
      </c>
      <c r="R38" s="25"/>
      <c r="S38" s="15">
        <f t="shared" si="1"/>
        <v>-34.62956056782793</v>
      </c>
      <c r="U38" s="16" t="s">
        <v>49</v>
      </c>
      <c r="V38" s="16"/>
      <c r="W38" s="15">
        <f t="shared" si="3"/>
        <v>0</v>
      </c>
    </row>
    <row r="39" spans="1:23">
      <c r="A39" s="28">
        <v>3.0399999999999991</v>
      </c>
      <c r="B39" s="28"/>
      <c r="C39" s="28" t="s">
        <v>117</v>
      </c>
      <c r="D39" s="28"/>
      <c r="E39" s="13" t="s">
        <v>36</v>
      </c>
      <c r="F39" s="13"/>
      <c r="G39" s="25">
        <v>234</v>
      </c>
      <c r="H39" s="25"/>
      <c r="I39" s="25">
        <v>0</v>
      </c>
      <c r="J39" s="25"/>
      <c r="K39" s="15">
        <f t="shared" si="2"/>
        <v>-377.77702437630467</v>
      </c>
      <c r="M39" s="25"/>
      <c r="O39" s="25">
        <f t="shared" si="4"/>
        <v>234</v>
      </c>
      <c r="P39" s="25"/>
      <c r="Q39" s="25">
        <v>0</v>
      </c>
      <c r="R39" s="25"/>
      <c r="S39" s="15">
        <f t="shared" si="1"/>
        <v>-377.77702437630467</v>
      </c>
      <c r="U39" s="16" t="s">
        <v>49</v>
      </c>
      <c r="V39" s="16"/>
      <c r="W39" s="15">
        <f t="shared" si="3"/>
        <v>0</v>
      </c>
    </row>
    <row r="40" spans="1:23">
      <c r="A40" s="28">
        <v>3.0499999999999989</v>
      </c>
      <c r="B40" s="28"/>
      <c r="C40" s="28" t="s">
        <v>118</v>
      </c>
      <c r="D40" s="28"/>
      <c r="E40" s="13" t="s">
        <v>119</v>
      </c>
      <c r="F40" s="13"/>
      <c r="G40" s="8">
        <v>-77.349999999999994</v>
      </c>
      <c r="H40" s="8"/>
      <c r="I40" s="8">
        <v>0</v>
      </c>
      <c r="J40" s="8"/>
      <c r="K40" s="15">
        <f t="shared" si="2"/>
        <v>124.87629416883404</v>
      </c>
      <c r="M40" s="25"/>
      <c r="O40" s="25">
        <f t="shared" si="4"/>
        <v>-77.349999999999994</v>
      </c>
      <c r="P40" s="25"/>
      <c r="Q40" s="8">
        <v>0</v>
      </c>
      <c r="R40" s="8"/>
      <c r="S40" s="15">
        <f t="shared" si="1"/>
        <v>124.87629416883404</v>
      </c>
      <c r="U40" s="16" t="s">
        <v>49</v>
      </c>
      <c r="V40" s="16"/>
      <c r="W40" s="15">
        <f t="shared" si="3"/>
        <v>0</v>
      </c>
    </row>
    <row r="41" spans="1:23">
      <c r="A41" s="28">
        <v>3.0599999999999987</v>
      </c>
      <c r="B41" s="28"/>
      <c r="C41" s="28" t="s">
        <v>120</v>
      </c>
      <c r="D41" s="28"/>
      <c r="E41" s="13" t="s">
        <v>37</v>
      </c>
      <c r="F41" s="13"/>
      <c r="G41" s="25">
        <v>-1597.7</v>
      </c>
      <c r="H41" s="25"/>
      <c r="I41" s="25">
        <v>0</v>
      </c>
      <c r="J41" s="25"/>
      <c r="K41" s="15">
        <f t="shared" si="2"/>
        <v>2579.377571991547</v>
      </c>
      <c r="L41" s="33" t="s">
        <v>143</v>
      </c>
      <c r="M41" s="25">
        <f>-G41/2</f>
        <v>798.85</v>
      </c>
      <c r="O41" s="25">
        <f t="shared" si="4"/>
        <v>-798.85</v>
      </c>
      <c r="P41" s="25"/>
      <c r="Q41" s="25">
        <v>0</v>
      </c>
      <c r="R41" s="25"/>
      <c r="S41" s="15">
        <f t="shared" si="1"/>
        <v>1289.6887859957735</v>
      </c>
      <c r="U41" t="s">
        <v>50</v>
      </c>
      <c r="W41" s="15">
        <f t="shared" si="3"/>
        <v>-1289.6887859957735</v>
      </c>
    </row>
    <row r="42" spans="1:23">
      <c r="A42" s="28">
        <v>3.0699999999999985</v>
      </c>
      <c r="B42" s="28"/>
      <c r="C42" s="28" t="s">
        <v>121</v>
      </c>
      <c r="D42" s="28"/>
      <c r="E42" s="13" t="s">
        <v>122</v>
      </c>
      <c r="F42" s="13"/>
      <c r="G42" s="25">
        <v>-451.1</v>
      </c>
      <c r="H42" s="25"/>
      <c r="I42" s="25">
        <v>0</v>
      </c>
      <c r="J42" s="25"/>
      <c r="K42" s="15">
        <f t="shared" si="2"/>
        <v>728.27015254765399</v>
      </c>
      <c r="M42" s="25"/>
      <c r="O42" s="25">
        <f t="shared" si="4"/>
        <v>-451.1</v>
      </c>
      <c r="P42" s="25"/>
      <c r="Q42" s="25">
        <v>0</v>
      </c>
      <c r="R42" s="25"/>
      <c r="S42" s="15">
        <f t="shared" si="1"/>
        <v>728.27015254765399</v>
      </c>
      <c r="U42" s="16" t="s">
        <v>49</v>
      </c>
      <c r="V42" s="16"/>
      <c r="W42" s="15">
        <f t="shared" si="3"/>
        <v>0</v>
      </c>
    </row>
    <row r="43" spans="1:23">
      <c r="A43" s="28">
        <v>3.0799999999999983</v>
      </c>
      <c r="B43" s="28"/>
      <c r="C43" s="28" t="s">
        <v>123</v>
      </c>
      <c r="D43" s="28"/>
      <c r="E43" s="13" t="s">
        <v>38</v>
      </c>
      <c r="F43" s="13"/>
      <c r="G43" s="25">
        <v>-3285.75</v>
      </c>
      <c r="H43" s="25"/>
      <c r="I43" s="25">
        <v>0</v>
      </c>
      <c r="J43" s="25"/>
      <c r="K43" s="15">
        <f t="shared" si="2"/>
        <v>5304.6190506172779</v>
      </c>
      <c r="M43" s="25"/>
      <c r="O43" s="25">
        <f t="shared" si="4"/>
        <v>-3285.75</v>
      </c>
      <c r="P43" s="25"/>
      <c r="Q43" s="25">
        <v>0</v>
      </c>
      <c r="R43" s="25"/>
      <c r="S43" s="15">
        <f t="shared" si="1"/>
        <v>5304.6190506172779</v>
      </c>
      <c r="U43" s="16" t="s">
        <v>49</v>
      </c>
      <c r="V43" s="16"/>
      <c r="W43" s="15">
        <f t="shared" si="3"/>
        <v>0</v>
      </c>
    </row>
    <row r="44" spans="1:23">
      <c r="A44" s="28">
        <v>3.0899999999999981</v>
      </c>
      <c r="B44" s="28"/>
      <c r="C44" s="28" t="s">
        <v>124</v>
      </c>
      <c r="D44" s="28"/>
      <c r="E44" s="13" t="s">
        <v>125</v>
      </c>
      <c r="F44" s="13"/>
      <c r="G44" s="25">
        <v>1012.5752100000001</v>
      </c>
      <c r="H44" s="25"/>
      <c r="I44" s="25">
        <v>-5346</v>
      </c>
      <c r="J44" s="25"/>
      <c r="K44" s="15">
        <f t="shared" si="2"/>
        <v>-2298.4383763337228</v>
      </c>
      <c r="O44" s="25">
        <f t="shared" si="4"/>
        <v>1012.5752100000001</v>
      </c>
      <c r="P44" s="25"/>
      <c r="Q44" s="25">
        <v>-5346</v>
      </c>
      <c r="R44" s="25"/>
      <c r="S44" s="15">
        <f t="shared" si="1"/>
        <v>-2261.3261426544163</v>
      </c>
      <c r="U44" s="16" t="s">
        <v>49</v>
      </c>
      <c r="V44" s="16"/>
      <c r="W44" s="15">
        <f t="shared" si="3"/>
        <v>37.112233679306428</v>
      </c>
    </row>
    <row r="45" spans="1:23">
      <c r="A45" s="28">
        <v>3.0999999999999979</v>
      </c>
      <c r="B45" s="28"/>
      <c r="C45" s="28" t="s">
        <v>126</v>
      </c>
      <c r="D45" s="28"/>
      <c r="E45" s="13" t="s">
        <v>127</v>
      </c>
      <c r="F45" s="13"/>
      <c r="G45" s="25">
        <v>-1740.5252350000001</v>
      </c>
      <c r="H45" s="25"/>
      <c r="I45" s="25">
        <v>34911</v>
      </c>
      <c r="J45" s="25"/>
      <c r="K45" s="15">
        <f t="shared" si="2"/>
        <v>7144.1528269506771</v>
      </c>
      <c r="O45" s="25">
        <f t="shared" si="4"/>
        <v>-1740.5252350000001</v>
      </c>
      <c r="P45" s="25"/>
      <c r="Q45" s="25">
        <v>34911</v>
      </c>
      <c r="R45" s="25"/>
      <c r="S45" s="15">
        <f t="shared" si="1"/>
        <v>6901.7986948933913</v>
      </c>
      <c r="U45" s="16" t="s">
        <v>49</v>
      </c>
      <c r="V45" s="16"/>
      <c r="W45" s="15">
        <f t="shared" si="3"/>
        <v>-242.35413205728582</v>
      </c>
    </row>
    <row r="46" spans="1:23">
      <c r="A46" s="28">
        <v>3.1099999999999977</v>
      </c>
      <c r="B46" s="28"/>
      <c r="C46" s="28" t="s">
        <v>128</v>
      </c>
      <c r="D46" s="28"/>
      <c r="E46" s="13" t="s">
        <v>129</v>
      </c>
      <c r="F46" s="13"/>
      <c r="G46" s="25">
        <v>641.54999999999995</v>
      </c>
      <c r="H46" s="25"/>
      <c r="I46" s="25">
        <v>0</v>
      </c>
      <c r="J46" s="25"/>
      <c r="K46" s="15">
        <f t="shared" si="2"/>
        <v>-1035.7386751650351</v>
      </c>
      <c r="O46" s="25">
        <f t="shared" si="4"/>
        <v>641.54999999999995</v>
      </c>
      <c r="P46" s="25"/>
      <c r="Q46" s="25">
        <v>0</v>
      </c>
      <c r="R46" s="25"/>
      <c r="S46" s="15">
        <f t="shared" si="1"/>
        <v>-1035.7386751650351</v>
      </c>
      <c r="U46" s="16" t="s">
        <v>49</v>
      </c>
      <c r="V46" s="16"/>
      <c r="W46" s="15">
        <f t="shared" si="3"/>
        <v>0</v>
      </c>
    </row>
    <row r="47" spans="1:23">
      <c r="A47" s="28">
        <v>3.1199999999999974</v>
      </c>
      <c r="B47" s="28"/>
      <c r="C47" s="28" t="s">
        <v>130</v>
      </c>
      <c r="D47" s="28"/>
      <c r="E47" s="13" t="s">
        <v>131</v>
      </c>
      <c r="F47" s="13"/>
      <c r="G47" s="25">
        <v>-243.75</v>
      </c>
      <c r="H47" s="25"/>
      <c r="I47" s="8">
        <v>0</v>
      </c>
      <c r="J47" s="8"/>
      <c r="K47" s="15">
        <f t="shared" si="2"/>
        <v>393.51773372531738</v>
      </c>
      <c r="L47" s="33" t="s">
        <v>142</v>
      </c>
      <c r="M47" s="25">
        <f>-G47</f>
        <v>243.75</v>
      </c>
      <c r="O47" s="25">
        <f t="shared" si="4"/>
        <v>0</v>
      </c>
      <c r="P47" s="25"/>
      <c r="Q47" s="8">
        <v>0</v>
      </c>
      <c r="R47" s="8"/>
      <c r="S47" s="15">
        <f t="shared" si="1"/>
        <v>0</v>
      </c>
      <c r="U47" t="s">
        <v>50</v>
      </c>
      <c r="W47" s="15">
        <f t="shared" si="3"/>
        <v>-393.51773372531738</v>
      </c>
    </row>
    <row r="48" spans="1:23">
      <c r="A48" s="28">
        <v>3.1299999999999972</v>
      </c>
      <c r="B48" s="28"/>
      <c r="C48" s="28" t="s">
        <v>132</v>
      </c>
      <c r="D48" s="28"/>
      <c r="E48" s="13" t="s">
        <v>133</v>
      </c>
      <c r="F48" s="13"/>
      <c r="G48" s="25">
        <v>-225.55</v>
      </c>
      <c r="H48" s="25"/>
      <c r="I48" s="8">
        <v>0</v>
      </c>
      <c r="J48" s="8"/>
      <c r="K48" s="15">
        <f t="shared" si="2"/>
        <v>364.135076273827</v>
      </c>
      <c r="O48" s="25">
        <f t="shared" si="4"/>
        <v>-225.55</v>
      </c>
      <c r="P48" s="25"/>
      <c r="Q48" s="8">
        <v>0</v>
      </c>
      <c r="R48" s="8"/>
      <c r="S48" s="15">
        <f t="shared" si="1"/>
        <v>364.135076273827</v>
      </c>
      <c r="U48" s="16" t="s">
        <v>49</v>
      </c>
      <c r="V48" s="16"/>
      <c r="W48" s="15">
        <f t="shared" si="3"/>
        <v>0</v>
      </c>
    </row>
    <row r="49" spans="1:23">
      <c r="A49" s="28">
        <v>3.139999999999997</v>
      </c>
      <c r="B49" s="28"/>
      <c r="C49" s="28" t="s">
        <v>134</v>
      </c>
      <c r="D49" s="28"/>
      <c r="E49" s="13" t="s">
        <v>135</v>
      </c>
      <c r="F49" s="13"/>
      <c r="G49" s="25">
        <v>-345.8</v>
      </c>
      <c r="H49" s="25"/>
      <c r="I49" s="8">
        <v>0</v>
      </c>
      <c r="J49" s="8"/>
      <c r="K49" s="15">
        <f t="shared" si="2"/>
        <v>558.27049157831686</v>
      </c>
      <c r="O49" s="25">
        <f t="shared" si="4"/>
        <v>-345.8</v>
      </c>
      <c r="P49" s="25"/>
      <c r="Q49" s="8">
        <v>0</v>
      </c>
      <c r="R49" s="8"/>
      <c r="S49" s="15">
        <f t="shared" si="1"/>
        <v>558.27049157831686</v>
      </c>
      <c r="U49" s="16" t="s">
        <v>49</v>
      </c>
      <c r="V49" s="16"/>
      <c r="W49" s="15">
        <f t="shared" si="3"/>
        <v>0</v>
      </c>
    </row>
    <row r="50" spans="1:23">
      <c r="A50" s="2"/>
      <c r="B50" s="2"/>
      <c r="C50" s="2"/>
      <c r="D50" s="2"/>
      <c r="E50" t="s">
        <v>81</v>
      </c>
      <c r="G50" s="25">
        <v>100278.19697500001</v>
      </c>
      <c r="H50" s="25"/>
      <c r="I50" s="25">
        <v>1472291</v>
      </c>
      <c r="J50" s="25"/>
      <c r="K50" s="26"/>
      <c r="L50" s="26"/>
      <c r="M50" s="25"/>
      <c r="O50" s="25">
        <f>SUM(O34:O49)</f>
        <v>102251.59697500001</v>
      </c>
      <c r="P50" s="25"/>
      <c r="Q50" s="25">
        <f>SUM(Q34:Q49)</f>
        <v>1472291</v>
      </c>
      <c r="R50" s="25"/>
      <c r="S50" s="15"/>
      <c r="U50" s="16" t="s">
        <v>49</v>
      </c>
      <c r="V50" s="16"/>
      <c r="W50" s="15">
        <f t="shared" si="3"/>
        <v>0</v>
      </c>
    </row>
    <row r="51" spans="1:23">
      <c r="A51" s="28"/>
      <c r="B51" s="28"/>
      <c r="C51" s="28"/>
      <c r="D51" s="28"/>
      <c r="E51" s="13"/>
      <c r="F51" s="13"/>
      <c r="G51" s="25"/>
      <c r="H51" s="25"/>
      <c r="I51" s="25"/>
      <c r="J51" s="25"/>
      <c r="M51" s="25"/>
      <c r="O51" s="25"/>
      <c r="P51" s="25"/>
      <c r="Q51" s="25"/>
      <c r="R51" s="25"/>
    </row>
    <row r="52" spans="1:23">
      <c r="A52" s="28">
        <v>4</v>
      </c>
      <c r="B52" s="28"/>
      <c r="C52" s="28" t="s">
        <v>136</v>
      </c>
      <c r="D52" s="28"/>
      <c r="E52" s="13" t="s">
        <v>137</v>
      </c>
      <c r="F52" s="13"/>
      <c r="G52" s="25">
        <v>-10287.549999999999</v>
      </c>
      <c r="H52" s="25"/>
      <c r="I52" s="25">
        <v>0</v>
      </c>
      <c r="J52" s="25"/>
      <c r="K52" s="15">
        <f>((I52*0.0769)-G52)/0.619413</f>
        <v>16608.547124454926</v>
      </c>
      <c r="L52" s="33" t="s">
        <v>141</v>
      </c>
      <c r="M52" s="25">
        <f>-G52</f>
        <v>10287.549999999999</v>
      </c>
      <c r="N52" s="25"/>
      <c r="O52" s="32">
        <f>+G52+M52</f>
        <v>0</v>
      </c>
      <c r="P52" s="32"/>
      <c r="Q52" s="25">
        <v>0</v>
      </c>
      <c r="R52" s="25"/>
      <c r="S52" s="15">
        <f t="shared" si="1"/>
        <v>0</v>
      </c>
      <c r="U52" t="s">
        <v>50</v>
      </c>
      <c r="W52" s="15">
        <f>+S52-K52</f>
        <v>-16608.547124454926</v>
      </c>
    </row>
    <row r="53" spans="1:23">
      <c r="A53" s="28"/>
      <c r="B53" s="28"/>
      <c r="C53" s="28"/>
      <c r="D53" s="28"/>
      <c r="E53" s="13"/>
      <c r="F53" s="13"/>
      <c r="G53" s="25"/>
      <c r="H53" s="25"/>
      <c r="I53" s="25"/>
      <c r="J53" s="25"/>
      <c r="O53" s="25"/>
      <c r="P53" s="25"/>
      <c r="Q53" s="25"/>
      <c r="R53" s="25"/>
    </row>
    <row r="54" spans="1:23">
      <c r="A54" s="2"/>
      <c r="B54" s="2"/>
      <c r="C54" s="2"/>
      <c r="D54" s="2"/>
      <c r="E54" t="s">
        <v>82</v>
      </c>
      <c r="G54" s="25">
        <v>89990.646975000011</v>
      </c>
      <c r="H54" s="25"/>
      <c r="I54" s="25">
        <v>1472291</v>
      </c>
      <c r="J54" s="25"/>
      <c r="K54" s="7">
        <f>SUM(K10:K52)</f>
        <v>37500.877322561842</v>
      </c>
      <c r="L54" s="26"/>
      <c r="O54" s="25">
        <f>+O50+O52</f>
        <v>102251.59697500001</v>
      </c>
      <c r="P54" s="25"/>
      <c r="Q54" s="25">
        <f>+Q50+Q52</f>
        <v>1472291</v>
      </c>
      <c r="R54" s="25"/>
      <c r="S54" s="7">
        <f>SUM(S10:S52)</f>
        <v>7485.6834212391277</v>
      </c>
      <c r="U54" s="8"/>
      <c r="V54" s="8"/>
      <c r="W54" s="15">
        <f>SUM(W10:W52)</f>
        <v>-30015.193901322709</v>
      </c>
    </row>
    <row r="55" spans="1:23">
      <c r="A55" s="2"/>
      <c r="B55" s="2"/>
      <c r="C55" s="2"/>
      <c r="D55" s="2"/>
      <c r="G55" s="25"/>
      <c r="H55" s="25"/>
      <c r="I55" s="25"/>
      <c r="J55" s="25"/>
      <c r="K55" s="26"/>
      <c r="L55" s="26"/>
      <c r="O55" s="25"/>
      <c r="P55" s="25"/>
      <c r="Q55" s="25"/>
      <c r="R55" s="25"/>
      <c r="S55" s="8"/>
    </row>
    <row r="56" spans="1:23" ht="16.5" thickBot="1">
      <c r="A56" s="2"/>
      <c r="B56" s="39" t="s">
        <v>51</v>
      </c>
      <c r="C56" s="38"/>
      <c r="D56" s="40"/>
      <c r="E56" s="41"/>
      <c r="F56" s="42"/>
      <c r="G56" s="43"/>
      <c r="H56" s="25"/>
      <c r="I56" s="25"/>
      <c r="J56" s="25"/>
      <c r="K56" s="26"/>
      <c r="O56" s="25"/>
      <c r="P56" s="25"/>
      <c r="Q56" s="25"/>
      <c r="R56" s="25"/>
    </row>
    <row r="57" spans="1:23">
      <c r="A57" s="2"/>
      <c r="B57" s="44"/>
      <c r="C57" s="19"/>
      <c r="D57" s="45"/>
      <c r="E57" s="42"/>
      <c r="F57" s="42"/>
      <c r="G57" s="43"/>
      <c r="H57" s="25"/>
      <c r="I57" s="25"/>
      <c r="J57" s="25"/>
      <c r="K57" s="26"/>
      <c r="O57" s="25"/>
      <c r="P57" s="25"/>
      <c r="Q57" s="25"/>
      <c r="R57" s="25"/>
    </row>
    <row r="58" spans="1:23">
      <c r="B58" s="36" t="s">
        <v>140</v>
      </c>
      <c r="C58" t="s">
        <v>145</v>
      </c>
    </row>
    <row r="59" spans="1:23">
      <c r="B59" s="37" t="s">
        <v>143</v>
      </c>
      <c r="C59" t="s">
        <v>146</v>
      </c>
    </row>
    <row r="60" spans="1:23">
      <c r="B60" s="37" t="s">
        <v>142</v>
      </c>
      <c r="C60" t="s">
        <v>147</v>
      </c>
    </row>
    <row r="61" spans="1:23">
      <c r="B61" s="37" t="s">
        <v>141</v>
      </c>
      <c r="C61" t="s">
        <v>148</v>
      </c>
    </row>
    <row r="62" spans="1:23">
      <c r="C62" s="12"/>
    </row>
  </sheetData>
  <mergeCells count="4">
    <mergeCell ref="G6:K6"/>
    <mergeCell ref="O6:S6"/>
    <mergeCell ref="O7:S7"/>
    <mergeCell ref="G7:K7"/>
  </mergeCells>
  <pageMargins left="0.7" right="0.7" top="0.75" bottom="0.75" header="0.3" footer="0.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H5" sqref="H5"/>
    </sheetView>
  </sheetViews>
  <sheetFormatPr defaultRowHeight="15.75"/>
  <cols>
    <col min="1" max="1" width="4.125" customWidth="1"/>
    <col min="2" max="2" width="1.625" customWidth="1"/>
    <col min="3" max="3" width="38.5" customWidth="1"/>
    <col min="4" max="4" width="2" customWidth="1"/>
    <col min="5" max="6" width="4.125" customWidth="1"/>
    <col min="7" max="7" width="11.75" customWidth="1"/>
    <col min="8" max="8" width="0.875" customWidth="1"/>
    <col min="9" max="9" width="11.875" customWidth="1"/>
    <col min="10" max="10" width="0.75" customWidth="1"/>
  </cols>
  <sheetData>
    <row r="1" spans="1:10">
      <c r="A1" t="s">
        <v>0</v>
      </c>
      <c r="I1" s="12" t="s">
        <v>75</v>
      </c>
    </row>
    <row r="2" spans="1:10">
      <c r="A2" t="s">
        <v>73</v>
      </c>
      <c r="I2" s="12" t="s">
        <v>179</v>
      </c>
    </row>
    <row r="3" spans="1:10">
      <c r="A3" t="s">
        <v>66</v>
      </c>
      <c r="I3" s="12" t="s">
        <v>166</v>
      </c>
    </row>
    <row r="4" spans="1:10">
      <c r="A4" t="s">
        <v>74</v>
      </c>
      <c r="I4" s="12" t="s">
        <v>68</v>
      </c>
    </row>
    <row r="5" spans="1:10">
      <c r="A5" s="6"/>
      <c r="I5" s="12" t="s">
        <v>67</v>
      </c>
    </row>
    <row r="10" spans="1:10">
      <c r="A10" t="s">
        <v>2</v>
      </c>
    </row>
    <row r="11" spans="1:10">
      <c r="A11" s="1" t="s">
        <v>3</v>
      </c>
      <c r="C11" s="1" t="s">
        <v>4</v>
      </c>
      <c r="G11" s="3" t="s">
        <v>64</v>
      </c>
      <c r="H11" s="2"/>
      <c r="I11" s="3" t="s">
        <v>65</v>
      </c>
      <c r="J11" s="2"/>
    </row>
    <row r="13" spans="1:10">
      <c r="J13" s="7"/>
    </row>
    <row r="14" spans="1:10">
      <c r="A14">
        <v>1</v>
      </c>
      <c r="C14" t="s">
        <v>172</v>
      </c>
      <c r="G14" s="7">
        <f>+G20/0.65</f>
        <v>-2863.9999999999995</v>
      </c>
      <c r="H14" s="7"/>
      <c r="I14" s="7">
        <f>SUM(I13:I13)</f>
        <v>0</v>
      </c>
      <c r="J14" s="7"/>
    </row>
    <row r="15" spans="1:10">
      <c r="G15" s="7"/>
      <c r="H15" s="7"/>
      <c r="I15" s="7"/>
      <c r="J15" s="7"/>
    </row>
    <row r="16" spans="1:10">
      <c r="A16">
        <v>2</v>
      </c>
      <c r="C16" t="s">
        <v>61</v>
      </c>
      <c r="G16" s="22">
        <v>0.35</v>
      </c>
      <c r="H16" s="7"/>
      <c r="I16" s="22">
        <v>0.35</v>
      </c>
      <c r="J16" s="7"/>
    </row>
    <row r="17" spans="1:10">
      <c r="H17" s="7"/>
      <c r="J17" s="7"/>
    </row>
    <row r="18" spans="1:10">
      <c r="A18">
        <v>3</v>
      </c>
      <c r="C18" t="s">
        <v>62</v>
      </c>
      <c r="G18" s="20">
        <f>ROUND(G14*-G16,0)</f>
        <v>1002</v>
      </c>
      <c r="H18" s="7"/>
      <c r="I18" s="20">
        <f>ROUND(I14*-I16,0)</f>
        <v>0</v>
      </c>
      <c r="J18" s="7"/>
    </row>
    <row r="19" spans="1:10">
      <c r="G19" s="7"/>
      <c r="H19" s="7"/>
      <c r="I19" s="7"/>
      <c r="J19" s="7"/>
    </row>
    <row r="20" spans="1:10" ht="16.5" thickBot="1">
      <c r="A20">
        <v>4</v>
      </c>
      <c r="C20" t="s">
        <v>169</v>
      </c>
      <c r="G20" s="21">
        <f>+Summary!G37</f>
        <v>-1861.6</v>
      </c>
      <c r="H20" s="7"/>
      <c r="I20" s="21">
        <f>-I14-I18</f>
        <v>0</v>
      </c>
      <c r="J20" s="7"/>
    </row>
    <row r="21" spans="1:10" ht="16.5" thickTop="1">
      <c r="G21" s="23"/>
      <c r="H21" s="7"/>
      <c r="I21" s="23"/>
      <c r="J21" s="7"/>
    </row>
    <row r="22" spans="1:10">
      <c r="A22">
        <v>5</v>
      </c>
      <c r="C22" t="s">
        <v>170</v>
      </c>
      <c r="G22" s="20">
        <f>+G20/2</f>
        <v>-930.8</v>
      </c>
      <c r="H22" s="7"/>
      <c r="I22" s="20"/>
      <c r="J22" s="7"/>
    </row>
    <row r="23" spans="1:10">
      <c r="G23" s="7"/>
      <c r="H23" s="7"/>
      <c r="I23" s="7"/>
      <c r="J23" s="7"/>
    </row>
    <row r="24" spans="1:10" ht="16.5" thickBot="1">
      <c r="A24">
        <v>6</v>
      </c>
      <c r="C24" t="s">
        <v>171</v>
      </c>
      <c r="G24" s="21">
        <f>+G20-G22</f>
        <v>-930.8</v>
      </c>
      <c r="H24" s="7"/>
      <c r="I24" s="21"/>
      <c r="J24" s="7"/>
    </row>
    <row r="25" spans="1:10" ht="16.5" thickTop="1">
      <c r="G25" s="7"/>
      <c r="H25" s="7"/>
      <c r="I25" s="7"/>
      <c r="J25" s="7"/>
    </row>
    <row r="26" spans="1:10">
      <c r="G26" s="56"/>
      <c r="H26" s="7"/>
      <c r="I26" s="56"/>
    </row>
    <row r="27" spans="1:10">
      <c r="C27" s="17" t="s">
        <v>54</v>
      </c>
      <c r="G27" s="7"/>
      <c r="H27" s="7"/>
      <c r="I27" s="7"/>
    </row>
    <row r="28" spans="1:10">
      <c r="C28" t="s">
        <v>176</v>
      </c>
      <c r="G28" s="7"/>
      <c r="H28" s="7"/>
      <c r="I28" s="7"/>
    </row>
    <row r="29" spans="1:10">
      <c r="G29" s="7"/>
      <c r="H29" s="7"/>
      <c r="I29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workbookViewId="0">
      <selection activeCell="H5" sqref="H5"/>
    </sheetView>
  </sheetViews>
  <sheetFormatPr defaultRowHeight="15.75"/>
  <cols>
    <col min="1" max="1" width="4.125" customWidth="1"/>
    <col min="2" max="2" width="1.625" customWidth="1"/>
    <col min="3" max="3" width="40.75" customWidth="1"/>
    <col min="4" max="4" width="4.75" customWidth="1"/>
    <col min="5" max="5" width="4.125" customWidth="1"/>
    <col min="6" max="6" width="2.875" customWidth="1"/>
    <col min="7" max="7" width="11.75" customWidth="1"/>
    <col min="8" max="8" width="0.875" customWidth="1"/>
    <col min="9" max="9" width="10.25" customWidth="1"/>
    <col min="10" max="10" width="5" customWidth="1"/>
    <col min="11" max="11" width="8.875" customWidth="1"/>
  </cols>
  <sheetData>
    <row r="1" spans="1:9">
      <c r="A1" t="s">
        <v>0</v>
      </c>
      <c r="I1" s="24" t="s">
        <v>75</v>
      </c>
    </row>
    <row r="2" spans="1:9">
      <c r="A2" t="s">
        <v>73</v>
      </c>
      <c r="I2" s="12" t="s">
        <v>179</v>
      </c>
    </row>
    <row r="3" spans="1:9">
      <c r="A3" t="s">
        <v>58</v>
      </c>
      <c r="I3" s="12" t="s">
        <v>165</v>
      </c>
    </row>
    <row r="4" spans="1:9">
      <c r="A4" t="s">
        <v>74</v>
      </c>
      <c r="I4" s="12" t="s">
        <v>69</v>
      </c>
    </row>
    <row r="5" spans="1:9">
      <c r="A5" s="6" t="s">
        <v>15</v>
      </c>
      <c r="I5" s="12"/>
    </row>
    <row r="8" spans="1:9">
      <c r="A8" t="s">
        <v>2</v>
      </c>
      <c r="G8" s="2" t="s">
        <v>14</v>
      </c>
      <c r="H8" s="2"/>
      <c r="I8" s="2" t="s">
        <v>55</v>
      </c>
    </row>
    <row r="9" spans="1:9">
      <c r="A9" s="1" t="s">
        <v>3</v>
      </c>
      <c r="C9" s="1" t="s">
        <v>4</v>
      </c>
      <c r="G9" s="3" t="s">
        <v>56</v>
      </c>
      <c r="H9" s="2"/>
      <c r="I9" s="3" t="s">
        <v>56</v>
      </c>
    </row>
    <row r="11" spans="1:9">
      <c r="A11">
        <v>1</v>
      </c>
      <c r="C11" t="s">
        <v>60</v>
      </c>
      <c r="G11" s="7">
        <f>+G17/0.65</f>
        <v>-2458</v>
      </c>
      <c r="H11" s="7"/>
      <c r="I11" s="7"/>
    </row>
    <row r="13" spans="1:9">
      <c r="A13">
        <v>2</v>
      </c>
      <c r="C13" t="s">
        <v>61</v>
      </c>
      <c r="G13" s="22">
        <v>0.35</v>
      </c>
      <c r="I13" s="22"/>
    </row>
    <row r="15" spans="1:9">
      <c r="A15">
        <v>3</v>
      </c>
      <c r="C15" t="s">
        <v>62</v>
      </c>
      <c r="G15" s="20">
        <f>ROUND(G11*-G13,0)</f>
        <v>860</v>
      </c>
      <c r="I15" s="20"/>
    </row>
    <row r="16" spans="1:9">
      <c r="G16" s="7"/>
      <c r="I16" s="7"/>
    </row>
    <row r="17" spans="1:9" ht="16.5" thickBot="1">
      <c r="A17">
        <v>4</v>
      </c>
      <c r="C17" t="s">
        <v>63</v>
      </c>
      <c r="G17" s="21">
        <f>+Summary!G41</f>
        <v>-1597.7</v>
      </c>
      <c r="I17" s="21"/>
    </row>
    <row r="18" spans="1:9" ht="16.5" thickTop="1"/>
    <row r="19" spans="1:9">
      <c r="A19">
        <v>5</v>
      </c>
      <c r="C19" t="s">
        <v>170</v>
      </c>
      <c r="G19" s="20">
        <f>+G17/2</f>
        <v>-798.85</v>
      </c>
      <c r="I19" s="20"/>
    </row>
    <row r="20" spans="1:9">
      <c r="G20" s="7"/>
      <c r="I20" s="7"/>
    </row>
    <row r="21" spans="1:9" ht="16.5" thickBot="1">
      <c r="A21">
        <v>6</v>
      </c>
      <c r="C21" t="s">
        <v>171</v>
      </c>
      <c r="G21" s="21">
        <f>+G17-G19</f>
        <v>-798.85</v>
      </c>
      <c r="I21" s="21"/>
    </row>
    <row r="22" spans="1:9" ht="16.5" thickTop="1">
      <c r="G22" s="7"/>
    </row>
    <row r="24" spans="1:9">
      <c r="C24" s="17" t="s">
        <v>54</v>
      </c>
    </row>
    <row r="25" spans="1:9">
      <c r="C25" t="s">
        <v>176</v>
      </c>
    </row>
    <row r="28" spans="1:9">
      <c r="C28" s="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>
      <selection activeCell="H5" sqref="H5"/>
    </sheetView>
  </sheetViews>
  <sheetFormatPr defaultRowHeight="15.75"/>
  <cols>
    <col min="1" max="1" width="4.125" customWidth="1"/>
    <col min="2" max="2" width="1.625" customWidth="1"/>
    <col min="3" max="3" width="40.75" customWidth="1"/>
    <col min="4" max="4" width="4.75" customWidth="1"/>
    <col min="5" max="5" width="4.125" customWidth="1"/>
    <col min="6" max="6" width="2.875" customWidth="1"/>
    <col min="7" max="7" width="11.75" customWidth="1"/>
    <col min="8" max="8" width="0.875" customWidth="1"/>
    <col min="9" max="9" width="10.25" customWidth="1"/>
    <col min="10" max="10" width="5" customWidth="1"/>
    <col min="11" max="11" width="8.875" customWidth="1"/>
  </cols>
  <sheetData>
    <row r="1" spans="1:9">
      <c r="A1" t="s">
        <v>0</v>
      </c>
      <c r="I1" s="24" t="s">
        <v>75</v>
      </c>
    </row>
    <row r="2" spans="1:9">
      <c r="A2" t="s">
        <v>73</v>
      </c>
      <c r="I2" s="12" t="s">
        <v>179</v>
      </c>
    </row>
    <row r="3" spans="1:9">
      <c r="A3" t="s">
        <v>162</v>
      </c>
      <c r="I3" s="12" t="s">
        <v>178</v>
      </c>
    </row>
    <row r="4" spans="1:9">
      <c r="A4" t="s">
        <v>74</v>
      </c>
      <c r="I4" s="12" t="s">
        <v>70</v>
      </c>
    </row>
    <row r="5" spans="1:9">
      <c r="A5" s="6" t="s">
        <v>15</v>
      </c>
      <c r="I5" s="12" t="s">
        <v>59</v>
      </c>
    </row>
    <row r="8" spans="1:9">
      <c r="A8" t="s">
        <v>2</v>
      </c>
      <c r="G8" s="2" t="s">
        <v>14</v>
      </c>
      <c r="H8" s="2"/>
      <c r="I8" s="2" t="s">
        <v>55</v>
      </c>
    </row>
    <row r="9" spans="1:9">
      <c r="A9" s="1" t="s">
        <v>3</v>
      </c>
      <c r="C9" s="1" t="s">
        <v>4</v>
      </c>
      <c r="G9" s="3" t="s">
        <v>56</v>
      </c>
      <c r="H9" s="2"/>
      <c r="I9" s="3" t="s">
        <v>56</v>
      </c>
    </row>
    <row r="11" spans="1:9">
      <c r="A11">
        <v>1</v>
      </c>
      <c r="C11" t="s">
        <v>174</v>
      </c>
      <c r="G11" s="7">
        <f>+G17/0.65</f>
        <v>-375</v>
      </c>
      <c r="H11" s="7"/>
      <c r="I11" s="7"/>
    </row>
    <row r="13" spans="1:9">
      <c r="A13">
        <v>2</v>
      </c>
      <c r="C13" t="s">
        <v>61</v>
      </c>
      <c r="G13" s="22">
        <v>0.35</v>
      </c>
      <c r="I13" s="22">
        <v>0.35</v>
      </c>
    </row>
    <row r="15" spans="1:9">
      <c r="A15">
        <v>3</v>
      </c>
      <c r="C15" t="s">
        <v>62</v>
      </c>
      <c r="G15" s="20">
        <f>ROUND(G11*-G13,0)</f>
        <v>131</v>
      </c>
      <c r="I15" s="20">
        <f>ROUND(I11*-I13,0)</f>
        <v>0</v>
      </c>
    </row>
    <row r="16" spans="1:9">
      <c r="G16" s="7"/>
      <c r="I16" s="7"/>
    </row>
    <row r="17" spans="1:9" ht="16.5" thickBot="1">
      <c r="A17">
        <v>4</v>
      </c>
      <c r="C17" t="s">
        <v>63</v>
      </c>
      <c r="G17" s="21">
        <f>+Summary!G47</f>
        <v>-243.75</v>
      </c>
      <c r="I17" s="21">
        <f>-I11-I15</f>
        <v>0</v>
      </c>
    </row>
    <row r="18" spans="1:9" ht="16.5" thickTop="1"/>
    <row r="19" spans="1:9">
      <c r="A19">
        <v>5</v>
      </c>
      <c r="C19" t="s">
        <v>173</v>
      </c>
      <c r="G19" s="20">
        <f>+G17</f>
        <v>-243.75</v>
      </c>
      <c r="I19" s="20"/>
    </row>
    <row r="20" spans="1:9">
      <c r="G20" s="7"/>
      <c r="I20" s="7"/>
    </row>
    <row r="21" spans="1:9" ht="16.5" thickBot="1">
      <c r="A21">
        <v>6</v>
      </c>
      <c r="C21" t="s">
        <v>171</v>
      </c>
      <c r="G21" s="21">
        <f>+G19</f>
        <v>-243.75</v>
      </c>
      <c r="I21" s="21"/>
    </row>
    <row r="22" spans="1:9" ht="16.5" thickTop="1"/>
    <row r="24" spans="1:9">
      <c r="C24" s="17" t="s">
        <v>54</v>
      </c>
    </row>
    <row r="25" spans="1:9">
      <c r="C25" t="s">
        <v>176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>
      <selection activeCell="H5" sqref="H5"/>
    </sheetView>
  </sheetViews>
  <sheetFormatPr defaultRowHeight="15.75"/>
  <cols>
    <col min="1" max="1" width="4.125" customWidth="1"/>
    <col min="2" max="2" width="1.625" customWidth="1"/>
    <col min="3" max="3" width="40.75" customWidth="1"/>
    <col min="4" max="4" width="4.75" customWidth="1"/>
    <col min="5" max="5" width="4.125" customWidth="1"/>
    <col min="6" max="6" width="2.875" customWidth="1"/>
    <col min="7" max="7" width="11.75" customWidth="1"/>
    <col min="8" max="8" width="0.875" customWidth="1"/>
    <col min="9" max="9" width="10.25" customWidth="1"/>
    <col min="10" max="10" width="0.75" customWidth="1"/>
    <col min="11" max="11" width="11.625" customWidth="1"/>
  </cols>
  <sheetData>
    <row r="1" spans="1:9">
      <c r="A1" t="s">
        <v>0</v>
      </c>
      <c r="I1" s="24" t="s">
        <v>75</v>
      </c>
    </row>
    <row r="2" spans="1:9">
      <c r="A2" t="s">
        <v>73</v>
      </c>
      <c r="I2" s="12" t="s">
        <v>179</v>
      </c>
    </row>
    <row r="3" spans="1:9">
      <c r="A3" t="s">
        <v>57</v>
      </c>
      <c r="I3" s="12" t="s">
        <v>164</v>
      </c>
    </row>
    <row r="4" spans="1:9">
      <c r="A4" t="s">
        <v>74</v>
      </c>
      <c r="I4" s="12" t="s">
        <v>71</v>
      </c>
    </row>
    <row r="5" spans="1:9">
      <c r="A5" s="6"/>
      <c r="I5" s="12"/>
    </row>
    <row r="9" spans="1:9">
      <c r="A9" t="s">
        <v>2</v>
      </c>
      <c r="G9" s="2" t="s">
        <v>14</v>
      </c>
      <c r="H9" s="2"/>
      <c r="I9" s="2" t="s">
        <v>55</v>
      </c>
    </row>
    <row r="10" spans="1:9">
      <c r="A10" s="1" t="s">
        <v>3</v>
      </c>
      <c r="C10" s="1" t="s">
        <v>4</v>
      </c>
      <c r="G10" s="3" t="s">
        <v>56</v>
      </c>
      <c r="H10" s="2"/>
      <c r="I10" s="3" t="s">
        <v>56</v>
      </c>
    </row>
    <row r="12" spans="1:9">
      <c r="A12">
        <v>1</v>
      </c>
      <c r="C12" t="s">
        <v>175</v>
      </c>
      <c r="G12" s="7">
        <f>+G18/0.65</f>
        <v>-15826.999999999998</v>
      </c>
      <c r="H12" s="7"/>
      <c r="I12" s="7"/>
    </row>
    <row r="14" spans="1:9">
      <c r="A14">
        <v>2</v>
      </c>
      <c r="C14" t="s">
        <v>61</v>
      </c>
      <c r="G14" s="22">
        <v>0.35</v>
      </c>
      <c r="I14" s="22">
        <v>0.35</v>
      </c>
    </row>
    <row r="16" spans="1:9">
      <c r="A16">
        <v>3</v>
      </c>
      <c r="C16" t="s">
        <v>62</v>
      </c>
      <c r="G16" s="20">
        <f>ROUND(G12*-G14,0)</f>
        <v>5539</v>
      </c>
      <c r="I16" s="20">
        <f>ROUND(I12*-I14,0)</f>
        <v>0</v>
      </c>
    </row>
    <row r="17" spans="1:9">
      <c r="G17" s="7"/>
      <c r="I17" s="7"/>
    </row>
    <row r="18" spans="1:9" ht="16.5" thickBot="1">
      <c r="A18">
        <v>4</v>
      </c>
      <c r="C18" t="s">
        <v>63</v>
      </c>
      <c r="G18" s="21">
        <f>+Summary!G52</f>
        <v>-10287.549999999999</v>
      </c>
      <c r="I18" s="21">
        <f>-I12-I16</f>
        <v>0</v>
      </c>
    </row>
    <row r="19" spans="1:9" ht="16.5" thickTop="1"/>
    <row r="20" spans="1:9">
      <c r="A20">
        <v>5</v>
      </c>
      <c r="C20" t="s">
        <v>173</v>
      </c>
      <c r="G20" s="20">
        <f>+G18</f>
        <v>-10287.549999999999</v>
      </c>
      <c r="I20" s="20"/>
    </row>
    <row r="21" spans="1:9">
      <c r="G21" s="7"/>
      <c r="I21" s="7"/>
    </row>
    <row r="22" spans="1:9" ht="16.5" thickBot="1">
      <c r="A22">
        <v>6</v>
      </c>
      <c r="C22" t="s">
        <v>171</v>
      </c>
      <c r="G22" s="21">
        <f>+G20</f>
        <v>-10287.549999999999</v>
      </c>
      <c r="I22" s="21"/>
    </row>
    <row r="23" spans="1:9" ht="16.5" thickTop="1"/>
    <row r="25" spans="1:9">
      <c r="C25" s="17" t="s">
        <v>54</v>
      </c>
    </row>
    <row r="26" spans="1:9">
      <c r="C26" t="s">
        <v>176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22" workbookViewId="0">
      <selection activeCell="H5" sqref="H5"/>
    </sheetView>
  </sheetViews>
  <sheetFormatPr defaultRowHeight="15.75"/>
  <cols>
    <col min="2" max="2" width="6.25" customWidth="1"/>
    <col min="3" max="3" width="12.75" customWidth="1"/>
    <col min="4" max="4" width="0" hidden="1" customWidth="1"/>
    <col min="5" max="5" width="11.625" customWidth="1"/>
    <col min="6" max="6" width="17" customWidth="1"/>
    <col min="7" max="7" width="12.75" customWidth="1"/>
    <col min="8" max="8" width="1.5" customWidth="1"/>
  </cols>
  <sheetData>
    <row r="1" spans="1:9">
      <c r="A1" t="s">
        <v>0</v>
      </c>
      <c r="I1" s="12" t="s">
        <v>75</v>
      </c>
    </row>
    <row r="2" spans="1:9">
      <c r="A2" t="s">
        <v>73</v>
      </c>
      <c r="I2" s="12" t="s">
        <v>179</v>
      </c>
    </row>
    <row r="3" spans="1:9">
      <c r="A3" t="s">
        <v>161</v>
      </c>
      <c r="I3" s="12" t="s">
        <v>163</v>
      </c>
    </row>
    <row r="4" spans="1:9">
      <c r="A4" t="s">
        <v>74</v>
      </c>
      <c r="I4" s="12" t="s">
        <v>72</v>
      </c>
    </row>
    <row r="5" spans="1:9">
      <c r="I5" s="12"/>
    </row>
    <row r="6" spans="1:9">
      <c r="I6" s="12"/>
    </row>
    <row r="8" spans="1:9">
      <c r="B8" s="69" t="s">
        <v>149</v>
      </c>
      <c r="C8" s="69"/>
      <c r="D8" s="69"/>
      <c r="E8" s="69"/>
      <c r="F8" s="69"/>
      <c r="G8" s="69"/>
    </row>
    <row r="9" spans="1:9">
      <c r="B9" s="69" t="s">
        <v>150</v>
      </c>
      <c r="C9" s="69"/>
      <c r="D9" s="69"/>
      <c r="E9" s="69"/>
      <c r="F9" s="69"/>
      <c r="G9" s="69"/>
    </row>
    <row r="10" spans="1:9">
      <c r="B10" s="69" t="s">
        <v>151</v>
      </c>
      <c r="C10" s="69"/>
      <c r="D10" s="69"/>
      <c r="E10" s="69"/>
      <c r="F10" s="69"/>
      <c r="G10" s="69"/>
    </row>
    <row r="11" spans="1:9">
      <c r="B11" s="70"/>
      <c r="C11" s="70"/>
      <c r="D11" s="70"/>
      <c r="E11" s="70"/>
      <c r="F11" s="70"/>
      <c r="G11" s="70"/>
    </row>
    <row r="12" spans="1:9">
      <c r="B12" s="54"/>
      <c r="C12" s="47"/>
      <c r="D12" s="47"/>
      <c r="E12" s="47"/>
      <c r="F12" s="47"/>
      <c r="G12" s="47"/>
    </row>
    <row r="13" spans="1:9">
      <c r="B13" s="46"/>
      <c r="C13" s="46"/>
      <c r="D13" s="46"/>
      <c r="E13" s="47"/>
      <c r="F13" s="48"/>
      <c r="G13" s="47"/>
    </row>
    <row r="14" spans="1:9">
      <c r="B14" s="46"/>
      <c r="C14" s="47" t="s">
        <v>152</v>
      </c>
      <c r="D14" s="47"/>
      <c r="E14" s="47" t="s">
        <v>152</v>
      </c>
      <c r="F14" s="47"/>
      <c r="G14" s="47" t="s">
        <v>153</v>
      </c>
    </row>
    <row r="15" spans="1:9">
      <c r="B15" s="46"/>
      <c r="C15" s="57" t="s">
        <v>154</v>
      </c>
      <c r="D15" s="57"/>
      <c r="E15" s="57" t="s">
        <v>155</v>
      </c>
      <c r="F15" s="57" t="s">
        <v>156</v>
      </c>
      <c r="G15" s="57" t="s">
        <v>156</v>
      </c>
    </row>
    <row r="16" spans="1:9">
      <c r="B16" s="46"/>
      <c r="C16" s="46"/>
      <c r="D16" s="46"/>
      <c r="E16" s="62"/>
      <c r="F16" s="58"/>
      <c r="G16" s="46"/>
    </row>
    <row r="17" spans="2:7">
      <c r="B17" s="46"/>
      <c r="C17" s="49" t="s">
        <v>157</v>
      </c>
      <c r="D17" s="50"/>
      <c r="E17" s="63">
        <f>100%-E19</f>
        <v>0.51500000000000001</v>
      </c>
      <c r="F17" s="59">
        <v>5.62E-2</v>
      </c>
      <c r="G17" s="60">
        <f>ROUND(E17*F17,4)</f>
        <v>2.8899999999999999E-2</v>
      </c>
    </row>
    <row r="18" spans="2:7">
      <c r="B18" s="46"/>
      <c r="C18" s="49"/>
      <c r="D18" s="51"/>
      <c r="E18" s="63"/>
      <c r="F18" s="60"/>
      <c r="G18" s="60"/>
    </row>
    <row r="19" spans="2:7">
      <c r="B19" s="46"/>
      <c r="C19" s="49" t="s">
        <v>158</v>
      </c>
      <c r="D19" s="51"/>
      <c r="E19" s="63">
        <v>0.48499999999999999</v>
      </c>
      <c r="F19" s="60">
        <v>0.09</v>
      </c>
      <c r="G19" s="60">
        <f>ROUND(E19*F19,4)</f>
        <v>4.3700000000000003E-2</v>
      </c>
    </row>
    <row r="20" spans="2:7">
      <c r="B20" s="46"/>
      <c r="C20" s="49"/>
      <c r="D20" s="51"/>
      <c r="E20" s="64"/>
      <c r="F20" s="61"/>
      <c r="G20" s="60"/>
    </row>
    <row r="21" spans="2:7">
      <c r="B21" s="46"/>
      <c r="C21" s="49" t="s">
        <v>159</v>
      </c>
      <c r="D21" s="50"/>
      <c r="E21" s="60">
        <f>SUM(E17:E19)</f>
        <v>1</v>
      </c>
      <c r="F21" s="53"/>
      <c r="G21" s="60">
        <f>SUM(G17:G19)</f>
        <v>7.2599999999999998E-2</v>
      </c>
    </row>
    <row r="22" spans="2:7">
      <c r="B22" s="46"/>
      <c r="C22" s="49"/>
      <c r="D22" s="51"/>
      <c r="E22" s="52"/>
      <c r="F22" s="55"/>
      <c r="G22" s="52"/>
    </row>
    <row r="23" spans="2:7">
      <c r="B23" s="46"/>
      <c r="C23" s="49"/>
      <c r="D23" s="51"/>
      <c r="E23" s="52"/>
      <c r="F23" s="55"/>
      <c r="G23" s="52"/>
    </row>
    <row r="24" spans="2:7">
      <c r="B24" s="46"/>
      <c r="C24" s="49"/>
      <c r="D24" s="51"/>
      <c r="E24" s="52"/>
      <c r="F24" s="55"/>
      <c r="G24" s="52"/>
    </row>
    <row r="26" spans="2:7">
      <c r="B26" s="69" t="s">
        <v>160</v>
      </c>
      <c r="C26" s="69"/>
      <c r="D26" s="69"/>
      <c r="E26" s="69"/>
      <c r="F26" s="69"/>
      <c r="G26" s="69"/>
    </row>
    <row r="27" spans="2:7">
      <c r="B27" s="69" t="s">
        <v>150</v>
      </c>
      <c r="C27" s="69"/>
      <c r="D27" s="69"/>
      <c r="E27" s="69"/>
      <c r="F27" s="69"/>
      <c r="G27" s="69"/>
    </row>
    <row r="28" spans="2:7">
      <c r="B28" s="69" t="s">
        <v>151</v>
      </c>
      <c r="C28" s="69"/>
      <c r="D28" s="69"/>
      <c r="E28" s="69"/>
      <c r="F28" s="69"/>
      <c r="G28" s="69"/>
    </row>
    <row r="29" spans="2:7">
      <c r="B29" s="70"/>
      <c r="C29" s="70"/>
      <c r="D29" s="70"/>
      <c r="E29" s="70"/>
      <c r="F29" s="70"/>
      <c r="G29" s="70"/>
    </row>
    <row r="30" spans="2:7">
      <c r="B30" s="54"/>
      <c r="C30" s="47"/>
      <c r="D30" s="47"/>
      <c r="E30" s="47"/>
      <c r="F30" s="47"/>
      <c r="G30" s="47"/>
    </row>
    <row r="31" spans="2:7">
      <c r="B31" s="46"/>
      <c r="C31" s="46"/>
      <c r="D31" s="46"/>
      <c r="E31" s="47"/>
      <c r="F31" s="48"/>
      <c r="G31" s="47"/>
    </row>
    <row r="32" spans="2:7">
      <c r="B32" s="46"/>
      <c r="C32" s="47" t="s">
        <v>152</v>
      </c>
      <c r="D32" s="47"/>
      <c r="E32" s="47" t="s">
        <v>152</v>
      </c>
      <c r="F32" s="47"/>
      <c r="G32" s="47" t="s">
        <v>153</v>
      </c>
    </row>
    <row r="33" spans="2:7">
      <c r="B33" s="46"/>
      <c r="C33" s="57" t="s">
        <v>154</v>
      </c>
      <c r="D33" s="57"/>
      <c r="E33" s="57" t="s">
        <v>155</v>
      </c>
      <c r="F33" s="57" t="s">
        <v>156</v>
      </c>
      <c r="G33" s="57" t="s">
        <v>156</v>
      </c>
    </row>
    <row r="34" spans="2:7">
      <c r="B34" s="46"/>
      <c r="C34" s="46"/>
      <c r="D34" s="46"/>
      <c r="E34" s="62"/>
      <c r="F34" s="48"/>
      <c r="G34" s="46"/>
    </row>
    <row r="35" spans="2:7">
      <c r="B35" s="46"/>
      <c r="C35" s="49" t="s">
        <v>157</v>
      </c>
      <c r="D35" s="50"/>
      <c r="E35" s="63">
        <f>100%-E37</f>
        <v>0.51500000000000001</v>
      </c>
      <c r="F35" s="59">
        <v>5.62E-2</v>
      </c>
      <c r="G35" s="60">
        <f>ROUND(E35*F35,4)</f>
        <v>2.8899999999999999E-2</v>
      </c>
    </row>
    <row r="36" spans="2:7">
      <c r="B36" s="46"/>
      <c r="C36" s="49"/>
      <c r="D36" s="51"/>
      <c r="E36" s="63"/>
      <c r="F36" s="60"/>
      <c r="G36" s="60"/>
    </row>
    <row r="37" spans="2:7">
      <c r="B37" s="46"/>
      <c r="C37" s="49" t="s">
        <v>158</v>
      </c>
      <c r="D37" s="51"/>
      <c r="E37" s="63">
        <v>0.48499999999999999</v>
      </c>
      <c r="F37" s="60">
        <v>0.09</v>
      </c>
      <c r="G37" s="60">
        <f>ROUND(E37*F37,4)</f>
        <v>4.3700000000000003E-2</v>
      </c>
    </row>
    <row r="38" spans="2:7">
      <c r="B38" s="46"/>
      <c r="C38" s="49"/>
      <c r="D38" s="51"/>
      <c r="E38" s="64"/>
      <c r="F38" s="61"/>
      <c r="G38" s="60"/>
    </row>
    <row r="39" spans="2:7">
      <c r="B39" s="46"/>
      <c r="C39" s="49" t="s">
        <v>159</v>
      </c>
      <c r="D39" s="50"/>
      <c r="E39" s="60">
        <f>SUM(E35:E37)</f>
        <v>1</v>
      </c>
      <c r="F39" s="53"/>
      <c r="G39" s="60">
        <f>SUM(G35:G37)</f>
        <v>7.2599999999999998E-2</v>
      </c>
    </row>
  </sheetData>
  <mergeCells count="8">
    <mergeCell ref="B28:G28"/>
    <mergeCell ref="B29:G29"/>
    <mergeCell ref="B8:G8"/>
    <mergeCell ref="B9:G9"/>
    <mergeCell ref="B10:G10"/>
    <mergeCell ref="B11:G11"/>
    <mergeCell ref="B26:G26"/>
    <mergeCell ref="B27:G2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2017-10-27T07:00:00+00:00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0186EB3-48C9-41FB-889F-F92AC364B563}"/>
</file>

<file path=customXml/itemProps2.xml><?xml version="1.0" encoding="utf-8"?>
<ds:datastoreItem xmlns:ds="http://schemas.openxmlformats.org/officeDocument/2006/customXml" ds:itemID="{3B8860A5-6BAF-44D5-A1C7-0B49B0FF2557}"/>
</file>

<file path=customXml/itemProps3.xml><?xml version="1.0" encoding="utf-8"?>
<ds:datastoreItem xmlns:ds="http://schemas.openxmlformats.org/officeDocument/2006/customXml" ds:itemID="{12FEF8E2-1BFE-4430-93A9-E8D913643CC4}"/>
</file>

<file path=customXml/itemProps4.xml><?xml version="1.0" encoding="utf-8"?>
<ds:datastoreItem xmlns:ds="http://schemas.openxmlformats.org/officeDocument/2006/customXml" ds:itemID="{629C7963-726F-4C7E-82A7-BEC7BC71CD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RevReq</vt:lpstr>
      <vt:lpstr>Summary</vt:lpstr>
      <vt:lpstr>Labor</vt:lpstr>
      <vt:lpstr>PropTax</vt:lpstr>
      <vt:lpstr>Director Fees</vt:lpstr>
      <vt:lpstr>Power Cost </vt:lpstr>
      <vt:lpstr>Cost of Capital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Mak, Chanda (ATG)</cp:lastModifiedBy>
  <cp:lastPrinted>2017-10-27T15:36:54Z</cp:lastPrinted>
  <dcterms:created xsi:type="dcterms:W3CDTF">2015-07-06T17:53:07Z</dcterms:created>
  <dcterms:modified xsi:type="dcterms:W3CDTF">2017-10-27T15:37:10Z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0x0101006E56B4D1795A2E4DB2F0B01679ED314A004293D7BF2DB2434CBA4573E3DBB11230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