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OthRCF">'[1]INPUTS'!$F$46</definedName>
    <definedName name="ResRCF">'[1]INPUTS'!$F$44</definedName>
    <definedName name="ROR">'[1]INPUTS'!$F$29</definedName>
    <definedName name="SBRCF">'[1]INPUTS'!$F$45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<sst xmlns="http://schemas.openxmlformats.org/spreadsheetml/2006/main" count="62" uniqueCount="57">
  <si>
    <t>Puget Sound Energy</t>
  </si>
  <si>
    <t>ELECTRIC COST OF SERVICE SUMMARY</t>
  </si>
  <si>
    <t xml:space="preserve">ICNU Study for Deriving Cost-Based Transportation Rates </t>
  </si>
  <si>
    <t>Line No.</t>
  </si>
  <si>
    <t>Description</t>
  </si>
  <si>
    <t>Total Company</t>
  </si>
  <si>
    <t>(a)</t>
  </si>
  <si>
    <t>(b)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</si>
  <si>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</si>
  <si>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</si>
  <si>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</si>
  <si>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</si>
  <si>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</si>
  <si>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</si>
  <si>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</si>
  <si>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</si>
  <si>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</si>
  <si>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</si>
  <si>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</si>
  <si>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</si>
  <si>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</si>
  <si>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</si>
  <si>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Rate Base</t>
  </si>
  <si>
    <t>Plant in Service</t>
  </si>
  <si>
    <t>Accumulated Reserve</t>
  </si>
  <si>
    <t>Construction Work in Progress</t>
  </si>
  <si>
    <t>Working Capital Assets</t>
  </si>
  <si>
    <t>Other Items</t>
  </si>
  <si>
    <t>TOTAL RATE BASE</t>
  </si>
  <si>
    <t>Revenue</t>
  </si>
  <si>
    <t>Firm Sales</t>
  </si>
  <si>
    <t>Non-Firm Sales</t>
  </si>
  <si>
    <t>Other Operating Revenue</t>
  </si>
  <si>
    <t>TOTAL REVENUE</t>
  </si>
  <si>
    <t>Expense</t>
  </si>
  <si>
    <t>Operation and Maintenance</t>
  </si>
  <si>
    <t>Depreciation Expense</t>
  </si>
  <si>
    <t>Taxes Other Than Income</t>
  </si>
  <si>
    <t>Income Taxes</t>
  </si>
  <si>
    <t>TOTAL EXPENSES</t>
  </si>
  <si>
    <t>Operating Income</t>
  </si>
  <si>
    <t>Present Rate of Return</t>
  </si>
  <si>
    <t>Cost of Service</t>
  </si>
  <si>
    <t>Required Return</t>
  </si>
  <si>
    <t>Required Operating Income</t>
  </si>
  <si>
    <t>Operating Income Deficiency</t>
  </si>
  <si>
    <t>Revenue Conversion Factor</t>
  </si>
  <si>
    <t>Revenue Deficiency</t>
  </si>
  <si>
    <t>Revenue Requirement</t>
  </si>
  <si>
    <t>Revenues Other Than Rate Sch. Rev.</t>
  </si>
  <si>
    <t>Rate Schedule Revenue Requirement</t>
  </si>
  <si>
    <t>Percentage Increase</t>
  </si>
  <si>
    <t>Proposed Revenue Requirement</t>
  </si>
  <si>
    <t>Proposed Rate of Return</t>
  </si>
  <si>
    <t>Proposed Operating Income</t>
  </si>
  <si>
    <t>Revenue to Revenue Requirement</t>
  </si>
  <si>
    <t>Adjusted Revenue to Revenue Requirement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</si>
</sst>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0.0000%"/>
    <numFmt numFmtId="167" formatCode="_(* #,##0.0000_);_(* \(#,##0.0000\);_(* &quot;-&quot;??_);_(@_)"/>
  </numFmts>
  <fonts count="8">
    <font>
      <sz val="10"/>
      <name val="Arial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12"/>
      <color indexed="5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165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2" borderId="0">
      <alignment/>
      <protection/>
    </xf>
    <xf numFmtId="42" fontId="0" fillId="2" borderId="1">
      <alignment vertical="center"/>
      <protection/>
    </xf>
    <xf numFmtId="0" fontId="2" fillId="2" borderId="2" applyNumberFormat="0">
      <alignment horizontal="center" vertical="center" wrapText="1"/>
      <protection/>
    </xf>
    <xf numFmtId="42" fontId="0" fillId="2" borderId="3">
      <alignment horizontal="left"/>
      <protection/>
    </xf>
    <xf numFmtId="164" fontId="1" fillId="2" borderId="0">
      <alignment horizontal="left" vertical="center"/>
      <protection/>
    </xf>
    <xf numFmtId="0" fontId="2" fillId="2" borderId="0">
      <alignment horizontal="left" wrapText="1"/>
      <protection/>
    </xf>
  </cellStyleXfs>
  <cellXfs count="39">
    <xf numFmtId="0" fontId="0" fillId="0" borderId="0" xfId="0" applyAlignment="1">
      <alignment/>
    </xf>
    <xf numFmtId="164" fontId="1" fillId="0" borderId="0" xfId="24" applyFill="1" applyAlignment="1">
      <alignment horizontal="centerContinuous" vertical="center"/>
      <protection/>
    </xf>
    <xf numFmtId="164" fontId="1" fillId="0" borderId="0" xfId="24" applyFill="1">
      <alignment horizontal="left" vertical="center"/>
      <protection/>
    </xf>
    <xf numFmtId="0" fontId="0" fillId="0" borderId="0" xfId="0" applyFill="1" applyAlignment="1">
      <alignment/>
    </xf>
    <xf numFmtId="0" fontId="2" fillId="0" borderId="0" xfId="25" applyFill="1">
      <alignment horizontal="left" wrapText="1"/>
      <protection/>
    </xf>
    <xf numFmtId="0" fontId="2" fillId="0" borderId="2" xfId="22" applyFont="1" applyFill="1">
      <alignment horizontal="center" vertical="center" wrapText="1"/>
      <protection/>
    </xf>
    <xf numFmtId="0" fontId="2" fillId="0" borderId="2" xfId="22" applyFill="1">
      <alignment horizontal="center" vertical="center" wrapText="1"/>
      <protection/>
    </xf>
    <xf numFmtId="41" fontId="2" fillId="0" borderId="2" xfId="22" applyNumberFormat="1" applyFill="1">
      <alignment horizontal="center" vertical="center" wrapText="1"/>
      <protection/>
    </xf>
    <xf numFmtId="41" fontId="2" fillId="0" borderId="0" xfId="25" applyNumberFormat="1" applyFill="1">
      <alignment horizontal="left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2" fillId="0" borderId="0" xfId="0" applyFont="1" applyFill="1" applyAlignment="1">
      <alignment/>
    </xf>
    <xf numFmtId="42" fontId="0" fillId="0" borderId="0" xfId="20" applyFont="1" applyFill="1">
      <alignment/>
      <protection/>
    </xf>
    <xf numFmtId="42" fontId="0" fillId="0" borderId="0" xfId="20" applyFill="1">
      <alignment/>
      <protection/>
    </xf>
    <xf numFmtId="42" fontId="0" fillId="0" borderId="1" xfId="21" applyFont="1" applyFill="1">
      <alignment vertical="center"/>
      <protection/>
    </xf>
    <xf numFmtId="42" fontId="0" fillId="0" borderId="1" xfId="21" applyFill="1">
      <alignment vertical="center"/>
      <protection/>
    </xf>
    <xf numFmtId="0" fontId="2" fillId="0" borderId="0" xfId="25" applyFont="1" applyFill="1">
      <alignment horizontal="left" wrapText="1"/>
      <protection/>
    </xf>
    <xf numFmtId="42" fontId="0" fillId="0" borderId="0" xfId="0" applyNumberFormat="1" applyFill="1" applyAlignment="1">
      <alignment/>
    </xf>
    <xf numFmtId="42" fontId="0" fillId="0" borderId="0" xfId="20" applyFill="1" applyAlignment="1">
      <alignment horizontal="left"/>
      <protection/>
    </xf>
    <xf numFmtId="42" fontId="0" fillId="0" borderId="0" xfId="20" applyFill="1" applyAlignment="1" quotePrefix="1">
      <alignment horizontal="left"/>
      <protection/>
    </xf>
    <xf numFmtId="0" fontId="0" fillId="0" borderId="0" xfId="0" applyFont="1" applyFill="1" applyAlignment="1">
      <alignment/>
    </xf>
    <xf numFmtId="42" fontId="0" fillId="0" borderId="1" xfId="23" applyFont="1" applyFill="1" applyBorder="1">
      <alignment horizontal="left"/>
      <protection/>
    </xf>
    <xf numFmtId="42" fontId="0" fillId="0" borderId="1" xfId="20" applyFont="1" applyFill="1" applyBorder="1">
      <alignment/>
      <protection/>
    </xf>
    <xf numFmtId="166" fontId="0" fillId="0" borderId="1" xfId="19" applyNumberFormat="1" applyFill="1" applyBorder="1" applyAlignment="1">
      <alignment/>
    </xf>
    <xf numFmtId="166" fontId="0" fillId="0" borderId="0" xfId="19" applyNumberFormat="1" applyFill="1" applyBorder="1" applyAlignment="1">
      <alignment/>
    </xf>
    <xf numFmtId="0" fontId="2" fillId="0" borderId="0" xfId="25" applyFont="1" applyFill="1" applyAlignment="1" quotePrefix="1">
      <alignment horizontal="left"/>
      <protection/>
    </xf>
    <xf numFmtId="167" fontId="0" fillId="0" borderId="0" xfId="15" applyNumberFormat="1" applyFill="1" applyAlignment="1">
      <alignment/>
    </xf>
    <xf numFmtId="10" fontId="3" fillId="0" borderId="0" xfId="19" applyNumberFormat="1" applyFont="1" applyFill="1" applyBorder="1" applyAlignment="1">
      <alignment/>
    </xf>
    <xf numFmtId="42" fontId="0" fillId="0" borderId="1" xfId="0" applyNumberFormat="1" applyFill="1" applyBorder="1" applyAlignment="1">
      <alignment/>
    </xf>
    <xf numFmtId="43" fontId="0" fillId="0" borderId="0" xfId="15" applyFill="1" applyAlignment="1">
      <alignment/>
    </xf>
    <xf numFmtId="39" fontId="0" fillId="0" borderId="0" xfId="0" applyNumberFormat="1" applyFill="1" applyAlignment="1">
      <alignment/>
    </xf>
    <xf numFmtId="43" fontId="0" fillId="0" borderId="1" xfId="15" applyFill="1" applyBorder="1" applyAlignment="1">
      <alignment/>
    </xf>
    <xf numFmtId="164" fontId="4" fillId="0" borderId="0" xfId="24" applyFont="1" applyFill="1" applyAlignment="1">
      <alignment horizontal="centerContinuous" vertical="center"/>
      <protection/>
    </xf>
    <xf numFmtId="0" fontId="5" fillId="0" borderId="0" xfId="25" applyFont="1" applyFill="1" applyAlignment="1">
      <alignment horizontal="left"/>
      <protection/>
    </xf>
    <xf numFmtId="0" fontId="0" fillId="0" borderId="2" xfId="22" applyFont="1" applyFill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25" applyFont="1" applyFill="1" applyAlignment="1">
      <alignment horizontal="center" wrapText="1"/>
      <protection/>
    </xf>
    <xf numFmtId="0" fontId="0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port" xfId="20"/>
    <cellStyle name="Report Bar" xfId="21"/>
    <cellStyle name="Report Heading" xfId="22"/>
    <cellStyle name="Reports Total" xfId="23"/>
    <cellStyle name="Title: Major" xfId="24"/>
    <cellStyle name="Title: Minor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as.DVC\Local%20Settings\Temporary%20Internet%20Files\OLKD3\RCS%20(C)_COS%20Model%20557%20on%20PC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OH"/>
      <sheetName val="Sch 40 Substation O&amp;M"/>
      <sheetName val="Sch 40 Substation A&amp;G"/>
      <sheetName val="Account Summary"/>
      <sheetName val="BC detail"/>
      <sheetName val="Salary &amp; Wage Summary"/>
    </sheetNames>
    <sheetDataSet>
      <sheetData sheetId="1">
        <row r="5">
          <cell r="B5" t="str">
            <v>Historic Test Year Twelve Months ended September 2007</v>
          </cell>
        </row>
        <row r="6">
          <cell r="B6" t="str">
            <v>Adjusted Test Year Twelve Months ended September 2007 @ Proforma Rev Requirement</v>
          </cell>
        </row>
        <row r="7">
          <cell r="B7" t="str">
            <v>Adjusted Test Year Twelve Months ended September 2007 with proposed rate increase</v>
          </cell>
        </row>
        <row r="8">
          <cell r="B8" t="str">
            <v>Reserved 1</v>
          </cell>
        </row>
        <row r="9">
          <cell r="B9" t="str">
            <v>Reserved 2</v>
          </cell>
        </row>
        <row r="11">
          <cell r="C11">
            <v>2</v>
          </cell>
        </row>
        <row r="18">
          <cell r="C18" t="str">
            <v>Residential Sch 7</v>
          </cell>
        </row>
        <row r="19">
          <cell r="C19" t="str">
            <v>Sec Volt Sch 24 (kW&lt; 50)</v>
          </cell>
        </row>
        <row r="20">
          <cell r="C20" t="str">
            <v>Sec Volt Sch 25 (kW &gt; 50 &amp; &lt; 350)</v>
          </cell>
        </row>
        <row r="21">
          <cell r="C21" t="str">
            <v>Sec Volt Sch 26 (kW &gt; 350)</v>
          </cell>
        </row>
        <row r="22">
          <cell r="C22" t="str">
            <v>Pri Volt Sch 31 (General Service)</v>
          </cell>
        </row>
        <row r="23">
          <cell r="C23" t="str">
            <v>Pri Volt Sch 35 (Irrigation)</v>
          </cell>
        </row>
        <row r="24">
          <cell r="B24" t="str">
            <v>Pri Svc 43</v>
          </cell>
        </row>
        <row r="25">
          <cell r="B25" t="str">
            <v>Campus 40</v>
          </cell>
        </row>
        <row r="26">
          <cell r="B26" t="str">
            <v>High Volt 46/49</v>
          </cell>
        </row>
        <row r="27">
          <cell r="B27" t="str">
            <v>Transp PV 449</v>
          </cell>
        </row>
        <row r="28">
          <cell r="B28" t="str">
            <v>Transp HV 449</v>
          </cell>
        </row>
        <row r="29">
          <cell r="B29" t="str">
            <v>Lighting 50-59</v>
          </cell>
          <cell r="F29">
            <v>0.086</v>
          </cell>
        </row>
        <row r="30">
          <cell r="B30" t="str">
            <v>Firm Resale Large</v>
          </cell>
        </row>
        <row r="31">
          <cell r="B31" t="str">
            <v>Firm Resale Small</v>
          </cell>
        </row>
        <row r="44">
          <cell r="F44">
            <v>0.6214308</v>
          </cell>
        </row>
        <row r="45">
          <cell r="F45">
            <v>0.6214308</v>
          </cell>
        </row>
        <row r="46">
          <cell r="F46">
            <v>0.6214308</v>
          </cell>
        </row>
      </sheetData>
      <sheetData sheetId="8">
        <row r="355">
          <cell r="F355">
            <v>5928418660</v>
          </cell>
          <cell r="H355">
            <v>3532903300.4314237</v>
          </cell>
          <cell r="I355">
            <v>711834459.5155382</v>
          </cell>
          <cell r="J355">
            <v>682454398.5059664</v>
          </cell>
          <cell r="K355">
            <v>391519987.5323562</v>
          </cell>
          <cell r="L355">
            <v>269228423.98412216</v>
          </cell>
          <cell r="M355">
            <v>1777900.5956610525</v>
          </cell>
          <cell r="N355">
            <v>49078205.32347032</v>
          </cell>
          <cell r="O355">
            <v>98264545.13301906</v>
          </cell>
          <cell r="P355">
            <v>79101563.61435284</v>
          </cell>
          <cell r="Q355">
            <v>3364507.6950385384</v>
          </cell>
          <cell r="R355">
            <v>47658269.1293087</v>
          </cell>
          <cell r="S355">
            <v>55464288.790726125</v>
          </cell>
          <cell r="T355">
            <v>3738725.107553303</v>
          </cell>
          <cell r="U355">
            <v>2030084.6414632683</v>
          </cell>
        </row>
        <row r="531">
          <cell r="F531">
            <v>-2453151915.5975246</v>
          </cell>
          <cell r="H531">
            <v>-1458175386.8482525</v>
          </cell>
          <cell r="I531">
            <v>-291899183.3780798</v>
          </cell>
          <cell r="J531">
            <v>-281997354.3705694</v>
          </cell>
          <cell r="K531">
            <v>-164101207.29038998</v>
          </cell>
          <cell r="L531">
            <v>-112664857.54259752</v>
          </cell>
          <cell r="M531">
            <v>-717353.7434754383</v>
          </cell>
          <cell r="N531">
            <v>-19344043.923572928</v>
          </cell>
          <cell r="O531">
            <v>-41401097.59451179</v>
          </cell>
          <cell r="P531">
            <v>-34212545.944334716</v>
          </cell>
          <cell r="Q531">
            <v>-1250987.8806090124</v>
          </cell>
          <cell r="R531">
            <v>-18484199.104246207</v>
          </cell>
          <cell r="S531">
            <v>-26655414.38742041</v>
          </cell>
          <cell r="T531">
            <v>-1407015.2636414112</v>
          </cell>
          <cell r="U531">
            <v>-841268.3258240761</v>
          </cell>
        </row>
        <row r="707">
          <cell r="F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</row>
        <row r="883">
          <cell r="F883">
            <v>95493208.99999997</v>
          </cell>
          <cell r="H883">
            <v>56906958.26210218</v>
          </cell>
          <cell r="I883">
            <v>11466018.294989865</v>
          </cell>
          <cell r="J883">
            <v>10992772.98838735</v>
          </cell>
          <cell r="K883">
            <v>6306487.807509983</v>
          </cell>
          <cell r="L883">
            <v>4336651.581934057</v>
          </cell>
          <cell r="M883">
            <v>28637.895347742753</v>
          </cell>
          <cell r="N883">
            <v>790537.1713911756</v>
          </cell>
          <cell r="O883">
            <v>1582816.1410040024</v>
          </cell>
          <cell r="P883">
            <v>1274144.5197549846</v>
          </cell>
          <cell r="Q883">
            <v>54194.49180811116</v>
          </cell>
          <cell r="R883">
            <v>767665.260426011</v>
          </cell>
          <cell r="S883">
            <v>893402.309331704</v>
          </cell>
          <cell r="T883">
            <v>60222.27487036736</v>
          </cell>
          <cell r="U883">
            <v>32700.001142453373</v>
          </cell>
        </row>
        <row r="1059">
          <cell r="F1059">
            <v>-265661305.99999988</v>
          </cell>
          <cell r="H1059">
            <v>-186285548.7113277</v>
          </cell>
          <cell r="I1059">
            <v>-30813902.503535554</v>
          </cell>
          <cell r="J1059">
            <v>-20356569.658507753</v>
          </cell>
          <cell r="K1059">
            <v>-9947717.08294784</v>
          </cell>
          <cell r="L1059">
            <v>-7097312.289128392</v>
          </cell>
          <cell r="M1059">
            <v>-76093.70982335751</v>
          </cell>
          <cell r="N1059">
            <v>-1954287.0785182142</v>
          </cell>
          <cell r="O1059">
            <v>-2108890.1980072595</v>
          </cell>
          <cell r="P1059">
            <v>-1384100.563465085</v>
          </cell>
          <cell r="Q1059">
            <v>-187244.79817518164</v>
          </cell>
          <cell r="R1059">
            <v>-2666466.7089718096</v>
          </cell>
          <cell r="S1059">
            <v>-2509688.0895797275</v>
          </cell>
          <cell r="T1059">
            <v>-209002.2711819684</v>
          </cell>
          <cell r="U1059">
            <v>-64482.336830044456</v>
          </cell>
        </row>
        <row r="1235">
          <cell r="F1235">
            <v>1304026881.4000003</v>
          </cell>
          <cell r="H1235">
            <v>717530446.2478478</v>
          </cell>
          <cell r="I1235">
            <v>158436969.38267115</v>
          </cell>
          <cell r="J1235">
            <v>169145342.32332045</v>
          </cell>
          <cell r="K1235">
            <v>109631137.60936488</v>
          </cell>
          <cell r="L1235">
            <v>71879782.96391043</v>
          </cell>
          <cell r="M1235">
            <v>261081.7785537491</v>
          </cell>
          <cell r="N1235">
            <v>7977622.830554724</v>
          </cell>
          <cell r="O1235">
            <v>29748398.269230183</v>
          </cell>
          <cell r="P1235">
            <v>26321351.31656948</v>
          </cell>
          <cell r="Q1235">
            <v>80380.24253626887</v>
          </cell>
          <cell r="R1235">
            <v>3100031.440348769</v>
          </cell>
          <cell r="S1235">
            <v>9313488.578168798</v>
          </cell>
          <cell r="T1235">
            <v>137620.87982484535</v>
          </cell>
          <cell r="U1235">
            <v>463227.5370986017</v>
          </cell>
        </row>
        <row r="1411">
          <cell r="F1411">
            <v>233507010.99143004</v>
          </cell>
          <cell r="H1411">
            <v>141726505.65871412</v>
          </cell>
          <cell r="I1411">
            <v>28326096.87939067</v>
          </cell>
          <cell r="J1411">
            <v>26011495.45817145</v>
          </cell>
          <cell r="K1411">
            <v>14568603.81649109</v>
          </cell>
          <cell r="L1411">
            <v>10134607.677750582</v>
          </cell>
          <cell r="M1411">
            <v>72618.16339660475</v>
          </cell>
          <cell r="N1411">
            <v>1980741.4650193</v>
          </cell>
          <cell r="O1411">
            <v>3637373.3770933263</v>
          </cell>
          <cell r="P1411">
            <v>2856247.9488091287</v>
          </cell>
          <cell r="Q1411">
            <v>111164.84784649548</v>
          </cell>
          <cell r="R1411">
            <v>1474227.292214257</v>
          </cell>
          <cell r="S1411">
            <v>2410078.7418320496</v>
          </cell>
          <cell r="T1411">
            <v>118365.00542688789</v>
          </cell>
          <cell r="U1411">
            <v>78884.65927408877</v>
          </cell>
        </row>
        <row r="1587">
          <cell r="F1587">
            <v>116380828.99999997</v>
          </cell>
          <cell r="H1587">
            <v>67101287.96399248</v>
          </cell>
          <cell r="I1587">
            <v>14122389.335357316</v>
          </cell>
          <cell r="J1587">
            <v>14088959.936208986</v>
          </cell>
          <cell r="K1587">
            <v>8567296.365711423</v>
          </cell>
          <cell r="L1587">
            <v>5755103.333666462</v>
          </cell>
          <cell r="M1587">
            <v>29723.165707850876</v>
          </cell>
          <cell r="N1587">
            <v>854183.7826834256</v>
          </cell>
          <cell r="O1587">
            <v>2248031.061100853</v>
          </cell>
          <cell r="P1587">
            <v>1897400.353307126</v>
          </cell>
          <cell r="Q1587">
            <v>38372.72647667207</v>
          </cell>
          <cell r="R1587">
            <v>609379.7495679742</v>
          </cell>
          <cell r="S1587">
            <v>984401.7687350751</v>
          </cell>
          <cell r="T1587">
            <v>43966.19474932537</v>
          </cell>
          <cell r="U1587">
            <v>40333.26273502647</v>
          </cell>
        </row>
        <row r="1764">
          <cell r="F1764">
            <v>51973585</v>
          </cell>
          <cell r="H1764">
            <v>30591152.99933813</v>
          </cell>
          <cell r="I1764">
            <v>6299346.8835516805</v>
          </cell>
          <cell r="J1764">
            <v>6150048.851351986</v>
          </cell>
          <cell r="K1764">
            <v>3518963.518801863</v>
          </cell>
          <cell r="L1764">
            <v>2418592.9823040403</v>
          </cell>
          <cell r="M1764">
            <v>15931.135127400927</v>
          </cell>
          <cell r="N1764">
            <v>449277.5764413225</v>
          </cell>
          <cell r="O1764">
            <v>885920.688515272</v>
          </cell>
          <cell r="P1764">
            <v>704163.0565200344</v>
          </cell>
          <cell r="Q1764">
            <v>31143.4275639815</v>
          </cell>
          <cell r="R1764">
            <v>428911.097970866</v>
          </cell>
          <cell r="S1764">
            <v>427610.93296905153</v>
          </cell>
          <cell r="T1764">
            <v>34327.172071688816</v>
          </cell>
          <cell r="U1764">
            <v>18194.677472687228</v>
          </cell>
        </row>
        <row r="1766">
          <cell r="F1766">
            <v>1821740023</v>
          </cell>
          <cell r="H1766">
            <v>980974299.461518</v>
          </cell>
          <cell r="I1766">
            <v>224604545.87670878</v>
          </cell>
          <cell r="J1766">
            <v>259853387.85735977</v>
          </cell>
          <cell r="K1766">
            <v>158401793.9130492</v>
          </cell>
          <cell r="L1766">
            <v>98820700.94575478</v>
          </cell>
          <cell r="M1766">
            <v>245244.99986537872</v>
          </cell>
          <cell r="N1766">
            <v>12816687.99296459</v>
          </cell>
          <cell r="O1766">
            <v>38799980.978701696</v>
          </cell>
          <cell r="P1766">
            <v>31773066.982558947</v>
          </cell>
          <cell r="Q1766">
            <v>0</v>
          </cell>
          <cell r="R1766">
            <v>0</v>
          </cell>
          <cell r="S1766">
            <v>15450313.991518924</v>
          </cell>
          <cell r="T1766">
            <v>0</v>
          </cell>
          <cell r="U1766">
            <v>0</v>
          </cell>
        </row>
        <row r="1767">
          <cell r="F1767">
            <v>6435623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855623.0546496478</v>
          </cell>
          <cell r="R1767">
            <v>5579999.945350352</v>
          </cell>
          <cell r="S1767">
            <v>0</v>
          </cell>
          <cell r="T1767">
            <v>0</v>
          </cell>
          <cell r="U1767">
            <v>0</v>
          </cell>
        </row>
        <row r="1768">
          <cell r="F1768">
            <v>355704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355704</v>
          </cell>
        </row>
        <row r="1769">
          <cell r="F1769">
            <v>6354482</v>
          </cell>
          <cell r="H1769">
            <v>3116081</v>
          </cell>
          <cell r="I1769">
            <v>888233.9999999999</v>
          </cell>
          <cell r="J1769">
            <v>1047085</v>
          </cell>
          <cell r="K1769">
            <v>666299</v>
          </cell>
          <cell r="L1769">
            <v>407135</v>
          </cell>
          <cell r="M1769">
            <v>2180</v>
          </cell>
          <cell r="N1769">
            <v>32826</v>
          </cell>
          <cell r="O1769">
            <v>177079</v>
          </cell>
          <cell r="P1769">
            <v>122889.99999999999</v>
          </cell>
          <cell r="Q1769">
            <v>-5659</v>
          </cell>
          <cell r="R1769">
            <v>-99668.00000000001</v>
          </cell>
          <cell r="S1769">
            <v>0</v>
          </cell>
          <cell r="T1769">
            <v>0</v>
          </cell>
          <cell r="U1769">
            <v>0</v>
          </cell>
        </row>
        <row r="1770">
          <cell r="F1770">
            <v>2336798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-6286.0995695922675</v>
          </cell>
          <cell r="R1770">
            <v>2343084.099569592</v>
          </cell>
          <cell r="S1770">
            <v>0</v>
          </cell>
          <cell r="T1770">
            <v>0</v>
          </cell>
          <cell r="U1770">
            <v>0</v>
          </cell>
        </row>
        <row r="1771">
          <cell r="F1771">
            <v>786676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786676</v>
          </cell>
          <cell r="U1771">
            <v>0</v>
          </cell>
        </row>
        <row r="1772">
          <cell r="F1772">
            <v>2886365</v>
          </cell>
          <cell r="H1772">
            <v>2306882.3234975147</v>
          </cell>
          <cell r="I1772">
            <v>315955.9139008682</v>
          </cell>
          <cell r="J1772">
            <v>156742.84263945447</v>
          </cell>
          <cell r="K1772">
            <v>52836.530530545686</v>
          </cell>
          <cell r="L1772">
            <v>37027.00687240115</v>
          </cell>
          <cell r="M1772">
            <v>1.0635716704298908</v>
          </cell>
          <cell r="N1772">
            <v>1969.9537042741874</v>
          </cell>
          <cell r="O1772">
            <v>3469.078828091597</v>
          </cell>
          <cell r="P1772">
            <v>6180.571384466687</v>
          </cell>
          <cell r="Q1772">
            <v>0</v>
          </cell>
          <cell r="R1772">
            <v>2554.5323176007655</v>
          </cell>
          <cell r="S1772">
            <v>2745.182753111943</v>
          </cell>
          <cell r="T1772">
            <v>0</v>
          </cell>
          <cell r="U1772">
            <v>0</v>
          </cell>
        </row>
        <row r="1773">
          <cell r="F1773">
            <v>335677</v>
          </cell>
          <cell r="H1773">
            <v>299961.80787445814</v>
          </cell>
          <cell r="I1773">
            <v>33586.56128592069</v>
          </cell>
          <cell r="J1773">
            <v>1643.6263445175791</v>
          </cell>
          <cell r="K1773">
            <v>0</v>
          </cell>
          <cell r="L1773">
            <v>26.94469417241933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458.0598009311286</v>
          </cell>
          <cell r="T1773">
            <v>0</v>
          </cell>
          <cell r="U1773">
            <v>0</v>
          </cell>
        </row>
        <row r="1774">
          <cell r="F1774">
            <v>1054095</v>
          </cell>
          <cell r="H1774">
            <v>934611.835981135</v>
          </cell>
          <cell r="I1774">
            <v>110454.43928000816</v>
          </cell>
          <cell r="J1774">
            <v>8208.944905665456</v>
          </cell>
          <cell r="K1774">
            <v>773.1668884116458</v>
          </cell>
          <cell r="L1774">
            <v>0</v>
          </cell>
          <cell r="M1774">
            <v>0</v>
          </cell>
          <cell r="N1774">
            <v>0</v>
          </cell>
          <cell r="O1774">
            <v>46.61294477973225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</row>
        <row r="1775">
          <cell r="F1775">
            <v>299</v>
          </cell>
          <cell r="H1775">
            <v>26.228070175438596</v>
          </cell>
          <cell r="I1775">
            <v>26.228070175438596</v>
          </cell>
          <cell r="J1775">
            <v>246.54385964912282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</row>
        <row r="1776">
          <cell r="F1776">
            <v>1091204</v>
          </cell>
          <cell r="H1776">
            <v>1067434.3013730522</v>
          </cell>
          <cell r="I1776">
            <v>22625.691462919393</v>
          </cell>
          <cell r="J1776">
            <v>1030.1194553224684</v>
          </cell>
          <cell r="K1776">
            <v>0</v>
          </cell>
          <cell r="L1776">
            <v>37.9625695686567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75.9251391373134</v>
          </cell>
          <cell r="T1776">
            <v>0</v>
          </cell>
          <cell r="U1776">
            <v>0</v>
          </cell>
        </row>
        <row r="1777">
          <cell r="F1777">
            <v>803588</v>
          </cell>
          <cell r="H1777">
            <v>712500.1599024835</v>
          </cell>
          <cell r="I1777">
            <v>84204.80312698874</v>
          </cell>
          <cell r="J1777">
            <v>6258.0788437986075</v>
          </cell>
          <cell r="K1777">
            <v>589.4228067915489</v>
          </cell>
          <cell r="L1777">
            <v>0</v>
          </cell>
          <cell r="M1777">
            <v>0</v>
          </cell>
          <cell r="N1777">
            <v>0</v>
          </cell>
          <cell r="O1777">
            <v>35.53531993762942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</row>
        <row r="1778">
          <cell r="F1778">
            <v>7628</v>
          </cell>
          <cell r="H1778">
            <v>6226.997121032123</v>
          </cell>
          <cell r="I1778">
            <v>1340.5398563843219</v>
          </cell>
          <cell r="J1778">
            <v>60.463022583555635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</row>
        <row r="1779">
          <cell r="F1779">
            <v>1240167</v>
          </cell>
          <cell r="H1779">
            <v>1141099.1209102452</v>
          </cell>
          <cell r="I1779">
            <v>95158.50319245784</v>
          </cell>
          <cell r="J1779">
            <v>3479.5536995989764</v>
          </cell>
          <cell r="K1779">
            <v>365.26941846883074</v>
          </cell>
          <cell r="L1779">
            <v>57.10438162576881</v>
          </cell>
          <cell r="M1779">
            <v>0</v>
          </cell>
          <cell r="N1779">
            <v>0</v>
          </cell>
          <cell r="O1779">
            <v>7.448397603361149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0</v>
          </cell>
        </row>
        <row r="1780">
          <cell r="F1780">
            <v>190792</v>
          </cell>
          <cell r="H1780">
            <v>180833.534166909</v>
          </cell>
          <cell r="I1780">
            <v>9334.328002326258</v>
          </cell>
          <cell r="J1780">
            <v>402.22215760395466</v>
          </cell>
          <cell r="K1780">
            <v>27.73945914510032</v>
          </cell>
          <cell r="L1780">
            <v>41.60918871765048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27.73945914510032</v>
          </cell>
          <cell r="S1780">
            <v>124.82756615295145</v>
          </cell>
          <cell r="T1780">
            <v>0</v>
          </cell>
          <cell r="U1780">
            <v>0</v>
          </cell>
        </row>
        <row r="1781">
          <cell r="F1781">
            <v>9888851</v>
          </cell>
          <cell r="H1781">
            <v>8767935.706794817</v>
          </cell>
          <cell r="I1781">
            <v>1036213.52186335</v>
          </cell>
          <cell r="J1781">
            <v>77011.11668240032</v>
          </cell>
          <cell r="K1781">
            <v>7253.3615638404435</v>
          </cell>
          <cell r="L1781">
            <v>0</v>
          </cell>
          <cell r="M1781">
            <v>0</v>
          </cell>
          <cell r="N1781">
            <v>0</v>
          </cell>
          <cell r="O1781">
            <v>437.2930955919534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</row>
        <row r="1782">
          <cell r="F1782">
            <v>2624783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442555.4510262409</v>
          </cell>
          <cell r="M1782">
            <v>0</v>
          </cell>
          <cell r="N1782">
            <v>16099.307406552174</v>
          </cell>
          <cell r="O1782">
            <v>73797.84561914603</v>
          </cell>
          <cell r="P1782">
            <v>1069029.52047156</v>
          </cell>
          <cell r="Q1782">
            <v>0</v>
          </cell>
          <cell r="R1782">
            <v>1019808.1685901637</v>
          </cell>
          <cell r="S1782">
            <v>0</v>
          </cell>
          <cell r="T1782">
            <v>0</v>
          </cell>
          <cell r="U1782">
            <v>3492.706886337184</v>
          </cell>
        </row>
        <row r="1783">
          <cell r="F1783">
            <v>47934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47934</v>
          </cell>
          <cell r="T1783">
            <v>0</v>
          </cell>
          <cell r="U1783">
            <v>0</v>
          </cell>
        </row>
        <row r="1784">
          <cell r="F1784">
            <v>-733</v>
          </cell>
          <cell r="H1784">
            <v>-599.4783555106783</v>
          </cell>
          <cell r="I1784">
            <v>-90.62692233457942</v>
          </cell>
          <cell r="J1784">
            <v>-10.03444073482593</v>
          </cell>
          <cell r="K1784">
            <v>-0.9450721132328491</v>
          </cell>
          <cell r="L1784">
            <v>-4.593032270980424</v>
          </cell>
          <cell r="M1784">
            <v>-0.009339130496143797</v>
          </cell>
          <cell r="N1784">
            <v>-1.695555061307584</v>
          </cell>
          <cell r="O1784">
            <v>-13.881396211606722</v>
          </cell>
          <cell r="P1784">
            <v>-5.479962310252664</v>
          </cell>
          <cell r="Q1784">
            <v>-0.3938718420527518</v>
          </cell>
          <cell r="R1784">
            <v>-2.8304749349851206</v>
          </cell>
          <cell r="S1784">
            <v>-2.7112214224958997</v>
          </cell>
          <cell r="T1784">
            <v>-0.18869832899900804</v>
          </cell>
          <cell r="U1784">
            <v>-0.1316577935071759</v>
          </cell>
        </row>
        <row r="1785">
          <cell r="F1785">
            <v>-2393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-2393</v>
          </cell>
          <cell r="T1785">
            <v>0</v>
          </cell>
          <cell r="U1785">
            <v>0</v>
          </cell>
        </row>
        <row r="1786">
          <cell r="F1786">
            <v>-190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-25.260705977250858</v>
          </cell>
          <cell r="R1786">
            <v>-164.73929402274914</v>
          </cell>
          <cell r="S1786">
            <v>0</v>
          </cell>
          <cell r="T1786">
            <v>0</v>
          </cell>
          <cell r="U1786">
            <v>0</v>
          </cell>
        </row>
      </sheetData>
      <sheetData sheetId="9">
        <row r="596">
          <cell r="C596">
            <v>17224861</v>
          </cell>
          <cell r="K596">
            <v>10589575.255820917</v>
          </cell>
          <cell r="S596">
            <v>2061582.100837896</v>
          </cell>
          <cell r="AA596">
            <v>1981364.058062752</v>
          </cell>
          <cell r="AI596">
            <v>1064421.1292265928</v>
          </cell>
          <cell r="AQ596">
            <v>828723.0588506194</v>
          </cell>
          <cell r="AY596">
            <v>12253.652997504847</v>
          </cell>
          <cell r="BG596">
            <v>168749.10929797226</v>
          </cell>
          <cell r="BO596">
            <v>242126.10381175837</v>
          </cell>
          <cell r="BW596">
            <v>183657.38991413766</v>
          </cell>
          <cell r="CE596">
            <v>1341.6654742243882</v>
          </cell>
          <cell r="CM596">
            <v>5076.561098721261</v>
          </cell>
          <cell r="CU596">
            <v>74317.28602883751</v>
          </cell>
          <cell r="DC596">
            <v>3645.7823397059988</v>
          </cell>
          <cell r="DK596">
            <v>8027.846238358709</v>
          </cell>
        </row>
        <row r="599">
          <cell r="C599">
            <v>6086572</v>
          </cell>
          <cell r="K599">
            <v>3260643.4982868913</v>
          </cell>
          <cell r="S599">
            <v>727002.5464465716</v>
          </cell>
          <cell r="AA599">
            <v>837400.9567386006</v>
          </cell>
          <cell r="AI599">
            <v>557027.240500322</v>
          </cell>
          <cell r="AQ599">
            <v>357378.3712528913</v>
          </cell>
          <cell r="AY599">
            <v>1000.1091049544356</v>
          </cell>
          <cell r="BG599">
            <v>34240.346410606835</v>
          </cell>
          <cell r="BO599">
            <v>151341.6244130364</v>
          </cell>
          <cell r="BW599">
            <v>136486.75122133156</v>
          </cell>
          <cell r="CE599">
            <v>0</v>
          </cell>
          <cell r="CM599">
            <v>0</v>
          </cell>
          <cell r="CU599">
            <v>21883.207571182862</v>
          </cell>
          <cell r="DC599">
            <v>0</v>
          </cell>
          <cell r="DK599">
            <v>2167.3480536118805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 topLeftCell="D1">
      <selection activeCell="A1" sqref="A1"/>
    </sheetView>
  </sheetViews>
  <sheetFormatPr defaultColWidth="9.140625" defaultRowHeight="12.75"/>
  <cols>
    <col min="1" max="1" width="9.140625" style="38" customWidth="1"/>
    <col min="2" max="2" width="29.00390625" style="0" customWidth="1"/>
    <col min="3" max="3" width="17.00390625" style="0" customWidth="1"/>
    <col min="4" max="4" width="15.7109375" style="0" customWidth="1"/>
    <col min="5" max="8" width="13.7109375" style="0" customWidth="1"/>
    <col min="9" max="17" width="12.7109375" style="0" customWidth="1"/>
    <col min="18" max="18" width="6.421875" style="0" customWidth="1"/>
  </cols>
  <sheetData>
    <row r="1" spans="1:18" ht="15.75">
      <c r="A1" s="3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5.75">
      <c r="A2" s="3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ht="15.75">
      <c r="A3" s="32" t="str">
        <f>CHOOSE('[1]INPUTS'!$C$11,'[1]INPUTS'!$B$5,'[1]INPUTS'!$B$6,'[1]INPUTS'!$B$7,'[1]INPUTS'!$B$8,'[1]INPUTS'!$B$9)</f>
        <v>Adjusted Test Year Twelve Months ended September 2007 @ Proforma Rev Requirement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15.75">
      <c r="A4" s="32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</row>
    <row r="5" spans="1:18" ht="15">
      <c r="A5" s="3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8.25">
      <c r="A6" s="34" t="s">
        <v>3</v>
      </c>
      <c r="B6" s="5" t="s">
        <v>4</v>
      </c>
      <c r="C6" s="5" t="s">
        <v>5</v>
      </c>
      <c r="D6" s="7" t="str">
        <f>'[1]INPUTS'!$C$18</f>
        <v>Residential Sch 7</v>
      </c>
      <c r="E6" s="6" t="str">
        <f>'[1]INPUTS'!$C$19</f>
        <v>Sec Volt Sch 24 (kW&lt; 50)</v>
      </c>
      <c r="F6" s="6" t="str">
        <f>'[1]INPUTS'!$C$20</f>
        <v>Sec Volt Sch 25 (kW &gt; 50 &amp; &lt; 350)</v>
      </c>
      <c r="G6" s="6" t="str">
        <f>'[1]INPUTS'!$C$21</f>
        <v>Sec Volt Sch 26 (kW &gt; 350)</v>
      </c>
      <c r="H6" s="6" t="str">
        <f>'[1]INPUTS'!$C$22</f>
        <v>Pri Volt Sch 31 (General Service)</v>
      </c>
      <c r="I6" s="6" t="str">
        <f>'[1]INPUTS'!$C$23</f>
        <v>Pri Volt Sch 35 (Irrigation)</v>
      </c>
      <c r="J6" s="6" t="str">
        <f>'[1]INPUTS'!$B$24</f>
        <v>Pri Svc 43</v>
      </c>
      <c r="K6" s="6" t="str">
        <f>'[1]INPUTS'!$B$25</f>
        <v>Campus 40</v>
      </c>
      <c r="L6" s="6" t="str">
        <f>'[1]INPUTS'!$B$26</f>
        <v>High Volt 46/49</v>
      </c>
      <c r="M6" s="6" t="str">
        <f>'[1]INPUTS'!$B$27</f>
        <v>Transp PV 449</v>
      </c>
      <c r="N6" s="6" t="str">
        <f>'[1]INPUTS'!$B$28</f>
        <v>Transp HV 449</v>
      </c>
      <c r="O6" s="6" t="str">
        <f>'[1]INPUTS'!$B$29</f>
        <v>Lighting 50-59</v>
      </c>
      <c r="P6" s="6" t="str">
        <f>'[1]INPUTS'!$B$30</f>
        <v>Firm Resale Large</v>
      </c>
      <c r="Q6" s="6" t="str">
        <f>'[1]INPUTS'!$B$31</f>
        <v>Firm Resale Small</v>
      </c>
      <c r="R6" s="8"/>
    </row>
    <row r="7" spans="1:18" ht="12.75">
      <c r="A7" s="20"/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3"/>
    </row>
    <row r="8" spans="1:18" ht="12.75">
      <c r="A8" s="3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5"/>
      <c r="B9" s="11" t="s">
        <v>22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6">
        <v>1</v>
      </c>
      <c r="B10" s="12" t="s">
        <v>23</v>
      </c>
      <c r="C10" s="13">
        <f>'[1]CLASSALLOC'!F355</f>
        <v>5928418660</v>
      </c>
      <c r="D10" s="13">
        <f>'[1]CLASSALLOC'!H355</f>
        <v>3532903300.4314237</v>
      </c>
      <c r="E10" s="13">
        <f>'[1]CLASSALLOC'!I355</f>
        <v>711834459.5155382</v>
      </c>
      <c r="F10" s="13">
        <f>'[1]CLASSALLOC'!J355</f>
        <v>682454398.5059664</v>
      </c>
      <c r="G10" s="13">
        <f>'[1]CLASSALLOC'!K355</f>
        <v>391519987.5323562</v>
      </c>
      <c r="H10" s="13">
        <f>'[1]CLASSALLOC'!L355</f>
        <v>269228423.98412216</v>
      </c>
      <c r="I10" s="13">
        <f>'[1]CLASSALLOC'!M355</f>
        <v>1777900.5956610525</v>
      </c>
      <c r="J10" s="13">
        <f>'[1]CLASSALLOC'!N355</f>
        <v>49078205.32347032</v>
      </c>
      <c r="K10" s="13">
        <f>'[1]CLASSALLOC'!O355</f>
        <v>98264545.13301906</v>
      </c>
      <c r="L10" s="13">
        <f>'[1]CLASSALLOC'!P355</f>
        <v>79101563.61435284</v>
      </c>
      <c r="M10" s="13">
        <f>'[1]CLASSALLOC'!Q355</f>
        <v>3364507.6950385384</v>
      </c>
      <c r="N10" s="13">
        <f>'[1]CLASSALLOC'!R355</f>
        <v>47658269.1293087</v>
      </c>
      <c r="O10" s="13">
        <f>'[1]CLASSALLOC'!S355</f>
        <v>55464288.790726125</v>
      </c>
      <c r="P10" s="13">
        <f>'[1]CLASSALLOC'!T355</f>
        <v>3738725.107553303</v>
      </c>
      <c r="Q10" s="13">
        <f>'[1]CLASSALLOC'!U355</f>
        <v>2030084.6414632683</v>
      </c>
      <c r="R10" s="3"/>
    </row>
    <row r="11" spans="1:18" ht="12.75">
      <c r="A11" s="36">
        <f>A10+1</f>
        <v>2</v>
      </c>
      <c r="B11" s="12" t="s">
        <v>24</v>
      </c>
      <c r="C11" s="13">
        <f>'[1]CLASSALLOC'!F531</f>
        <v>-2453151915.5975246</v>
      </c>
      <c r="D11" s="13">
        <f>'[1]CLASSALLOC'!H531</f>
        <v>-1458175386.8482525</v>
      </c>
      <c r="E11" s="13">
        <f>'[1]CLASSALLOC'!I531</f>
        <v>-291899183.3780798</v>
      </c>
      <c r="F11" s="13">
        <f>'[1]CLASSALLOC'!J531</f>
        <v>-281997354.3705694</v>
      </c>
      <c r="G11" s="13">
        <f>'[1]CLASSALLOC'!K531</f>
        <v>-164101207.29038998</v>
      </c>
      <c r="H11" s="13">
        <f>'[1]CLASSALLOC'!L531</f>
        <v>-112664857.54259752</v>
      </c>
      <c r="I11" s="13">
        <f>'[1]CLASSALLOC'!M531</f>
        <v>-717353.7434754383</v>
      </c>
      <c r="J11" s="13">
        <f>'[1]CLASSALLOC'!N531</f>
        <v>-19344043.923572928</v>
      </c>
      <c r="K11" s="13">
        <f>'[1]CLASSALLOC'!O531</f>
        <v>-41401097.59451179</v>
      </c>
      <c r="L11" s="13">
        <f>'[1]CLASSALLOC'!P531</f>
        <v>-34212545.944334716</v>
      </c>
      <c r="M11" s="13">
        <f>'[1]CLASSALLOC'!Q531</f>
        <v>-1250987.8806090124</v>
      </c>
      <c r="N11" s="13">
        <f>'[1]CLASSALLOC'!R531</f>
        <v>-18484199.104246207</v>
      </c>
      <c r="O11" s="13">
        <f>'[1]CLASSALLOC'!S531</f>
        <v>-26655414.38742041</v>
      </c>
      <c r="P11" s="13">
        <f>'[1]CLASSALLOC'!T531</f>
        <v>-1407015.2636414112</v>
      </c>
      <c r="Q11" s="13">
        <f>'[1]CLASSALLOC'!U531</f>
        <v>-841268.3258240761</v>
      </c>
      <c r="R11" s="3"/>
    </row>
    <row r="12" spans="1:18" ht="12.75">
      <c r="A12" s="36">
        <f>A11+1</f>
        <v>3</v>
      </c>
      <c r="B12" s="12" t="s">
        <v>25</v>
      </c>
      <c r="C12" s="13">
        <f>'[1]CLASSALLOC'!F707</f>
        <v>0</v>
      </c>
      <c r="D12" s="13">
        <f>'[1]CLASSALLOC'!H707</f>
        <v>0</v>
      </c>
      <c r="E12" s="13">
        <f>'[1]CLASSALLOC'!I707</f>
        <v>0</v>
      </c>
      <c r="F12" s="13">
        <f>'[1]CLASSALLOC'!J707</f>
        <v>0</v>
      </c>
      <c r="G12" s="13">
        <f>'[1]CLASSALLOC'!K707</f>
        <v>0</v>
      </c>
      <c r="H12" s="13">
        <f>'[1]CLASSALLOC'!L707</f>
        <v>0</v>
      </c>
      <c r="I12" s="13">
        <f>'[1]CLASSALLOC'!M707</f>
        <v>0</v>
      </c>
      <c r="J12" s="13">
        <f>'[1]CLASSALLOC'!N707</f>
        <v>0</v>
      </c>
      <c r="K12" s="13">
        <f>'[1]CLASSALLOC'!O707</f>
        <v>0</v>
      </c>
      <c r="L12" s="13">
        <f>'[1]CLASSALLOC'!P707</f>
        <v>0</v>
      </c>
      <c r="M12" s="13">
        <f>'[1]CLASSALLOC'!Q707</f>
        <v>0</v>
      </c>
      <c r="N12" s="13">
        <f>'[1]CLASSALLOC'!R707</f>
        <v>0</v>
      </c>
      <c r="O12" s="13">
        <f>'[1]CLASSALLOC'!S707</f>
        <v>0</v>
      </c>
      <c r="P12" s="13">
        <f>'[1]CLASSALLOC'!T707</f>
        <v>0</v>
      </c>
      <c r="Q12" s="13">
        <f>'[1]CLASSALLOC'!U707</f>
        <v>0</v>
      </c>
      <c r="R12" s="3"/>
    </row>
    <row r="13" spans="1:18" ht="12.75">
      <c r="A13" s="36">
        <f>A12+1</f>
        <v>4</v>
      </c>
      <c r="B13" s="12" t="s">
        <v>26</v>
      </c>
      <c r="C13" s="13">
        <f>'[1]CLASSALLOC'!F883</f>
        <v>95493208.99999997</v>
      </c>
      <c r="D13" s="13">
        <f>'[1]CLASSALLOC'!H883</f>
        <v>56906958.26210218</v>
      </c>
      <c r="E13" s="13">
        <f>'[1]CLASSALLOC'!I883</f>
        <v>11466018.294989865</v>
      </c>
      <c r="F13" s="13">
        <f>'[1]CLASSALLOC'!J883</f>
        <v>10992772.98838735</v>
      </c>
      <c r="G13" s="13">
        <f>'[1]CLASSALLOC'!K883</f>
        <v>6306487.807509983</v>
      </c>
      <c r="H13" s="13">
        <f>'[1]CLASSALLOC'!L883</f>
        <v>4336651.581934057</v>
      </c>
      <c r="I13" s="13">
        <f>'[1]CLASSALLOC'!M883</f>
        <v>28637.895347742753</v>
      </c>
      <c r="J13" s="13">
        <f>'[1]CLASSALLOC'!N883</f>
        <v>790537.1713911756</v>
      </c>
      <c r="K13" s="13">
        <f>'[1]CLASSALLOC'!O883</f>
        <v>1582816.1410040024</v>
      </c>
      <c r="L13" s="13">
        <f>'[1]CLASSALLOC'!P883</f>
        <v>1274144.5197549846</v>
      </c>
      <c r="M13" s="13">
        <f>'[1]CLASSALLOC'!Q883</f>
        <v>54194.49180811116</v>
      </c>
      <c r="N13" s="13">
        <f>'[1]CLASSALLOC'!R883</f>
        <v>767665.260426011</v>
      </c>
      <c r="O13" s="13">
        <f>'[1]CLASSALLOC'!S883</f>
        <v>893402.309331704</v>
      </c>
      <c r="P13" s="13">
        <f>'[1]CLASSALLOC'!T883</f>
        <v>60222.27487036736</v>
      </c>
      <c r="Q13" s="13">
        <f>'[1]CLASSALLOC'!U883</f>
        <v>32700.001142453373</v>
      </c>
      <c r="R13" s="3"/>
    </row>
    <row r="14" spans="1:18" ht="12.75">
      <c r="A14" s="36">
        <f>A13+1</f>
        <v>5</v>
      </c>
      <c r="B14" s="12" t="s">
        <v>27</v>
      </c>
      <c r="C14" s="13">
        <f>'[1]CLASSALLOC'!F1059</f>
        <v>-265661305.99999988</v>
      </c>
      <c r="D14" s="13">
        <f>'[1]CLASSALLOC'!H1059</f>
        <v>-186285548.7113277</v>
      </c>
      <c r="E14" s="13">
        <f>'[1]CLASSALLOC'!I1059</f>
        <v>-30813902.503535554</v>
      </c>
      <c r="F14" s="13">
        <f>'[1]CLASSALLOC'!J1059</f>
        <v>-20356569.658507753</v>
      </c>
      <c r="G14" s="13">
        <f>'[1]CLASSALLOC'!K1059</f>
        <v>-9947717.08294784</v>
      </c>
      <c r="H14" s="13">
        <f>'[1]CLASSALLOC'!L1059</f>
        <v>-7097312.289128392</v>
      </c>
      <c r="I14" s="13">
        <f>'[1]CLASSALLOC'!M1059</f>
        <v>-76093.70982335751</v>
      </c>
      <c r="J14" s="13">
        <f>'[1]CLASSALLOC'!N1059</f>
        <v>-1954287.0785182142</v>
      </c>
      <c r="K14" s="13">
        <f>'[1]CLASSALLOC'!O1059</f>
        <v>-2108890.1980072595</v>
      </c>
      <c r="L14" s="13">
        <f>'[1]CLASSALLOC'!P1059</f>
        <v>-1384100.563465085</v>
      </c>
      <c r="M14" s="13">
        <f>'[1]CLASSALLOC'!Q1059</f>
        <v>-187244.79817518164</v>
      </c>
      <c r="N14" s="13">
        <f>'[1]CLASSALLOC'!R1059</f>
        <v>-2666466.7089718096</v>
      </c>
      <c r="O14" s="13">
        <f>'[1]CLASSALLOC'!S1059</f>
        <v>-2509688.0895797275</v>
      </c>
      <c r="P14" s="13">
        <f>'[1]CLASSALLOC'!T1059</f>
        <v>-209002.2711819684</v>
      </c>
      <c r="Q14" s="13">
        <f>'[1]CLASSALLOC'!U1059</f>
        <v>-64482.336830044456</v>
      </c>
      <c r="R14" s="3"/>
    </row>
    <row r="15" spans="1:18" ht="13.5" thickBot="1">
      <c r="A15" s="36">
        <f>A14+1</f>
        <v>6</v>
      </c>
      <c r="B15" s="14" t="s">
        <v>28</v>
      </c>
      <c r="C15" s="15">
        <f>SUM(C10:C14)</f>
        <v>3305098647.4024754</v>
      </c>
      <c r="D15" s="15">
        <f aca="true" t="shared" si="0" ref="D15:Q15">SUM(D10:D14)</f>
        <v>1945349323.1339455</v>
      </c>
      <c r="E15" s="15">
        <f t="shared" si="0"/>
        <v>400587391.92891276</v>
      </c>
      <c r="F15" s="15">
        <f t="shared" si="0"/>
        <v>391093247.4652766</v>
      </c>
      <c r="G15" s="15">
        <f t="shared" si="0"/>
        <v>223777550.96652836</v>
      </c>
      <c r="H15" s="15">
        <f t="shared" si="0"/>
        <v>153802905.7343303</v>
      </c>
      <c r="I15" s="15">
        <f t="shared" si="0"/>
        <v>1013091.0377099995</v>
      </c>
      <c r="J15" s="15">
        <f t="shared" si="0"/>
        <v>28570411.492770348</v>
      </c>
      <c r="K15" s="15">
        <f t="shared" si="0"/>
        <v>56337373.48150401</v>
      </c>
      <c r="L15" s="15">
        <f t="shared" si="0"/>
        <v>44779061.62630802</v>
      </c>
      <c r="M15" s="15">
        <f t="shared" si="0"/>
        <v>1980469.5080624558</v>
      </c>
      <c r="N15" s="15">
        <f t="shared" si="0"/>
        <v>27275268.576516695</v>
      </c>
      <c r="O15" s="15">
        <f t="shared" si="0"/>
        <v>27192588.623057693</v>
      </c>
      <c r="P15" s="15">
        <f t="shared" si="0"/>
        <v>2182929.8476002906</v>
      </c>
      <c r="Q15" s="15">
        <f t="shared" si="0"/>
        <v>1157033.9799516012</v>
      </c>
      <c r="R15" s="3"/>
    </row>
    <row r="16" spans="1:18" ht="13.5" thickTop="1">
      <c r="A16" s="3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36"/>
      <c r="B17" s="16" t="s">
        <v>29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7"/>
      <c r="P17" s="3"/>
      <c r="Q17" s="3"/>
      <c r="R17" s="3"/>
    </row>
    <row r="18" spans="1:18" ht="12.75">
      <c r="A18" s="36">
        <f>A15+1</f>
        <v>7</v>
      </c>
      <c r="B18" s="18" t="s">
        <v>30</v>
      </c>
      <c r="C18" s="13">
        <f>SUM('[1]CLASSALLOC'!F1766:F1771)</f>
        <v>1838009306</v>
      </c>
      <c r="D18" s="13">
        <f>SUM('[1]CLASSALLOC'!H1766:H1771)</f>
        <v>984090380.461518</v>
      </c>
      <c r="E18" s="13">
        <f>SUM('[1]CLASSALLOC'!I1766:I1771)</f>
        <v>225492779.87670878</v>
      </c>
      <c r="F18" s="13">
        <f>SUM('[1]CLASSALLOC'!J1766:J1771)</f>
        <v>260900472.85735977</v>
      </c>
      <c r="G18" s="13">
        <f>SUM('[1]CLASSALLOC'!K1766:K1771)</f>
        <v>159068092.9130492</v>
      </c>
      <c r="H18" s="13">
        <f>SUM('[1]CLASSALLOC'!L1766:L1771)</f>
        <v>99227835.94575478</v>
      </c>
      <c r="I18" s="13">
        <f>SUM('[1]CLASSALLOC'!M1766:M1771)</f>
        <v>247424.99986537872</v>
      </c>
      <c r="J18" s="13">
        <f>SUM('[1]CLASSALLOC'!N1766:N1771)</f>
        <v>12849513.99296459</v>
      </c>
      <c r="K18" s="13">
        <f>SUM('[1]CLASSALLOC'!O1766:O1771)</f>
        <v>38977059.978701696</v>
      </c>
      <c r="L18" s="13">
        <f>SUM('[1]CLASSALLOC'!P1766:P1771)</f>
        <v>31895956.982558947</v>
      </c>
      <c r="M18" s="13">
        <f>SUM('[1]CLASSALLOC'!Q1766:Q1771)</f>
        <v>843677.9550800555</v>
      </c>
      <c r="N18" s="13">
        <f>SUM('[1]CLASSALLOC'!R1766:R1771)</f>
        <v>7823416.044919943</v>
      </c>
      <c r="O18" s="13">
        <f>SUM('[1]CLASSALLOC'!S1766:S1771)</f>
        <v>15450313.991518924</v>
      </c>
      <c r="P18" s="13">
        <f>SUM('[1]CLASSALLOC'!T1766:T1771)</f>
        <v>786676</v>
      </c>
      <c r="Q18" s="13">
        <f>SUM('[1]CLASSALLOC'!U1766:U1771)</f>
        <v>355704</v>
      </c>
      <c r="R18" s="3"/>
    </row>
    <row r="19" spans="1:18" ht="12.75">
      <c r="A19" s="36">
        <f>+A18+1</f>
        <v>8</v>
      </c>
      <c r="B19" s="18" t="s">
        <v>31</v>
      </c>
      <c r="C19" s="13">
        <f>+'[1]ACCOUNTALLOC'!C599</f>
        <v>6086572</v>
      </c>
      <c r="D19" s="13">
        <f>+'[1]ACCOUNTALLOC'!K599</f>
        <v>3260643.4982868913</v>
      </c>
      <c r="E19" s="13">
        <f>+'[1]ACCOUNTALLOC'!S599</f>
        <v>727002.5464465716</v>
      </c>
      <c r="F19" s="13">
        <f>+'[1]ACCOUNTALLOC'!AA599</f>
        <v>837400.9567386006</v>
      </c>
      <c r="G19" s="13">
        <f>+'[1]ACCOUNTALLOC'!AI599</f>
        <v>557027.240500322</v>
      </c>
      <c r="H19" s="13">
        <f>+'[1]ACCOUNTALLOC'!AQ599</f>
        <v>357378.3712528913</v>
      </c>
      <c r="I19" s="13">
        <f>+'[1]ACCOUNTALLOC'!AY599</f>
        <v>1000.1091049544356</v>
      </c>
      <c r="J19" s="13">
        <f>+'[1]ACCOUNTALLOC'!BG599</f>
        <v>34240.346410606835</v>
      </c>
      <c r="K19" s="13">
        <f>+'[1]ACCOUNTALLOC'!BO599</f>
        <v>151341.6244130364</v>
      </c>
      <c r="L19" s="13">
        <f>+'[1]ACCOUNTALLOC'!BW599</f>
        <v>136486.75122133156</v>
      </c>
      <c r="M19" s="13">
        <f>+'[1]ACCOUNTALLOC'!CE599</f>
        <v>0</v>
      </c>
      <c r="N19" s="13">
        <f>+'[1]ACCOUNTALLOC'!CM599</f>
        <v>0</v>
      </c>
      <c r="O19" s="13">
        <f>+'[1]ACCOUNTALLOC'!CU599</f>
        <v>21883.207571182862</v>
      </c>
      <c r="P19" s="13">
        <f>+'[1]ACCOUNTALLOC'!DC599</f>
        <v>0</v>
      </c>
      <c r="Q19" s="13">
        <f>+'[1]ACCOUNTALLOC'!DK599</f>
        <v>2167.3480536118805</v>
      </c>
      <c r="R19" s="3"/>
    </row>
    <row r="20" spans="1:18" ht="12.75">
      <c r="A20" s="36">
        <f>+A19+1</f>
        <v>9</v>
      </c>
      <c r="B20" s="19" t="s">
        <v>32</v>
      </c>
      <c r="C20" s="13">
        <f>SUM('[1]CLASSALLOC'!F1772:F1789)+SUM('[1]ACCOUNTALLOC'!C596)</f>
        <v>37392928</v>
      </c>
      <c r="D20" s="13">
        <f>SUM('[1]CLASSALLOC'!H1772:H1786)+SUM('[1]ACCOUNTALLOC'!K596)</f>
        <v>26006487.793157227</v>
      </c>
      <c r="E20" s="13">
        <f>SUM('[1]CLASSALLOC'!I1772:I1786)+SUM('[1]ACCOUNTALLOC'!S596)</f>
        <v>3770392.0039569605</v>
      </c>
      <c r="F20" s="13">
        <f>SUM('[1]CLASSALLOC'!J1772:J1786)+SUM('[1]ACCOUNTALLOC'!AA596)</f>
        <v>2236437.5352326115</v>
      </c>
      <c r="G20" s="13">
        <f>SUM('[1]CLASSALLOC'!K1772:K1786)+SUM('[1]ACCOUNTALLOC'!AI596)</f>
        <v>1126265.6748216827</v>
      </c>
      <c r="H20" s="13">
        <f>SUM('[1]CLASSALLOC'!L1772:L1786)+SUM('[1]ACCOUNTALLOC'!AQ596)</f>
        <v>1308464.544551075</v>
      </c>
      <c r="I20" s="13">
        <f>SUM('[1]CLASSALLOC'!M1772:M1786)+SUM('[1]ACCOUNTALLOC'!AY596)</f>
        <v>12254.70723004478</v>
      </c>
      <c r="J20" s="13">
        <f>SUM('[1]CLASSALLOC'!N1772:N1786)+SUM('[1]ACCOUNTALLOC'!BG596)</f>
        <v>186816.67485373732</v>
      </c>
      <c r="K20" s="13">
        <f>SUM('[1]CLASSALLOC'!O1772:O1786)+SUM('[1]ACCOUNTALLOC'!BO596)</f>
        <v>319906.03662069706</v>
      </c>
      <c r="L20" s="13">
        <f>SUM('[1]CLASSALLOC'!P1772:P1786)+SUM('[1]ACCOUNTALLOC'!BW596)</f>
        <v>1258862.001807854</v>
      </c>
      <c r="M20" s="13">
        <f>SUM('[1]CLASSALLOC'!Q1772:Q1786)+SUM('[1]ACCOUNTALLOC'!CE596)</f>
        <v>1316.0108964050846</v>
      </c>
      <c r="N20" s="13">
        <f>SUM('[1]CLASSALLOC'!R1772:R1786)+SUM('[1]ACCOUNTALLOC'!CM596)</f>
        <v>1027299.431696673</v>
      </c>
      <c r="O20" s="13">
        <f>SUM('[1]CLASSALLOC'!S1772:S1786)+SUM('[1]ACCOUNTALLOC'!CU596)</f>
        <v>123259.57006674835</v>
      </c>
      <c r="P20" s="13">
        <f>SUM('[1]CLASSALLOC'!T1772:T1786)+SUM('[1]ACCOUNTALLOC'!DC596)</f>
        <v>3645.5936413769996</v>
      </c>
      <c r="Q20" s="13">
        <f>SUM('[1]CLASSALLOC'!U1772:U1786)+SUM('[1]ACCOUNTALLOC'!DK596)</f>
        <v>11520.421466902386</v>
      </c>
      <c r="R20" s="3"/>
    </row>
    <row r="21" spans="1:18" ht="13.5" thickBot="1">
      <c r="A21" s="36">
        <f>A20+1</f>
        <v>10</v>
      </c>
      <c r="B21" s="15" t="s">
        <v>33</v>
      </c>
      <c r="C21" s="15">
        <f>SUM(C18:C20)</f>
        <v>1881488806</v>
      </c>
      <c r="D21" s="15">
        <f aca="true" t="shared" si="1" ref="D21:Q21">SUM(D18:D20)</f>
        <v>1013357511.7529621</v>
      </c>
      <c r="E21" s="15">
        <f t="shared" si="1"/>
        <v>229990174.4271123</v>
      </c>
      <c r="F21" s="15">
        <f t="shared" si="1"/>
        <v>263974311.34933096</v>
      </c>
      <c r="G21" s="15">
        <f t="shared" si="1"/>
        <v>160751385.8283712</v>
      </c>
      <c r="H21" s="15">
        <f t="shared" si="1"/>
        <v>100893678.86155875</v>
      </c>
      <c r="I21" s="15">
        <f t="shared" si="1"/>
        <v>260679.81620037794</v>
      </c>
      <c r="J21" s="15">
        <f t="shared" si="1"/>
        <v>13070571.014228933</v>
      </c>
      <c r="K21" s="15">
        <f t="shared" si="1"/>
        <v>39448307.63973543</v>
      </c>
      <c r="L21" s="15">
        <f t="shared" si="1"/>
        <v>33291305.735588133</v>
      </c>
      <c r="M21" s="15">
        <f t="shared" si="1"/>
        <v>844993.9659764606</v>
      </c>
      <c r="N21" s="15">
        <f t="shared" si="1"/>
        <v>8850715.476616617</v>
      </c>
      <c r="O21" s="15">
        <f t="shared" si="1"/>
        <v>15595456.769156855</v>
      </c>
      <c r="P21" s="15">
        <f t="shared" si="1"/>
        <v>790321.593641377</v>
      </c>
      <c r="Q21" s="15">
        <f t="shared" si="1"/>
        <v>369391.76952051424</v>
      </c>
      <c r="R21" s="20"/>
    </row>
    <row r="22" spans="1:18" ht="13.5" thickTop="1">
      <c r="A22" s="36"/>
      <c r="B22" s="3"/>
      <c r="C22" s="17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36"/>
      <c r="B23" s="16" t="s">
        <v>34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3"/>
    </row>
    <row r="24" spans="1:18" ht="12.75">
      <c r="A24" s="36">
        <f>A21+1</f>
        <v>11</v>
      </c>
      <c r="B24" s="12" t="s">
        <v>35</v>
      </c>
      <c r="C24" s="13">
        <f>'[1]CLASSALLOC'!F$1235</f>
        <v>1304026881.4000003</v>
      </c>
      <c r="D24" s="13">
        <f>'[1]CLASSALLOC'!H$1235</f>
        <v>717530446.2478478</v>
      </c>
      <c r="E24" s="13">
        <f>'[1]CLASSALLOC'!I$1235</f>
        <v>158436969.38267115</v>
      </c>
      <c r="F24" s="13">
        <f>'[1]CLASSALLOC'!J$1235</f>
        <v>169145342.32332045</v>
      </c>
      <c r="G24" s="13">
        <f>'[1]CLASSALLOC'!K$1235</f>
        <v>109631137.60936488</v>
      </c>
      <c r="H24" s="13">
        <f>'[1]CLASSALLOC'!L$1235</f>
        <v>71879782.96391043</v>
      </c>
      <c r="I24" s="13">
        <f>'[1]CLASSALLOC'!M$1235</f>
        <v>261081.7785537491</v>
      </c>
      <c r="J24" s="13">
        <f>'[1]CLASSALLOC'!N$1235</f>
        <v>7977622.830554724</v>
      </c>
      <c r="K24" s="13">
        <f>'[1]CLASSALLOC'!O$1235</f>
        <v>29748398.269230183</v>
      </c>
      <c r="L24" s="13">
        <f>'[1]CLASSALLOC'!P$1235</f>
        <v>26321351.31656948</v>
      </c>
      <c r="M24" s="13">
        <f>'[1]CLASSALLOC'!Q$1235</f>
        <v>80380.24253626887</v>
      </c>
      <c r="N24" s="13">
        <f>'[1]CLASSALLOC'!R$1235</f>
        <v>3100031.440348769</v>
      </c>
      <c r="O24" s="13">
        <f>'[1]CLASSALLOC'!S$1235</f>
        <v>9313488.578168798</v>
      </c>
      <c r="P24" s="13">
        <f>'[1]CLASSALLOC'!T$1235</f>
        <v>137620.87982484535</v>
      </c>
      <c r="Q24" s="13">
        <f>'[1]CLASSALLOC'!U$1235</f>
        <v>463227.5370986017</v>
      </c>
      <c r="R24" s="3"/>
    </row>
    <row r="25" spans="1:18" ht="12.75">
      <c r="A25" s="36">
        <f>A24+1</f>
        <v>12</v>
      </c>
      <c r="B25" s="13" t="s">
        <v>36</v>
      </c>
      <c r="C25" s="13">
        <f>'[1]CLASSALLOC'!F$1411</f>
        <v>233507010.99143004</v>
      </c>
      <c r="D25" s="13">
        <f>'[1]CLASSALLOC'!H$1411</f>
        <v>141726505.65871412</v>
      </c>
      <c r="E25" s="13">
        <f>'[1]CLASSALLOC'!I$1411</f>
        <v>28326096.87939067</v>
      </c>
      <c r="F25" s="13">
        <f>'[1]CLASSALLOC'!J$1411</f>
        <v>26011495.45817145</v>
      </c>
      <c r="G25" s="13">
        <f>'[1]CLASSALLOC'!K$1411</f>
        <v>14568603.81649109</v>
      </c>
      <c r="H25" s="13">
        <f>'[1]CLASSALLOC'!L$1411</f>
        <v>10134607.677750582</v>
      </c>
      <c r="I25" s="13">
        <f>'[1]CLASSALLOC'!M$1411</f>
        <v>72618.16339660475</v>
      </c>
      <c r="J25" s="13">
        <f>'[1]CLASSALLOC'!N$1411</f>
        <v>1980741.4650193</v>
      </c>
      <c r="K25" s="13">
        <f>'[1]CLASSALLOC'!O$1411</f>
        <v>3637373.3770933263</v>
      </c>
      <c r="L25" s="13">
        <f>'[1]CLASSALLOC'!P$1411</f>
        <v>2856247.9488091287</v>
      </c>
      <c r="M25" s="13">
        <f>'[1]CLASSALLOC'!Q$1411</f>
        <v>111164.84784649548</v>
      </c>
      <c r="N25" s="13">
        <f>'[1]CLASSALLOC'!R$1411</f>
        <v>1474227.292214257</v>
      </c>
      <c r="O25" s="13">
        <f>'[1]CLASSALLOC'!S$1411</f>
        <v>2410078.7418320496</v>
      </c>
      <c r="P25" s="13">
        <f>'[1]CLASSALLOC'!T$1411</f>
        <v>118365.00542688789</v>
      </c>
      <c r="Q25" s="13">
        <f>'[1]CLASSALLOC'!U$1411</f>
        <v>78884.65927408877</v>
      </c>
      <c r="R25" s="3"/>
    </row>
    <row r="26" spans="1:18" ht="12.75">
      <c r="A26" s="36">
        <f>A25+1</f>
        <v>13</v>
      </c>
      <c r="B26" s="12" t="s">
        <v>37</v>
      </c>
      <c r="C26" s="13">
        <f>'[1]CLASSALLOC'!F$1587</f>
        <v>116380828.99999997</v>
      </c>
      <c r="D26" s="13">
        <f>'[1]CLASSALLOC'!H$1587</f>
        <v>67101287.96399248</v>
      </c>
      <c r="E26" s="13">
        <f>'[1]CLASSALLOC'!I$1587</f>
        <v>14122389.335357316</v>
      </c>
      <c r="F26" s="13">
        <f>'[1]CLASSALLOC'!J$1587</f>
        <v>14088959.936208986</v>
      </c>
      <c r="G26" s="13">
        <f>'[1]CLASSALLOC'!K$1587</f>
        <v>8567296.365711423</v>
      </c>
      <c r="H26" s="13">
        <f>'[1]CLASSALLOC'!L$1587</f>
        <v>5755103.333666462</v>
      </c>
      <c r="I26" s="13">
        <f>'[1]CLASSALLOC'!M$1587</f>
        <v>29723.165707850876</v>
      </c>
      <c r="J26" s="13">
        <f>'[1]CLASSALLOC'!N$1587</f>
        <v>854183.7826834256</v>
      </c>
      <c r="K26" s="13">
        <f>'[1]CLASSALLOC'!O$1587</f>
        <v>2248031.061100853</v>
      </c>
      <c r="L26" s="13">
        <f>'[1]CLASSALLOC'!P$1587</f>
        <v>1897400.353307126</v>
      </c>
      <c r="M26" s="13">
        <f>'[1]CLASSALLOC'!Q$1587</f>
        <v>38372.72647667207</v>
      </c>
      <c r="N26" s="13">
        <f>'[1]CLASSALLOC'!R$1587</f>
        <v>609379.7495679742</v>
      </c>
      <c r="O26" s="13">
        <f>'[1]CLASSALLOC'!S$1587</f>
        <v>984401.7687350751</v>
      </c>
      <c r="P26" s="13">
        <f>'[1]CLASSALLOC'!T$1587</f>
        <v>43966.19474932537</v>
      </c>
      <c r="Q26" s="13">
        <f>'[1]CLASSALLOC'!U$1587</f>
        <v>40333.26273502647</v>
      </c>
      <c r="R26" s="3"/>
    </row>
    <row r="27" spans="1:18" ht="12.75">
      <c r="A27" s="36">
        <f>A26+1</f>
        <v>14</v>
      </c>
      <c r="B27" s="12" t="s">
        <v>38</v>
      </c>
      <c r="C27" s="13">
        <f>'[1]CLASSALLOC'!F$1764</f>
        <v>51973585</v>
      </c>
      <c r="D27" s="13">
        <f>'[1]CLASSALLOC'!H$1764</f>
        <v>30591152.99933813</v>
      </c>
      <c r="E27" s="13">
        <f>'[1]CLASSALLOC'!I$1764</f>
        <v>6299346.8835516805</v>
      </c>
      <c r="F27" s="13">
        <f>'[1]CLASSALLOC'!J$1764</f>
        <v>6150048.851351986</v>
      </c>
      <c r="G27" s="13">
        <f>'[1]CLASSALLOC'!K$1764</f>
        <v>3518963.518801863</v>
      </c>
      <c r="H27" s="13">
        <f>'[1]CLASSALLOC'!L$1764</f>
        <v>2418592.9823040403</v>
      </c>
      <c r="I27" s="13">
        <f>'[1]CLASSALLOC'!M$1764</f>
        <v>15931.135127400927</v>
      </c>
      <c r="J27" s="13">
        <f>'[1]CLASSALLOC'!N$1764</f>
        <v>449277.5764413225</v>
      </c>
      <c r="K27" s="13">
        <f>'[1]CLASSALLOC'!O$1764</f>
        <v>885920.688515272</v>
      </c>
      <c r="L27" s="13">
        <f>'[1]CLASSALLOC'!P$1764</f>
        <v>704163.0565200344</v>
      </c>
      <c r="M27" s="13">
        <f>'[1]CLASSALLOC'!Q$1764</f>
        <v>31143.4275639815</v>
      </c>
      <c r="N27" s="13">
        <f>'[1]CLASSALLOC'!R$1764</f>
        <v>428911.097970866</v>
      </c>
      <c r="O27" s="13">
        <f>'[1]CLASSALLOC'!S$1764</f>
        <v>427610.93296905153</v>
      </c>
      <c r="P27" s="13">
        <f>'[1]CLASSALLOC'!T$1764</f>
        <v>34327.172071688816</v>
      </c>
      <c r="Q27" s="13">
        <f>'[1]CLASSALLOC'!U$1764</f>
        <v>18194.677472687228</v>
      </c>
      <c r="R27" s="3"/>
    </row>
    <row r="28" spans="1:18" ht="13.5" thickBot="1">
      <c r="A28" s="36">
        <f>A27+1</f>
        <v>15</v>
      </c>
      <c r="B28" s="14" t="s">
        <v>39</v>
      </c>
      <c r="C28" s="21">
        <f>SUM(C24:C27)</f>
        <v>1705888306.3914304</v>
      </c>
      <c r="D28" s="21">
        <f aca="true" t="shared" si="2" ref="D28:Q28">SUM(D24:D27)</f>
        <v>956949392.8698925</v>
      </c>
      <c r="E28" s="21">
        <f t="shared" si="2"/>
        <v>207184802.48097083</v>
      </c>
      <c r="F28" s="21">
        <f t="shared" si="2"/>
        <v>215395846.56905288</v>
      </c>
      <c r="G28" s="21">
        <f t="shared" si="2"/>
        <v>136286001.31036925</v>
      </c>
      <c r="H28" s="21">
        <f t="shared" si="2"/>
        <v>90188086.95763151</v>
      </c>
      <c r="I28" s="21">
        <f t="shared" si="2"/>
        <v>379354.24278560566</v>
      </c>
      <c r="J28" s="21">
        <f t="shared" si="2"/>
        <v>11261825.654698772</v>
      </c>
      <c r="K28" s="21">
        <f t="shared" si="2"/>
        <v>36519723.39593963</v>
      </c>
      <c r="L28" s="21">
        <f t="shared" si="2"/>
        <v>31779162.67520577</v>
      </c>
      <c r="M28" s="21">
        <f t="shared" si="2"/>
        <v>261061.24442341793</v>
      </c>
      <c r="N28" s="21">
        <f t="shared" si="2"/>
        <v>5612549.580101866</v>
      </c>
      <c r="O28" s="21">
        <f t="shared" si="2"/>
        <v>13135580.021704976</v>
      </c>
      <c r="P28" s="21">
        <f t="shared" si="2"/>
        <v>334279.25207274745</v>
      </c>
      <c r="Q28" s="21">
        <f t="shared" si="2"/>
        <v>600640.1365804041</v>
      </c>
      <c r="R28" s="20"/>
    </row>
    <row r="29" spans="1:18" ht="13.5" thickTop="1">
      <c r="A29" s="36"/>
      <c r="B29" s="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"/>
    </row>
    <row r="30" spans="1:18" ht="12.75">
      <c r="A30" s="37">
        <f>A28+1</f>
        <v>16</v>
      </c>
      <c r="B30" s="12" t="s">
        <v>40</v>
      </c>
      <c r="C30" s="13">
        <f>C21-C28</f>
        <v>175600499.60856962</v>
      </c>
      <c r="D30" s="13">
        <f aca="true" t="shared" si="3" ref="D30:Q30">D21-D28</f>
        <v>56408118.883069634</v>
      </c>
      <c r="E30" s="13">
        <f t="shared" si="3"/>
        <v>22805371.94614148</v>
      </c>
      <c r="F30" s="13">
        <f t="shared" si="3"/>
        <v>48578464.78027809</v>
      </c>
      <c r="G30" s="13">
        <f t="shared" si="3"/>
        <v>24465384.518001944</v>
      </c>
      <c r="H30" s="13">
        <f t="shared" si="3"/>
        <v>10705591.903927237</v>
      </c>
      <c r="I30" s="13">
        <f t="shared" si="3"/>
        <v>-118674.42658522772</v>
      </c>
      <c r="J30" s="13">
        <f t="shared" si="3"/>
        <v>1808745.3595301602</v>
      </c>
      <c r="K30" s="13">
        <f>K21-K28</f>
        <v>2928584.243795797</v>
      </c>
      <c r="L30" s="13">
        <f t="shared" si="3"/>
        <v>1512143.0603823625</v>
      </c>
      <c r="M30" s="13">
        <f t="shared" si="3"/>
        <v>583932.7215530426</v>
      </c>
      <c r="N30" s="13">
        <f t="shared" si="3"/>
        <v>3238165.896514751</v>
      </c>
      <c r="O30" s="13">
        <f t="shared" si="3"/>
        <v>2459876.747451879</v>
      </c>
      <c r="P30" s="13">
        <f t="shared" si="3"/>
        <v>456042.3415686296</v>
      </c>
      <c r="Q30" s="13">
        <f t="shared" si="3"/>
        <v>-231248.3670598899</v>
      </c>
      <c r="R30" s="3"/>
    </row>
    <row r="31" spans="1:18" ht="13.5" thickBot="1">
      <c r="A31" s="36">
        <f>A30+1</f>
        <v>17</v>
      </c>
      <c r="B31" s="22" t="s">
        <v>41</v>
      </c>
      <c r="C31" s="23">
        <f>IF(C15=0,0,C30/C15)</f>
        <v>0.05313018410103329</v>
      </c>
      <c r="D31" s="23">
        <f>IF(D15=0,0,D30/D15)</f>
        <v>0.028996395769268067</v>
      </c>
      <c r="E31" s="23">
        <f aca="true" t="shared" si="4" ref="E31:Q31">IF(E15=0,0,E30/E15)</f>
        <v>0.05692982955935984</v>
      </c>
      <c r="F31" s="23">
        <f t="shared" si="4"/>
        <v>0.1242119752645209</v>
      </c>
      <c r="G31" s="23">
        <f t="shared" si="4"/>
        <v>0.10932903864722948</v>
      </c>
      <c r="H31" s="23">
        <f t="shared" si="4"/>
        <v>0.06960591448395273</v>
      </c>
      <c r="I31" s="23">
        <f t="shared" si="4"/>
        <v>-0.11714093024994132</v>
      </c>
      <c r="J31" s="23">
        <f t="shared" si="4"/>
        <v>0.06330834121825153</v>
      </c>
      <c r="K31" s="23">
        <f>IF(K15=0,0,K30/K15)</f>
        <v>0.05198297440609782</v>
      </c>
      <c r="L31" s="23">
        <f t="shared" si="4"/>
        <v>0.033768976067465595</v>
      </c>
      <c r="M31" s="23">
        <f t="shared" si="4"/>
        <v>0.29484560058908404</v>
      </c>
      <c r="N31" s="23">
        <f t="shared" si="4"/>
        <v>0.11872168691686975</v>
      </c>
      <c r="O31" s="23">
        <f t="shared" si="4"/>
        <v>0.0904612937573016</v>
      </c>
      <c r="P31" s="23">
        <f t="shared" si="4"/>
        <v>0.20891296258098263</v>
      </c>
      <c r="Q31" s="23">
        <f t="shared" si="4"/>
        <v>-0.19986307322587277</v>
      </c>
      <c r="R31" s="3"/>
    </row>
    <row r="32" spans="1:18" ht="13.5" thickTop="1">
      <c r="A32" s="36"/>
      <c r="B32" s="12"/>
      <c r="C32" s="1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3"/>
    </row>
    <row r="33" spans="1:18" ht="12.75">
      <c r="A33" s="37"/>
      <c r="B33" s="25" t="s">
        <v>42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"/>
    </row>
    <row r="34" spans="1:18" ht="12.75">
      <c r="A34" s="37">
        <f>A31+1</f>
        <v>18</v>
      </c>
      <c r="B34" s="12" t="s">
        <v>43</v>
      </c>
      <c r="C34" s="24">
        <f>ROR</f>
        <v>0.086</v>
      </c>
      <c r="D34" s="24">
        <f aca="true" t="shared" si="5" ref="D34:Q34">ROR</f>
        <v>0.086</v>
      </c>
      <c r="E34" s="24">
        <f t="shared" si="5"/>
        <v>0.086</v>
      </c>
      <c r="F34" s="24">
        <f t="shared" si="5"/>
        <v>0.086</v>
      </c>
      <c r="G34" s="24">
        <f t="shared" si="5"/>
        <v>0.086</v>
      </c>
      <c r="H34" s="24">
        <f t="shared" si="5"/>
        <v>0.086</v>
      </c>
      <c r="I34" s="24">
        <f t="shared" si="5"/>
        <v>0.086</v>
      </c>
      <c r="J34" s="24">
        <f t="shared" si="5"/>
        <v>0.086</v>
      </c>
      <c r="K34" s="24">
        <f t="shared" si="5"/>
        <v>0.086</v>
      </c>
      <c r="L34" s="24">
        <f t="shared" si="5"/>
        <v>0.086</v>
      </c>
      <c r="M34" s="24">
        <f t="shared" si="5"/>
        <v>0.086</v>
      </c>
      <c r="N34" s="24">
        <f t="shared" si="5"/>
        <v>0.086</v>
      </c>
      <c r="O34" s="24">
        <f t="shared" si="5"/>
        <v>0.086</v>
      </c>
      <c r="P34" s="24">
        <f t="shared" si="5"/>
        <v>0.086</v>
      </c>
      <c r="Q34" s="24">
        <f t="shared" si="5"/>
        <v>0.086</v>
      </c>
      <c r="R34" s="3"/>
    </row>
    <row r="35" spans="1:18" ht="12.75">
      <c r="A35" s="36">
        <f aca="true" t="shared" si="6" ref="A35:A42">A34+1</f>
        <v>19</v>
      </c>
      <c r="B35" s="12" t="s">
        <v>44</v>
      </c>
      <c r="C35" s="13">
        <f>C34*C15</f>
        <v>284238483.67661285</v>
      </c>
      <c r="D35" s="13">
        <f aca="true" t="shared" si="7" ref="D35:Q35">D34*D15</f>
        <v>167300041.7895193</v>
      </c>
      <c r="E35" s="13">
        <f t="shared" si="7"/>
        <v>34450515.7058865</v>
      </c>
      <c r="F35" s="13">
        <f t="shared" si="7"/>
        <v>33634019.28201378</v>
      </c>
      <c r="G35" s="13">
        <f t="shared" si="7"/>
        <v>19244869.38312144</v>
      </c>
      <c r="H35" s="13">
        <f t="shared" si="7"/>
        <v>13227049.893152405</v>
      </c>
      <c r="I35" s="13">
        <f t="shared" si="7"/>
        <v>87125.82924305995</v>
      </c>
      <c r="J35" s="13">
        <f t="shared" si="7"/>
        <v>2457055.3883782495</v>
      </c>
      <c r="K35" s="13">
        <f t="shared" si="7"/>
        <v>4845014.119409344</v>
      </c>
      <c r="L35" s="13">
        <f t="shared" si="7"/>
        <v>3850999.299862489</v>
      </c>
      <c r="M35" s="13">
        <f t="shared" si="7"/>
        <v>170320.37769337118</v>
      </c>
      <c r="N35" s="13">
        <f t="shared" si="7"/>
        <v>2345673.0975804357</v>
      </c>
      <c r="O35" s="13">
        <f t="shared" si="7"/>
        <v>2338562.6215829616</v>
      </c>
      <c r="P35" s="13">
        <f t="shared" si="7"/>
        <v>187731.96689362498</v>
      </c>
      <c r="Q35" s="13">
        <f t="shared" si="7"/>
        <v>99504.9222758377</v>
      </c>
      <c r="R35" s="3"/>
    </row>
    <row r="36" spans="1:18" ht="12.75">
      <c r="A36" s="36">
        <f t="shared" si="6"/>
        <v>20</v>
      </c>
      <c r="B36" s="12" t="s">
        <v>45</v>
      </c>
      <c r="C36" s="13">
        <f>C35-C30</f>
        <v>108637984.06804323</v>
      </c>
      <c r="D36" s="13">
        <f>D35-D30</f>
        <v>110891922.90644968</v>
      </c>
      <c r="E36" s="13">
        <f aca="true" t="shared" si="8" ref="E36:Q36">E35-E30</f>
        <v>11645143.759745017</v>
      </c>
      <c r="F36" s="13">
        <f t="shared" si="8"/>
        <v>-14944445.498264305</v>
      </c>
      <c r="G36" s="13">
        <f t="shared" si="8"/>
        <v>-5220515.1348805055</v>
      </c>
      <c r="H36" s="13">
        <f t="shared" si="8"/>
        <v>2521457.989225168</v>
      </c>
      <c r="I36" s="13">
        <f t="shared" si="8"/>
        <v>205800.25582828769</v>
      </c>
      <c r="J36" s="13">
        <f t="shared" si="8"/>
        <v>648310.0288480893</v>
      </c>
      <c r="K36" s="13">
        <f t="shared" si="8"/>
        <v>1916429.875613547</v>
      </c>
      <c r="L36" s="13">
        <f t="shared" si="8"/>
        <v>2338856.2394801266</v>
      </c>
      <c r="M36" s="13">
        <f t="shared" si="8"/>
        <v>-413612.3438596715</v>
      </c>
      <c r="N36" s="13">
        <f t="shared" si="8"/>
        <v>-892492.7989343153</v>
      </c>
      <c r="O36" s="13">
        <f t="shared" si="8"/>
        <v>-121314.12586891744</v>
      </c>
      <c r="P36" s="13">
        <f t="shared" si="8"/>
        <v>-268310.3746750046</v>
      </c>
      <c r="Q36" s="13">
        <f t="shared" si="8"/>
        <v>330753.2893357276</v>
      </c>
      <c r="R36" s="3"/>
    </row>
    <row r="37" spans="1:18" ht="12.75">
      <c r="A37" s="36">
        <f t="shared" si="6"/>
        <v>21</v>
      </c>
      <c r="B37" s="12" t="s">
        <v>46</v>
      </c>
      <c r="C37" s="26">
        <f>+C36/C38</f>
        <v>0.6214308000000017</v>
      </c>
      <c r="D37" s="26">
        <f>ResRCF</f>
        <v>0.6214308</v>
      </c>
      <c r="E37" s="26">
        <f>OthRCF</f>
        <v>0.6214308</v>
      </c>
      <c r="F37" s="26">
        <f>SBRCF</f>
        <v>0.6214308</v>
      </c>
      <c r="G37" s="26">
        <f aca="true" t="shared" si="9" ref="G37:Q37">OthRCF</f>
        <v>0.6214308</v>
      </c>
      <c r="H37" s="26">
        <f t="shared" si="9"/>
        <v>0.6214308</v>
      </c>
      <c r="I37" s="26">
        <f t="shared" si="9"/>
        <v>0.6214308</v>
      </c>
      <c r="J37" s="26">
        <f t="shared" si="9"/>
        <v>0.6214308</v>
      </c>
      <c r="K37" s="26">
        <f t="shared" si="9"/>
        <v>0.6214308</v>
      </c>
      <c r="L37" s="26">
        <f t="shared" si="9"/>
        <v>0.6214308</v>
      </c>
      <c r="M37" s="26">
        <f t="shared" si="9"/>
        <v>0.6214308</v>
      </c>
      <c r="N37" s="26">
        <f t="shared" si="9"/>
        <v>0.6214308</v>
      </c>
      <c r="O37" s="26">
        <f t="shared" si="9"/>
        <v>0.6214308</v>
      </c>
      <c r="P37" s="26">
        <f t="shared" si="9"/>
        <v>0.6214308</v>
      </c>
      <c r="Q37" s="26">
        <f t="shared" si="9"/>
        <v>0.6214308</v>
      </c>
      <c r="R37" s="3"/>
    </row>
    <row r="38" spans="1:18" ht="12.75">
      <c r="A38" s="36">
        <f t="shared" si="6"/>
        <v>22</v>
      </c>
      <c r="B38" s="12" t="s">
        <v>47</v>
      </c>
      <c r="C38" s="13">
        <f>SUM(D38:Q38)</f>
        <v>174819117.5397855</v>
      </c>
      <c r="D38" s="13">
        <f>+D36/D37</f>
        <v>178446132.54838622</v>
      </c>
      <c r="E38" s="13">
        <f aca="true" t="shared" si="10" ref="E38:Q38">+E36/E37</f>
        <v>18739244.59448263</v>
      </c>
      <c r="F38" s="13">
        <f t="shared" si="10"/>
        <v>-24048446.743007116</v>
      </c>
      <c r="G38" s="13">
        <f t="shared" si="10"/>
        <v>-8400798.825678589</v>
      </c>
      <c r="H38" s="13">
        <f t="shared" si="10"/>
        <v>4057504.0523018297</v>
      </c>
      <c r="I38" s="13">
        <f t="shared" si="10"/>
        <v>331171.6378207963</v>
      </c>
      <c r="J38" s="13">
        <f t="shared" si="10"/>
        <v>1043253.7763626929</v>
      </c>
      <c r="K38" s="13">
        <f t="shared" si="10"/>
        <v>3083899.0851653107</v>
      </c>
      <c r="L38" s="13">
        <f t="shared" si="10"/>
        <v>3763663.20993444</v>
      </c>
      <c r="M38" s="13">
        <f t="shared" si="10"/>
        <v>-665580.6951629554</v>
      </c>
      <c r="N38" s="13">
        <f t="shared" si="10"/>
        <v>-1436190.158154883</v>
      </c>
      <c r="O38" s="13">
        <f t="shared" si="10"/>
        <v>-195217.4334920597</v>
      </c>
      <c r="P38" s="13">
        <f t="shared" si="10"/>
        <v>-431762.2729272586</v>
      </c>
      <c r="Q38" s="13">
        <f t="shared" si="10"/>
        <v>532244.7637544319</v>
      </c>
      <c r="R38" s="3"/>
    </row>
    <row r="39" spans="1:18" ht="12.75">
      <c r="A39" s="36">
        <f t="shared" si="6"/>
        <v>23</v>
      </c>
      <c r="B39" s="12" t="s">
        <v>48</v>
      </c>
      <c r="C39" s="13">
        <f>C38+C21</f>
        <v>2056307923.5397854</v>
      </c>
      <c r="D39" s="13">
        <f aca="true" t="shared" si="11" ref="D39:Q39">D38+D21</f>
        <v>1191803644.3013482</v>
      </c>
      <c r="E39" s="13">
        <f t="shared" si="11"/>
        <v>248729419.02159494</v>
      </c>
      <c r="F39" s="13">
        <f t="shared" si="11"/>
        <v>239925864.60632384</v>
      </c>
      <c r="G39" s="13">
        <f t="shared" si="11"/>
        <v>152350587.0026926</v>
      </c>
      <c r="H39" s="13">
        <f t="shared" si="11"/>
        <v>104951182.91386057</v>
      </c>
      <c r="I39" s="13">
        <f t="shared" si="11"/>
        <v>591851.4540211742</v>
      </c>
      <c r="J39" s="13">
        <f t="shared" si="11"/>
        <v>14113824.790591625</v>
      </c>
      <c r="K39" s="13">
        <f t="shared" si="11"/>
        <v>42532206.72490074</v>
      </c>
      <c r="L39" s="13">
        <f t="shared" si="11"/>
        <v>37054968.94552258</v>
      </c>
      <c r="M39" s="13">
        <f t="shared" si="11"/>
        <v>179413.27081350517</v>
      </c>
      <c r="N39" s="13">
        <f t="shared" si="11"/>
        <v>7414525.318461735</v>
      </c>
      <c r="O39" s="13">
        <f t="shared" si="11"/>
        <v>15400239.335664796</v>
      </c>
      <c r="P39" s="13">
        <f t="shared" si="11"/>
        <v>358559.3207141185</v>
      </c>
      <c r="Q39" s="13">
        <f t="shared" si="11"/>
        <v>901636.533274946</v>
      </c>
      <c r="R39" s="3"/>
    </row>
    <row r="40" spans="1:18" ht="12.75">
      <c r="A40" s="36">
        <f t="shared" si="6"/>
        <v>24</v>
      </c>
      <c r="B40" s="12" t="s">
        <v>49</v>
      </c>
      <c r="C40" s="13">
        <f>SUM(C19:C20)</f>
        <v>43479500</v>
      </c>
      <c r="D40" s="13">
        <f aca="true" t="shared" si="12" ref="D40:Q40">SUM(D19:D20)</f>
        <v>29267131.29144412</v>
      </c>
      <c r="E40" s="13">
        <f t="shared" si="12"/>
        <v>4497394.550403532</v>
      </c>
      <c r="F40" s="13">
        <f t="shared" si="12"/>
        <v>3073838.491971212</v>
      </c>
      <c r="G40" s="13">
        <f t="shared" si="12"/>
        <v>1683292.9153220048</v>
      </c>
      <c r="H40" s="13">
        <f t="shared" si="12"/>
        <v>1665842.9158039663</v>
      </c>
      <c r="I40" s="13">
        <f t="shared" si="12"/>
        <v>13254.816334999216</v>
      </c>
      <c r="J40" s="13">
        <f t="shared" si="12"/>
        <v>221057.02126434416</v>
      </c>
      <c r="K40" s="13">
        <f t="shared" si="12"/>
        <v>471247.66103373346</v>
      </c>
      <c r="L40" s="13">
        <f t="shared" si="12"/>
        <v>1395348.7530291856</v>
      </c>
      <c r="M40" s="13">
        <f t="shared" si="12"/>
        <v>1316.0108964050846</v>
      </c>
      <c r="N40" s="13">
        <f t="shared" si="12"/>
        <v>1027299.431696673</v>
      </c>
      <c r="O40" s="13">
        <f t="shared" si="12"/>
        <v>145142.7776379312</v>
      </c>
      <c r="P40" s="13">
        <f t="shared" si="12"/>
        <v>3645.5936413769996</v>
      </c>
      <c r="Q40" s="13">
        <f t="shared" si="12"/>
        <v>13687.769520514266</v>
      </c>
      <c r="R40" s="3"/>
    </row>
    <row r="41" spans="1:18" ht="12.75">
      <c r="A41" s="36">
        <f t="shared" si="6"/>
        <v>25</v>
      </c>
      <c r="B41" s="12" t="s">
        <v>50</v>
      </c>
      <c r="C41" s="13">
        <f>C39-C40</f>
        <v>2012828423.5397854</v>
      </c>
      <c r="D41" s="13">
        <f aca="true" t="shared" si="13" ref="D41:Q41">D39-D40</f>
        <v>1162536513.0099041</v>
      </c>
      <c r="E41" s="13">
        <f t="shared" si="13"/>
        <v>244232024.4711914</v>
      </c>
      <c r="F41" s="13">
        <f t="shared" si="13"/>
        <v>236852026.1143526</v>
      </c>
      <c r="G41" s="13">
        <f t="shared" si="13"/>
        <v>150667294.0873706</v>
      </c>
      <c r="H41" s="13">
        <f t="shared" si="13"/>
        <v>103285339.9980566</v>
      </c>
      <c r="I41" s="13">
        <f t="shared" si="13"/>
        <v>578596.6376861751</v>
      </c>
      <c r="J41" s="13">
        <f t="shared" si="13"/>
        <v>13892767.769327281</v>
      </c>
      <c r="K41" s="13">
        <f t="shared" si="13"/>
        <v>42060959.063867</v>
      </c>
      <c r="L41" s="13">
        <f t="shared" si="13"/>
        <v>35659620.192493394</v>
      </c>
      <c r="M41" s="13">
        <f t="shared" si="13"/>
        <v>178097.25991710008</v>
      </c>
      <c r="N41" s="13">
        <f t="shared" si="13"/>
        <v>6387225.886765062</v>
      </c>
      <c r="O41" s="13">
        <f t="shared" si="13"/>
        <v>15255096.558026865</v>
      </c>
      <c r="P41" s="13">
        <f t="shared" si="13"/>
        <v>354913.7270727415</v>
      </c>
      <c r="Q41" s="13">
        <f t="shared" si="13"/>
        <v>887948.7637544317</v>
      </c>
      <c r="R41" s="3"/>
    </row>
    <row r="42" spans="1:18" ht="12.75">
      <c r="A42" s="36">
        <f t="shared" si="6"/>
        <v>26</v>
      </c>
      <c r="B42" s="12" t="s">
        <v>51</v>
      </c>
      <c r="C42" s="24">
        <f>IF(C18=0,0,(C41/C18)-1)</f>
        <v>0.09511329293551762</v>
      </c>
      <c r="D42" s="24">
        <f aca="true" t="shared" si="14" ref="D42:Q42">IF(D18=0,0,(D41/D18)-1)</f>
        <v>0.18133104041185577</v>
      </c>
      <c r="E42" s="24">
        <f t="shared" si="14"/>
        <v>0.08310352377902541</v>
      </c>
      <c r="F42" s="24">
        <f t="shared" si="14"/>
        <v>-0.09217479171130127</v>
      </c>
      <c r="G42" s="24">
        <f t="shared" si="14"/>
        <v>-0.05281259535984184</v>
      </c>
      <c r="H42" s="24">
        <f t="shared" si="14"/>
        <v>0.04089078446213379</v>
      </c>
      <c r="I42" s="24">
        <f t="shared" si="14"/>
        <v>1.338472822071267</v>
      </c>
      <c r="J42" s="24">
        <f t="shared" si="14"/>
        <v>0.08119013504587769</v>
      </c>
      <c r="K42" s="24">
        <f t="shared" si="14"/>
        <v>0.07912087486461128</v>
      </c>
      <c r="L42" s="24">
        <f t="shared" si="14"/>
        <v>0.11799812785026198</v>
      </c>
      <c r="M42" s="24">
        <f t="shared" si="14"/>
        <v>-0.7889037412383252</v>
      </c>
      <c r="N42" s="24">
        <f t="shared" si="14"/>
        <v>-0.18357583821551415</v>
      </c>
      <c r="O42" s="24">
        <f t="shared" si="14"/>
        <v>-0.012635175802849008</v>
      </c>
      <c r="P42" s="24">
        <f t="shared" si="14"/>
        <v>-0.5488438352349105</v>
      </c>
      <c r="Q42" s="24">
        <f t="shared" si="14"/>
        <v>1.4963136870949771</v>
      </c>
      <c r="R42" s="3"/>
    </row>
    <row r="43" spans="1:18" ht="12.75">
      <c r="A43" s="37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3"/>
    </row>
    <row r="44" spans="1:18" ht="25.5">
      <c r="A44" s="37"/>
      <c r="B44" s="4" t="s">
        <v>52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"/>
    </row>
    <row r="45" spans="1:18" ht="12.75">
      <c r="A45" s="37">
        <f>A42+1</f>
        <v>27</v>
      </c>
      <c r="B45" s="12" t="s">
        <v>53</v>
      </c>
      <c r="C45" s="27">
        <f>C46/C15</f>
        <v>0.08599999999999998</v>
      </c>
      <c r="D45" s="27">
        <f aca="true" t="shared" si="15" ref="D45:Q45">ROR</f>
        <v>0.086</v>
      </c>
      <c r="E45" s="27">
        <f t="shared" si="15"/>
        <v>0.086</v>
      </c>
      <c r="F45" s="27">
        <f t="shared" si="15"/>
        <v>0.086</v>
      </c>
      <c r="G45" s="27">
        <f t="shared" si="15"/>
        <v>0.086</v>
      </c>
      <c r="H45" s="27">
        <f t="shared" si="15"/>
        <v>0.086</v>
      </c>
      <c r="I45" s="27">
        <f t="shared" si="15"/>
        <v>0.086</v>
      </c>
      <c r="J45" s="27">
        <f t="shared" si="15"/>
        <v>0.086</v>
      </c>
      <c r="K45" s="27">
        <f t="shared" si="15"/>
        <v>0.086</v>
      </c>
      <c r="L45" s="27">
        <f t="shared" si="15"/>
        <v>0.086</v>
      </c>
      <c r="M45" s="27">
        <f t="shared" si="15"/>
        <v>0.086</v>
      </c>
      <c r="N45" s="27">
        <f t="shared" si="15"/>
        <v>0.086</v>
      </c>
      <c r="O45" s="27">
        <f t="shared" si="15"/>
        <v>0.086</v>
      </c>
      <c r="P45" s="27">
        <f t="shared" si="15"/>
        <v>0.086</v>
      </c>
      <c r="Q45" s="27">
        <f t="shared" si="15"/>
        <v>0.086</v>
      </c>
      <c r="R45" s="3"/>
    </row>
    <row r="46" spans="1:18" ht="12.75">
      <c r="A46" s="36">
        <f aca="true" t="shared" si="16" ref="A46:A51">A45+1</f>
        <v>28</v>
      </c>
      <c r="B46" s="12" t="s">
        <v>54</v>
      </c>
      <c r="C46" s="13">
        <f>SUM(D46:Q46)</f>
        <v>284238483.6766128</v>
      </c>
      <c r="D46" s="13">
        <f aca="true" t="shared" si="17" ref="D46:Q46">D45*D15</f>
        <v>167300041.7895193</v>
      </c>
      <c r="E46" s="13">
        <f t="shared" si="17"/>
        <v>34450515.7058865</v>
      </c>
      <c r="F46" s="13">
        <f t="shared" si="17"/>
        <v>33634019.28201378</v>
      </c>
      <c r="G46" s="13">
        <f t="shared" si="17"/>
        <v>19244869.38312144</v>
      </c>
      <c r="H46" s="13">
        <f t="shared" si="17"/>
        <v>13227049.893152405</v>
      </c>
      <c r="I46" s="13">
        <f t="shared" si="17"/>
        <v>87125.82924305995</v>
      </c>
      <c r="J46" s="13">
        <f t="shared" si="17"/>
        <v>2457055.3883782495</v>
      </c>
      <c r="K46" s="13">
        <f t="shared" si="17"/>
        <v>4845014.119409344</v>
      </c>
      <c r="L46" s="13">
        <f t="shared" si="17"/>
        <v>3850999.299862489</v>
      </c>
      <c r="M46" s="13">
        <f t="shared" si="17"/>
        <v>170320.37769337118</v>
      </c>
      <c r="N46" s="13">
        <f t="shared" si="17"/>
        <v>2345673.0975804357</v>
      </c>
      <c r="O46" s="13">
        <f t="shared" si="17"/>
        <v>2338562.6215829616</v>
      </c>
      <c r="P46" s="13">
        <f t="shared" si="17"/>
        <v>187731.96689362498</v>
      </c>
      <c r="Q46" s="13">
        <f t="shared" si="17"/>
        <v>99504.9222758377</v>
      </c>
      <c r="R46" s="3"/>
    </row>
    <row r="47" spans="1:18" ht="12.75">
      <c r="A47" s="36">
        <f t="shared" si="16"/>
        <v>29</v>
      </c>
      <c r="B47" s="12" t="s">
        <v>45</v>
      </c>
      <c r="C47" s="13">
        <f>SUM(D47:Q47)</f>
        <v>108637984.06804292</v>
      </c>
      <c r="D47" s="13">
        <f>D46-D30</f>
        <v>110891922.90644968</v>
      </c>
      <c r="E47" s="13">
        <f aca="true" t="shared" si="18" ref="E47:Q47">E46-E30</f>
        <v>11645143.759745017</v>
      </c>
      <c r="F47" s="13">
        <f t="shared" si="18"/>
        <v>-14944445.498264305</v>
      </c>
      <c r="G47" s="13">
        <f t="shared" si="18"/>
        <v>-5220515.1348805055</v>
      </c>
      <c r="H47" s="13">
        <f t="shared" si="18"/>
        <v>2521457.989225168</v>
      </c>
      <c r="I47" s="13">
        <f t="shared" si="18"/>
        <v>205800.25582828769</v>
      </c>
      <c r="J47" s="13">
        <f t="shared" si="18"/>
        <v>648310.0288480893</v>
      </c>
      <c r="K47" s="13">
        <f t="shared" si="18"/>
        <v>1916429.875613547</v>
      </c>
      <c r="L47" s="13">
        <f t="shared" si="18"/>
        <v>2338856.2394801266</v>
      </c>
      <c r="M47" s="13">
        <f t="shared" si="18"/>
        <v>-413612.3438596715</v>
      </c>
      <c r="N47" s="13">
        <f t="shared" si="18"/>
        <v>-892492.7989343153</v>
      </c>
      <c r="O47" s="13">
        <f t="shared" si="18"/>
        <v>-121314.12586891744</v>
      </c>
      <c r="P47" s="13">
        <f t="shared" si="18"/>
        <v>-268310.3746750046</v>
      </c>
      <c r="Q47" s="13">
        <f t="shared" si="18"/>
        <v>330753.2893357276</v>
      </c>
      <c r="R47" s="3"/>
    </row>
    <row r="48" spans="1:18" ht="12.75">
      <c r="A48" s="36">
        <f t="shared" si="16"/>
        <v>30</v>
      </c>
      <c r="B48" s="12" t="s">
        <v>46</v>
      </c>
      <c r="C48" s="26">
        <f>C49/C47</f>
        <v>1.6091896314118967</v>
      </c>
      <c r="D48" s="26">
        <f aca="true" t="shared" si="19" ref="D48:Q48">D37</f>
        <v>0.6214308</v>
      </c>
      <c r="E48" s="26">
        <f t="shared" si="19"/>
        <v>0.6214308</v>
      </c>
      <c r="F48" s="26">
        <f t="shared" si="19"/>
        <v>0.6214308</v>
      </c>
      <c r="G48" s="26">
        <f t="shared" si="19"/>
        <v>0.6214308</v>
      </c>
      <c r="H48" s="26">
        <f t="shared" si="19"/>
        <v>0.6214308</v>
      </c>
      <c r="I48" s="26">
        <f t="shared" si="19"/>
        <v>0.6214308</v>
      </c>
      <c r="J48" s="26">
        <f t="shared" si="19"/>
        <v>0.6214308</v>
      </c>
      <c r="K48" s="26">
        <f t="shared" si="19"/>
        <v>0.6214308</v>
      </c>
      <c r="L48" s="26">
        <f t="shared" si="19"/>
        <v>0.6214308</v>
      </c>
      <c r="M48" s="26">
        <f t="shared" si="19"/>
        <v>0.6214308</v>
      </c>
      <c r="N48" s="26">
        <f t="shared" si="19"/>
        <v>0.6214308</v>
      </c>
      <c r="O48" s="26">
        <f t="shared" si="19"/>
        <v>0.6214308</v>
      </c>
      <c r="P48" s="26">
        <f t="shared" si="19"/>
        <v>0.6214308</v>
      </c>
      <c r="Q48" s="26">
        <f t="shared" si="19"/>
        <v>0.6214308</v>
      </c>
      <c r="R48" s="3"/>
    </row>
    <row r="49" spans="1:18" ht="12.75">
      <c r="A49" s="36">
        <f t="shared" si="16"/>
        <v>31</v>
      </c>
      <c r="B49" s="12" t="s">
        <v>47</v>
      </c>
      <c r="C49" s="13">
        <f>SUM(D49:Q49)</f>
        <v>174819117.5397855</v>
      </c>
      <c r="D49" s="13">
        <f>+D47/D48</f>
        <v>178446132.54838622</v>
      </c>
      <c r="E49" s="13">
        <f aca="true" t="shared" si="20" ref="E49:Q49">+E47/E48</f>
        <v>18739244.59448263</v>
      </c>
      <c r="F49" s="13">
        <f t="shared" si="20"/>
        <v>-24048446.743007116</v>
      </c>
      <c r="G49" s="13">
        <f t="shared" si="20"/>
        <v>-8400798.825678589</v>
      </c>
      <c r="H49" s="13">
        <f t="shared" si="20"/>
        <v>4057504.0523018297</v>
      </c>
      <c r="I49" s="13">
        <f t="shared" si="20"/>
        <v>331171.6378207963</v>
      </c>
      <c r="J49" s="13">
        <f t="shared" si="20"/>
        <v>1043253.7763626929</v>
      </c>
      <c r="K49" s="13">
        <f t="shared" si="20"/>
        <v>3083899.0851653107</v>
      </c>
      <c r="L49" s="13">
        <f t="shared" si="20"/>
        <v>3763663.20993444</v>
      </c>
      <c r="M49" s="13">
        <f t="shared" si="20"/>
        <v>-665580.6951629554</v>
      </c>
      <c r="N49" s="13">
        <f t="shared" si="20"/>
        <v>-1436190.158154883</v>
      </c>
      <c r="O49" s="13">
        <f t="shared" si="20"/>
        <v>-195217.4334920597</v>
      </c>
      <c r="P49" s="13">
        <f t="shared" si="20"/>
        <v>-431762.2729272586</v>
      </c>
      <c r="Q49" s="13">
        <f t="shared" si="20"/>
        <v>532244.7637544319</v>
      </c>
      <c r="R49" s="3"/>
    </row>
    <row r="50" spans="1:18" ht="12.75">
      <c r="A50" s="36">
        <f t="shared" si="16"/>
        <v>32</v>
      </c>
      <c r="B50" s="13" t="s">
        <v>51</v>
      </c>
      <c r="C50" s="24">
        <f>IF(C18=0,0,(C51-C18)/C18)</f>
        <v>0.09511329293551746</v>
      </c>
      <c r="D50" s="24">
        <f aca="true" t="shared" si="21" ref="D50:Q50">IF(D18=0,0,(D51-D18)/D18)</f>
        <v>0.18133104041185558</v>
      </c>
      <c r="E50" s="24">
        <f t="shared" si="21"/>
        <v>0.0831035237790255</v>
      </c>
      <c r="F50" s="24">
        <f t="shared" si="21"/>
        <v>-0.09217479171130118</v>
      </c>
      <c r="G50" s="24">
        <f t="shared" si="21"/>
        <v>-0.052812595359841806</v>
      </c>
      <c r="H50" s="24">
        <f t="shared" si="21"/>
        <v>0.04089078446213373</v>
      </c>
      <c r="I50" s="24">
        <f t="shared" si="21"/>
        <v>1.3384728220712672</v>
      </c>
      <c r="J50" s="24">
        <f t="shared" si="21"/>
        <v>0.08119013504587791</v>
      </c>
      <c r="K50" s="24">
        <f t="shared" si="21"/>
        <v>0.07912087486461132</v>
      </c>
      <c r="L50" s="24">
        <f t="shared" si="21"/>
        <v>0.11799812785026198</v>
      </c>
      <c r="M50" s="24">
        <f t="shared" si="21"/>
        <v>-0.7889037412383252</v>
      </c>
      <c r="N50" s="24">
        <f t="shared" si="21"/>
        <v>-0.1835758382155142</v>
      </c>
      <c r="O50" s="24">
        <f t="shared" si="21"/>
        <v>-0.012635175802848977</v>
      </c>
      <c r="P50" s="24">
        <f t="shared" si="21"/>
        <v>-0.5488438352349105</v>
      </c>
      <c r="Q50" s="24">
        <f t="shared" si="21"/>
        <v>1.4963136870949771</v>
      </c>
      <c r="R50" s="3"/>
    </row>
    <row r="51" spans="1:18" ht="13.5" thickBot="1">
      <c r="A51" s="36">
        <f t="shared" si="16"/>
        <v>33</v>
      </c>
      <c r="B51" s="14" t="s">
        <v>50</v>
      </c>
      <c r="C51" s="28">
        <f>SUM(D51:Q51)</f>
        <v>2012828423.5397851</v>
      </c>
      <c r="D51" s="28">
        <f>D49+D21-D20-D19</f>
        <v>1162536513.009904</v>
      </c>
      <c r="E51" s="28">
        <f aca="true" t="shared" si="22" ref="E51:Q51">E49+E21-E20-E19</f>
        <v>244232024.4711914</v>
      </c>
      <c r="F51" s="28">
        <f t="shared" si="22"/>
        <v>236852026.11435264</v>
      </c>
      <c r="G51" s="28">
        <f t="shared" si="22"/>
        <v>150667294.0873706</v>
      </c>
      <c r="H51" s="28">
        <f t="shared" si="22"/>
        <v>103285339.9980566</v>
      </c>
      <c r="I51" s="28">
        <f t="shared" si="22"/>
        <v>578596.6376861751</v>
      </c>
      <c r="J51" s="28">
        <f t="shared" si="22"/>
        <v>13892767.769327283</v>
      </c>
      <c r="K51" s="28">
        <f t="shared" si="22"/>
        <v>42060959.063867</v>
      </c>
      <c r="L51" s="28">
        <f t="shared" si="22"/>
        <v>35659620.192493394</v>
      </c>
      <c r="M51" s="28">
        <f t="shared" si="22"/>
        <v>178097.25991710008</v>
      </c>
      <c r="N51" s="28">
        <f t="shared" si="22"/>
        <v>6387225.886765062</v>
      </c>
      <c r="O51" s="28">
        <f t="shared" si="22"/>
        <v>15255096.558026865</v>
      </c>
      <c r="P51" s="28">
        <f t="shared" si="22"/>
        <v>354913.7270727415</v>
      </c>
      <c r="Q51" s="28">
        <f t="shared" si="22"/>
        <v>887948.7637544317</v>
      </c>
      <c r="R51" s="3"/>
    </row>
    <row r="52" spans="1:18" ht="13.5" thickTop="1">
      <c r="A52" s="3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"/>
    </row>
    <row r="53" spans="1:18" ht="12.75">
      <c r="A53" s="36">
        <f>A51+1</f>
        <v>34</v>
      </c>
      <c r="B53" s="12" t="s">
        <v>55</v>
      </c>
      <c r="C53" s="29">
        <f>+C18/C51</f>
        <v>0.9131475313567233</v>
      </c>
      <c r="D53" s="29">
        <f aca="true" t="shared" si="23" ref="D53:Q53">+D18/D51</f>
        <v>0.8465027716967152</v>
      </c>
      <c r="E53" s="29">
        <f t="shared" si="23"/>
        <v>0.9232727786822524</v>
      </c>
      <c r="F53" s="29">
        <f t="shared" si="23"/>
        <v>1.101533633203528</v>
      </c>
      <c r="G53" s="29">
        <f t="shared" si="23"/>
        <v>1.0557572821398586</v>
      </c>
      <c r="H53" s="29">
        <f t="shared" si="23"/>
        <v>0.9607155860417541</v>
      </c>
      <c r="I53" s="29">
        <f t="shared" si="23"/>
        <v>0.42762951553752293</v>
      </c>
      <c r="J53" s="29">
        <f t="shared" si="23"/>
        <v>0.9249067001129891</v>
      </c>
      <c r="K53" s="29">
        <f t="shared" si="23"/>
        <v>0.9266802480541969</v>
      </c>
      <c r="L53" s="29">
        <f t="shared" si="23"/>
        <v>0.8944558806398414</v>
      </c>
      <c r="M53" s="29">
        <f t="shared" si="23"/>
        <v>4.737175380872041</v>
      </c>
      <c r="N53" s="29">
        <f t="shared" si="23"/>
        <v>1.2248535097421251</v>
      </c>
      <c r="O53" s="29">
        <f t="shared" si="23"/>
        <v>1.0127968664603004</v>
      </c>
      <c r="P53" s="29">
        <f t="shared" si="23"/>
        <v>2.216527398047826</v>
      </c>
      <c r="Q53" s="29">
        <f t="shared" si="23"/>
        <v>0.4005906810388582</v>
      </c>
      <c r="R53" s="30">
        <f>(M18+N18)/(M51+N51)</f>
        <v>1.3201321254659009</v>
      </c>
    </row>
    <row r="54" spans="1:18" ht="13.5" thickBot="1">
      <c r="A54" s="36">
        <f>A53+1</f>
        <v>35</v>
      </c>
      <c r="B54" s="22" t="s">
        <v>56</v>
      </c>
      <c r="C54" s="31">
        <f>+C53/$C$53</f>
        <v>1</v>
      </c>
      <c r="D54" s="31">
        <f aca="true" t="shared" si="24" ref="D54:R54">+D53/$C$53</f>
        <v>0.9270164377918323</v>
      </c>
      <c r="E54" s="31">
        <f t="shared" si="24"/>
        <v>1.0110882929404468</v>
      </c>
      <c r="F54" s="31">
        <f t="shared" si="24"/>
        <v>1.20630412433674</v>
      </c>
      <c r="G54" s="31">
        <f t="shared" si="24"/>
        <v>1.1561738337848328</v>
      </c>
      <c r="H54" s="31">
        <f t="shared" si="24"/>
        <v>1.0520924090046608</v>
      </c>
      <c r="I54" s="31">
        <f t="shared" si="24"/>
        <v>0.4683027669167168</v>
      </c>
      <c r="J54" s="31">
        <f t="shared" si="24"/>
        <v>1.0128776220188587</v>
      </c>
      <c r="K54" s="31">
        <f t="shared" si="24"/>
        <v>1.0148198579449337</v>
      </c>
      <c r="L54" s="31">
        <f t="shared" si="24"/>
        <v>0.9795305248330349</v>
      </c>
      <c r="M54" s="31">
        <f t="shared" si="24"/>
        <v>5.187743730559845</v>
      </c>
      <c r="N54" s="31">
        <f t="shared" si="24"/>
        <v>1.3413533604173247</v>
      </c>
      <c r="O54" s="31">
        <f t="shared" si="24"/>
        <v>1.1091273115041131</v>
      </c>
      <c r="P54" s="31">
        <f t="shared" si="24"/>
        <v>2.427348617757949</v>
      </c>
      <c r="Q54" s="31">
        <f t="shared" si="24"/>
        <v>0.4386921798317456</v>
      </c>
      <c r="R54" s="31">
        <f t="shared" si="24"/>
        <v>1.4456942390289265</v>
      </c>
    </row>
    <row r="55" ht="13.5" thickTop="1"/>
  </sheetData>
  <printOptions/>
  <pageMargins left="0.22" right="0.18" top="0.93" bottom="0.26" header="0.71" footer="0.18"/>
  <pageSetup fitToHeight="1" fitToWidth="1" horizontalDpi="600" verticalDpi="600" orientation="landscape" scale="54" r:id="rId1"/>
  <headerFooter alignWithMargins="0">
    <oddHeader>&amp;RExhibit ___ (DWS-3)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Schoenbeck</dc:creator>
  <cp:keywords/>
  <dc:description/>
  <cp:lastModifiedBy>ias</cp:lastModifiedBy>
  <cp:lastPrinted>2008-05-28T21:20:55Z</cp:lastPrinted>
  <dcterms:created xsi:type="dcterms:W3CDTF">2008-05-28T17:17:48Z</dcterms:created>
  <dcterms:modified xsi:type="dcterms:W3CDTF">2008-05-28T21:45:17Z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