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1\04.2021 Final Report\"/>
    </mc:Choice>
  </mc:AlternateContent>
  <xr:revisionPtr revIDLastSave="0" documentId="8_{3523DFBB-9A1D-4DA4-AAA5-9FCECAF86902}" xr6:coauthVersionLast="44" xr6:coauthVersionMax="44" xr10:uidLastSave="{00000000-0000-0000-0000-000000000000}"/>
  <bookViews>
    <workbookView xWindow="40920" yWindow="-120" windowWidth="29040" windowHeight="15840" xr2:uid="{B8AF0314-FBEB-45F8-A439-938EF7993CA2}"/>
  </bookViews>
  <sheets>
    <sheet name="WA Summary " sheetId="1" r:id="rId1"/>
    <sheet name="WA Monthly" sheetId="2" r:id="rId2"/>
    <sheet name="WA RRC" sheetId="3" r:id="rId3"/>
  </sheets>
  <externalReferences>
    <externalReference r:id="rId4"/>
  </externalReference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'!$A$1:$Q$42</definedName>
    <definedName name="_xlnm.Print_Titles" localSheetId="1">'WA Monthly'!$A:$D,'WA Monthly'!$1:$5</definedName>
    <definedName name="WAAVARpt">'WA Monthly'!$A$6:$P$140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3" l="1"/>
  <c r="B18" i="3"/>
  <c r="J15" i="3"/>
  <c r="F15" i="3"/>
  <c r="M14" i="3"/>
  <c r="L14" i="3"/>
  <c r="K14" i="3"/>
  <c r="J14" i="3"/>
  <c r="I14" i="3"/>
  <c r="H14" i="3"/>
  <c r="G14" i="3"/>
  <c r="F14" i="3"/>
  <c r="E14" i="3"/>
  <c r="D14" i="3"/>
  <c r="C14" i="3"/>
  <c r="B14" i="3"/>
  <c r="K13" i="3"/>
  <c r="G13" i="3"/>
  <c r="M12" i="3"/>
  <c r="L12" i="3"/>
  <c r="K12" i="3"/>
  <c r="J12" i="3"/>
  <c r="I12" i="3"/>
  <c r="H12" i="3"/>
  <c r="G12" i="3"/>
  <c r="F12" i="3"/>
  <c r="E12" i="3"/>
  <c r="D12" i="3"/>
  <c r="C12" i="3"/>
  <c r="B12" i="3"/>
  <c r="M10" i="3"/>
  <c r="L10" i="3"/>
  <c r="K10" i="3"/>
  <c r="J10" i="3"/>
  <c r="I10" i="3"/>
  <c r="H10" i="3"/>
  <c r="G10" i="3"/>
  <c r="F10" i="3"/>
  <c r="E10" i="3"/>
  <c r="D10" i="3"/>
  <c r="C10" i="3"/>
  <c r="B10" i="3"/>
  <c r="C9" i="3" s="1"/>
  <c r="K9" i="3"/>
  <c r="G9" i="3"/>
  <c r="B9" i="3"/>
  <c r="M8" i="3"/>
  <c r="M15" i="3" s="1"/>
  <c r="L8" i="3"/>
  <c r="K8" i="3"/>
  <c r="K19" i="3" s="1"/>
  <c r="K20" i="3" s="1"/>
  <c r="J8" i="3"/>
  <c r="J13" i="3" s="1"/>
  <c r="I8" i="3"/>
  <c r="I15" i="3" s="1"/>
  <c r="H8" i="3"/>
  <c r="G8" i="3"/>
  <c r="G19" i="3" s="1"/>
  <c r="G20" i="3" s="1"/>
  <c r="F8" i="3"/>
  <c r="F13" i="3" s="1"/>
  <c r="E8" i="3"/>
  <c r="D8" i="3"/>
  <c r="C8" i="3"/>
  <c r="B8" i="3"/>
  <c r="D7" i="3"/>
  <c r="C7" i="3"/>
  <c r="C18" i="3" s="1"/>
  <c r="Q138" i="2"/>
  <c r="P138" i="2"/>
  <c r="O138" i="2"/>
  <c r="N138" i="2"/>
  <c r="M138" i="2"/>
  <c r="L138" i="2"/>
  <c r="K138" i="2"/>
  <c r="J138" i="2"/>
  <c r="I138" i="2"/>
  <c r="H138" i="2"/>
  <c r="G138" i="2"/>
  <c r="F138" i="2"/>
  <c r="E138" i="2"/>
  <c r="D138" i="2" s="1"/>
  <c r="R137" i="2"/>
  <c r="D137" i="2"/>
  <c r="D136" i="2"/>
  <c r="R135" i="2"/>
  <c r="R138" i="2" s="1"/>
  <c r="D135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D133" i="2"/>
  <c r="R132" i="2"/>
  <c r="D132" i="2"/>
  <c r="R131" i="2"/>
  <c r="D131" i="2"/>
  <c r="R127" i="2"/>
  <c r="D127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R123" i="2"/>
  <c r="D123" i="2"/>
  <c r="R122" i="2"/>
  <c r="D122" i="2"/>
  <c r="R121" i="2"/>
  <c r="D121" i="2"/>
  <c r="D120" i="2"/>
  <c r="D119" i="2"/>
  <c r="R118" i="2"/>
  <c r="D118" i="2"/>
  <c r="R117" i="2"/>
  <c r="D117" i="2"/>
  <c r="R116" i="2"/>
  <c r="D116" i="2"/>
  <c r="R115" i="2"/>
  <c r="D115" i="2"/>
  <c r="R114" i="2"/>
  <c r="D114" i="2"/>
  <c r="R113" i="2"/>
  <c r="D113" i="2"/>
  <c r="R112" i="2"/>
  <c r="D112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8" i="2"/>
  <c r="D107" i="2"/>
  <c r="D106" i="2"/>
  <c r="D105" i="2"/>
  <c r="D109" i="2" s="1"/>
  <c r="P102" i="2"/>
  <c r="O102" i="2"/>
  <c r="N102" i="2"/>
  <c r="M102" i="2"/>
  <c r="L102" i="2"/>
  <c r="K102" i="2"/>
  <c r="J102" i="2"/>
  <c r="I102" i="2"/>
  <c r="H102" i="2"/>
  <c r="G102" i="2"/>
  <c r="F102" i="2"/>
  <c r="E102" i="2"/>
  <c r="R101" i="2"/>
  <c r="D101" i="2"/>
  <c r="R100" i="2"/>
  <c r="D100" i="2"/>
  <c r="R99" i="2"/>
  <c r="D99" i="2"/>
  <c r="P96" i="2"/>
  <c r="O96" i="2"/>
  <c r="N96" i="2"/>
  <c r="M96" i="2"/>
  <c r="L96" i="2"/>
  <c r="K96" i="2"/>
  <c r="J96" i="2"/>
  <c r="I96" i="2"/>
  <c r="H96" i="2"/>
  <c r="G96" i="2"/>
  <c r="F96" i="2"/>
  <c r="E96" i="2"/>
  <c r="R96" i="2" s="1"/>
  <c r="R95" i="2"/>
  <c r="D95" i="2"/>
  <c r="R94" i="2"/>
  <c r="D94" i="2"/>
  <c r="R93" i="2"/>
  <c r="D93" i="2"/>
  <c r="A93" i="2"/>
  <c r="A94" i="2" s="1"/>
  <c r="A95" i="2" s="1"/>
  <c r="A96" i="2" s="1"/>
  <c r="A99" i="2" s="1"/>
  <c r="A100" i="2" s="1"/>
  <c r="A101" i="2" s="1"/>
  <c r="A102" i="2" s="1"/>
  <c r="A105" i="2" s="1"/>
  <c r="A106" i="2" s="1"/>
  <c r="A107" i="2" s="1"/>
  <c r="A108" i="2" s="1"/>
  <c r="A109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7" i="2" s="1"/>
  <c r="A128" i="2" s="1"/>
  <c r="A131" i="2" s="1"/>
  <c r="A132" i="2" s="1"/>
  <c r="A133" i="2" s="1"/>
  <c r="A135" i="2" s="1"/>
  <c r="A136" i="2" s="1"/>
  <c r="A137" i="2" s="1"/>
  <c r="A138" i="2" s="1"/>
  <c r="A140" i="2" s="1"/>
  <c r="A142" i="2" s="1"/>
  <c r="R92" i="2"/>
  <c r="D92" i="2"/>
  <c r="D91" i="2"/>
  <c r="R90" i="2"/>
  <c r="D90" i="2"/>
  <c r="A90" i="2"/>
  <c r="A91" i="2" s="1"/>
  <c r="A92" i="2" s="1"/>
  <c r="R89" i="2"/>
  <c r="D89" i="2"/>
  <c r="R88" i="2"/>
  <c r="D88" i="2"/>
  <c r="P82" i="2"/>
  <c r="O82" i="2"/>
  <c r="N82" i="2"/>
  <c r="M82" i="2"/>
  <c r="L82" i="2"/>
  <c r="K82" i="2"/>
  <c r="J82" i="2"/>
  <c r="I82" i="2"/>
  <c r="H82" i="2"/>
  <c r="G82" i="2"/>
  <c r="F82" i="2"/>
  <c r="E82" i="2"/>
  <c r="R81" i="2"/>
  <c r="D81" i="2"/>
  <c r="R80" i="2"/>
  <c r="D80" i="2"/>
  <c r="R79" i="2"/>
  <c r="D79" i="2"/>
  <c r="R78" i="2"/>
  <c r="D78" i="2"/>
  <c r="R77" i="2"/>
  <c r="D77" i="2"/>
  <c r="R76" i="2"/>
  <c r="D76" i="2"/>
  <c r="P72" i="2"/>
  <c r="M72" i="2"/>
  <c r="L72" i="2"/>
  <c r="I72" i="2"/>
  <c r="H72" i="2"/>
  <c r="E72" i="2"/>
  <c r="P69" i="2"/>
  <c r="P73" i="2" s="1"/>
  <c r="O69" i="2"/>
  <c r="O73" i="2" s="1"/>
  <c r="N69" i="2"/>
  <c r="N73" i="2" s="1"/>
  <c r="M69" i="2"/>
  <c r="M73" i="2" s="1"/>
  <c r="L69" i="2"/>
  <c r="L73" i="2" s="1"/>
  <c r="K69" i="2"/>
  <c r="K73" i="2" s="1"/>
  <c r="J69" i="2"/>
  <c r="J73" i="2" s="1"/>
  <c r="I69" i="2"/>
  <c r="I73" i="2" s="1"/>
  <c r="H69" i="2"/>
  <c r="H73" i="2" s="1"/>
  <c r="G69" i="2"/>
  <c r="G73" i="2" s="1"/>
  <c r="F69" i="2"/>
  <c r="F73" i="2" s="1"/>
  <c r="E69" i="2"/>
  <c r="E73" i="2" s="1"/>
  <c r="P68" i="2"/>
  <c r="O68" i="2"/>
  <c r="O72" i="2" s="1"/>
  <c r="N68" i="2"/>
  <c r="N72" i="2" s="1"/>
  <c r="M68" i="2"/>
  <c r="L68" i="2"/>
  <c r="K68" i="2"/>
  <c r="K72" i="2" s="1"/>
  <c r="J68" i="2"/>
  <c r="J72" i="2" s="1"/>
  <c r="I68" i="2"/>
  <c r="H68" i="2"/>
  <c r="G68" i="2"/>
  <c r="G72" i="2" s="1"/>
  <c r="F68" i="2"/>
  <c r="F72" i="2" s="1"/>
  <c r="E68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 s="1"/>
  <c r="R64" i="2"/>
  <c r="D64" i="2"/>
  <c r="R63" i="2"/>
  <c r="D63" i="2"/>
  <c r="R62" i="2"/>
  <c r="D62" i="2"/>
  <c r="R61" i="2"/>
  <c r="D61" i="2"/>
  <c r="P58" i="2"/>
  <c r="P47" i="2" s="1"/>
  <c r="P42" i="2" s="1"/>
  <c r="O58" i="2"/>
  <c r="N58" i="2"/>
  <c r="M58" i="2"/>
  <c r="L58" i="2"/>
  <c r="L47" i="2" s="1"/>
  <c r="L42" i="2" s="1"/>
  <c r="K58" i="2"/>
  <c r="J58" i="2"/>
  <c r="I58" i="2"/>
  <c r="H58" i="2"/>
  <c r="H47" i="2" s="1"/>
  <c r="H42" i="2" s="1"/>
  <c r="G58" i="2"/>
  <c r="F58" i="2"/>
  <c r="E58" i="2"/>
  <c r="D58" i="2"/>
  <c r="R57" i="2"/>
  <c r="D57" i="2"/>
  <c r="R56" i="2"/>
  <c r="D56" i="2"/>
  <c r="R55" i="2"/>
  <c r="D55" i="2"/>
  <c r="R54" i="2"/>
  <c r="D54" i="2"/>
  <c r="R53" i="2"/>
  <c r="D53" i="2"/>
  <c r="D52" i="2"/>
  <c r="R51" i="2"/>
  <c r="R58" i="2" s="1"/>
  <c r="D51" i="2"/>
  <c r="O47" i="2"/>
  <c r="N47" i="2"/>
  <c r="M47" i="2"/>
  <c r="K47" i="2"/>
  <c r="J47" i="2"/>
  <c r="I47" i="2"/>
  <c r="G47" i="2"/>
  <c r="G42" i="2" s="1"/>
  <c r="F47" i="2"/>
  <c r="E47" i="2"/>
  <c r="P46" i="2"/>
  <c r="O46" i="2"/>
  <c r="N46" i="2"/>
  <c r="N42" i="2" s="1"/>
  <c r="M46" i="2"/>
  <c r="L46" i="2"/>
  <c r="K46" i="2"/>
  <c r="J46" i="2"/>
  <c r="J42" i="2" s="1"/>
  <c r="I46" i="2"/>
  <c r="H46" i="2"/>
  <c r="G46" i="2"/>
  <c r="F46" i="2"/>
  <c r="F42" i="2" s="1"/>
  <c r="E46" i="2"/>
  <c r="P45" i="2"/>
  <c r="O45" i="2"/>
  <c r="N45" i="2"/>
  <c r="M45" i="2"/>
  <c r="M42" i="2" s="1"/>
  <c r="L45" i="2"/>
  <c r="K45" i="2"/>
  <c r="J45" i="2"/>
  <c r="I45" i="2"/>
  <c r="I42" i="2" s="1"/>
  <c r="H45" i="2"/>
  <c r="G45" i="2"/>
  <c r="F45" i="2"/>
  <c r="E45" i="2"/>
  <c r="P44" i="2"/>
  <c r="O44" i="2"/>
  <c r="N44" i="2"/>
  <c r="M44" i="2"/>
  <c r="L44" i="2"/>
  <c r="K44" i="2"/>
  <c r="J44" i="2"/>
  <c r="I44" i="2"/>
  <c r="H44" i="2"/>
  <c r="G44" i="2"/>
  <c r="F44" i="2"/>
  <c r="E44" i="2"/>
  <c r="R44" i="2" s="1"/>
  <c r="D44" i="2"/>
  <c r="P43" i="2"/>
  <c r="O43" i="2"/>
  <c r="N43" i="2"/>
  <c r="M43" i="2"/>
  <c r="L43" i="2"/>
  <c r="K43" i="2"/>
  <c r="J43" i="2"/>
  <c r="I43" i="2"/>
  <c r="H43" i="2"/>
  <c r="G43" i="2"/>
  <c r="F43" i="2"/>
  <c r="E43" i="2"/>
  <c r="P39" i="2"/>
  <c r="P24" i="2" s="1"/>
  <c r="M39" i="2"/>
  <c r="M24" i="2" s="1"/>
  <c r="M140" i="2" s="1"/>
  <c r="L39" i="2"/>
  <c r="L24" i="2" s="1"/>
  <c r="I39" i="2"/>
  <c r="I24" i="2" s="1"/>
  <c r="E39" i="2"/>
  <c r="E24" i="2" s="1"/>
  <c r="P38" i="2"/>
  <c r="O38" i="2"/>
  <c r="O39" i="2" s="1"/>
  <c r="N38" i="2"/>
  <c r="N39" i="2" s="1"/>
  <c r="N24" i="2" s="1"/>
  <c r="M38" i="2"/>
  <c r="L38" i="2"/>
  <c r="K38" i="2"/>
  <c r="K39" i="2" s="1"/>
  <c r="J38" i="2"/>
  <c r="J39" i="2" s="1"/>
  <c r="J24" i="2" s="1"/>
  <c r="I38" i="2"/>
  <c r="H38" i="2"/>
  <c r="G38" i="2"/>
  <c r="F38" i="2"/>
  <c r="D38" i="2" s="1"/>
  <c r="E38" i="2"/>
  <c r="H37" i="2"/>
  <c r="H39" i="2" s="1"/>
  <c r="H24" i="2" s="1"/>
  <c r="G37" i="2"/>
  <c r="G39" i="2" s="1"/>
  <c r="F37" i="2"/>
  <c r="F39" i="2" s="1"/>
  <c r="F24" i="2" s="1"/>
  <c r="E37" i="2"/>
  <c r="D37" i="2"/>
  <c r="R36" i="2"/>
  <c r="D36" i="2"/>
  <c r="R35" i="2"/>
  <c r="D35" i="2"/>
  <c r="R34" i="2"/>
  <c r="D34" i="2"/>
  <c r="R33" i="2"/>
  <c r="D33" i="2"/>
  <c r="R32" i="2"/>
  <c r="D32" i="2"/>
  <c r="R31" i="2"/>
  <c r="D31" i="2"/>
  <c r="R30" i="2"/>
  <c r="D30" i="2"/>
  <c r="D29" i="2"/>
  <c r="R28" i="2"/>
  <c r="D28" i="2"/>
  <c r="O24" i="2"/>
  <c r="K24" i="2"/>
  <c r="G24" i="2"/>
  <c r="P23" i="2"/>
  <c r="O23" i="2"/>
  <c r="N23" i="2"/>
  <c r="M23" i="2"/>
  <c r="L23" i="2"/>
  <c r="K23" i="2"/>
  <c r="J23" i="2"/>
  <c r="I23" i="2"/>
  <c r="H23" i="2"/>
  <c r="G23" i="2"/>
  <c r="F23" i="2"/>
  <c r="E23" i="2"/>
  <c r="P22" i="2"/>
  <c r="O22" i="2"/>
  <c r="N22" i="2"/>
  <c r="M22" i="2"/>
  <c r="L22" i="2"/>
  <c r="K22" i="2"/>
  <c r="J22" i="2"/>
  <c r="I22" i="2"/>
  <c r="H22" i="2"/>
  <c r="G22" i="2"/>
  <c r="F22" i="2"/>
  <c r="E22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 s="1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P19" i="2"/>
  <c r="O19" i="2"/>
  <c r="N19" i="2"/>
  <c r="M19" i="2"/>
  <c r="L19" i="2"/>
  <c r="K19" i="2"/>
  <c r="J19" i="2"/>
  <c r="I19" i="2"/>
  <c r="H19" i="2"/>
  <c r="G19" i="2"/>
  <c r="F19" i="2"/>
  <c r="E19" i="2"/>
  <c r="R19" i="2" s="1"/>
  <c r="P18" i="2"/>
  <c r="O18" i="2"/>
  <c r="N18" i="2"/>
  <c r="M18" i="2"/>
  <c r="L18" i="2"/>
  <c r="K18" i="2"/>
  <c r="J18" i="2"/>
  <c r="J7" i="2" s="1"/>
  <c r="I18" i="2"/>
  <c r="H18" i="2"/>
  <c r="G18" i="2"/>
  <c r="F18" i="2"/>
  <c r="E18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 s="1"/>
  <c r="P16" i="2"/>
  <c r="O16" i="2"/>
  <c r="N16" i="2"/>
  <c r="M16" i="2"/>
  <c r="L16" i="2"/>
  <c r="K16" i="2"/>
  <c r="J16" i="2"/>
  <c r="I16" i="2"/>
  <c r="H16" i="2"/>
  <c r="G16" i="2"/>
  <c r="F16" i="2"/>
  <c r="E16" i="2"/>
  <c r="R16" i="2" s="1"/>
  <c r="D16" i="2"/>
  <c r="P15" i="2"/>
  <c r="O15" i="2"/>
  <c r="N15" i="2"/>
  <c r="M15" i="2"/>
  <c r="L15" i="2"/>
  <c r="K15" i="2"/>
  <c r="J15" i="2"/>
  <c r="I15" i="2"/>
  <c r="H15" i="2"/>
  <c r="G15" i="2"/>
  <c r="F15" i="2"/>
  <c r="E15" i="2"/>
  <c r="A15" i="2"/>
  <c r="A16" i="2" s="1"/>
  <c r="A17" i="2" s="1"/>
  <c r="A18" i="2" s="1"/>
  <c r="A19" i="2" s="1"/>
  <c r="A20" i="2" s="1"/>
  <c r="A21" i="2" s="1"/>
  <c r="A22" i="2" s="1"/>
  <c r="A23" i="2" s="1"/>
  <c r="A24" i="2" s="1"/>
  <c r="A42" i="2" s="1"/>
  <c r="A43" i="2" s="1"/>
  <c r="A44" i="2" s="1"/>
  <c r="A45" i="2" s="1"/>
  <c r="A46" i="2" s="1"/>
  <c r="A47" i="2" s="1"/>
  <c r="A61" i="2" s="1"/>
  <c r="A62" i="2" s="1"/>
  <c r="A63" i="2" s="1"/>
  <c r="A64" i="2" s="1"/>
  <c r="A65" i="2" s="1"/>
  <c r="A68" i="2" s="1"/>
  <c r="A69" i="2" s="1"/>
  <c r="A72" i="2" s="1"/>
  <c r="A73" i="2" s="1"/>
  <c r="A76" i="2" s="1"/>
  <c r="A77" i="2" s="1"/>
  <c r="A78" i="2" s="1"/>
  <c r="A79" i="2" s="1"/>
  <c r="A80" i="2" s="1"/>
  <c r="A81" i="2" s="1"/>
  <c r="A82" i="2" s="1"/>
  <c r="A84" i="2" s="1"/>
  <c r="A88" i="2" s="1"/>
  <c r="P14" i="2"/>
  <c r="O14" i="2"/>
  <c r="N14" i="2"/>
  <c r="M14" i="2"/>
  <c r="L14" i="2"/>
  <c r="K14" i="2"/>
  <c r="J14" i="2"/>
  <c r="I14" i="2"/>
  <c r="H14" i="2"/>
  <c r="G14" i="2"/>
  <c r="F14" i="2"/>
  <c r="D14" i="2" s="1"/>
  <c r="E14" i="2"/>
  <c r="R14" i="2" s="1"/>
  <c r="P13" i="2"/>
  <c r="O13" i="2"/>
  <c r="N13" i="2"/>
  <c r="M13" i="2"/>
  <c r="L13" i="2"/>
  <c r="K13" i="2"/>
  <c r="J13" i="2"/>
  <c r="I13" i="2"/>
  <c r="H13" i="2"/>
  <c r="G13" i="2"/>
  <c r="F13" i="2"/>
  <c r="E13" i="2"/>
  <c r="D13" i="2" s="1"/>
  <c r="A13" i="2"/>
  <c r="A14" i="2" s="1"/>
  <c r="P12" i="2"/>
  <c r="O12" i="2"/>
  <c r="N12" i="2"/>
  <c r="M12" i="2"/>
  <c r="L12" i="2"/>
  <c r="K12" i="2"/>
  <c r="J12" i="2"/>
  <c r="I12" i="2"/>
  <c r="H12" i="2"/>
  <c r="G12" i="2"/>
  <c r="F12" i="2"/>
  <c r="E12" i="2"/>
  <c r="R12" i="2" s="1"/>
  <c r="D12" i="2"/>
  <c r="A12" i="2"/>
  <c r="P11" i="2"/>
  <c r="O11" i="2"/>
  <c r="N11" i="2"/>
  <c r="M11" i="2"/>
  <c r="L11" i="2"/>
  <c r="K11" i="2"/>
  <c r="J11" i="2"/>
  <c r="I11" i="2"/>
  <c r="H11" i="2"/>
  <c r="G11" i="2"/>
  <c r="F11" i="2"/>
  <c r="E11" i="2"/>
  <c r="R11" i="2" s="1"/>
  <c r="P10" i="2"/>
  <c r="O10" i="2"/>
  <c r="N10" i="2"/>
  <c r="M10" i="2"/>
  <c r="L10" i="2"/>
  <c r="K10" i="2"/>
  <c r="J10" i="2"/>
  <c r="I10" i="2"/>
  <c r="H10" i="2"/>
  <c r="G10" i="2"/>
  <c r="F10" i="2"/>
  <c r="E10" i="2"/>
  <c r="D10" i="2" s="1"/>
  <c r="P9" i="2"/>
  <c r="O9" i="2"/>
  <c r="O7" i="2" s="1"/>
  <c r="N9" i="2"/>
  <c r="M9" i="2"/>
  <c r="L9" i="2"/>
  <c r="K9" i="2"/>
  <c r="J9" i="2"/>
  <c r="I9" i="2"/>
  <c r="H9" i="2"/>
  <c r="G9" i="2"/>
  <c r="F9" i="2"/>
  <c r="E9" i="2"/>
  <c r="P8" i="2"/>
  <c r="P7" i="2" s="1"/>
  <c r="O8" i="2"/>
  <c r="N8" i="2"/>
  <c r="M8" i="2"/>
  <c r="L8" i="2"/>
  <c r="L7" i="2" s="1"/>
  <c r="K8" i="2"/>
  <c r="J8" i="2"/>
  <c r="I8" i="2"/>
  <c r="H8" i="2"/>
  <c r="G8" i="2"/>
  <c r="G7" i="2" s="1"/>
  <c r="F8" i="2"/>
  <c r="E8" i="2"/>
  <c r="M7" i="2"/>
  <c r="I7" i="2"/>
  <c r="E7" i="2"/>
  <c r="A7" i="2"/>
  <c r="H5" i="2"/>
  <c r="I5" i="2" s="1"/>
  <c r="J5" i="2" s="1"/>
  <c r="K5" i="2" s="1"/>
  <c r="L5" i="2" s="1"/>
  <c r="M5" i="2" s="1"/>
  <c r="N5" i="2" s="1"/>
  <c r="O5" i="2" s="1"/>
  <c r="P5" i="2" s="1"/>
  <c r="G5" i="2"/>
  <c r="F5" i="2"/>
  <c r="K140" i="2" l="1"/>
  <c r="K128" i="2"/>
  <c r="K142" i="2"/>
  <c r="K84" i="2"/>
  <c r="K7" i="2"/>
  <c r="O42" i="2"/>
  <c r="O84" i="2"/>
  <c r="D18" i="2"/>
  <c r="F7" i="2"/>
  <c r="D7" i="2" s="1"/>
  <c r="D8" i="2"/>
  <c r="R8" i="2"/>
  <c r="R15" i="2"/>
  <c r="R20" i="2"/>
  <c r="F84" i="2"/>
  <c r="F140" i="2"/>
  <c r="F128" i="2"/>
  <c r="J84" i="2"/>
  <c r="J140" i="2"/>
  <c r="J128" i="2"/>
  <c r="N84" i="2"/>
  <c r="N140" i="2"/>
  <c r="N128" i="2"/>
  <c r="N7" i="2"/>
  <c r="N142" i="2"/>
  <c r="I142" i="2"/>
  <c r="I84" i="2"/>
  <c r="D9" i="3"/>
  <c r="D11" i="3" s="1"/>
  <c r="D13" i="3" s="1"/>
  <c r="D15" i="3" s="1"/>
  <c r="D19" i="3" s="1"/>
  <c r="H15" i="3"/>
  <c r="H13" i="3"/>
  <c r="H9" i="3"/>
  <c r="H11" i="3" s="1"/>
  <c r="H19" i="3"/>
  <c r="L15" i="3"/>
  <c r="L13" i="3"/>
  <c r="L9" i="3"/>
  <c r="L11" i="3" s="1"/>
  <c r="D9" i="2"/>
  <c r="R9" i="2"/>
  <c r="R17" i="2"/>
  <c r="R22" i="2"/>
  <c r="I128" i="2"/>
  <c r="I140" i="2"/>
  <c r="R10" i="2"/>
  <c r="R13" i="2"/>
  <c r="R18" i="2"/>
  <c r="H140" i="2"/>
  <c r="H128" i="2"/>
  <c r="H84" i="2"/>
  <c r="H7" i="2"/>
  <c r="R65" i="2"/>
  <c r="J142" i="2"/>
  <c r="L19" i="3"/>
  <c r="D11" i="2"/>
  <c r="D15" i="2"/>
  <c r="D19" i="2"/>
  <c r="D22" i="2"/>
  <c r="R38" i="2"/>
  <c r="R39" i="2" s="1"/>
  <c r="D39" i="2"/>
  <c r="L140" i="2"/>
  <c r="L128" i="2"/>
  <c r="L142" i="2"/>
  <c r="L84" i="2"/>
  <c r="R43" i="2"/>
  <c r="D47" i="2"/>
  <c r="K42" i="2"/>
  <c r="R73" i="2"/>
  <c r="R68" i="2"/>
  <c r="R72" i="2" s="1"/>
  <c r="D82" i="2"/>
  <c r="R102" i="2"/>
  <c r="R124" i="2"/>
  <c r="D124" i="2"/>
  <c r="M128" i="2"/>
  <c r="R133" i="2"/>
  <c r="G140" i="2"/>
  <c r="G128" i="2"/>
  <c r="O140" i="2"/>
  <c r="O128" i="2"/>
  <c r="O142" i="2"/>
  <c r="E142" i="2"/>
  <c r="E84" i="2"/>
  <c r="D24" i="2"/>
  <c r="M142" i="2"/>
  <c r="M84" i="2"/>
  <c r="D45" i="2"/>
  <c r="E42" i="2"/>
  <c r="R45" i="2"/>
  <c r="G84" i="2"/>
  <c r="G142" i="2" s="1"/>
  <c r="N10" i="3"/>
  <c r="N12" i="3"/>
  <c r="D23" i="2"/>
  <c r="R23" i="2"/>
  <c r="P140" i="2"/>
  <c r="P128" i="2"/>
  <c r="P142" i="2"/>
  <c r="P84" i="2"/>
  <c r="R46" i="2"/>
  <c r="R82" i="2"/>
  <c r="E128" i="2"/>
  <c r="E140" i="2"/>
  <c r="D18" i="3"/>
  <c r="E7" i="3"/>
  <c r="D43" i="2"/>
  <c r="D69" i="2"/>
  <c r="B11" i="3"/>
  <c r="J11" i="3"/>
  <c r="G15" i="3"/>
  <c r="K15" i="3"/>
  <c r="I19" i="3"/>
  <c r="M19" i="3"/>
  <c r="D46" i="2"/>
  <c r="D68" i="2"/>
  <c r="R69" i="2"/>
  <c r="D96" i="2"/>
  <c r="D102" i="2"/>
  <c r="N8" i="3"/>
  <c r="E9" i="3"/>
  <c r="E11" i="3" s="1"/>
  <c r="I9" i="3"/>
  <c r="I11" i="3" s="1"/>
  <c r="M9" i="3"/>
  <c r="M11" i="3" s="1"/>
  <c r="C11" i="3"/>
  <c r="C13" i="3" s="1"/>
  <c r="C15" i="3" s="1"/>
  <c r="C19" i="3" s="1"/>
  <c r="G11" i="3"/>
  <c r="K11" i="3"/>
  <c r="E13" i="3"/>
  <c r="E15" i="3" s="1"/>
  <c r="E19" i="3" s="1"/>
  <c r="I13" i="3"/>
  <c r="M13" i="3"/>
  <c r="F19" i="3"/>
  <c r="J19" i="3"/>
  <c r="F9" i="3"/>
  <c r="F11" i="3" s="1"/>
  <c r="J9" i="3"/>
  <c r="C20" i="3" l="1"/>
  <c r="E20" i="3"/>
  <c r="D20" i="3"/>
  <c r="F20" i="3"/>
  <c r="R140" i="2"/>
  <c r="I20" i="3"/>
  <c r="L20" i="3"/>
  <c r="R7" i="2"/>
  <c r="R24" i="2" s="1"/>
  <c r="M20" i="3"/>
  <c r="B13" i="3"/>
  <c r="N11" i="3"/>
  <c r="D140" i="2"/>
  <c r="N9" i="3"/>
  <c r="R42" i="2"/>
  <c r="R47" i="2" s="1"/>
  <c r="D42" i="2"/>
  <c r="H142" i="2"/>
  <c r="D142" i="2" s="1"/>
  <c r="H20" i="3"/>
  <c r="F142" i="2"/>
  <c r="F7" i="3"/>
  <c r="E18" i="3"/>
  <c r="J20" i="3"/>
  <c r="D128" i="2"/>
  <c r="R128" i="2"/>
  <c r="D84" i="2"/>
  <c r="N13" i="3" l="1"/>
  <c r="B15" i="3"/>
  <c r="G7" i="3"/>
  <c r="F18" i="3"/>
  <c r="R84" i="2"/>
  <c r="N15" i="3" l="1"/>
  <c r="N19" i="3" s="1"/>
  <c r="N20" i="3" s="1"/>
  <c r="B19" i="3"/>
  <c r="G18" i="3"/>
  <c r="H7" i="3"/>
  <c r="H18" i="3" l="1"/>
  <c r="I7" i="3"/>
  <c r="B20" i="3"/>
  <c r="J7" i="3" l="1"/>
  <c r="I18" i="3"/>
  <c r="K7" i="3" l="1"/>
  <c r="J18" i="3"/>
  <c r="K18" i="3" l="1"/>
  <c r="L7" i="3"/>
  <c r="L18" i="3" l="1"/>
  <c r="M7" i="3"/>
  <c r="M1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921A50EF-ED54-43DA-BAF0-98F07FE72E7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0A546C45-E43C-4427-88B9-FD9E1E97FEB8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ACE1BF6B-100B-4A0E-85F3-EA7128540B8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12C3CB42-424E-43A6-9F5F-17382513A33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DB515ECC-4AF1-4142-91F3-93177C91202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24E435E7-561C-43B7-B547-76311213A20E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6D0DE509-AEA5-4D45-818C-1DBAC272CBBB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74A53725-FA0D-4463-80B4-67D5DC5848AF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08557E9D-A041-450A-A5D0-9E10C23349E7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42CB6D7E-0191-46C6-A7F0-A2C43B9BD298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589F84BC-A364-4AB0-A3F6-62DA1ECA0EE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EA4C89A5-0C7B-4F94-AB1C-0B5BE5075A2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A3A8084B-7399-416E-9B8B-D91E02B18CE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DDD54C8D-ED04-41DB-BD6B-EBEBB564615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Jan 2021 is: 1,048</t>
        </r>
      </text>
    </comment>
    <comment ref="F37" authorId="2" shapeId="0" xr:uid="{42245BA2-ABF0-45D8-AF31-8C50D556A6A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Feb 2021 is: 1,841
</t>
        </r>
      </text>
    </comment>
    <comment ref="G37" authorId="2" shapeId="0" xr:uid="{50C9647F-0344-4CCE-ADE3-50271038D74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Mar 2021 is: 3,908
</t>
        </r>
      </text>
    </comment>
    <comment ref="H37" authorId="2" shapeId="0" xr:uid="{818A80C3-5B32-4E5A-9A91-FC64FE9B1F6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Apr 2021 is: 5,014
</t>
        </r>
      </text>
    </comment>
    <comment ref="B38" authorId="0" shapeId="0" xr:uid="{8403A718-BD4F-4EC0-AE2D-C60FEE063FE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2840B00A-B8CA-405D-B7D8-68B2D1EA717C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78A08B97-7717-4DAF-B161-F529C16939EF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32DA450C-40FC-4A27-9D2A-370FB78BFA9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3BE3A573-042D-4BE9-AE79-AE5F3F329C2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112DA852-408F-4129-8258-C255D100B12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2547EB70-71C0-4F09-8621-8CCCDAF8B29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4C5918FB-D889-4A2B-ABCC-612A104ED6E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3DD5F006-9FD4-4147-A2DC-56F9969A651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3DC81904-AABC-4526-A9C3-D9AE9806766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CC48210E-0D09-4988-B154-46749A55075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CCAB17E7-FAB0-419A-BBB0-B60AEABA43F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BC9C7198-BCBF-41F3-9AFE-3C429CC91C3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6923DDB0-5157-44CB-8061-E8A368C09AB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9B4011B7-097F-4AA5-BD3A-6EFC6DB1CBE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3DA5542F-B5C8-4009-A3AD-35719EE91EA5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D593EC23-BD37-410B-9B25-90A112BC99A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C4A74AA4-1F71-4E46-9D5D-8F949151C33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FB7CC4B0-469A-4F32-9C37-E8719C32BE51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5D7D8B34-91B0-4CB3-A51A-8AC53795AF1A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0CE28436-2C94-44C3-BFD3-EE74229C800E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ABA25AA4-54D1-40DE-B33D-040C2E4AA18B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79EB7F96-3A90-41A3-9EDC-1F49E8C16AC6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B2DCC3A3-59B6-4218-B1C3-849A56A8A95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5B0FADE2-6A60-452F-B7DB-1687FF87DD91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7" authorId="0" shapeId="0" xr:uid="{59953B3D-1C41-4BFD-9416-F71D42E4774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1" authorId="4" shapeId="0" xr:uid="{0356623E-FA49-4AB1-940F-5A7D04E35A77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D470AD87-B93C-4894-A765-EAB4E816DE2A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8ED8333D-3FA6-4416-A3D0-FCF78EC6D13A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467BCCD1-F3AF-4F4C-82E5-7A4B39F01B5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CC1046FE-9DED-4D84-A9C8-BDD1AC213CD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<sst xmlns="http://schemas.openxmlformats.org/spreadsheetml/2006/main" count="305" uniqueCount="176">
  <si>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</si>
  <si>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</si>
  <si>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</si>
  <si>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</si>
  <si>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</si>
  <si>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</si>
  <si>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</si>
  <si>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</si>
  <si>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</si>
  <si>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</si>
  <si>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</si>
  <si>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</si>
  <si>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</si>
  <si>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</si>
  <si>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</si>
  <si>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April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</si>
  <si>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</si>
  <si>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</si>
  <si>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</si>
  <si>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</si>
  <si>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</si>
  <si>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</si>
  <si>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</si>
  <si>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</si>
  <si>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</si>
  <si>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</si>
  <si>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</si>
  <si>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</si>
  <si>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</si>
  <si>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</si>
  <si>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</si>
  <si>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</si>
  <si>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</si>
  <si>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</si>
  <si>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</si>
  <si>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</si>
  <si>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company absorbed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</si>
  <si>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</si>
  <si>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</si>
  <si>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</si>
  <si>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</si>
  <si>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</si>
  <si>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</si>
  <si>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</si>
  <si>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</si>
  <si>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</si>
  <si>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</si>
  <si>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</si>
  <si>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</si>
  <si>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</si>
  <si>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</si>
  <si>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</si>
  <si>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</si>
  <si>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</si>
  <si>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</si>
  <si>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</si>
  <si>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</si>
  <si>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</si>
  <si>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</si>
  <si>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</si>
  <si>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</si>
  <si>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</si>
  <si>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</si>
  <si>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</si>
  <si>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</si>
  <si>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</si>
  <si>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</si>
  <si>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</si>
  <si>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</si>
  <si>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</si>
  <si>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</si>
  <si>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</si>
  <si>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</si>
  <si>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</si>
  <si>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</si>
  <si>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</si>
  <si>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</si>
  <si>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</si>
  <si>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</si>
  <si>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</si>
  <si>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</si>
  <si>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</si>
  <si>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</si>
  <si>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</si>
  <si>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</si>
  <si>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</si>
  <si>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</si>
  <si>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</si>
  <si>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</si>
  <si>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</si>
  <si>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</si>
  <si>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</si>
  <si>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</si>
  <si>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</si>
  <si>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</si>
  <si>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</si>
  <si>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</si>
  <si>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</si>
  <si>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</si>
  <si>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</si>
  <si>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</si>
  <si>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</si>
  <si>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</si>
  <si>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</si>
  <si>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</si>
  <si>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</si>
  <si>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</si>
  <si>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</si>
  <si>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</si>
  <si>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</si>
  <si>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</si>
  <si>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</si>
  <si>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</si>
  <si>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</si>
  <si>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</si>
  <si>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</si>
  <si>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</si>
  <si>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</si>
  <si>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</si>
  <si>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</si>
  <si>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</si>
  <si>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</si>
  <si>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</si>
  <si>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</si>
  <si>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</si>
  <si>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</si>
  <si>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</si>
  <si>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</si>
  <si>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</si>
  <si>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</si>
  <si>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</si>
  <si>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</si>
  <si>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</si>
  <si>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</si>
  <si>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</si>
  <si>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</si>
  <si>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</si>
  <si>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</si>
  <si>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</si>
  <si>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</si>
  <si>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</si>
  <si>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</si>
  <si>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</si>
  <si>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</si>
  <si>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</si>
  <si>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</si>
  <si>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</si>
  <si>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</si>
  <si>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</si>
  <si>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</si>
  <si>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</si>
  <si>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</si>
  <si>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</si>
  <si>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</si>
  <si>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</si>
  <si>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</si>
  <si>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</si>
  <si>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</si>
  <si>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</si>
  <si>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</si>
  <si>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- 2021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</si>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</sst>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8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5" fontId="2" fillId="0" borderId="0" xfId="1" applyNumberFormat="1"/>
    <xf numFmtId="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5" fontId="1" fillId="0" borderId="3" xfId="1" applyNumberFormat="1" applyFont="1" applyBorder="1"/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 applyAlignment="1">
      <alignment horizontal="right"/>
    </xf>
    <xf numFmtId="5" fontId="6" fillId="0" borderId="0" xfId="2" applyNumberFormat="1" applyFont="1"/>
    <xf numFmtId="5" fontId="7" fillId="0" borderId="0" xfId="0" applyNumberFormat="1" applyFont="1"/>
    <xf numFmtId="166" fontId="2" fillId="0" borderId="0" xfId="1" applyNumberFormat="1"/>
    <xf numFmtId="5" fontId="6" fillId="0" borderId="0" xfId="1" applyNumberFormat="1" applyFont="1"/>
    <xf numFmtId="5" fontId="6" fillId="0" borderId="0" xfId="0" applyNumberFormat="1" applyFont="1"/>
    <xf numFmtId="5" fontId="1" fillId="0" borderId="3" xfId="0" applyNumberFormat="1" applyFont="1" applyBorder="1"/>
    <xf numFmtId="164" fontId="1" fillId="0" borderId="3" xfId="0" applyNumberFormat="1" applyFont="1" applyBorder="1" applyAlignment="1">
      <alignment horizontal="right"/>
    </xf>
    <xf numFmtId="5" fontId="1" fillId="0" borderId="3" xfId="0" applyNumberFormat="1" applyFont="1" applyBorder="1" applyAlignment="1">
      <alignment horizontal="right"/>
    </xf>
    <xf numFmtId="0" fontId="2" fillId="0" borderId="3" xfId="0" applyFont="1" applyBorder="1"/>
    <xf numFmtId="5" fontId="2" fillId="0" borderId="3" xfId="2" applyNumberFormat="1" applyBorder="1" applyAlignment="1">
      <alignment horizontal="right"/>
    </xf>
    <xf numFmtId="5" fontId="2" fillId="0" borderId="3" xfId="2" applyNumberFormat="1" applyBorder="1"/>
    <xf numFmtId="5" fontId="2" fillId="0" borderId="0" xfId="0" applyNumberFormat="1" applyFont="1"/>
    <xf numFmtId="5" fontId="2" fillId="0" borderId="0" xfId="2" applyNumberFormat="1"/>
    <xf numFmtId="10" fontId="2" fillId="0" borderId="0" xfId="3" applyNumberFormat="1"/>
    <xf numFmtId="5" fontId="2" fillId="0" borderId="0" xfId="2" applyNumberFormat="1" applyAlignment="1">
      <alignment horizontal="right"/>
    </xf>
    <xf numFmtId="5" fontId="2" fillId="0" borderId="0" xfId="4" applyNumberFormat="1" applyFont="1" applyFill="1"/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Border="1" applyAlignment="1">
      <alignment horizontal="right" vertical="center"/>
    </xf>
    <xf numFmtId="5" fontId="2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wrapText="1"/>
    </xf>
    <xf numFmtId="5" fontId="1" fillId="0" borderId="2" xfId="2" applyNumberFormat="1" applyFont="1" applyBorder="1" applyAlignment="1">
      <alignment horizontal="right" vertical="center"/>
    </xf>
    <xf numFmtId="5" fontId="1" fillId="0" borderId="2" xfId="2" applyNumberFormat="1" applyFont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5" fontId="1" fillId="0" borderId="2" xfId="2" applyNumberFormat="1" applyFont="1" applyBorder="1" applyAlignment="1">
      <alignment horizontal="right" vertical="center"/>
    </xf>
    <xf numFmtId="5" fontId="6" fillId="0" borderId="2" xfId="2" applyNumberFormat="1" applyFont="1" applyBorder="1" applyAlignment="1">
      <alignment vertical="center"/>
    </xf>
    <xf numFmtId="164" fontId="10" fillId="0" borderId="3" xfId="2" applyNumberFormat="1" applyFont="1" applyBorder="1"/>
    <xf numFmtId="5" fontId="1" fillId="0" borderId="3" xfId="2" applyNumberFormat="1" applyFont="1" applyBorder="1"/>
    <xf numFmtId="3" fontId="4" fillId="0" borderId="0" xfId="1" applyNumberFormat="1" applyFont="1"/>
    <xf numFmtId="9" fontId="2" fillId="0" borderId="0" xfId="1" applyNumberFormat="1"/>
    <xf numFmtId="9" fontId="4" fillId="0" borderId="0" xfId="1" applyNumberFormat="1" applyFont="1"/>
    <xf numFmtId="3" fontId="2" fillId="0" borderId="0" xfId="2" applyNumberForma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/>
    <xf numFmtId="3" fontId="2" fillId="0" borderId="0" xfId="0" applyNumberFormat="1" applyFont="1"/>
    <xf numFmtId="5" fontId="1" fillId="0" borderId="3" xfId="2" applyNumberFormat="1" applyFont="1" applyBorder="1" applyAlignment="1">
      <alignment vertical="center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/>
    <xf numFmtId="5" fontId="1" fillId="0" borderId="4" xfId="2" applyNumberFormat="1" applyFont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1" fillId="0" borderId="0" xfId="2" applyFont="1" applyAlignment="1">
      <alignment horizontal="center"/>
    </xf>
    <xf numFmtId="0" fontId="0" fillId="0" borderId="0" xfId="0" applyAlignment="1">
      <alignment horizontal="right"/>
    </xf>
    <xf numFmtId="43" fontId="2" fillId="0" borderId="0" xfId="1"/>
    <xf numFmtId="5" fontId="1" fillId="0" borderId="0" xfId="2" applyNumberFormat="1" applyFont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0" fillId="0" borderId="0" xfId="0" applyNumberFormat="1"/>
    <xf numFmtId="5" fontId="0" fillId="0" borderId="0" xfId="1" applyNumberFormat="1" applyFont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Border="1" applyAlignment="1">
      <alignment horizontal="right" vertical="center"/>
    </xf>
    <xf numFmtId="5" fontId="1" fillId="0" borderId="0" xfId="1" applyNumberFormat="1" applyFont="1" applyProtection="1">
      <protection locked="0"/>
    </xf>
    <xf numFmtId="5" fontId="1" fillId="0" borderId="4" xfId="1" applyNumberFormat="1" applyFont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0" fontId="15" fillId="0" borderId="0" xfId="0" applyFont="1"/>
    <xf numFmtId="5" fontId="0" fillId="0" borderId="1" xfId="0" applyNumberFormat="1" applyBorder="1"/>
    <xf numFmtId="43" fontId="6" fillId="0" borderId="1" xfId="1" applyFont="1" applyBorder="1"/>
    <xf numFmtId="0" fontId="16" fillId="0" borderId="0" xfId="0" applyFont="1"/>
    <xf numFmtId="5" fontId="1" fillId="0" borderId="0" xfId="0" applyNumberFormat="1" applyFont="1"/>
    <xf numFmtId="0" fontId="2" fillId="0" borderId="0" xfId="0" applyFont="1" applyAlignment="1">
      <alignment vertical="top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Alignment="1">
      <alignment horizontal="right"/>
    </xf>
    <xf numFmtId="0" fontId="11" fillId="0" borderId="0" xfId="0" applyFont="1"/>
    <xf numFmtId="168" fontId="2" fillId="0" borderId="0" xfId="1" applyNumberFormat="1"/>
    <xf numFmtId="5" fontId="2" fillId="0" borderId="1" xfId="2" applyNumberFormat="1" applyBorder="1"/>
    <xf numFmtId="5" fontId="0" fillId="0" borderId="1" xfId="1" applyNumberFormat="1" applyFont="1" applyBorder="1"/>
    <xf numFmtId="5" fontId="1" fillId="0" borderId="0" xfId="2" applyNumberFormat="1" applyFont="1"/>
    <xf numFmtId="168" fontId="1" fillId="0" borderId="0" xfId="1" applyNumberFormat="1" applyFont="1"/>
    <xf numFmtId="5" fontId="2" fillId="0" borderId="1" xfId="0" applyNumberFormat="1" applyFont="1" applyBorder="1"/>
    <xf numFmtId="168" fontId="1" fillId="0" borderId="0" xfId="1" applyNumberFormat="1" applyFont="1" applyAlignment="1">
      <alignment horizontal="right"/>
    </xf>
    <xf numFmtId="166" fontId="0" fillId="0" borderId="0" xfId="0" applyNumberFormat="1"/>
    <xf numFmtId="166" fontId="6" fillId="0" borderId="0" xfId="1" applyNumberFormat="1" applyFont="1"/>
    <xf numFmtId="166" fontId="0" fillId="0" borderId="0" xfId="1" applyNumberFormat="1" applyFont="1"/>
    <xf numFmtId="7" fontId="2" fillId="0" borderId="0" xfId="2" applyNumberFormat="1"/>
    <xf numFmtId="169" fontId="2" fillId="0" borderId="0" xfId="2" applyNumberFormat="1"/>
    <xf numFmtId="164" fontId="2" fillId="0" borderId="0" xfId="1" applyNumberForma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1" applyNumberFormat="1" applyFont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Alignment="1">
      <alignment horizontal="right"/>
    </xf>
    <xf numFmtId="164" fontId="16" fillId="0" borderId="3" xfId="1" applyNumberFormat="1" applyFont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/>
    <xf numFmtId="5" fontId="9" fillId="0" borderId="0" xfId="2" applyNumberFormat="1" applyFont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Border="1"/>
    <xf numFmtId="0" fontId="7" fillId="0" borderId="0" xfId="0" applyFont="1"/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Border="1" applyAlignment="1">
      <alignment vertical="center"/>
    </xf>
    <xf numFmtId="164" fontId="1" fillId="0" borderId="0" xfId="0" applyNumberFormat="1" applyFont="1"/>
    <xf numFmtId="0" fontId="23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1" fontId="26" fillId="0" borderId="0" xfId="0" applyNumberFormat="1" applyFont="1" applyAlignment="1">
      <alignment horizontal="center"/>
    </xf>
    <xf numFmtId="0" fontId="27" fillId="0" borderId="3" xfId="0" applyFont="1" applyBorder="1" applyAlignment="1">
      <alignment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166" fontId="28" fillId="0" borderId="0" xfId="1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0" borderId="0" xfId="0" applyNumberFormat="1" applyFont="1"/>
    <xf numFmtId="0" fontId="23" fillId="0" borderId="0" xfId="0" applyFont="1" applyAlignment="1">
      <alignment vertical="center"/>
    </xf>
    <xf numFmtId="166" fontId="23" fillId="0" borderId="0" xfId="1" applyNumberFormat="1" applyFont="1"/>
    <xf numFmtId="166" fontId="23" fillId="0" borderId="0" xfId="1" applyNumberFormat="1" applyFont="1" applyAlignment="1">
      <alignment vertic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166" fontId="26" fillId="0" borderId="0" xfId="1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29" fillId="0" borderId="3" xfId="1" applyNumberFormat="1" applyFont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9" fontId="30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3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7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ERM%20and%20REC%20Reports/2021/04.2021%20Backup/Apr%202021%20WA%20%20ID%20Actual%20Deferrals%20-%20Snapshot%20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Tab"/>
      <sheetName val="WA Summary "/>
      <sheetName val="WA Monthly"/>
      <sheetName val="WA RRC"/>
      <sheetName val="ID Summary"/>
      <sheetName val="ID Monthly"/>
      <sheetName val="ID LCA"/>
      <sheetName val="Solar Select"/>
      <sheetName val="Old"/>
    </sheetNames>
    <sheetDataSet>
      <sheetData sheetId="0"/>
      <sheetData sheetId="1">
        <row r="19">
          <cell r="C19">
            <v>1191666.67</v>
          </cell>
          <cell r="D19">
            <v>1191666.67</v>
          </cell>
          <cell r="E19">
            <v>1191666.67</v>
          </cell>
          <cell r="F19">
            <v>1191666.67</v>
          </cell>
        </row>
        <row r="20">
          <cell r="C20">
            <v>192121.58</v>
          </cell>
          <cell r="D20">
            <v>210942.86</v>
          </cell>
          <cell r="E20">
            <v>116947.51</v>
          </cell>
          <cell r="F20">
            <v>138457.82</v>
          </cell>
        </row>
        <row r="21">
          <cell r="C21">
            <v>181634</v>
          </cell>
          <cell r="D21">
            <v>181634</v>
          </cell>
          <cell r="E21">
            <v>181634</v>
          </cell>
          <cell r="F21">
            <v>181634</v>
          </cell>
        </row>
        <row r="22">
          <cell r="C22">
            <v>939387.38</v>
          </cell>
          <cell r="D22">
            <v>939387.38</v>
          </cell>
          <cell r="E22">
            <v>939387.38</v>
          </cell>
          <cell r="F22">
            <v>942921.98</v>
          </cell>
        </row>
        <row r="24">
          <cell r="C24">
            <v>1259.3499999999999</v>
          </cell>
          <cell r="D24">
            <v>1103.95</v>
          </cell>
          <cell r="E24">
            <v>1364.35</v>
          </cell>
          <cell r="F24">
            <v>1082.95</v>
          </cell>
        </row>
        <row r="25">
          <cell r="C25">
            <v>156566.79999999999</v>
          </cell>
          <cell r="D25">
            <v>140786.69</v>
          </cell>
          <cell r="E25">
            <v>123151.94</v>
          </cell>
          <cell r="F25">
            <v>140445.35999999999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35">
          <cell r="C35">
            <v>136395.84</v>
          </cell>
          <cell r="D35">
            <v>105545.8</v>
          </cell>
          <cell r="E35">
            <v>101790.36</v>
          </cell>
          <cell r="F35">
            <v>47742.64</v>
          </cell>
        </row>
        <row r="36">
          <cell r="C36">
            <v>352910.24</v>
          </cell>
          <cell r="D36">
            <v>210445.56</v>
          </cell>
          <cell r="E36">
            <v>214419.75</v>
          </cell>
          <cell r="F36">
            <v>263619.75</v>
          </cell>
        </row>
        <row r="37">
          <cell r="C37">
            <v>553989.78</v>
          </cell>
          <cell r="D37">
            <v>561159.18000000005</v>
          </cell>
          <cell r="E37">
            <v>492537.78</v>
          </cell>
          <cell r="F37">
            <v>463820.35</v>
          </cell>
        </row>
        <row r="38">
          <cell r="C38">
            <v>1545.44</v>
          </cell>
          <cell r="D38">
            <v>3341.39</v>
          </cell>
          <cell r="E38">
            <v>0</v>
          </cell>
          <cell r="F38">
            <v>1490.18</v>
          </cell>
        </row>
        <row r="39">
          <cell r="C39">
            <v>2379924.42</v>
          </cell>
          <cell r="D39">
            <v>2422368.9500000002</v>
          </cell>
          <cell r="E39">
            <v>2400609.7400000002</v>
          </cell>
          <cell r="F39">
            <v>2406660.02</v>
          </cell>
        </row>
        <row r="40">
          <cell r="C40">
            <v>2054962.14</v>
          </cell>
          <cell r="D40">
            <v>2174857.2999999998</v>
          </cell>
          <cell r="E40">
            <v>2096184.09</v>
          </cell>
          <cell r="F40">
            <v>2291429.14</v>
          </cell>
        </row>
        <row r="41">
          <cell r="C41">
            <v>741745.32</v>
          </cell>
          <cell r="D41">
            <v>1257608.1000000001</v>
          </cell>
          <cell r="E41">
            <v>1069731.33</v>
          </cell>
          <cell r="F41">
            <v>1280006.1399999999</v>
          </cell>
        </row>
        <row r="45">
          <cell r="C45">
            <v>-60959.4</v>
          </cell>
          <cell r="D45">
            <v>-111783.6</v>
          </cell>
          <cell r="E45">
            <v>-73105.649999999994</v>
          </cell>
          <cell r="F45">
            <v>-101368.45</v>
          </cell>
        </row>
        <row r="46">
          <cell r="C46">
            <v>-10658.53</v>
          </cell>
          <cell r="D46">
            <v>-10197.77</v>
          </cell>
          <cell r="E46">
            <v>-11351.07</v>
          </cell>
          <cell r="F46">
            <v>-10838.07</v>
          </cell>
        </row>
        <row r="47">
          <cell r="C47">
            <v>-31586.7</v>
          </cell>
          <cell r="D47">
            <v>-29893.74</v>
          </cell>
          <cell r="E47">
            <v>-25068.22</v>
          </cell>
          <cell r="F47">
            <v>-24353.360000000001</v>
          </cell>
        </row>
        <row r="50">
          <cell r="C50">
            <v>42518</v>
          </cell>
          <cell r="D50">
            <v>37569</v>
          </cell>
          <cell r="E50">
            <v>47100</v>
          </cell>
          <cell r="F50">
            <v>37947</v>
          </cell>
        </row>
        <row r="51">
          <cell r="C51">
            <v>89341</v>
          </cell>
          <cell r="D51">
            <v>75697</v>
          </cell>
          <cell r="E51">
            <v>96986</v>
          </cell>
          <cell r="F51">
            <v>43333</v>
          </cell>
        </row>
        <row r="54">
          <cell r="C54">
            <v>523729</v>
          </cell>
          <cell r="D54">
            <v>501047</v>
          </cell>
          <cell r="E54">
            <v>536506</v>
          </cell>
          <cell r="F54">
            <v>441255</v>
          </cell>
        </row>
        <row r="55">
          <cell r="C55">
            <v>291212</v>
          </cell>
          <cell r="D55">
            <v>272741</v>
          </cell>
          <cell r="E55">
            <v>225056</v>
          </cell>
          <cell r="F55">
            <v>200672</v>
          </cell>
        </row>
        <row r="56">
          <cell r="C56">
            <v>556117</v>
          </cell>
          <cell r="D56">
            <v>486363</v>
          </cell>
          <cell r="E56">
            <v>477535</v>
          </cell>
          <cell r="F56">
            <v>431246</v>
          </cell>
          <cell r="G56">
            <v>432473</v>
          </cell>
          <cell r="H56">
            <v>424693</v>
          </cell>
          <cell r="I56">
            <v>490670</v>
          </cell>
          <cell r="J56">
            <v>464617</v>
          </cell>
          <cell r="K56">
            <v>435934</v>
          </cell>
          <cell r="L56">
            <v>436959</v>
          </cell>
          <cell r="M56">
            <v>468856</v>
          </cell>
          <cell r="N56">
            <v>553150</v>
          </cell>
        </row>
        <row r="57">
          <cell r="C57">
            <v>18.11</v>
          </cell>
          <cell r="D57">
            <v>18.11</v>
          </cell>
          <cell r="E57">
            <v>18.11</v>
          </cell>
          <cell r="F57">
            <v>18.11</v>
          </cell>
          <cell r="G57">
            <v>18.11</v>
          </cell>
          <cell r="H57">
            <v>18.11</v>
          </cell>
          <cell r="I57">
            <v>18.11</v>
          </cell>
          <cell r="J57">
            <v>18.11</v>
          </cell>
          <cell r="K57">
            <v>18.11</v>
          </cell>
          <cell r="L57">
            <v>18.11</v>
          </cell>
          <cell r="M57">
            <v>18.11</v>
          </cell>
          <cell r="N57">
            <v>18.11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0692-765C-4F9F-B700-C432B18A0679}">
  <sheetPr>
    <pageSetUpPr fitToPage="1"/>
  </sheetPr>
  <dimension ref="A1:S90"/>
  <sheetViews>
    <sheetView tabSelected="1" zoomScaleNormal="100" workbookViewId="0">
      <pane xSplit="3" ySplit="5" topLeftCell="D3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328125" defaultRowHeight="12.75" outlineLevelRow="1" outlineLevelCol="1"/>
  <cols>
    <col min="1" max="1" width="4.86328125" style="5" customWidth="1"/>
    <col min="2" max="2" width="10.73046875" style="2" customWidth="1"/>
    <col min="3" max="3" width="24.265625" style="2" customWidth="1"/>
    <col min="4" max="4" width="9" style="2" customWidth="1" outlineLevel="1"/>
    <col min="5" max="5" width="5.265625" style="2" customWidth="1" outlineLevel="1"/>
    <col min="6" max="6" width="14.59765625" style="2" bestFit="1" customWidth="1"/>
    <col min="7" max="10" width="15.73046875" style="2" bestFit="1" customWidth="1"/>
    <col min="11" max="11" width="12.73046875" style="2" customWidth="1"/>
    <col min="12" max="17" width="15.73046875" style="2" bestFit="1" customWidth="1"/>
    <col min="18" max="18" width="13.1328125" style="2" customWidth="1"/>
    <col min="19" max="19" width="13.86328125" style="2" customWidth="1"/>
    <col min="20" max="20" width="13.1328125" style="2" customWidth="1"/>
    <col min="21" max="16384" width="9.1328125" style="2"/>
  </cols>
  <sheetData>
    <row r="1" spans="1:19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>
      <c r="A3" s="4" t="s">
        <v>2</v>
      </c>
    </row>
    <row r="4" spans="1:19" ht="13.15">
      <c r="A4" s="5" t="s">
        <v>3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ht="13.15">
      <c r="B5" s="7" t="s">
        <v>4</v>
      </c>
      <c r="C5" s="8"/>
      <c r="D5" s="9" t="s">
        <v>5</v>
      </c>
      <c r="E5" s="9"/>
      <c r="F5" s="10">
        <v>44227</v>
      </c>
      <c r="G5" s="10">
        <v>44255</v>
      </c>
      <c r="H5" s="10">
        <v>44286</v>
      </c>
      <c r="I5" s="10">
        <v>44316</v>
      </c>
      <c r="J5" s="10">
        <v>44347</v>
      </c>
      <c r="K5" s="10">
        <v>44377</v>
      </c>
      <c r="L5" s="10">
        <v>44408</v>
      </c>
      <c r="M5" s="10">
        <v>44439</v>
      </c>
      <c r="N5" s="10">
        <v>44469</v>
      </c>
      <c r="O5" s="10">
        <v>44500</v>
      </c>
      <c r="P5" s="10">
        <v>44530</v>
      </c>
      <c r="Q5" s="10">
        <v>44561</v>
      </c>
    </row>
    <row r="6" spans="1:19" ht="15.95" customHeight="1">
      <c r="A6" s="5">
        <v>1</v>
      </c>
      <c r="B6" s="2" t="s">
        <v>6</v>
      </c>
      <c r="D6" s="11">
        <v>46076156.232799999</v>
      </c>
      <c r="E6" s="11"/>
      <c r="F6" s="12">
        <v>10842389.874600001</v>
      </c>
      <c r="G6" s="12">
        <v>11196253.897</v>
      </c>
      <c r="H6" s="12">
        <v>12433514.0331</v>
      </c>
      <c r="I6" s="12">
        <v>11603998.428099999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</row>
    <row r="7" spans="1:19" ht="15.95" customHeight="1">
      <c r="A7" s="5">
        <v>2</v>
      </c>
      <c r="B7" s="2" t="s">
        <v>7</v>
      </c>
      <c r="D7" s="13">
        <v>-25783873</v>
      </c>
      <c r="E7" s="13"/>
      <c r="F7" s="12">
        <v>-6141300</v>
      </c>
      <c r="G7" s="12">
        <v>-10652299</v>
      </c>
      <c r="H7" s="12">
        <v>-4461531</v>
      </c>
      <c r="I7" s="12">
        <v>-4528743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</row>
    <row r="8" spans="1:19" ht="15.95" customHeight="1">
      <c r="A8" s="5">
        <v>3</v>
      </c>
      <c r="B8" s="2" t="s">
        <v>8</v>
      </c>
      <c r="D8" s="14">
        <v>10546883</v>
      </c>
      <c r="E8" s="14"/>
      <c r="F8" s="12">
        <v>3076898</v>
      </c>
      <c r="G8" s="12">
        <v>2528161</v>
      </c>
      <c r="H8" s="12">
        <v>3256809</v>
      </c>
      <c r="I8" s="12">
        <v>1685015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</row>
    <row r="9" spans="1:19" ht="15.95" customHeight="1">
      <c r="A9" s="5">
        <v>4</v>
      </c>
      <c r="B9" s="2" t="s">
        <v>9</v>
      </c>
      <c r="D9" s="14">
        <v>23527711</v>
      </c>
      <c r="E9" s="14"/>
      <c r="F9" s="12">
        <v>6183441</v>
      </c>
      <c r="G9" s="12">
        <v>9662506</v>
      </c>
      <c r="H9" s="12">
        <v>3546107</v>
      </c>
      <c r="I9" s="12">
        <v>4135657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</row>
    <row r="10" spans="1:19" ht="15.95" customHeight="1">
      <c r="A10" s="5">
        <v>5</v>
      </c>
      <c r="B10" s="2" t="s">
        <v>10</v>
      </c>
      <c r="C10" s="15"/>
      <c r="D10" s="13">
        <v>-4976533</v>
      </c>
      <c r="E10" s="13"/>
      <c r="F10" s="12">
        <v>-1152745</v>
      </c>
      <c r="G10" s="12">
        <v>-1459637</v>
      </c>
      <c r="H10" s="12">
        <v>-1197340</v>
      </c>
      <c r="I10" s="12">
        <v>-1166811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</row>
    <row r="11" spans="1:19" ht="15.95" customHeight="1">
      <c r="A11" s="5">
        <v>6</v>
      </c>
      <c r="B11" s="2" t="s">
        <v>11</v>
      </c>
      <c r="C11" s="15"/>
      <c r="D11" s="14">
        <v>5653817</v>
      </c>
      <c r="E11" s="14"/>
      <c r="F11" s="12">
        <v>1427937</v>
      </c>
      <c r="G11" s="12">
        <v>1395907</v>
      </c>
      <c r="H11" s="12">
        <v>1456732</v>
      </c>
      <c r="I11" s="12">
        <v>1373241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</row>
    <row r="12" spans="1:19" ht="15.95" customHeight="1">
      <c r="A12" s="5">
        <v>7</v>
      </c>
      <c r="B12" s="2" t="s">
        <v>12</v>
      </c>
      <c r="C12" s="15"/>
      <c r="D12" s="14">
        <v>155422</v>
      </c>
      <c r="E12" s="14"/>
      <c r="F12" s="12">
        <v>34336</v>
      </c>
      <c r="G12" s="12">
        <v>44852</v>
      </c>
      <c r="H12" s="12">
        <v>37143</v>
      </c>
      <c r="I12" s="12">
        <v>39091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</row>
    <row r="13" spans="1:19" ht="15.95" customHeight="1">
      <c r="A13" s="5">
        <v>8</v>
      </c>
      <c r="B13" s="16" t="s">
        <v>13</v>
      </c>
      <c r="C13" s="16"/>
      <c r="D13" s="17">
        <v>55199583.232799999</v>
      </c>
      <c r="E13" s="17"/>
      <c r="F13" s="18">
        <v>14270956.874600001</v>
      </c>
      <c r="G13" s="18">
        <v>12715743.897</v>
      </c>
      <c r="H13" s="18">
        <v>15071434.0331</v>
      </c>
      <c r="I13" s="18">
        <v>13141448.428099999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</row>
    <row r="14" spans="1:19" ht="37.5" customHeight="1">
      <c r="B14" s="7" t="s">
        <v>14</v>
      </c>
      <c r="C14" s="8"/>
      <c r="D14" s="19" t="s">
        <v>15</v>
      </c>
      <c r="E14" s="20"/>
      <c r="F14" s="21">
        <v>44227</v>
      </c>
      <c r="G14" s="21">
        <v>44255</v>
      </c>
      <c r="H14" s="21">
        <v>44286</v>
      </c>
      <c r="I14" s="21">
        <v>44316</v>
      </c>
      <c r="J14" s="21">
        <v>44347</v>
      </c>
      <c r="K14" s="21">
        <v>44377</v>
      </c>
      <c r="L14" s="21">
        <v>44408</v>
      </c>
      <c r="M14" s="21">
        <v>44439</v>
      </c>
      <c r="N14" s="21">
        <v>44469</v>
      </c>
      <c r="O14" s="21">
        <v>44500</v>
      </c>
      <c r="P14" s="21">
        <v>44530</v>
      </c>
      <c r="Q14" s="21">
        <v>44561</v>
      </c>
    </row>
    <row r="15" spans="1:19" ht="15.95" customHeight="1">
      <c r="A15" s="5">
        <v>9</v>
      </c>
      <c r="B15" s="2" t="s">
        <v>6</v>
      </c>
      <c r="C15" s="15"/>
      <c r="D15" s="22">
        <v>42722811.289999999</v>
      </c>
      <c r="E15" s="22"/>
      <c r="F15" s="23">
        <v>11810646.23</v>
      </c>
      <c r="G15" s="23">
        <v>10948943.210000001</v>
      </c>
      <c r="H15" s="23">
        <v>10208755.66</v>
      </c>
      <c r="I15" s="23">
        <v>9754466.1899999995</v>
      </c>
      <c r="J15" s="23">
        <v>7204007.3300000001</v>
      </c>
      <c r="K15" s="23">
        <v>6832768.3600000003</v>
      </c>
      <c r="L15" s="23">
        <v>7367141.2599999998</v>
      </c>
      <c r="M15" s="23">
        <v>8064915.6600000001</v>
      </c>
      <c r="N15" s="23">
        <v>7448796.1699999999</v>
      </c>
      <c r="O15" s="23">
        <v>7999787.46</v>
      </c>
      <c r="P15" s="23">
        <v>11642227.199999999</v>
      </c>
      <c r="Q15" s="23">
        <v>12112599.34</v>
      </c>
      <c r="R15" s="24"/>
      <c r="S15" s="25"/>
    </row>
    <row r="16" spans="1:19" ht="15.95" customHeight="1">
      <c r="A16" s="5">
        <v>10</v>
      </c>
      <c r="B16" s="2" t="s">
        <v>7</v>
      </c>
      <c r="C16" s="15"/>
      <c r="D16" s="22">
        <v>-19678701.329999998</v>
      </c>
      <c r="E16" s="22"/>
      <c r="F16" s="26">
        <v>-5410854.46</v>
      </c>
      <c r="G16" s="26">
        <v>-3688134.45</v>
      </c>
      <c r="H16" s="26">
        <v>-4363040.83</v>
      </c>
      <c r="I16" s="26">
        <v>-6216671.5899999999</v>
      </c>
      <c r="J16" s="26">
        <v>-3992970.36</v>
      </c>
      <c r="K16" s="26">
        <v>-3782255.59</v>
      </c>
      <c r="L16" s="26">
        <v>-5325599.3499999996</v>
      </c>
      <c r="M16" s="26">
        <v>-3215250.64</v>
      </c>
      <c r="N16" s="26">
        <v>-4016772.06</v>
      </c>
      <c r="O16" s="26">
        <v>-3304258.83</v>
      </c>
      <c r="P16" s="26">
        <v>-4468024.59</v>
      </c>
      <c r="Q16" s="26">
        <v>-6320022.7000000002</v>
      </c>
      <c r="R16" s="24"/>
      <c r="S16" s="25"/>
    </row>
    <row r="17" spans="1:19" ht="15.95" customHeight="1">
      <c r="A17" s="5">
        <v>11</v>
      </c>
      <c r="B17" s="2" t="s">
        <v>8</v>
      </c>
      <c r="C17" s="15"/>
      <c r="D17" s="22">
        <v>10824291.66</v>
      </c>
      <c r="E17" s="22"/>
      <c r="F17" s="23">
        <v>2892906.32</v>
      </c>
      <c r="G17" s="23">
        <v>2671552.1800000002</v>
      </c>
      <c r="H17" s="23">
        <v>2768328.21</v>
      </c>
      <c r="I17" s="23">
        <v>2491504.9500000002</v>
      </c>
      <c r="J17" s="23">
        <v>1551263.17</v>
      </c>
      <c r="K17" s="23">
        <v>1358750.78</v>
      </c>
      <c r="L17" s="23">
        <v>2219592.2200000002</v>
      </c>
      <c r="M17" s="23">
        <v>2478124.66</v>
      </c>
      <c r="N17" s="23">
        <v>2578207.41</v>
      </c>
      <c r="O17" s="23">
        <v>2592986.98</v>
      </c>
      <c r="P17" s="23">
        <v>2566832.77</v>
      </c>
      <c r="Q17" s="23">
        <v>2703883.73</v>
      </c>
      <c r="R17" s="24"/>
      <c r="S17" s="25"/>
    </row>
    <row r="18" spans="1:19" ht="15.95" customHeight="1">
      <c r="A18" s="5">
        <v>12</v>
      </c>
      <c r="B18" s="2" t="s">
        <v>9</v>
      </c>
      <c r="C18" s="15"/>
      <c r="D18" s="22">
        <v>26391568.339999996</v>
      </c>
      <c r="E18" s="22"/>
      <c r="F18" s="23">
        <v>8800466.8599999994</v>
      </c>
      <c r="G18" s="23">
        <v>7046200.3099999996</v>
      </c>
      <c r="H18" s="23">
        <v>6405716.6299999999</v>
      </c>
      <c r="I18" s="23">
        <v>4139184.54</v>
      </c>
      <c r="J18" s="23">
        <v>1426182.27</v>
      </c>
      <c r="K18" s="23">
        <v>1698326.77</v>
      </c>
      <c r="L18" s="23">
        <v>5653252.0099999998</v>
      </c>
      <c r="M18" s="23">
        <v>7341418.3399999999</v>
      </c>
      <c r="N18" s="23">
        <v>6493557.54</v>
      </c>
      <c r="O18" s="23">
        <v>6103470.4500000002</v>
      </c>
      <c r="P18" s="23">
        <v>6561954.4000000004</v>
      </c>
      <c r="Q18" s="23">
        <v>8397560.5700000003</v>
      </c>
      <c r="R18" s="24"/>
    </row>
    <row r="19" spans="1:19" ht="15.95" customHeight="1">
      <c r="A19" s="5">
        <v>13</v>
      </c>
      <c r="B19" s="2" t="s">
        <v>10</v>
      </c>
      <c r="C19" s="15"/>
      <c r="D19" s="22">
        <v>-4559595.7300000004</v>
      </c>
      <c r="E19" s="22"/>
      <c r="F19" s="26">
        <v>-1062694.25</v>
      </c>
      <c r="G19" s="26">
        <v>-1178480.71</v>
      </c>
      <c r="H19" s="26">
        <v>-1177115.3999999999</v>
      </c>
      <c r="I19" s="26">
        <v>-1141305.3700000001</v>
      </c>
      <c r="J19" s="26">
        <v>-1253487.52</v>
      </c>
      <c r="K19" s="26">
        <v>-1398528.7</v>
      </c>
      <c r="L19" s="26">
        <v>-1450378.42</v>
      </c>
      <c r="M19" s="26">
        <v>-1346818.86</v>
      </c>
      <c r="N19" s="26">
        <v>-1372212.68</v>
      </c>
      <c r="O19" s="26">
        <v>-1319316.33</v>
      </c>
      <c r="P19" s="26">
        <v>-1257650.3400000001</v>
      </c>
      <c r="Q19" s="26">
        <v>-1191496.26</v>
      </c>
      <c r="R19" s="24"/>
    </row>
    <row r="20" spans="1:19" ht="15.95" customHeight="1">
      <c r="A20" s="5">
        <v>14</v>
      </c>
      <c r="B20" s="2" t="s">
        <v>11</v>
      </c>
      <c r="C20" s="15"/>
      <c r="D20" s="22">
        <v>5885840.5300000003</v>
      </c>
      <c r="E20" s="22"/>
      <c r="F20" s="27">
        <v>1386858.05</v>
      </c>
      <c r="G20" s="27">
        <v>1618473.12</v>
      </c>
      <c r="H20" s="27">
        <v>1456728.23</v>
      </c>
      <c r="I20" s="27">
        <v>1423781.13</v>
      </c>
      <c r="J20" s="27">
        <v>1394142.28</v>
      </c>
      <c r="K20" s="27">
        <v>1391307.66</v>
      </c>
      <c r="L20" s="27">
        <v>1452951.07</v>
      </c>
      <c r="M20" s="27">
        <v>1443201.71</v>
      </c>
      <c r="N20" s="27">
        <v>1567440.78</v>
      </c>
      <c r="O20" s="27">
        <v>1406860.96</v>
      </c>
      <c r="P20" s="27">
        <v>1416448.5</v>
      </c>
      <c r="Q20" s="27">
        <v>1446134.29</v>
      </c>
      <c r="R20" s="24"/>
    </row>
    <row r="21" spans="1:19" ht="15.95" customHeight="1">
      <c r="A21" s="5">
        <v>15</v>
      </c>
      <c r="B21" s="2" t="s">
        <v>12</v>
      </c>
      <c r="D21" s="22">
        <v>137000</v>
      </c>
      <c r="E21" s="22"/>
      <c r="F21" s="23">
        <v>34250</v>
      </c>
      <c r="G21" s="23">
        <v>34250</v>
      </c>
      <c r="H21" s="23">
        <v>34250</v>
      </c>
      <c r="I21" s="23">
        <v>34250</v>
      </c>
      <c r="J21" s="23">
        <v>34250</v>
      </c>
      <c r="K21" s="23">
        <v>34250</v>
      </c>
      <c r="L21" s="23">
        <v>34250</v>
      </c>
      <c r="M21" s="23">
        <v>34250</v>
      </c>
      <c r="N21" s="23">
        <v>34250</v>
      </c>
      <c r="O21" s="23">
        <v>34250</v>
      </c>
      <c r="P21" s="23">
        <v>34250</v>
      </c>
      <c r="Q21" s="23">
        <v>34250</v>
      </c>
      <c r="R21" s="24"/>
    </row>
    <row r="22" spans="1:19" ht="15.95" customHeight="1">
      <c r="A22" s="5">
        <v>16</v>
      </c>
      <c r="B22" s="2" t="s">
        <v>16</v>
      </c>
      <c r="D22" s="22">
        <v>-1007657.5688422333</v>
      </c>
      <c r="E22" s="22"/>
      <c r="F22" s="23">
        <v>-251914.39221055832</v>
      </c>
      <c r="G22" s="23">
        <v>-251914.39221055832</v>
      </c>
      <c r="H22" s="23">
        <v>-251914.39221055832</v>
      </c>
      <c r="I22" s="23">
        <v>-251914.39221055832</v>
      </c>
      <c r="J22" s="23">
        <v>-251914.39221055832</v>
      </c>
      <c r="K22" s="23">
        <v>-251914.39221055832</v>
      </c>
      <c r="L22" s="23">
        <v>-251914.39221055832</v>
      </c>
      <c r="M22" s="23">
        <v>-251914.39221055832</v>
      </c>
      <c r="N22" s="23">
        <v>-251914.39221055832</v>
      </c>
      <c r="O22" s="23">
        <v>-251914.39221055832</v>
      </c>
      <c r="P22" s="23">
        <v>-251914.39221055832</v>
      </c>
      <c r="Q22" s="23">
        <v>-251914.39221055832</v>
      </c>
      <c r="R22" s="24"/>
    </row>
    <row r="23" spans="1:19" ht="20.25" customHeight="1">
      <c r="A23" s="5">
        <v>17</v>
      </c>
      <c r="B23" s="16" t="s">
        <v>17</v>
      </c>
      <c r="C23" s="16"/>
      <c r="D23" s="17">
        <v>60715557.191157773</v>
      </c>
      <c r="E23" s="17"/>
      <c r="F23" s="28">
        <v>18199664.357789442</v>
      </c>
      <c r="G23" s="28">
        <v>17200889.267789442</v>
      </c>
      <c r="H23" s="28">
        <v>15081708.10778944</v>
      </c>
      <c r="I23" s="28">
        <v>10233295.45778944</v>
      </c>
      <c r="J23" s="28">
        <v>6111472.7777894428</v>
      </c>
      <c r="K23" s="28">
        <v>5882704.8877894422</v>
      </c>
      <c r="L23" s="28">
        <v>9699294.3977894429</v>
      </c>
      <c r="M23" s="28">
        <v>14547926.477789443</v>
      </c>
      <c r="N23" s="28">
        <v>12481352.76778944</v>
      </c>
      <c r="O23" s="28">
        <v>13261866.29778944</v>
      </c>
      <c r="P23" s="28">
        <v>16244123.547789441</v>
      </c>
      <c r="Q23" s="28">
        <v>16930994.577789441</v>
      </c>
      <c r="R23" s="24"/>
    </row>
    <row r="24" spans="1:19" ht="20.25" customHeight="1">
      <c r="B24" s="16"/>
      <c r="C24" s="16"/>
      <c r="D24" s="29"/>
      <c r="E24" s="29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4"/>
    </row>
    <row r="25" spans="1:19" ht="28.5" customHeight="1">
      <c r="A25" s="5">
        <v>18</v>
      </c>
      <c r="B25" s="16" t="s">
        <v>18</v>
      </c>
      <c r="C25" s="16"/>
      <c r="D25" s="30">
        <v>-5515973.9583577644</v>
      </c>
      <c r="E25" s="30" t="s">
        <v>63</v>
      </c>
      <c r="F25" s="28">
        <v>-3928707.4831894413</v>
      </c>
      <c r="G25" s="28">
        <v>-4485145.3707894422</v>
      </c>
      <c r="H25" s="28">
        <v>-10274.074689440429</v>
      </c>
      <c r="I25" s="28">
        <v>2908152.9703105595</v>
      </c>
      <c r="J25" s="28" t="s">
        <v>63</v>
      </c>
      <c r="K25" s="28" t="s">
        <v>63</v>
      </c>
      <c r="L25" s="28" t="s">
        <v>63</v>
      </c>
      <c r="M25" s="28" t="s">
        <v>63</v>
      </c>
      <c r="N25" s="28" t="s">
        <v>63</v>
      </c>
      <c r="O25" s="28" t="s">
        <v>63</v>
      </c>
      <c r="P25" s="28" t="s">
        <v>63</v>
      </c>
      <c r="Q25" s="28" t="s">
        <v>63</v>
      </c>
    </row>
    <row r="26" spans="1:19" ht="26.25" customHeight="1">
      <c r="A26" s="5">
        <v>19</v>
      </c>
      <c r="B26" s="31" t="s">
        <v>19</v>
      </c>
      <c r="C26" s="31"/>
      <c r="D26" s="32">
        <v>-1091850</v>
      </c>
      <c r="E26" s="32"/>
      <c r="F26" s="33">
        <v>432811</v>
      </c>
      <c r="G26" s="33">
        <v>-525048</v>
      </c>
      <c r="H26" s="33">
        <v>-523916</v>
      </c>
      <c r="I26" s="33">
        <v>-475697</v>
      </c>
      <c r="J26" s="33" t="s">
        <v>63</v>
      </c>
      <c r="K26" s="33" t="s">
        <v>63</v>
      </c>
      <c r="L26" s="33" t="s">
        <v>63</v>
      </c>
      <c r="M26" s="33" t="s">
        <v>63</v>
      </c>
      <c r="N26" s="33" t="s">
        <v>63</v>
      </c>
      <c r="O26" s="33" t="s">
        <v>63</v>
      </c>
      <c r="P26" s="33" t="s">
        <v>63</v>
      </c>
      <c r="Q26" s="33" t="s">
        <v>63</v>
      </c>
      <c r="S26" s="34"/>
    </row>
    <row r="27" spans="1:19" ht="19.5" customHeight="1">
      <c r="A27" s="5">
        <v>20</v>
      </c>
      <c r="B27" s="31" t="s">
        <v>20</v>
      </c>
      <c r="C27" s="31"/>
      <c r="D27" s="32">
        <v>-6607823.9583577644</v>
      </c>
      <c r="E27" s="32"/>
      <c r="F27" s="33">
        <v>-3495896.4831894413</v>
      </c>
      <c r="G27" s="33">
        <v>-5010193.3707894422</v>
      </c>
      <c r="H27" s="33">
        <v>-534190.07468944043</v>
      </c>
      <c r="I27" s="33">
        <v>2432455.9703105595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</row>
    <row r="28" spans="1:19" ht="18.75" customHeight="1">
      <c r="A28" s="5">
        <v>21</v>
      </c>
      <c r="B28" s="2" t="s">
        <v>21</v>
      </c>
      <c r="D28" s="35"/>
      <c r="E28" s="35"/>
      <c r="F28" s="36">
        <v>0.6573</v>
      </c>
      <c r="G28" s="36">
        <v>0.6573</v>
      </c>
      <c r="H28" s="36">
        <v>0.6573</v>
      </c>
      <c r="I28" s="36">
        <v>0.6573</v>
      </c>
      <c r="J28" s="36">
        <v>0.6573</v>
      </c>
      <c r="K28" s="36">
        <v>0.6573</v>
      </c>
      <c r="L28" s="36">
        <v>0.6573</v>
      </c>
      <c r="M28" s="36">
        <v>0.6573</v>
      </c>
      <c r="N28" s="36">
        <v>0.6573</v>
      </c>
      <c r="O28" s="36">
        <v>0.6573</v>
      </c>
      <c r="P28" s="36">
        <v>0.6573</v>
      </c>
      <c r="Q28" s="36">
        <v>0.6573</v>
      </c>
    </row>
    <row r="29" spans="1:19" ht="20.25" customHeight="1">
      <c r="A29" s="5">
        <v>22</v>
      </c>
      <c r="B29" s="2" t="s">
        <v>22</v>
      </c>
      <c r="D29" s="37">
        <v>-4343322.6878285594</v>
      </c>
      <c r="E29" s="37"/>
      <c r="F29" s="38">
        <v>-2297852.7584004197</v>
      </c>
      <c r="G29" s="38">
        <v>-3293200.1026199004</v>
      </c>
      <c r="H29" s="38">
        <v>-351123.13609336922</v>
      </c>
      <c r="I29" s="38">
        <v>1598853.3092851308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</row>
    <row r="30" spans="1:19" ht="20.25" customHeight="1">
      <c r="A30" s="5">
        <v>23</v>
      </c>
      <c r="B30" s="2" t="s">
        <v>23</v>
      </c>
      <c r="D30" s="37">
        <v>0</v>
      </c>
      <c r="E30" s="37"/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</row>
    <row r="31" spans="1:19" ht="29.25" customHeight="1">
      <c r="A31" s="5">
        <v>24</v>
      </c>
      <c r="B31" s="39" t="s">
        <v>24</v>
      </c>
      <c r="C31" s="39"/>
      <c r="D31" s="40">
        <v>1060994.1623399998</v>
      </c>
      <c r="E31" s="40"/>
      <c r="F31" s="41">
        <v>936469.8023399997</v>
      </c>
      <c r="G31" s="41">
        <v>68582.569999999992</v>
      </c>
      <c r="H31" s="41">
        <v>-204389.46</v>
      </c>
      <c r="I31" s="41">
        <v>260331.25</v>
      </c>
      <c r="J31" s="41" t="s">
        <v>63</v>
      </c>
      <c r="K31" s="41" t="s">
        <v>63</v>
      </c>
      <c r="L31" s="41" t="s">
        <v>63</v>
      </c>
      <c r="M31" s="41" t="s">
        <v>63</v>
      </c>
      <c r="N31" s="41" t="s">
        <v>63</v>
      </c>
      <c r="O31" s="41" t="s">
        <v>63</v>
      </c>
      <c r="P31" s="41" t="s">
        <v>63</v>
      </c>
      <c r="Q31" s="41" t="s">
        <v>63</v>
      </c>
    </row>
    <row r="32" spans="1:19" ht="27" customHeight="1">
      <c r="A32" s="5">
        <v>25</v>
      </c>
      <c r="B32" s="42" t="s">
        <v>25</v>
      </c>
      <c r="C32" s="42"/>
      <c r="D32" s="43">
        <v>-3282328.5254885587</v>
      </c>
      <c r="E32" s="43"/>
      <c r="F32" s="44">
        <v>-1361382.95606042</v>
      </c>
      <c r="G32" s="44">
        <v>-3224617.5326199005</v>
      </c>
      <c r="H32" s="44">
        <v>-555512.59609336918</v>
      </c>
      <c r="I32" s="44">
        <v>1859184.5592851308</v>
      </c>
      <c r="J32" s="44" t="s">
        <v>63</v>
      </c>
      <c r="K32" s="44" t="s">
        <v>63</v>
      </c>
      <c r="L32" s="44" t="s">
        <v>63</v>
      </c>
      <c r="M32" s="44" t="s">
        <v>63</v>
      </c>
      <c r="N32" s="44" t="s">
        <v>63</v>
      </c>
      <c r="O32" s="44" t="s">
        <v>63</v>
      </c>
      <c r="P32" s="44" t="s">
        <v>63</v>
      </c>
      <c r="Q32" s="44" t="s">
        <v>63</v>
      </c>
    </row>
    <row r="33" spans="1:19" ht="21" hidden="1" customHeight="1">
      <c r="A33" s="5">
        <v>26</v>
      </c>
      <c r="B33" s="45" t="s">
        <v>26</v>
      </c>
      <c r="C33" s="45"/>
      <c r="D33" s="46"/>
      <c r="E33" s="46"/>
      <c r="F33" s="44"/>
      <c r="G33" s="44"/>
      <c r="H33" s="44"/>
      <c r="I33" s="44"/>
      <c r="J33" s="44"/>
      <c r="K33" s="44"/>
      <c r="L33" s="47">
        <v>0</v>
      </c>
      <c r="M33" s="44"/>
      <c r="N33" s="44"/>
      <c r="O33" s="44"/>
      <c r="P33" s="44"/>
      <c r="Q33" s="44"/>
    </row>
    <row r="34" spans="1:19" ht="28.5" customHeight="1">
      <c r="A34" s="5">
        <v>27</v>
      </c>
      <c r="B34" s="16" t="s">
        <v>27</v>
      </c>
      <c r="C34" s="16"/>
      <c r="D34" s="48"/>
      <c r="E34" s="48"/>
      <c r="F34" s="49">
        <v>-1361382.95606042</v>
      </c>
      <c r="G34" s="49">
        <v>-4586000.4886803208</v>
      </c>
      <c r="H34" s="49">
        <v>-5141513.0847736895</v>
      </c>
      <c r="I34" s="49">
        <v>-3282328.5254885587</v>
      </c>
      <c r="J34" s="49" t="s">
        <v>63</v>
      </c>
      <c r="K34" s="49" t="s">
        <v>63</v>
      </c>
      <c r="L34" s="49" t="s">
        <v>63</v>
      </c>
      <c r="M34" s="49" t="s">
        <v>63</v>
      </c>
      <c r="N34" s="49" t="s">
        <v>63</v>
      </c>
      <c r="O34" s="49" t="s">
        <v>63</v>
      </c>
      <c r="P34" s="49" t="s">
        <v>63</v>
      </c>
      <c r="Q34" s="49" t="s">
        <v>63</v>
      </c>
      <c r="R34" s="34"/>
    </row>
    <row r="35" spans="1:19" ht="30.75" hidden="1" customHeight="1" outlineLevel="1">
      <c r="A35" s="2" t="s">
        <v>28</v>
      </c>
      <c r="B35" s="50">
        <v>10000000</v>
      </c>
      <c r="C35" s="51" t="s">
        <v>29</v>
      </c>
      <c r="D35" s="52">
        <v>0.9</v>
      </c>
      <c r="E35" s="52">
        <v>0.9</v>
      </c>
      <c r="F35" s="35">
        <v>0</v>
      </c>
      <c r="G35" s="35">
        <v>0</v>
      </c>
      <c r="H35" s="35">
        <v>0</v>
      </c>
      <c r="I35" s="35">
        <v>0</v>
      </c>
      <c r="J35" s="35" t="s">
        <v>63</v>
      </c>
      <c r="K35" s="35" t="s">
        <v>63</v>
      </c>
      <c r="L35" s="35" t="s">
        <v>63</v>
      </c>
      <c r="M35" s="35" t="s">
        <v>63</v>
      </c>
      <c r="N35" s="35" t="s">
        <v>63</v>
      </c>
      <c r="O35" s="35" t="s">
        <v>63</v>
      </c>
      <c r="P35" s="35" t="s">
        <v>63</v>
      </c>
      <c r="Q35" s="35" t="s">
        <v>63</v>
      </c>
      <c r="R35" s="53"/>
      <c r="S35" s="54"/>
    </row>
    <row r="36" spans="1:19" ht="19.5" hidden="1" customHeight="1" outlineLevel="1">
      <c r="A36" s="2" t="s">
        <v>28</v>
      </c>
      <c r="B36" s="50">
        <v>4000000</v>
      </c>
      <c r="C36" s="51" t="s">
        <v>174</v>
      </c>
      <c r="D36" s="52">
        <v>0.5</v>
      </c>
      <c r="E36" s="52">
        <v>0.75</v>
      </c>
      <c r="F36" s="35">
        <v>0</v>
      </c>
      <c r="G36" s="35">
        <v>-586000.48868032079</v>
      </c>
      <c r="H36" s="35">
        <v>-1141513.0847736895</v>
      </c>
      <c r="I36" s="35">
        <v>0</v>
      </c>
      <c r="J36" s="35" t="s">
        <v>63</v>
      </c>
      <c r="K36" s="35" t="s">
        <v>63</v>
      </c>
      <c r="L36" s="35" t="s">
        <v>63</v>
      </c>
      <c r="M36" s="35" t="s">
        <v>63</v>
      </c>
      <c r="N36" s="35" t="s">
        <v>63</v>
      </c>
      <c r="O36" s="35" t="s">
        <v>63</v>
      </c>
      <c r="P36" s="35" t="s">
        <v>63</v>
      </c>
      <c r="Q36" s="35" t="s">
        <v>63</v>
      </c>
      <c r="R36" s="53"/>
      <c r="S36" s="54"/>
    </row>
    <row r="37" spans="1:19" ht="21.75" hidden="1" customHeight="1" outlineLevel="1">
      <c r="A37" s="2" t="s">
        <v>28</v>
      </c>
      <c r="B37" s="50">
        <v>0</v>
      </c>
      <c r="C37" s="51" t="s">
        <v>175</v>
      </c>
      <c r="D37" s="52">
        <v>0</v>
      </c>
      <c r="E37" s="52">
        <v>0</v>
      </c>
      <c r="F37" s="35">
        <v>-1361382.95606042</v>
      </c>
      <c r="G37" s="35">
        <v>-4000000</v>
      </c>
      <c r="H37" s="35">
        <v>-4000000</v>
      </c>
      <c r="I37" s="35">
        <v>-3282328.5254885587</v>
      </c>
      <c r="J37" s="35" t="s">
        <v>63</v>
      </c>
      <c r="K37" s="35" t="s">
        <v>63</v>
      </c>
      <c r="L37" s="35" t="s">
        <v>63</v>
      </c>
      <c r="M37" s="35" t="s">
        <v>63</v>
      </c>
      <c r="N37" s="35" t="s">
        <v>63</v>
      </c>
      <c r="O37" s="35" t="s">
        <v>63</v>
      </c>
      <c r="P37" s="35" t="s">
        <v>63</v>
      </c>
      <c r="Q37" s="35" t="s">
        <v>63</v>
      </c>
      <c r="R37" s="53"/>
    </row>
    <row r="38" spans="1:19" ht="15.95" hidden="1" customHeight="1" outlineLevel="1">
      <c r="A38" s="2"/>
      <c r="B38" s="55"/>
      <c r="C38" s="2" t="s">
        <v>30</v>
      </c>
      <c r="D38" s="56"/>
      <c r="E38" s="56"/>
      <c r="F38" s="34">
        <v>0</v>
      </c>
      <c r="G38" s="34">
        <v>0</v>
      </c>
      <c r="H38" s="34">
        <v>0</v>
      </c>
      <c r="I38" s="34">
        <v>0</v>
      </c>
      <c r="J38" s="34" t="s">
        <v>63</v>
      </c>
      <c r="K38" s="34" t="s">
        <v>63</v>
      </c>
      <c r="L38" s="34" t="s">
        <v>63</v>
      </c>
      <c r="M38" s="34" t="s">
        <v>63</v>
      </c>
      <c r="N38" s="34" t="s">
        <v>63</v>
      </c>
      <c r="O38" s="34" t="s">
        <v>63</v>
      </c>
      <c r="P38" s="34" t="s">
        <v>63</v>
      </c>
      <c r="Q38" s="34" t="s">
        <v>63</v>
      </c>
      <c r="R38" s="57"/>
    </row>
    <row r="39" spans="1:19" ht="23.25" customHeight="1" collapsed="1">
      <c r="A39" s="2" t="s">
        <v>31</v>
      </c>
      <c r="D39" s="25"/>
      <c r="E39" s="25"/>
      <c r="F39" s="35">
        <v>0</v>
      </c>
      <c r="G39" s="35">
        <v>-439500.36651024059</v>
      </c>
      <c r="H39" s="35">
        <v>-856134.81358026713</v>
      </c>
      <c r="I39" s="35">
        <v>0</v>
      </c>
      <c r="J39" s="35" t="s">
        <v>63</v>
      </c>
      <c r="K39" s="35" t="s">
        <v>63</v>
      </c>
      <c r="L39" s="35" t="s">
        <v>63</v>
      </c>
      <c r="M39" s="35" t="s">
        <v>63</v>
      </c>
      <c r="N39" s="35" t="s">
        <v>63</v>
      </c>
      <c r="O39" s="35" t="s">
        <v>63</v>
      </c>
      <c r="P39" s="35" t="s">
        <v>63</v>
      </c>
      <c r="Q39" s="35" t="s">
        <v>63</v>
      </c>
      <c r="R39" s="53" t="s">
        <v>32</v>
      </c>
    </row>
    <row r="40" spans="1:19" ht="20.25" customHeight="1">
      <c r="A40" s="2" t="s">
        <v>33</v>
      </c>
      <c r="F40" s="35">
        <v>0</v>
      </c>
      <c r="G40" s="35">
        <v>-439500.36651024059</v>
      </c>
      <c r="H40" s="35">
        <v>-416634.44707002654</v>
      </c>
      <c r="I40" s="35">
        <v>856134.81358026713</v>
      </c>
      <c r="J40" s="35" t="s">
        <v>63</v>
      </c>
      <c r="K40" s="35" t="s">
        <v>63</v>
      </c>
      <c r="L40" s="35" t="s">
        <v>63</v>
      </c>
      <c r="M40" s="35" t="s">
        <v>63</v>
      </c>
      <c r="N40" s="35" t="s">
        <v>63</v>
      </c>
      <c r="O40" s="35" t="s">
        <v>63</v>
      </c>
      <c r="P40" s="35" t="s">
        <v>63</v>
      </c>
      <c r="Q40" s="35" t="s">
        <v>63</v>
      </c>
      <c r="R40" s="57"/>
    </row>
    <row r="41" spans="1:19" ht="24.75" customHeight="1">
      <c r="A41" s="45" t="s">
        <v>34</v>
      </c>
      <c r="B41" s="45"/>
      <c r="C41" s="45"/>
      <c r="D41" s="43">
        <v>0</v>
      </c>
      <c r="E41" s="43"/>
      <c r="F41" s="58">
        <v>0</v>
      </c>
      <c r="G41" s="58">
        <v>439500.36651024059</v>
      </c>
      <c r="H41" s="58">
        <v>416634.44707002654</v>
      </c>
      <c r="I41" s="58">
        <v>-856134.81358026713</v>
      </c>
      <c r="J41" s="58" t="s">
        <v>63</v>
      </c>
      <c r="K41" s="58" t="s">
        <v>63</v>
      </c>
      <c r="L41" s="58" t="s">
        <v>63</v>
      </c>
      <c r="M41" s="58" t="s">
        <v>63</v>
      </c>
      <c r="N41" s="58" t="s">
        <v>63</v>
      </c>
      <c r="O41" s="58" t="s">
        <v>63</v>
      </c>
      <c r="P41" s="58" t="s">
        <v>63</v>
      </c>
      <c r="Q41" s="58" t="s">
        <v>63</v>
      </c>
      <c r="R41" s="53"/>
    </row>
    <row r="42" spans="1:19" ht="26.25" customHeight="1" thickBot="1">
      <c r="A42" s="59" t="s">
        <v>35</v>
      </c>
      <c r="B42" s="59"/>
      <c r="C42" s="59"/>
      <c r="D42" s="60"/>
      <c r="E42" s="60"/>
      <c r="F42" s="61">
        <v>-1361382.95606042</v>
      </c>
      <c r="G42" s="61">
        <v>-4146500.1221700804</v>
      </c>
      <c r="H42" s="61">
        <v>-4285378.2711934224</v>
      </c>
      <c r="I42" s="61">
        <v>-3282328.5254885587</v>
      </c>
      <c r="J42" s="61" t="s">
        <v>63</v>
      </c>
      <c r="K42" s="61" t="s">
        <v>63</v>
      </c>
      <c r="L42" s="61" t="s">
        <v>63</v>
      </c>
      <c r="M42" s="61" t="s">
        <v>63</v>
      </c>
      <c r="N42" s="61" t="s">
        <v>63</v>
      </c>
      <c r="O42" s="61" t="s">
        <v>63</v>
      </c>
      <c r="P42" s="61" t="s">
        <v>63</v>
      </c>
      <c r="Q42" s="61" t="s">
        <v>63</v>
      </c>
      <c r="R42" s="2" t="s">
        <v>36</v>
      </c>
    </row>
    <row r="43" spans="1:19" ht="13.5" thickTop="1">
      <c r="A43" s="62"/>
    </row>
    <row r="44" spans="1:19" ht="13.15">
      <c r="E44" s="63"/>
      <c r="F44" s="64" t="s">
        <v>37</v>
      </c>
      <c r="Q44" s="35"/>
      <c r="R44" s="34"/>
    </row>
    <row r="45" spans="1:19" ht="13.15">
      <c r="E45" s="65"/>
      <c r="F45"/>
      <c r="H45" s="66"/>
      <c r="I45" s="66"/>
      <c r="J45" s="66"/>
      <c r="K45" s="66"/>
      <c r="Q45" s="67"/>
      <c r="R45" s="34"/>
    </row>
    <row r="46" spans="1:19" ht="13.15">
      <c r="E46" s="63"/>
      <c r="F46" s="68"/>
      <c r="H46" s="66"/>
      <c r="I46" s="66"/>
      <c r="J46" s="66"/>
      <c r="K46" s="66"/>
      <c r="Q46" s="67"/>
      <c r="R46" s="34"/>
    </row>
    <row r="47" spans="1:19">
      <c r="H47" s="66"/>
      <c r="I47" s="66"/>
      <c r="J47" s="66"/>
      <c r="K47" s="66"/>
    </row>
    <row r="48" spans="1:19">
      <c r="F48" s="69"/>
      <c r="H48" s="66"/>
      <c r="I48" s="66"/>
      <c r="J48" s="66"/>
      <c r="K48" s="66"/>
    </row>
    <row r="49" spans="6:17">
      <c r="F49" s="69"/>
      <c r="H49" s="66"/>
      <c r="I49" s="66"/>
      <c r="J49" s="66"/>
      <c r="K49" s="66"/>
      <c r="Q49" s="34"/>
    </row>
    <row r="50" spans="6:17">
      <c r="H50" s="66"/>
      <c r="I50" s="66"/>
      <c r="J50" s="66"/>
      <c r="K50" s="66"/>
    </row>
    <row r="51" spans="6:17">
      <c r="H51" s="66"/>
      <c r="I51" s="66"/>
      <c r="J51" s="66"/>
      <c r="K51" s="66"/>
    </row>
    <row r="52" spans="6:17">
      <c r="H52" s="66"/>
      <c r="I52" s="66"/>
      <c r="J52" s="66"/>
      <c r="K52" s="66"/>
    </row>
    <row r="56" spans="6:17" hidden="1"/>
    <row r="57" spans="6:17" hidden="1"/>
    <row r="58" spans="6:17" hidden="1"/>
    <row r="59" spans="6:17" hidden="1"/>
    <row r="60" spans="6:17" hidden="1"/>
    <row r="61" spans="6:17" hidden="1"/>
    <row r="62" spans="6:17" hidden="1"/>
    <row r="63" spans="6:17" hidden="1"/>
    <row r="64" spans="6:1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</sheetData>
  <mergeCells count="34">
    <mergeCell ref="B33:C33"/>
    <mergeCell ref="A41:C41"/>
    <mergeCell ref="D41:E41"/>
    <mergeCell ref="A42:C42"/>
    <mergeCell ref="D29:E29"/>
    <mergeCell ref="D30:E30"/>
    <mergeCell ref="B31:C31"/>
    <mergeCell ref="D31:E31"/>
    <mergeCell ref="B32:C32"/>
    <mergeCell ref="D32:E32"/>
    <mergeCell ref="D21:E21"/>
    <mergeCell ref="D22:E22"/>
    <mergeCell ref="D23:E23"/>
    <mergeCell ref="D25:E25"/>
    <mergeCell ref="D26:E26"/>
    <mergeCell ref="D27:E27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Q1"/>
    <mergeCell ref="A2:Q2"/>
    <mergeCell ref="D5:E5"/>
    <mergeCell ref="D6:E6"/>
    <mergeCell ref="D7:E7"/>
    <mergeCell ref="D8:E8"/>
  </mergeCells>
  <conditionalFormatting sqref="F38:R38">
    <cfRule type="expression" dxfId="0" priority="1" stopIfTrue="1">
      <formula>ABS(F38)&gt;0.1</formula>
    </cfRule>
  </conditionalFormatting>
  <pageMargins left="0.17" right="0.17" top="0.5" bottom="0.5" header="0.5" footer="0.25"/>
  <pageSetup scale="56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CFF4C-15E0-4FE2-BA9A-E77CF46B3D61}">
  <sheetPr>
    <tabColor theme="8" tint="-0.249977111117893"/>
  </sheetPr>
  <dimension ref="A1:T501"/>
  <sheetViews>
    <sheetView zoomScaleNormal="100" zoomScaleSheetLayoutView="100" workbookViewId="0">
      <pane xSplit="4" ySplit="5" topLeftCell="E11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82" customWidth="1"/>
    <col min="2" max="2" width="46.1328125" customWidth="1"/>
    <col min="3" max="3" width="33.59765625" hidden="1" customWidth="1" outlineLevel="1"/>
    <col min="4" max="4" width="13.3984375" bestFit="1" customWidth="1" collapsed="1"/>
    <col min="5" max="5" width="13.73046875" customWidth="1"/>
    <col min="6" max="6" width="12.73046875" customWidth="1"/>
    <col min="7" max="7" width="12.3984375" customWidth="1"/>
    <col min="8" max="8" width="12.59765625" customWidth="1"/>
    <col min="9" max="9" width="12.1328125" customWidth="1"/>
    <col min="10" max="10" width="12.59765625" customWidth="1"/>
    <col min="11" max="16" width="12.73046875" customWidth="1"/>
    <col min="17" max="17" width="2.73046875" hidden="1" customWidth="1" outlineLevel="1"/>
    <col min="18" max="18" width="14.265625" hidden="1" customWidth="1" outlineLevel="1"/>
    <col min="19" max="19" width="11.3984375" collapsed="1"/>
    <col min="20" max="20" width="13.265625" bestFit="1" customWidth="1"/>
  </cols>
  <sheetData>
    <row r="1" spans="1:18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15">
      <c r="A2" s="1" t="s">
        <v>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8.25" customHeight="1">
      <c r="A3"/>
    </row>
    <row r="4" spans="1:18">
      <c r="A4" s="70" t="s">
        <v>2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8" ht="13.15">
      <c r="A5" s="72" t="s">
        <v>3</v>
      </c>
      <c r="C5" t="s">
        <v>39</v>
      </c>
      <c r="D5" s="73" t="s">
        <v>5</v>
      </c>
      <c r="E5" s="10">
        <v>44227</v>
      </c>
      <c r="F5" s="10">
        <f t="shared" ref="F5:P5" si="0">EOMONTH(E5,1)</f>
        <v>44255</v>
      </c>
      <c r="G5" s="10">
        <f t="shared" si="0"/>
        <v>44286</v>
      </c>
      <c r="H5" s="10">
        <f t="shared" si="0"/>
        <v>44316</v>
      </c>
      <c r="I5" s="10">
        <f t="shared" si="0"/>
        <v>44347</v>
      </c>
      <c r="J5" s="10">
        <f t="shared" si="0"/>
        <v>44377</v>
      </c>
      <c r="K5" s="10">
        <f t="shared" si="0"/>
        <v>44408</v>
      </c>
      <c r="L5" s="10">
        <f t="shared" si="0"/>
        <v>44439</v>
      </c>
      <c r="M5" s="10">
        <f t="shared" si="0"/>
        <v>44469</v>
      </c>
      <c r="N5" s="10">
        <f t="shared" si="0"/>
        <v>44500</v>
      </c>
      <c r="O5" s="10">
        <f t="shared" si="0"/>
        <v>44530</v>
      </c>
      <c r="P5" s="10">
        <f t="shared" si="0"/>
        <v>44561</v>
      </c>
      <c r="Q5" s="74"/>
      <c r="R5" s="10" t="s">
        <v>40</v>
      </c>
    </row>
    <row r="6" spans="1:18" ht="13.15">
      <c r="A6" s="70"/>
      <c r="B6" s="75" t="s">
        <v>41</v>
      </c>
      <c r="C6" s="76"/>
    </row>
    <row r="7" spans="1:18">
      <c r="A7" s="70">
        <f>A6+1</f>
        <v>1</v>
      </c>
      <c r="B7" s="2" t="s">
        <v>42</v>
      </c>
      <c r="C7" s="4"/>
      <c r="D7" s="12">
        <f>SUM(E7:P7)</f>
        <v>8826586.5427999981</v>
      </c>
      <c r="E7" s="12">
        <f>E24-SUM(E8:E23)</f>
        <v>1760596.9146000016</v>
      </c>
      <c r="F7" s="12">
        <f t="shared" ref="F7:P7" si="1">F24-SUM(F8:F23)</f>
        <v>1547991.0669999998</v>
      </c>
      <c r="G7" s="12">
        <f t="shared" si="1"/>
        <v>3311009.1330999993</v>
      </c>
      <c r="H7" s="12">
        <f t="shared" si="1"/>
        <v>2206989.4280999973</v>
      </c>
      <c r="I7" s="12">
        <f t="shared" si="1"/>
        <v>0</v>
      </c>
      <c r="J7" s="12">
        <f t="shared" si="1"/>
        <v>0</v>
      </c>
      <c r="K7" s="12">
        <f t="shared" si="1"/>
        <v>0</v>
      </c>
      <c r="L7" s="12">
        <f t="shared" si="1"/>
        <v>0</v>
      </c>
      <c r="M7" s="12">
        <f t="shared" si="1"/>
        <v>0</v>
      </c>
      <c r="N7" s="12">
        <f t="shared" si="1"/>
        <v>0</v>
      </c>
      <c r="O7" s="12">
        <f t="shared" si="1"/>
        <v>0</v>
      </c>
      <c r="P7" s="12">
        <f t="shared" si="1"/>
        <v>0</v>
      </c>
      <c r="Q7" s="77"/>
      <c r="R7" s="78">
        <f t="shared" ref="R7:R23" si="2">SUM(E7:P7)</f>
        <v>8826586.5427999981</v>
      </c>
    </row>
    <row r="8" spans="1:18">
      <c r="A8" s="70">
        <v>2</v>
      </c>
      <c r="B8" s="79" t="s">
        <v>43</v>
      </c>
      <c r="C8" s="80">
        <v>100096</v>
      </c>
      <c r="D8" s="12">
        <f t="shared" ref="D8:D23" si="3">SUM(E8:P8)</f>
        <v>4766666.68</v>
      </c>
      <c r="E8" s="26">
        <f>'[1]Input Tab'!C19</f>
        <v>1191666.67</v>
      </c>
      <c r="F8" s="26">
        <f>'[1]Input Tab'!D19</f>
        <v>1191666.67</v>
      </c>
      <c r="G8" s="26">
        <f>'[1]Input Tab'!E19</f>
        <v>1191666.67</v>
      </c>
      <c r="H8" s="26">
        <f>'[1]Input Tab'!F19</f>
        <v>1191666.67</v>
      </c>
      <c r="I8" s="26">
        <f>'[1]Input Tab'!G19</f>
        <v>0</v>
      </c>
      <c r="J8" s="26">
        <f>'[1]Input Tab'!H19</f>
        <v>0</v>
      </c>
      <c r="K8" s="26">
        <f>'[1]Input Tab'!I19</f>
        <v>0</v>
      </c>
      <c r="L8" s="26">
        <f>'[1]Input Tab'!J19</f>
        <v>0</v>
      </c>
      <c r="M8" s="26">
        <f>'[1]Input Tab'!K19</f>
        <v>0</v>
      </c>
      <c r="N8" s="26">
        <f>'[1]Input Tab'!L19</f>
        <v>0</v>
      </c>
      <c r="O8" s="26">
        <f>'[1]Input Tab'!M19</f>
        <v>0</v>
      </c>
      <c r="P8" s="26">
        <f>'[1]Input Tab'!N19</f>
        <v>0</v>
      </c>
      <c r="Q8" s="77"/>
      <c r="R8" s="78">
        <f t="shared" si="2"/>
        <v>4766666.68</v>
      </c>
    </row>
    <row r="9" spans="1:18">
      <c r="A9" s="70">
        <v>3</v>
      </c>
      <c r="B9" s="79" t="s">
        <v>44</v>
      </c>
      <c r="C9" s="80">
        <v>107240</v>
      </c>
      <c r="D9" s="12">
        <f t="shared" si="3"/>
        <v>658469.77</v>
      </c>
      <c r="E9" s="26">
        <f>'[1]Input Tab'!C20</f>
        <v>192121.58</v>
      </c>
      <c r="F9" s="26">
        <f>'[1]Input Tab'!D20</f>
        <v>210942.86</v>
      </c>
      <c r="G9" s="26">
        <f>'[1]Input Tab'!E20</f>
        <v>116947.51</v>
      </c>
      <c r="H9" s="26">
        <f>'[1]Input Tab'!F20</f>
        <v>138457.82</v>
      </c>
      <c r="I9" s="26">
        <f>'[1]Input Tab'!G20</f>
        <v>0</v>
      </c>
      <c r="J9" s="26">
        <f>'[1]Input Tab'!H20</f>
        <v>0</v>
      </c>
      <c r="K9" s="26">
        <f>'[1]Input Tab'!I20</f>
        <v>0</v>
      </c>
      <c r="L9" s="26">
        <f>'[1]Input Tab'!J20</f>
        <v>0</v>
      </c>
      <c r="M9" s="26">
        <f>'[1]Input Tab'!K20</f>
        <v>0</v>
      </c>
      <c r="N9" s="26">
        <f>'[1]Input Tab'!L20</f>
        <v>0</v>
      </c>
      <c r="O9" s="26">
        <f>'[1]Input Tab'!M20</f>
        <v>0</v>
      </c>
      <c r="P9" s="26">
        <f>'[1]Input Tab'!N20</f>
        <v>0</v>
      </c>
      <c r="Q9" s="77"/>
      <c r="R9" s="78">
        <f>SUM(E9:P9)</f>
        <v>658469.77</v>
      </c>
    </row>
    <row r="10" spans="1:18">
      <c r="A10" s="70">
        <v>4</v>
      </c>
      <c r="B10" s="2" t="s">
        <v>45</v>
      </c>
      <c r="C10" s="4">
        <v>100131</v>
      </c>
      <c r="D10" s="12">
        <f t="shared" si="3"/>
        <v>726536</v>
      </c>
      <c r="E10" s="26">
        <f>'[1]Input Tab'!C21</f>
        <v>181634</v>
      </c>
      <c r="F10" s="26">
        <f>'[1]Input Tab'!D21</f>
        <v>181634</v>
      </c>
      <c r="G10" s="26">
        <f>'[1]Input Tab'!E21</f>
        <v>181634</v>
      </c>
      <c r="H10" s="26">
        <f>'[1]Input Tab'!F21</f>
        <v>181634</v>
      </c>
      <c r="I10" s="26">
        <f>'[1]Input Tab'!G21</f>
        <v>0</v>
      </c>
      <c r="J10" s="26">
        <f>'[1]Input Tab'!H21</f>
        <v>0</v>
      </c>
      <c r="K10" s="26">
        <f>'[1]Input Tab'!I21</f>
        <v>0</v>
      </c>
      <c r="L10" s="26">
        <f>'[1]Input Tab'!J21</f>
        <v>0</v>
      </c>
      <c r="M10" s="26">
        <f>'[1]Input Tab'!K21</f>
        <v>0</v>
      </c>
      <c r="N10" s="26">
        <f>'[1]Input Tab'!L21</f>
        <v>0</v>
      </c>
      <c r="O10" s="26">
        <f>'[1]Input Tab'!M21</f>
        <v>0</v>
      </c>
      <c r="P10" s="26">
        <f>'[1]Input Tab'!N21</f>
        <v>0</v>
      </c>
      <c r="Q10" s="77"/>
      <c r="R10" s="78">
        <f t="shared" si="2"/>
        <v>726536</v>
      </c>
    </row>
    <row r="11" spans="1:18" ht="13.5" customHeight="1">
      <c r="A11" s="70">
        <v>5</v>
      </c>
      <c r="B11" s="2" t="s">
        <v>46</v>
      </c>
      <c r="C11" s="4">
        <v>100085</v>
      </c>
      <c r="D11" s="12">
        <f t="shared" si="3"/>
        <v>3761084.12</v>
      </c>
      <c r="E11" s="81">
        <f>'[1]Input Tab'!C22</f>
        <v>939387.38</v>
      </c>
      <c r="F11" s="81">
        <f>'[1]Input Tab'!D22</f>
        <v>939387.38</v>
      </c>
      <c r="G11" s="81">
        <f>'[1]Input Tab'!E22</f>
        <v>939387.38</v>
      </c>
      <c r="H11" s="81">
        <f>'[1]Input Tab'!F22</f>
        <v>942921.98</v>
      </c>
      <c r="I11" s="81">
        <f>'[1]Input Tab'!G22</f>
        <v>0</v>
      </c>
      <c r="J11" s="81">
        <f>'[1]Input Tab'!H22</f>
        <v>0</v>
      </c>
      <c r="K11" s="81">
        <f>'[1]Input Tab'!I22</f>
        <v>0</v>
      </c>
      <c r="L11" s="81">
        <f>'[1]Input Tab'!J22</f>
        <v>0</v>
      </c>
      <c r="M11" s="81">
        <f>'[1]Input Tab'!K22</f>
        <v>0</v>
      </c>
      <c r="N11" s="81">
        <f>'[1]Input Tab'!L22</f>
        <v>0</v>
      </c>
      <c r="O11" s="81">
        <f>'[1]Input Tab'!M22</f>
        <v>0</v>
      </c>
      <c r="P11" s="81">
        <f>'[1]Input Tab'!N22</f>
        <v>0</v>
      </c>
      <c r="Q11" s="77"/>
      <c r="R11" s="78">
        <f t="shared" si="2"/>
        <v>3761084.12</v>
      </c>
    </row>
    <row r="12" spans="1:18" ht="14.25">
      <c r="A12" s="70">
        <f>A11+1</f>
        <v>6</v>
      </c>
      <c r="B12" s="2" t="s">
        <v>47</v>
      </c>
      <c r="C12" s="82" t="s">
        <v>48</v>
      </c>
      <c r="D12" s="12">
        <f t="shared" si="3"/>
        <v>0</v>
      </c>
      <c r="E12" s="81">
        <f>'[1]Input Tab'!C23</f>
        <v>0</v>
      </c>
      <c r="F12" s="81">
        <f>'[1]Input Tab'!D23</f>
        <v>0</v>
      </c>
      <c r="G12" s="81">
        <f>'[1]Input Tab'!E23</f>
        <v>0</v>
      </c>
      <c r="H12" s="81">
        <f>'[1]Input Tab'!F23</f>
        <v>0</v>
      </c>
      <c r="I12" s="81">
        <f>'[1]Input Tab'!G23</f>
        <v>0</v>
      </c>
      <c r="J12" s="81">
        <f>'[1]Input Tab'!H23</f>
        <v>0</v>
      </c>
      <c r="K12" s="81">
        <f>'[1]Input Tab'!I23</f>
        <v>0</v>
      </c>
      <c r="L12" s="81">
        <f>'[1]Input Tab'!J23</f>
        <v>0</v>
      </c>
      <c r="M12" s="26">
        <f>'[1]Input Tab'!K23</f>
        <v>0</v>
      </c>
      <c r="N12" s="26">
        <f>'[1]Input Tab'!L23</f>
        <v>0</v>
      </c>
      <c r="O12" s="81">
        <f>'[1]Input Tab'!M23</f>
        <v>0</v>
      </c>
      <c r="P12" s="81">
        <f>'[1]Input Tab'!N23</f>
        <v>0</v>
      </c>
      <c r="Q12" s="77"/>
      <c r="R12" s="78">
        <f t="shared" si="2"/>
        <v>0</v>
      </c>
    </row>
    <row r="13" spans="1:18">
      <c r="A13" s="70">
        <f t="shared" ref="A13:A16" si="4">A12+1</f>
        <v>7</v>
      </c>
      <c r="B13" t="s">
        <v>49</v>
      </c>
      <c r="C13" s="82">
        <v>100137</v>
      </c>
      <c r="D13" s="12">
        <f t="shared" si="3"/>
        <v>4810.6000000000004</v>
      </c>
      <c r="E13" s="81">
        <f>'[1]Input Tab'!C24</f>
        <v>1259.3499999999999</v>
      </c>
      <c r="F13" s="81">
        <f>'[1]Input Tab'!D24</f>
        <v>1103.95</v>
      </c>
      <c r="G13" s="81">
        <f>'[1]Input Tab'!E24</f>
        <v>1364.35</v>
      </c>
      <c r="H13" s="81">
        <f>'[1]Input Tab'!F24</f>
        <v>1082.95</v>
      </c>
      <c r="I13" s="81">
        <f>'[1]Input Tab'!G24</f>
        <v>0</v>
      </c>
      <c r="J13" s="81">
        <f>'[1]Input Tab'!H24</f>
        <v>0</v>
      </c>
      <c r="K13" s="81">
        <f>'[1]Input Tab'!I24</f>
        <v>0</v>
      </c>
      <c r="L13" s="81">
        <f>'[1]Input Tab'!J24</f>
        <v>0</v>
      </c>
      <c r="M13" s="81">
        <f>'[1]Input Tab'!K24</f>
        <v>0</v>
      </c>
      <c r="N13" s="81">
        <f>'[1]Input Tab'!L24</f>
        <v>0</v>
      </c>
      <c r="O13" s="81">
        <f>'[1]Input Tab'!M24</f>
        <v>0</v>
      </c>
      <c r="P13" s="81">
        <f>'[1]Input Tab'!N24</f>
        <v>0</v>
      </c>
      <c r="Q13" s="77"/>
      <c r="R13" s="78">
        <f t="shared" si="2"/>
        <v>4810.6000000000004</v>
      </c>
    </row>
    <row r="14" spans="1:18">
      <c r="A14" s="70">
        <f t="shared" si="4"/>
        <v>8</v>
      </c>
      <c r="B14" t="s">
        <v>50</v>
      </c>
      <c r="C14" s="4" t="s">
        <v>51</v>
      </c>
      <c r="D14" s="12">
        <f t="shared" si="3"/>
        <v>560950.79</v>
      </c>
      <c r="E14" s="81">
        <f>'[1]Input Tab'!C25</f>
        <v>156566.79999999999</v>
      </c>
      <c r="F14" s="81">
        <f>'[1]Input Tab'!D25</f>
        <v>140786.69</v>
      </c>
      <c r="G14" s="81">
        <f>'[1]Input Tab'!E25</f>
        <v>123151.94</v>
      </c>
      <c r="H14" s="81">
        <f>'[1]Input Tab'!F25</f>
        <v>140445.35999999999</v>
      </c>
      <c r="I14" s="81">
        <f>'[1]Input Tab'!G25</f>
        <v>0</v>
      </c>
      <c r="J14" s="81">
        <f>'[1]Input Tab'!H25</f>
        <v>0</v>
      </c>
      <c r="K14" s="81">
        <f>'[1]Input Tab'!I25</f>
        <v>0</v>
      </c>
      <c r="L14" s="81">
        <f>'[1]Input Tab'!J25</f>
        <v>0</v>
      </c>
      <c r="M14" s="81">
        <f>'[1]Input Tab'!K25</f>
        <v>0</v>
      </c>
      <c r="N14" s="81">
        <f>'[1]Input Tab'!L25</f>
        <v>0</v>
      </c>
      <c r="O14" s="81">
        <f>'[1]Input Tab'!M25</f>
        <v>0</v>
      </c>
      <c r="P14" s="81">
        <f>'[1]Input Tab'!N25</f>
        <v>0</v>
      </c>
      <c r="Q14" s="77"/>
      <c r="R14" s="78">
        <f t="shared" si="2"/>
        <v>560950.79</v>
      </c>
    </row>
    <row r="15" spans="1:18">
      <c r="A15" s="70">
        <f t="shared" si="4"/>
        <v>9</v>
      </c>
      <c r="B15" s="2" t="s">
        <v>52</v>
      </c>
      <c r="C15" s="4">
        <v>185895</v>
      </c>
      <c r="D15" s="12">
        <f t="shared" si="3"/>
        <v>391474.64</v>
      </c>
      <c r="E15" s="81">
        <f>'[1]Input Tab'!C35</f>
        <v>136395.84</v>
      </c>
      <c r="F15" s="81">
        <f>'[1]Input Tab'!D35</f>
        <v>105545.8</v>
      </c>
      <c r="G15" s="81">
        <f>'[1]Input Tab'!E35</f>
        <v>101790.36</v>
      </c>
      <c r="H15" s="81">
        <f>'[1]Input Tab'!F35</f>
        <v>47742.64</v>
      </c>
      <c r="I15" s="81">
        <f>'[1]Input Tab'!G35</f>
        <v>0</v>
      </c>
      <c r="J15" s="81">
        <f>'[1]Input Tab'!H35</f>
        <v>0</v>
      </c>
      <c r="K15" s="81">
        <f>'[1]Input Tab'!I35</f>
        <v>0</v>
      </c>
      <c r="L15" s="81">
        <f>'[1]Input Tab'!J35</f>
        <v>0</v>
      </c>
      <c r="M15" s="81">
        <f>'[1]Input Tab'!K35</f>
        <v>0</v>
      </c>
      <c r="N15" s="81">
        <f>'[1]Input Tab'!L35</f>
        <v>0</v>
      </c>
      <c r="O15" s="81">
        <f>'[1]Input Tab'!M35</f>
        <v>0</v>
      </c>
      <c r="P15" s="81">
        <f>'[1]Input Tab'!N35</f>
        <v>0</v>
      </c>
      <c r="Q15" s="77"/>
      <c r="R15" s="78">
        <f t="shared" si="2"/>
        <v>391474.64</v>
      </c>
    </row>
    <row r="16" spans="1:18" ht="12.75" customHeight="1">
      <c r="A16" s="70">
        <f t="shared" si="4"/>
        <v>10</v>
      </c>
      <c r="B16" t="s">
        <v>53</v>
      </c>
      <c r="C16" s="4">
        <v>186298</v>
      </c>
      <c r="D16" s="12">
        <f t="shared" si="3"/>
        <v>1041395.3</v>
      </c>
      <c r="E16" s="81">
        <f>'[1]Input Tab'!C36</f>
        <v>352910.24</v>
      </c>
      <c r="F16" s="81">
        <f>'[1]Input Tab'!D36</f>
        <v>210445.56</v>
      </c>
      <c r="G16" s="81">
        <f>'[1]Input Tab'!E36</f>
        <v>214419.75</v>
      </c>
      <c r="H16" s="81">
        <f>'[1]Input Tab'!F36</f>
        <v>263619.75</v>
      </c>
      <c r="I16" s="81">
        <f>'[1]Input Tab'!G36</f>
        <v>0</v>
      </c>
      <c r="J16" s="81">
        <f>'[1]Input Tab'!H36</f>
        <v>0</v>
      </c>
      <c r="K16" s="81">
        <f>'[1]Input Tab'!I36</f>
        <v>0</v>
      </c>
      <c r="L16" s="81">
        <f>'[1]Input Tab'!J36</f>
        <v>0</v>
      </c>
      <c r="M16" s="81">
        <f>'[1]Input Tab'!K36</f>
        <v>0</v>
      </c>
      <c r="N16" s="81">
        <f>'[1]Input Tab'!L36</f>
        <v>0</v>
      </c>
      <c r="O16" s="81">
        <f>'[1]Input Tab'!M36</f>
        <v>0</v>
      </c>
      <c r="P16" s="81">
        <f>'[1]Input Tab'!N36</f>
        <v>0</v>
      </c>
      <c r="Q16" s="77"/>
      <c r="R16" s="78">
        <f t="shared" si="2"/>
        <v>1041395.3</v>
      </c>
    </row>
    <row r="17" spans="1:20">
      <c r="A17" s="70">
        <f>A16+1</f>
        <v>11</v>
      </c>
      <c r="B17" s="2" t="s">
        <v>54</v>
      </c>
      <c r="C17" s="4">
        <v>223063</v>
      </c>
      <c r="D17" s="12">
        <f t="shared" si="3"/>
        <v>2071507.0899999999</v>
      </c>
      <c r="E17" s="81">
        <f>'[1]Input Tab'!C37</f>
        <v>553989.78</v>
      </c>
      <c r="F17" s="81">
        <f>'[1]Input Tab'!D37</f>
        <v>561159.18000000005</v>
      </c>
      <c r="G17" s="81">
        <f>'[1]Input Tab'!E37</f>
        <v>492537.78</v>
      </c>
      <c r="H17" s="81">
        <f>'[1]Input Tab'!F37</f>
        <v>463820.35</v>
      </c>
      <c r="I17" s="81">
        <f>'[1]Input Tab'!G37</f>
        <v>0</v>
      </c>
      <c r="J17" s="81">
        <f>'[1]Input Tab'!H37</f>
        <v>0</v>
      </c>
      <c r="K17" s="81">
        <f>'[1]Input Tab'!I37</f>
        <v>0</v>
      </c>
      <c r="L17" s="81">
        <f>'[1]Input Tab'!J37</f>
        <v>0</v>
      </c>
      <c r="M17" s="81">
        <f>'[1]Input Tab'!K37</f>
        <v>0</v>
      </c>
      <c r="N17" s="81">
        <f>'[1]Input Tab'!L37</f>
        <v>0</v>
      </c>
      <c r="O17" s="81">
        <f>'[1]Input Tab'!M37</f>
        <v>0</v>
      </c>
      <c r="P17" s="81">
        <f>'[1]Input Tab'!N37</f>
        <v>0</v>
      </c>
      <c r="Q17" s="77"/>
      <c r="R17" s="78">
        <f t="shared" si="2"/>
        <v>2071507.0899999999</v>
      </c>
    </row>
    <row r="18" spans="1:20">
      <c r="A18" s="70">
        <f>A17+1</f>
        <v>12</v>
      </c>
      <c r="B18" s="2" t="s">
        <v>55</v>
      </c>
      <c r="C18" s="4">
        <v>102475</v>
      </c>
      <c r="D18" s="12">
        <f t="shared" si="3"/>
        <v>6377.01</v>
      </c>
      <c r="E18" s="26">
        <f>'[1]Input Tab'!C38</f>
        <v>1545.44</v>
      </c>
      <c r="F18" s="26">
        <f>'[1]Input Tab'!D38</f>
        <v>3341.39</v>
      </c>
      <c r="G18" s="26">
        <f>'[1]Input Tab'!E38</f>
        <v>0</v>
      </c>
      <c r="H18" s="26">
        <f>'[1]Input Tab'!F38</f>
        <v>1490.18</v>
      </c>
      <c r="I18" s="26">
        <f>'[1]Input Tab'!G38</f>
        <v>0</v>
      </c>
      <c r="J18" s="26">
        <f>'[1]Input Tab'!H38</f>
        <v>0</v>
      </c>
      <c r="K18" s="26">
        <f>'[1]Input Tab'!I38</f>
        <v>0</v>
      </c>
      <c r="L18" s="26">
        <f>'[1]Input Tab'!J38</f>
        <v>0</v>
      </c>
      <c r="M18" s="26">
        <f>'[1]Input Tab'!K38</f>
        <v>0</v>
      </c>
      <c r="N18" s="26">
        <f>'[1]Input Tab'!L38</f>
        <v>0</v>
      </c>
      <c r="O18" s="26">
        <f>'[1]Input Tab'!M38</f>
        <v>0</v>
      </c>
      <c r="P18" s="26">
        <f>'[1]Input Tab'!N38</f>
        <v>0</v>
      </c>
      <c r="Q18" s="77"/>
      <c r="R18" s="78">
        <f t="shared" si="2"/>
        <v>6377.01</v>
      </c>
    </row>
    <row r="19" spans="1:20">
      <c r="A19" s="70">
        <f>A18+1</f>
        <v>13</v>
      </c>
      <c r="B19" s="2" t="s">
        <v>56</v>
      </c>
      <c r="C19" s="4" t="s">
        <v>57</v>
      </c>
      <c r="D19" s="12">
        <f t="shared" si="3"/>
        <v>9609563.1300000008</v>
      </c>
      <c r="E19" s="26">
        <f>'[1]Input Tab'!C39</f>
        <v>2379924.42</v>
      </c>
      <c r="F19" s="26">
        <f>'[1]Input Tab'!D39</f>
        <v>2422368.9500000002</v>
      </c>
      <c r="G19" s="26">
        <f>'[1]Input Tab'!E39</f>
        <v>2400609.7400000002</v>
      </c>
      <c r="H19" s="26">
        <f>'[1]Input Tab'!F39</f>
        <v>2406660.02</v>
      </c>
      <c r="I19" s="26">
        <f>'[1]Input Tab'!G39</f>
        <v>0</v>
      </c>
      <c r="J19" s="26">
        <f>'[1]Input Tab'!H39</f>
        <v>0</v>
      </c>
      <c r="K19" s="26">
        <f>'[1]Input Tab'!I39</f>
        <v>0</v>
      </c>
      <c r="L19" s="26">
        <f>'[1]Input Tab'!J39</f>
        <v>0</v>
      </c>
      <c r="M19" s="26">
        <f>'[1]Input Tab'!K39</f>
        <v>0</v>
      </c>
      <c r="N19" s="26">
        <f>'[1]Input Tab'!L39</f>
        <v>0</v>
      </c>
      <c r="O19" s="26">
        <f>'[1]Input Tab'!M39</f>
        <v>0</v>
      </c>
      <c r="P19" s="26">
        <f>'[1]Input Tab'!N39</f>
        <v>0</v>
      </c>
      <c r="Q19" s="77"/>
      <c r="R19" s="78">
        <f t="shared" si="2"/>
        <v>9609563.1300000008</v>
      </c>
    </row>
    <row r="20" spans="1:20">
      <c r="A20" s="70">
        <f>A19+1</f>
        <v>14</v>
      </c>
      <c r="B20" s="2" t="s">
        <v>58</v>
      </c>
      <c r="C20" s="4">
        <v>181462</v>
      </c>
      <c r="D20" s="12">
        <f t="shared" si="3"/>
        <v>8617432.6699999999</v>
      </c>
      <c r="E20" s="26">
        <f>'[1]Input Tab'!C40</f>
        <v>2054962.14</v>
      </c>
      <c r="F20" s="26">
        <f>'[1]Input Tab'!D40</f>
        <v>2174857.2999999998</v>
      </c>
      <c r="G20" s="26">
        <f>'[1]Input Tab'!E40</f>
        <v>2096184.09</v>
      </c>
      <c r="H20" s="26">
        <f>'[1]Input Tab'!F40</f>
        <v>2291429.14</v>
      </c>
      <c r="I20" s="26">
        <f>'[1]Input Tab'!G40</f>
        <v>0</v>
      </c>
      <c r="J20" s="26">
        <f>'[1]Input Tab'!H40</f>
        <v>0</v>
      </c>
      <c r="K20" s="26">
        <f>'[1]Input Tab'!I40</f>
        <v>0</v>
      </c>
      <c r="L20" s="26">
        <f>'[1]Input Tab'!J40</f>
        <v>0</v>
      </c>
      <c r="M20" s="26">
        <f>'[1]Input Tab'!K40</f>
        <v>0</v>
      </c>
      <c r="N20" s="26">
        <f>'[1]Input Tab'!L40</f>
        <v>0</v>
      </c>
      <c r="O20" s="26">
        <f>'[1]Input Tab'!M40</f>
        <v>0</v>
      </c>
      <c r="P20" s="26">
        <f>'[1]Input Tab'!N40</f>
        <v>0</v>
      </c>
      <c r="Q20" s="77"/>
      <c r="R20" s="78">
        <f t="shared" si="2"/>
        <v>8617432.6699999999</v>
      </c>
    </row>
    <row r="21" spans="1:20">
      <c r="A21" s="70">
        <f t="shared" ref="A21:A24" si="5">A20+1</f>
        <v>15</v>
      </c>
      <c r="B21" s="2" t="s">
        <v>59</v>
      </c>
      <c r="C21" s="4"/>
      <c r="D21" s="12">
        <f t="shared" si="3"/>
        <v>4349090.8899999997</v>
      </c>
      <c r="E21" s="26">
        <f>'[1]Input Tab'!C41</f>
        <v>741745.32</v>
      </c>
      <c r="F21" s="26">
        <f>'[1]Input Tab'!D41</f>
        <v>1257608.1000000001</v>
      </c>
      <c r="G21" s="26">
        <f>'[1]Input Tab'!E41</f>
        <v>1069731.33</v>
      </c>
      <c r="H21" s="26">
        <f>'[1]Input Tab'!F41</f>
        <v>1280006.1399999999</v>
      </c>
      <c r="I21" s="26">
        <f>'[1]Input Tab'!G41</f>
        <v>0</v>
      </c>
      <c r="J21" s="26">
        <f>'[1]Input Tab'!H41</f>
        <v>0</v>
      </c>
      <c r="K21" s="26">
        <f>'[1]Input Tab'!I41</f>
        <v>0</v>
      </c>
      <c r="L21" s="26">
        <f>'[1]Input Tab'!J41</f>
        <v>0</v>
      </c>
      <c r="M21" s="26">
        <f>'[1]Input Tab'!K41</f>
        <v>0</v>
      </c>
      <c r="N21" s="26">
        <f>'[1]Input Tab'!L41</f>
        <v>0</v>
      </c>
      <c r="O21" s="26">
        <f>'[1]Input Tab'!M41</f>
        <v>0</v>
      </c>
      <c r="P21" s="26">
        <f>'[1]Input Tab'!N41</f>
        <v>0</v>
      </c>
      <c r="Q21" s="77"/>
      <c r="R21" s="78"/>
    </row>
    <row r="22" spans="1:20">
      <c r="A22" s="70">
        <f t="shared" si="5"/>
        <v>16</v>
      </c>
      <c r="B22" t="s">
        <v>60</v>
      </c>
      <c r="C22" s="82"/>
      <c r="D22" s="12">
        <f t="shared" si="3"/>
        <v>775714</v>
      </c>
      <c r="E22" s="12">
        <f>E36</f>
        <v>216599</v>
      </c>
      <c r="F22" s="12">
        <f>F36</f>
        <v>267709</v>
      </c>
      <c r="G22" s="12">
        <f t="shared" ref="G22:P22" si="6">G36</f>
        <v>204121</v>
      </c>
      <c r="H22" s="12">
        <f t="shared" si="6"/>
        <v>87285</v>
      </c>
      <c r="I22" s="12">
        <f t="shared" si="6"/>
        <v>0</v>
      </c>
      <c r="J22" s="12">
        <f t="shared" si="6"/>
        <v>0</v>
      </c>
      <c r="K22" s="12">
        <f t="shared" si="6"/>
        <v>0</v>
      </c>
      <c r="L22" s="12">
        <f t="shared" si="6"/>
        <v>0</v>
      </c>
      <c r="M22" s="12">
        <f>M36</f>
        <v>0</v>
      </c>
      <c r="N22" s="12">
        <f>N36</f>
        <v>0</v>
      </c>
      <c r="O22" s="12">
        <f t="shared" si="6"/>
        <v>0</v>
      </c>
      <c r="P22" s="12">
        <f t="shared" si="6"/>
        <v>0</v>
      </c>
      <c r="Q22" s="12"/>
      <c r="R22" s="78">
        <f t="shared" si="2"/>
        <v>775714</v>
      </c>
    </row>
    <row r="23" spans="1:20">
      <c r="A23" s="70">
        <f t="shared" si="5"/>
        <v>17</v>
      </c>
      <c r="B23" s="2" t="s">
        <v>61</v>
      </c>
      <c r="C23" s="4"/>
      <c r="D23" s="12">
        <f t="shared" si="3"/>
        <v>-91503</v>
      </c>
      <c r="E23" s="83">
        <f>E34</f>
        <v>-18915</v>
      </c>
      <c r="F23" s="83">
        <f>F34</f>
        <v>-20294</v>
      </c>
      <c r="G23" s="83">
        <f t="shared" ref="G23:P23" si="7">G34</f>
        <v>-11041</v>
      </c>
      <c r="H23" s="83">
        <f t="shared" si="7"/>
        <v>-41253</v>
      </c>
      <c r="I23" s="83">
        <f t="shared" si="7"/>
        <v>0</v>
      </c>
      <c r="J23" s="83">
        <f t="shared" si="7"/>
        <v>0</v>
      </c>
      <c r="K23" s="83">
        <f t="shared" si="7"/>
        <v>0</v>
      </c>
      <c r="L23" s="83">
        <f t="shared" si="7"/>
        <v>0</v>
      </c>
      <c r="M23" s="83">
        <f t="shared" si="7"/>
        <v>0</v>
      </c>
      <c r="N23" s="83">
        <f>N34</f>
        <v>0</v>
      </c>
      <c r="O23" s="83">
        <f t="shared" si="7"/>
        <v>0</v>
      </c>
      <c r="P23" s="83">
        <f t="shared" si="7"/>
        <v>0</v>
      </c>
      <c r="Q23" s="83"/>
      <c r="R23" s="78">
        <f t="shared" si="2"/>
        <v>-91503</v>
      </c>
    </row>
    <row r="24" spans="1:20" s="89" customFormat="1" ht="13.5" thickBot="1">
      <c r="A24" s="70">
        <f t="shared" si="5"/>
        <v>18</v>
      </c>
      <c r="B24" s="84" t="s">
        <v>62</v>
      </c>
      <c r="C24" s="84"/>
      <c r="D24" s="85">
        <f>SUM(E24:P24)</f>
        <v>46076156.232799999</v>
      </c>
      <c r="E24" s="86">
        <f>E39</f>
        <v>10842389.874600001</v>
      </c>
      <c r="F24" s="86">
        <f t="shared" ref="F24:P24" si="8">F39</f>
        <v>11196253.897</v>
      </c>
      <c r="G24" s="86">
        <f>G39</f>
        <v>12433514.0331</v>
      </c>
      <c r="H24" s="86">
        <f t="shared" si="8"/>
        <v>11603998.428099999</v>
      </c>
      <c r="I24" s="86">
        <f t="shared" si="8"/>
        <v>0</v>
      </c>
      <c r="J24" s="86">
        <f t="shared" si="8"/>
        <v>0</v>
      </c>
      <c r="K24" s="86">
        <f t="shared" si="8"/>
        <v>0</v>
      </c>
      <c r="L24" s="86">
        <f t="shared" si="8"/>
        <v>0</v>
      </c>
      <c r="M24" s="86">
        <f>M39</f>
        <v>0</v>
      </c>
      <c r="N24" s="86">
        <f>N39</f>
        <v>0</v>
      </c>
      <c r="O24" s="86">
        <f t="shared" si="8"/>
        <v>0</v>
      </c>
      <c r="P24" s="86">
        <f t="shared" si="8"/>
        <v>0</v>
      </c>
      <c r="Q24" s="87"/>
      <c r="R24" s="88">
        <f>SUM(R7:R22)</f>
        <v>41818568.342800006</v>
      </c>
    </row>
    <row r="25" spans="1:20" ht="13.15" thickTop="1">
      <c r="A25" s="70"/>
      <c r="E25" s="90" t="s">
        <v>63</v>
      </c>
      <c r="F25" s="77" t="s">
        <v>63</v>
      </c>
      <c r="G25" s="77"/>
      <c r="H25" s="77"/>
      <c r="I25" s="77"/>
      <c r="J25" s="77"/>
      <c r="K25" s="77"/>
      <c r="L25" s="77"/>
      <c r="M25" s="77"/>
      <c r="N25" s="77"/>
      <c r="O25" s="77"/>
      <c r="P25" s="77"/>
    </row>
    <row r="26" spans="1:20">
      <c r="A26" s="70"/>
      <c r="B26" s="2" t="s">
        <v>64</v>
      </c>
      <c r="C26" s="2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T26" s="25"/>
    </row>
    <row r="27" spans="1:20" outlineLevel="1">
      <c r="A27" s="70"/>
      <c r="B27" s="91" t="s">
        <v>41</v>
      </c>
      <c r="C27" s="91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</row>
    <row r="28" spans="1:20" outlineLevel="1">
      <c r="A28" s="70"/>
      <c r="B28">
        <v>555000</v>
      </c>
      <c r="D28" s="77">
        <f>SUM(E28:P28)</f>
        <v>45653722</v>
      </c>
      <c r="E28" s="35">
        <v>9888603</v>
      </c>
      <c r="F28" s="35">
        <v>12141354</v>
      </c>
      <c r="G28" s="35">
        <v>12196279</v>
      </c>
      <c r="H28" s="35">
        <v>11427486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77"/>
      <c r="R28" s="78">
        <f t="shared" ref="R28:R38" si="9">SUM(E28:P28)</f>
        <v>45653722</v>
      </c>
    </row>
    <row r="29" spans="1:20" outlineLevel="1">
      <c r="A29" s="70"/>
      <c r="B29">
        <v>555030</v>
      </c>
      <c r="D29" s="77">
        <f>SUM(E29:P29)</f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77"/>
      <c r="R29" s="78"/>
    </row>
    <row r="30" spans="1:20" outlineLevel="1">
      <c r="A30" s="70"/>
      <c r="B30">
        <v>555100</v>
      </c>
      <c r="C30" t="s">
        <v>65</v>
      </c>
      <c r="D30" s="77">
        <f t="shared" ref="D30:D38" si="10">SUM(E30:P30)</f>
        <v>-1062892</v>
      </c>
      <c r="E30" s="35">
        <v>515200</v>
      </c>
      <c r="F30" s="35">
        <v>-1494528</v>
      </c>
      <c r="G30" s="35">
        <v>-7020</v>
      </c>
      <c r="H30" s="35">
        <v>-76544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77"/>
      <c r="R30" s="78">
        <f t="shared" si="9"/>
        <v>-1062892</v>
      </c>
    </row>
    <row r="31" spans="1:20" outlineLevel="1">
      <c r="A31" s="70"/>
      <c r="B31" s="2">
        <v>555312</v>
      </c>
      <c r="C31" s="2" t="s">
        <v>66</v>
      </c>
      <c r="D31" s="77">
        <f t="shared" si="10"/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77"/>
      <c r="R31" s="78">
        <f>SUM(E31:P31)</f>
        <v>0</v>
      </c>
    </row>
    <row r="32" spans="1:20" outlineLevel="1">
      <c r="A32" s="70"/>
      <c r="B32">
        <v>555313</v>
      </c>
      <c r="C32" t="s">
        <v>66</v>
      </c>
      <c r="D32" s="77">
        <f t="shared" si="10"/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77"/>
      <c r="R32" s="78">
        <f>SUM(E32:P32)</f>
        <v>0</v>
      </c>
    </row>
    <row r="33" spans="1:18" outlineLevel="1">
      <c r="A33" s="70"/>
      <c r="B33">
        <v>555380</v>
      </c>
      <c r="C33" t="s">
        <v>67</v>
      </c>
      <c r="D33" s="77">
        <f t="shared" si="10"/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77"/>
      <c r="R33" s="78">
        <f>SUM(E33:P33)</f>
        <v>0</v>
      </c>
    </row>
    <row r="34" spans="1:18" outlineLevel="1">
      <c r="A34" s="70"/>
      <c r="B34">
        <v>555550</v>
      </c>
      <c r="C34" t="s">
        <v>68</v>
      </c>
      <c r="D34" s="77">
        <f t="shared" si="10"/>
        <v>-91503</v>
      </c>
      <c r="E34" s="35">
        <v>-18915</v>
      </c>
      <c r="F34" s="35">
        <v>-20294</v>
      </c>
      <c r="G34" s="35">
        <v>-11041</v>
      </c>
      <c r="H34" s="35">
        <v>-41253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77"/>
      <c r="R34" s="78">
        <f>SUM(E34:P34)</f>
        <v>-91503</v>
      </c>
    </row>
    <row r="35" spans="1:18" outlineLevel="1">
      <c r="A35" s="70"/>
      <c r="B35">
        <v>555700</v>
      </c>
      <c r="C35" t="s">
        <v>69</v>
      </c>
      <c r="D35" s="77">
        <f t="shared" si="10"/>
        <v>827285</v>
      </c>
      <c r="E35" s="35">
        <v>245545</v>
      </c>
      <c r="F35" s="35">
        <v>307440</v>
      </c>
      <c r="G35" s="35">
        <v>58800</v>
      </c>
      <c r="H35" s="35">
        <v>215500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77"/>
      <c r="R35" s="78">
        <f t="shared" si="9"/>
        <v>827285</v>
      </c>
    </row>
    <row r="36" spans="1:18" outlineLevel="1">
      <c r="A36" s="70"/>
      <c r="B36">
        <v>555710</v>
      </c>
      <c r="C36" t="s">
        <v>70</v>
      </c>
      <c r="D36" s="77">
        <f t="shared" si="10"/>
        <v>775714</v>
      </c>
      <c r="E36" s="35">
        <v>216599</v>
      </c>
      <c r="F36" s="35">
        <v>267709</v>
      </c>
      <c r="G36" s="35">
        <v>204121</v>
      </c>
      <c r="H36" s="35">
        <v>87285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77"/>
      <c r="R36" s="78">
        <f t="shared" si="9"/>
        <v>775714</v>
      </c>
    </row>
    <row r="37" spans="1:18" outlineLevel="1">
      <c r="A37" s="70"/>
      <c r="C37" t="s">
        <v>71</v>
      </c>
      <c r="D37" s="77">
        <f t="shared" si="10"/>
        <v>-26169.767199999998</v>
      </c>
      <c r="E37" s="35">
        <f>-SUM((42258/12)+(1.2*1048)-(E52*0.0063))</f>
        <v>-4642.1254000000008</v>
      </c>
      <c r="F37" s="35">
        <f>-SUM((42258/12)+(1.2*1841)-(F52*0.0063))</f>
        <v>-5427.1030000000001</v>
      </c>
      <c r="G37" s="35">
        <f>-SUM((42258/12)+(1.2*3908)-(G52*0.0063))</f>
        <v>-7624.9668999999985</v>
      </c>
      <c r="H37" s="35">
        <f>-SUM((42258/12)+(1.2*5014)-(H52*0.0063))</f>
        <v>-8475.571899999999</v>
      </c>
      <c r="I37" s="35"/>
      <c r="J37" s="35"/>
      <c r="K37" s="35"/>
      <c r="L37" s="35"/>
      <c r="M37" s="35"/>
      <c r="N37" s="35"/>
      <c r="O37" s="35"/>
      <c r="P37" s="35"/>
      <c r="Q37" s="77"/>
      <c r="R37" s="78"/>
    </row>
    <row r="38" spans="1:18" outlineLevel="1">
      <c r="A38" s="70"/>
      <c r="B38" s="65" t="s">
        <v>72</v>
      </c>
      <c r="C38" s="4" t="s">
        <v>73</v>
      </c>
      <c r="D38" s="92">
        <f t="shared" si="10"/>
        <v>0</v>
      </c>
      <c r="E38" s="93">
        <f>'[1]Input Tab'!C42</f>
        <v>0</v>
      </c>
      <c r="F38" s="93">
        <f>'[1]Input Tab'!D42</f>
        <v>0</v>
      </c>
      <c r="G38" s="93">
        <f>'[1]Input Tab'!E42</f>
        <v>0</v>
      </c>
      <c r="H38" s="93">
        <f>'[1]Input Tab'!F42</f>
        <v>0</v>
      </c>
      <c r="I38" s="93">
        <f>'[1]Input Tab'!G42</f>
        <v>0</v>
      </c>
      <c r="J38" s="93">
        <f>'[1]Input Tab'!H42</f>
        <v>0</v>
      </c>
      <c r="K38" s="93">
        <f>'[1]Input Tab'!I42</f>
        <v>0</v>
      </c>
      <c r="L38" s="93">
        <f>'[1]Input Tab'!J42</f>
        <v>0</v>
      </c>
      <c r="M38" s="93">
        <f>'[1]Input Tab'!K42</f>
        <v>0</v>
      </c>
      <c r="N38" s="93">
        <f>'[1]Input Tab'!L42</f>
        <v>0</v>
      </c>
      <c r="O38" s="93">
        <f>'[1]Input Tab'!M42</f>
        <v>0</v>
      </c>
      <c r="P38" s="93">
        <f>'[1]Input Tab'!N42</f>
        <v>0</v>
      </c>
      <c r="Q38" s="26"/>
      <c r="R38" s="78">
        <f t="shared" si="9"/>
        <v>0</v>
      </c>
    </row>
    <row r="39" spans="1:18" s="89" customFormat="1" ht="13.15" outlineLevel="1">
      <c r="A39" s="6"/>
      <c r="B39" s="94"/>
      <c r="C39" s="94"/>
      <c r="D39" s="95">
        <f>SUM(E39:P39)</f>
        <v>46076156.232799999</v>
      </c>
      <c r="E39" s="95">
        <f t="shared" ref="E39:P39" si="11">SUM(E28:E38)</f>
        <v>10842389.874600001</v>
      </c>
      <c r="F39" s="95">
        <f t="shared" si="11"/>
        <v>11196253.897</v>
      </c>
      <c r="G39" s="95">
        <f t="shared" si="11"/>
        <v>12433514.0331</v>
      </c>
      <c r="H39" s="95">
        <f t="shared" si="11"/>
        <v>11603998.428099999</v>
      </c>
      <c r="I39" s="95">
        <f t="shared" si="11"/>
        <v>0</v>
      </c>
      <c r="J39" s="95">
        <f t="shared" si="11"/>
        <v>0</v>
      </c>
      <c r="K39" s="95">
        <f t="shared" si="11"/>
        <v>0</v>
      </c>
      <c r="L39" s="95">
        <f t="shared" si="11"/>
        <v>0</v>
      </c>
      <c r="M39" s="95">
        <f t="shared" si="11"/>
        <v>0</v>
      </c>
      <c r="N39" s="95">
        <f t="shared" si="11"/>
        <v>0</v>
      </c>
      <c r="O39" s="95">
        <f t="shared" si="11"/>
        <v>0</v>
      </c>
      <c r="P39" s="95">
        <f t="shared" si="11"/>
        <v>0</v>
      </c>
      <c r="Q39" s="95"/>
      <c r="R39" s="95">
        <f>SUM(R28:R38)</f>
        <v>46102326</v>
      </c>
    </row>
    <row r="40" spans="1:18" ht="13.15">
      <c r="A40" s="70"/>
      <c r="B40" s="94"/>
      <c r="C40" s="94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</row>
    <row r="41" spans="1:18" ht="19.5" customHeight="1">
      <c r="A41" s="70"/>
      <c r="B41" s="75" t="s">
        <v>74</v>
      </c>
      <c r="C41" s="75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</row>
    <row r="42" spans="1:18" ht="12.95" customHeight="1">
      <c r="A42" s="70">
        <f>A24+1</f>
        <v>19</v>
      </c>
      <c r="B42" t="s">
        <v>75</v>
      </c>
      <c r="C42" s="82"/>
      <c r="D42" s="77">
        <f t="shared" ref="D42:D47" si="12">SUM(E42:P42)</f>
        <v>-19606472.440000001</v>
      </c>
      <c r="E42" s="83">
        <f t="shared" ref="E42:P42" si="13">E47-SUM(E43:E46)</f>
        <v>-4624428.37</v>
      </c>
      <c r="F42" s="83">
        <f t="shared" si="13"/>
        <v>-8898576.8900000006</v>
      </c>
      <c r="G42" s="83">
        <f t="shared" si="13"/>
        <v>-3005420.06</v>
      </c>
      <c r="H42" s="83">
        <f t="shared" si="13"/>
        <v>-3078047.12</v>
      </c>
      <c r="I42" s="83">
        <f t="shared" si="13"/>
        <v>0</v>
      </c>
      <c r="J42" s="83">
        <f t="shared" si="13"/>
        <v>0</v>
      </c>
      <c r="K42" s="83">
        <f t="shared" si="13"/>
        <v>0</v>
      </c>
      <c r="L42" s="83">
        <f t="shared" si="13"/>
        <v>0</v>
      </c>
      <c r="M42" s="83">
        <f t="shared" si="13"/>
        <v>0</v>
      </c>
      <c r="N42" s="83">
        <f t="shared" si="13"/>
        <v>0</v>
      </c>
      <c r="O42" s="83">
        <f t="shared" si="13"/>
        <v>0</v>
      </c>
      <c r="P42" s="83">
        <f t="shared" si="13"/>
        <v>0</v>
      </c>
      <c r="Q42" s="12"/>
      <c r="R42" s="77">
        <f>SUM(E42:P42)</f>
        <v>-19606472.440000001</v>
      </c>
    </row>
    <row r="43" spans="1:18">
      <c r="A43" s="70">
        <f>A42+1</f>
        <v>20</v>
      </c>
      <c r="B43" t="s">
        <v>76</v>
      </c>
      <c r="C43" s="82" t="s">
        <v>77</v>
      </c>
      <c r="D43" s="77">
        <f t="shared" si="12"/>
        <v>-347217.1</v>
      </c>
      <c r="E43" s="81">
        <f>'[1]Input Tab'!C45</f>
        <v>-60959.4</v>
      </c>
      <c r="F43" s="81">
        <f>'[1]Input Tab'!D45</f>
        <v>-111783.6</v>
      </c>
      <c r="G43" s="81">
        <f>'[1]Input Tab'!E45</f>
        <v>-73105.649999999994</v>
      </c>
      <c r="H43" s="81">
        <f>'[1]Input Tab'!F45</f>
        <v>-101368.45</v>
      </c>
      <c r="I43" s="81">
        <f>'[1]Input Tab'!G45</f>
        <v>0</v>
      </c>
      <c r="J43" s="81">
        <f>'[1]Input Tab'!H45</f>
        <v>0</v>
      </c>
      <c r="K43" s="81">
        <f>'[1]Input Tab'!I45</f>
        <v>0</v>
      </c>
      <c r="L43" s="81">
        <f>'[1]Input Tab'!J45</f>
        <v>0</v>
      </c>
      <c r="M43" s="81">
        <f>'[1]Input Tab'!K45</f>
        <v>0</v>
      </c>
      <c r="N43" s="81">
        <f>'[1]Input Tab'!L45</f>
        <v>0</v>
      </c>
      <c r="O43" s="81">
        <f>'[1]Input Tab'!M45</f>
        <v>0</v>
      </c>
      <c r="P43" s="81">
        <f>'[1]Input Tab'!N45</f>
        <v>0</v>
      </c>
      <c r="Q43" s="12"/>
      <c r="R43" s="77">
        <f>SUM(E43:P43)</f>
        <v>-347217.1</v>
      </c>
    </row>
    <row r="44" spans="1:18">
      <c r="A44" s="70">
        <f>A43+1</f>
        <v>21</v>
      </c>
      <c r="B44" s="2" t="s">
        <v>78</v>
      </c>
      <c r="C44" s="4" t="s">
        <v>79</v>
      </c>
      <c r="D44" s="77">
        <f t="shared" si="12"/>
        <v>-43045.440000000002</v>
      </c>
      <c r="E44" s="81">
        <f>'[1]Input Tab'!C46</f>
        <v>-10658.53</v>
      </c>
      <c r="F44" s="81">
        <f>'[1]Input Tab'!D46</f>
        <v>-10197.77</v>
      </c>
      <c r="G44" s="81">
        <f>'[1]Input Tab'!E46</f>
        <v>-11351.07</v>
      </c>
      <c r="H44" s="81">
        <f>'[1]Input Tab'!F46</f>
        <v>-10838.07</v>
      </c>
      <c r="I44" s="81">
        <f>'[1]Input Tab'!G46</f>
        <v>0</v>
      </c>
      <c r="J44" s="81">
        <f>'[1]Input Tab'!H46</f>
        <v>0</v>
      </c>
      <c r="K44" s="81">
        <f>'[1]Input Tab'!I46</f>
        <v>0</v>
      </c>
      <c r="L44" s="81">
        <f>'[1]Input Tab'!J46</f>
        <v>0</v>
      </c>
      <c r="M44" s="81">
        <f>'[1]Input Tab'!K46</f>
        <v>0</v>
      </c>
      <c r="N44" s="81">
        <f>'[1]Input Tab'!L46</f>
        <v>0</v>
      </c>
      <c r="O44" s="81">
        <f>'[1]Input Tab'!M46</f>
        <v>0</v>
      </c>
      <c r="P44" s="81">
        <f>'[1]Input Tab'!N46</f>
        <v>0</v>
      </c>
      <c r="Q44" s="12"/>
      <c r="R44" s="77">
        <f>SUM(E44:P44)</f>
        <v>-43045.440000000002</v>
      </c>
    </row>
    <row r="45" spans="1:18">
      <c r="A45" s="70">
        <f>A44+1</f>
        <v>22</v>
      </c>
      <c r="B45" t="s">
        <v>80</v>
      </c>
      <c r="C45" s="96" t="s">
        <v>81</v>
      </c>
      <c r="D45" s="77">
        <f t="shared" si="12"/>
        <v>-110902.02</v>
      </c>
      <c r="E45" s="81">
        <f>'[1]Input Tab'!C47</f>
        <v>-31586.7</v>
      </c>
      <c r="F45" s="81">
        <f>'[1]Input Tab'!D47</f>
        <v>-29893.74</v>
      </c>
      <c r="G45" s="81">
        <f>'[1]Input Tab'!E47</f>
        <v>-25068.22</v>
      </c>
      <c r="H45" s="81">
        <f>'[1]Input Tab'!F47</f>
        <v>-24353.360000000001</v>
      </c>
      <c r="I45" s="81">
        <f>'[1]Input Tab'!G47</f>
        <v>0</v>
      </c>
      <c r="J45" s="81">
        <f>'[1]Input Tab'!H47</f>
        <v>0</v>
      </c>
      <c r="K45" s="81">
        <f>'[1]Input Tab'!I47</f>
        <v>0</v>
      </c>
      <c r="L45" s="81">
        <f>'[1]Input Tab'!J47</f>
        <v>0</v>
      </c>
      <c r="M45" s="81">
        <f>'[1]Input Tab'!K47</f>
        <v>0</v>
      </c>
      <c r="N45" s="81">
        <f>'[1]Input Tab'!L47</f>
        <v>0</v>
      </c>
      <c r="O45" s="81">
        <f>'[1]Input Tab'!M47</f>
        <v>0</v>
      </c>
      <c r="P45" s="81">
        <f>'[1]Input Tab'!N47</f>
        <v>0</v>
      </c>
      <c r="Q45" s="12"/>
      <c r="R45" s="77">
        <f>SUM(E45:P45)</f>
        <v>-110902.02</v>
      </c>
    </row>
    <row r="46" spans="1:18">
      <c r="A46" s="70">
        <f>A45+1</f>
        <v>23</v>
      </c>
      <c r="B46" t="s">
        <v>82</v>
      </c>
      <c r="C46" s="82"/>
      <c r="D46" s="77">
        <f t="shared" si="12"/>
        <v>-5676236</v>
      </c>
      <c r="E46" s="83">
        <f>E57</f>
        <v>-1413667</v>
      </c>
      <c r="F46" s="83">
        <f>F57</f>
        <v>-1601847</v>
      </c>
      <c r="G46" s="83">
        <f t="shared" ref="G46:P47" si="14">G57</f>
        <v>-1346586</v>
      </c>
      <c r="H46" s="83">
        <f t="shared" si="14"/>
        <v>-1314136</v>
      </c>
      <c r="I46" s="83">
        <f t="shared" si="14"/>
        <v>0</v>
      </c>
      <c r="J46" s="83">
        <f>J57</f>
        <v>0</v>
      </c>
      <c r="K46" s="83">
        <f>K57</f>
        <v>0</v>
      </c>
      <c r="L46" s="83">
        <f t="shared" si="14"/>
        <v>0</v>
      </c>
      <c r="M46" s="83">
        <f t="shared" si="14"/>
        <v>0</v>
      </c>
      <c r="N46" s="83">
        <f t="shared" si="14"/>
        <v>0</v>
      </c>
      <c r="O46" s="83">
        <f t="shared" si="14"/>
        <v>0</v>
      </c>
      <c r="P46" s="83">
        <f t="shared" si="14"/>
        <v>0</v>
      </c>
      <c r="Q46" s="12"/>
      <c r="R46" s="77">
        <f>SUM(E46:P46)</f>
        <v>-5676236</v>
      </c>
    </row>
    <row r="47" spans="1:18" s="89" customFormat="1" ht="24.75" customHeight="1" thickBot="1">
      <c r="A47" s="97">
        <f>A46+1</f>
        <v>24</v>
      </c>
      <c r="B47" s="84" t="s">
        <v>83</v>
      </c>
      <c r="C47" s="84"/>
      <c r="D47" s="85">
        <f t="shared" si="12"/>
        <v>-25783873</v>
      </c>
      <c r="E47" s="86">
        <f>E58</f>
        <v>-6141300</v>
      </c>
      <c r="F47" s="86">
        <f>F58</f>
        <v>-10652299</v>
      </c>
      <c r="G47" s="86">
        <f t="shared" si="14"/>
        <v>-4461531</v>
      </c>
      <c r="H47" s="86">
        <f>H58</f>
        <v>-4528743</v>
      </c>
      <c r="I47" s="86">
        <f>I58</f>
        <v>0</v>
      </c>
      <c r="J47" s="86">
        <f t="shared" si="14"/>
        <v>0</v>
      </c>
      <c r="K47" s="86">
        <f t="shared" si="14"/>
        <v>0</v>
      </c>
      <c r="L47" s="86">
        <f t="shared" si="14"/>
        <v>0</v>
      </c>
      <c r="M47" s="86">
        <f>M58</f>
        <v>0</v>
      </c>
      <c r="N47" s="86">
        <f t="shared" si="14"/>
        <v>0</v>
      </c>
      <c r="O47" s="86">
        <f t="shared" si="14"/>
        <v>0</v>
      </c>
      <c r="P47" s="86">
        <f t="shared" si="14"/>
        <v>0</v>
      </c>
      <c r="Q47" s="98"/>
      <c r="R47" s="88">
        <f>SUM(R42:R46)</f>
        <v>-25783873.000000004</v>
      </c>
    </row>
    <row r="48" spans="1:18" ht="13.15" thickTop="1">
      <c r="A48" s="70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25"/>
    </row>
    <row r="49" spans="1:18" outlineLevel="2">
      <c r="A49" s="70"/>
      <c r="E49" s="77"/>
      <c r="F49" s="77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25"/>
    </row>
    <row r="50" spans="1:18" outlineLevel="2">
      <c r="A50" s="70"/>
      <c r="B50" s="99" t="s">
        <v>74</v>
      </c>
      <c r="C50" s="99"/>
      <c r="E50" s="77"/>
      <c r="F50" s="77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25"/>
    </row>
    <row r="51" spans="1:18" outlineLevel="2">
      <c r="A51" s="70"/>
      <c r="B51">
        <v>447000</v>
      </c>
      <c r="D51" s="77">
        <f t="shared" ref="D51:D58" si="15">SUM(E51:P51)</f>
        <v>-15343660</v>
      </c>
      <c r="E51" s="35">
        <v>-2925963</v>
      </c>
      <c r="F51" s="35">
        <v>-6454601</v>
      </c>
      <c r="G51" s="35">
        <v>-1455960</v>
      </c>
      <c r="H51" s="35">
        <v>-4507136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100"/>
      <c r="R51" s="78">
        <f t="shared" ref="R51:R57" si="16">SUM(E51:P51)</f>
        <v>-15343660</v>
      </c>
    </row>
    <row r="52" spans="1:18" ht="13.15" outlineLevel="2">
      <c r="A52" s="70"/>
      <c r="B52" t="s">
        <v>84</v>
      </c>
      <c r="C52" s="89" t="s">
        <v>85</v>
      </c>
      <c r="D52" s="77">
        <f t="shared" si="15"/>
        <v>331656</v>
      </c>
      <c r="E52" s="35">
        <v>21742</v>
      </c>
      <c r="F52" s="35">
        <v>48190</v>
      </c>
      <c r="G52" s="35">
        <v>93037</v>
      </c>
      <c r="H52" s="35">
        <v>168687</v>
      </c>
      <c r="I52" s="35"/>
      <c r="J52" s="35"/>
      <c r="K52" s="35"/>
      <c r="L52" s="35"/>
      <c r="M52" s="35"/>
      <c r="N52" s="35"/>
      <c r="O52" s="35"/>
      <c r="P52" s="35"/>
      <c r="Q52" s="100"/>
      <c r="R52" s="78"/>
    </row>
    <row r="53" spans="1:18" outlineLevel="2">
      <c r="A53" s="70"/>
      <c r="B53">
        <v>447100</v>
      </c>
      <c r="D53" s="77">
        <f t="shared" si="15"/>
        <v>2371328</v>
      </c>
      <c r="E53" s="35">
        <v>-255100</v>
      </c>
      <c r="F53" s="35">
        <v>289632</v>
      </c>
      <c r="G53" s="35">
        <v>-253584</v>
      </c>
      <c r="H53" s="35">
        <v>2590380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100"/>
      <c r="R53" s="78">
        <f t="shared" si="16"/>
        <v>2371328</v>
      </c>
    </row>
    <row r="54" spans="1:18" outlineLevel="2">
      <c r="A54" s="70"/>
      <c r="B54">
        <v>447150</v>
      </c>
      <c r="D54" s="77">
        <f t="shared" si="15"/>
        <v>-5849982</v>
      </c>
      <c r="E54" s="35">
        <v>-1163293</v>
      </c>
      <c r="F54" s="35">
        <v>-2319559</v>
      </c>
      <c r="G54" s="35">
        <v>-1243577</v>
      </c>
      <c r="H54" s="35">
        <v>-1123553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100"/>
      <c r="R54" s="78">
        <f t="shared" si="16"/>
        <v>-5849982</v>
      </c>
    </row>
    <row r="55" spans="1:18" outlineLevel="2">
      <c r="A55" s="70"/>
      <c r="B55">
        <v>447700</v>
      </c>
      <c r="D55" s="77">
        <f t="shared" si="15"/>
        <v>-841265</v>
      </c>
      <c r="E55" s="35">
        <v>-188420</v>
      </c>
      <c r="F55" s="35">
        <v>-346405</v>
      </c>
      <c r="G55" s="35">
        <v>-50740</v>
      </c>
      <c r="H55" s="35">
        <v>-255700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100"/>
      <c r="R55" s="78">
        <f t="shared" si="16"/>
        <v>-841265</v>
      </c>
    </row>
    <row r="56" spans="1:18" outlineLevel="2">
      <c r="A56" s="70"/>
      <c r="B56">
        <v>447710</v>
      </c>
      <c r="D56" s="77">
        <f t="shared" si="15"/>
        <v>-775714</v>
      </c>
      <c r="E56" s="35">
        <v>-216599</v>
      </c>
      <c r="F56" s="35">
        <v>-267709</v>
      </c>
      <c r="G56" s="35">
        <v>-204121</v>
      </c>
      <c r="H56" s="35">
        <v>-87285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100"/>
      <c r="R56" s="78">
        <f t="shared" si="16"/>
        <v>-775714</v>
      </c>
    </row>
    <row r="57" spans="1:18" outlineLevel="2">
      <c r="A57" s="70"/>
      <c r="B57">
        <v>447720</v>
      </c>
      <c r="C57" s="2" t="s">
        <v>86</v>
      </c>
      <c r="D57" s="92">
        <f t="shared" si="15"/>
        <v>-5676236</v>
      </c>
      <c r="E57" s="101">
        <v>-1413667</v>
      </c>
      <c r="F57" s="101">
        <v>-1601847</v>
      </c>
      <c r="G57" s="101">
        <v>-1346586</v>
      </c>
      <c r="H57" s="101">
        <v>-1314136</v>
      </c>
      <c r="I57" s="101">
        <v>0</v>
      </c>
      <c r="J57" s="101">
        <v>0</v>
      </c>
      <c r="K57" s="101">
        <v>0</v>
      </c>
      <c r="L57" s="101">
        <v>0</v>
      </c>
      <c r="M57" s="101">
        <v>0</v>
      </c>
      <c r="N57" s="101">
        <v>0</v>
      </c>
      <c r="O57" s="101">
        <v>0</v>
      </c>
      <c r="P57" s="101">
        <v>0</v>
      </c>
      <c r="Q57" s="100"/>
      <c r="R57" s="102">
        <f t="shared" si="16"/>
        <v>-5676236</v>
      </c>
    </row>
    <row r="58" spans="1:18" s="89" customFormat="1" ht="13.15" outlineLevel="2">
      <c r="A58" s="6"/>
      <c r="D58" s="95">
        <f t="shared" si="15"/>
        <v>-25783873</v>
      </c>
      <c r="E58" s="103">
        <f t="shared" ref="E58:P58" si="17">SUM(E51:E57)</f>
        <v>-6141300</v>
      </c>
      <c r="F58" s="103">
        <f t="shared" si="17"/>
        <v>-10652299</v>
      </c>
      <c r="G58" s="103">
        <f t="shared" si="17"/>
        <v>-4461531</v>
      </c>
      <c r="H58" s="103">
        <f t="shared" si="17"/>
        <v>-4528743</v>
      </c>
      <c r="I58" s="103">
        <f t="shared" si="17"/>
        <v>0</v>
      </c>
      <c r="J58" s="103">
        <f t="shared" si="17"/>
        <v>0</v>
      </c>
      <c r="K58" s="103">
        <f t="shared" si="17"/>
        <v>0</v>
      </c>
      <c r="L58" s="103">
        <f t="shared" si="17"/>
        <v>0</v>
      </c>
      <c r="M58" s="103">
        <f>SUM(M51:M57)</f>
        <v>0</v>
      </c>
      <c r="N58" s="103">
        <f t="shared" si="17"/>
        <v>0</v>
      </c>
      <c r="O58" s="103">
        <f t="shared" si="17"/>
        <v>0</v>
      </c>
      <c r="P58" s="103">
        <f t="shared" si="17"/>
        <v>0</v>
      </c>
      <c r="Q58" s="104"/>
      <c r="R58" s="95">
        <f>SUM(R51:R57)</f>
        <v>-26115529</v>
      </c>
    </row>
    <row r="59" spans="1:18" outlineLevel="2">
      <c r="A59" s="70"/>
      <c r="E59" s="77"/>
      <c r="F59" s="77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00"/>
      <c r="R59" s="77"/>
    </row>
    <row r="60" spans="1:18" ht="13.15">
      <c r="A60" s="70"/>
      <c r="B60" s="75" t="s">
        <v>87</v>
      </c>
      <c r="C60" s="75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00"/>
      <c r="R60" s="77"/>
    </row>
    <row r="61" spans="1:18">
      <c r="A61" s="70">
        <f>A47+1</f>
        <v>25</v>
      </c>
      <c r="B61" s="2" t="s">
        <v>88</v>
      </c>
      <c r="C61" s="2"/>
      <c r="D61" s="77">
        <f>SUM(E61:P61)</f>
        <v>2245829</v>
      </c>
      <c r="E61" s="35">
        <v>572049</v>
      </c>
      <c r="F61" s="35">
        <v>499776</v>
      </c>
      <c r="G61" s="35">
        <v>642433</v>
      </c>
      <c r="H61" s="35">
        <v>531571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100"/>
      <c r="R61" s="34">
        <f>SUM(E61:P61)</f>
        <v>2245829</v>
      </c>
    </row>
    <row r="62" spans="1:18">
      <c r="A62" s="70">
        <f>+A61+1</f>
        <v>26</v>
      </c>
      <c r="B62" s="2" t="s">
        <v>89</v>
      </c>
      <c r="C62" s="2"/>
      <c r="D62" s="77">
        <f>SUM(E62:P62)</f>
        <v>6227</v>
      </c>
      <c r="E62" s="35">
        <v>1028</v>
      </c>
      <c r="F62" s="35">
        <v>8827</v>
      </c>
      <c r="G62" s="35">
        <v>-4157</v>
      </c>
      <c r="H62" s="35">
        <v>529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100"/>
      <c r="R62" s="34">
        <f>SUM(E62:P62)</f>
        <v>6227</v>
      </c>
    </row>
    <row r="63" spans="1:18">
      <c r="A63" s="70">
        <f>+A62+1</f>
        <v>27</v>
      </c>
      <c r="B63" t="s">
        <v>90</v>
      </c>
      <c r="D63" s="77">
        <f>SUM(E63:P63)</f>
        <v>8251015</v>
      </c>
      <c r="E63" s="35">
        <v>2481260</v>
      </c>
      <c r="F63" s="35">
        <v>2015723</v>
      </c>
      <c r="G63" s="35">
        <v>2602101</v>
      </c>
      <c r="H63" s="35">
        <v>1151931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100"/>
      <c r="R63" s="105">
        <f>SUM(E63:P63)</f>
        <v>8251015</v>
      </c>
    </row>
    <row r="64" spans="1:18">
      <c r="A64" s="70">
        <f>+A63+1</f>
        <v>28</v>
      </c>
      <c r="B64" t="s">
        <v>91</v>
      </c>
      <c r="D64" s="77">
        <f>SUM(E64:P64)</f>
        <v>43812</v>
      </c>
      <c r="E64" s="35">
        <v>22561</v>
      </c>
      <c r="F64" s="35">
        <v>3835</v>
      </c>
      <c r="G64" s="35">
        <v>16432</v>
      </c>
      <c r="H64" s="35">
        <v>984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100"/>
      <c r="R64" s="105">
        <f>SUM(E64:P64)</f>
        <v>43812</v>
      </c>
    </row>
    <row r="65" spans="1:18" s="89" customFormat="1" ht="27.75" customHeight="1" thickBot="1">
      <c r="A65" s="97">
        <f>+A64+1</f>
        <v>29</v>
      </c>
      <c r="B65" s="84" t="s">
        <v>92</v>
      </c>
      <c r="C65" s="84"/>
      <c r="D65" s="85">
        <f>SUM(E65:P65)</f>
        <v>10546883</v>
      </c>
      <c r="E65" s="58">
        <f>SUM(E61:E64)</f>
        <v>3076898</v>
      </c>
      <c r="F65" s="58">
        <f t="shared" ref="F65:P65" si="18">SUM(F61:F64)</f>
        <v>2528161</v>
      </c>
      <c r="G65" s="58">
        <f t="shared" si="18"/>
        <v>3256809</v>
      </c>
      <c r="H65" s="58">
        <f t="shared" si="18"/>
        <v>1685015</v>
      </c>
      <c r="I65" s="58">
        <f t="shared" si="18"/>
        <v>0</v>
      </c>
      <c r="J65" s="58">
        <f t="shared" si="18"/>
        <v>0</v>
      </c>
      <c r="K65" s="58">
        <f t="shared" si="18"/>
        <v>0</v>
      </c>
      <c r="L65" s="58">
        <f t="shared" si="18"/>
        <v>0</v>
      </c>
      <c r="M65" s="58">
        <f t="shared" si="18"/>
        <v>0</v>
      </c>
      <c r="N65" s="58">
        <f t="shared" si="18"/>
        <v>0</v>
      </c>
      <c r="O65" s="58">
        <f t="shared" si="18"/>
        <v>0</v>
      </c>
      <c r="P65" s="58">
        <f t="shared" si="18"/>
        <v>0</v>
      </c>
      <c r="Q65" s="106"/>
      <c r="R65" s="88">
        <f>SUM(E65:P65)</f>
        <v>10546883</v>
      </c>
    </row>
    <row r="66" spans="1:18" ht="13.15" thickTop="1">
      <c r="A66" s="70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25"/>
    </row>
    <row r="67" spans="1:18" ht="18.75" customHeight="1">
      <c r="A67" s="70"/>
      <c r="B67" s="75" t="s">
        <v>93</v>
      </c>
      <c r="C67" s="75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25"/>
    </row>
    <row r="68" spans="1:18">
      <c r="A68" s="70">
        <f>A65+1</f>
        <v>30</v>
      </c>
      <c r="B68" t="s">
        <v>94</v>
      </c>
      <c r="C68" s="2" t="s">
        <v>95</v>
      </c>
      <c r="D68" s="107">
        <f>SUM(E68:P68)</f>
        <v>165134</v>
      </c>
      <c r="E68" s="108">
        <f>'[1]Input Tab'!C50</f>
        <v>42518</v>
      </c>
      <c r="F68" s="108">
        <f>'[1]Input Tab'!D50</f>
        <v>37569</v>
      </c>
      <c r="G68" s="108">
        <f>'[1]Input Tab'!E50</f>
        <v>47100</v>
      </c>
      <c r="H68" s="108">
        <f>'[1]Input Tab'!F50</f>
        <v>37947</v>
      </c>
      <c r="I68" s="108">
        <f>'[1]Input Tab'!G50</f>
        <v>0</v>
      </c>
      <c r="J68" s="108">
        <f>'[1]Input Tab'!H50</f>
        <v>0</v>
      </c>
      <c r="K68" s="108">
        <f>'[1]Input Tab'!I50</f>
        <v>0</v>
      </c>
      <c r="L68" s="108">
        <f>'[1]Input Tab'!J50</f>
        <v>0</v>
      </c>
      <c r="M68" s="108">
        <f>'[1]Input Tab'!K50</f>
        <v>0</v>
      </c>
      <c r="N68" s="108">
        <f>'[1]Input Tab'!L50</f>
        <v>0</v>
      </c>
      <c r="O68" s="108">
        <f>'[1]Input Tab'!M50</f>
        <v>0</v>
      </c>
      <c r="P68" s="108">
        <f>'[1]Input Tab'!N50</f>
        <v>0</v>
      </c>
      <c r="Q68" s="25"/>
      <c r="R68" s="109">
        <f>SUM(E68:P68)</f>
        <v>165134</v>
      </c>
    </row>
    <row r="69" spans="1:18">
      <c r="A69" s="70">
        <f>A68+1</f>
        <v>31</v>
      </c>
      <c r="B69" t="s">
        <v>96</v>
      </c>
      <c r="C69" s="2" t="s">
        <v>97</v>
      </c>
      <c r="D69" s="107">
        <f>SUM(E69:P69)</f>
        <v>305357</v>
      </c>
      <c r="E69" s="108">
        <f>'[1]Input Tab'!C51</f>
        <v>89341</v>
      </c>
      <c r="F69" s="108">
        <f>'[1]Input Tab'!D51</f>
        <v>75697</v>
      </c>
      <c r="G69" s="108">
        <f>'[1]Input Tab'!E51</f>
        <v>96986</v>
      </c>
      <c r="H69" s="108">
        <f>'[1]Input Tab'!F51</f>
        <v>43333</v>
      </c>
      <c r="I69" s="108">
        <f>'[1]Input Tab'!G51</f>
        <v>0</v>
      </c>
      <c r="J69" s="108">
        <f>'[1]Input Tab'!H51</f>
        <v>0</v>
      </c>
      <c r="K69" s="108">
        <f>'[1]Input Tab'!I51</f>
        <v>0</v>
      </c>
      <c r="L69" s="108">
        <f>'[1]Input Tab'!J51</f>
        <v>0</v>
      </c>
      <c r="M69" s="108">
        <f>'[1]Input Tab'!K51</f>
        <v>0</v>
      </c>
      <c r="N69" s="108">
        <f>'[1]Input Tab'!L51</f>
        <v>0</v>
      </c>
      <c r="O69" s="108">
        <f>'[1]Input Tab'!M51</f>
        <v>0</v>
      </c>
      <c r="P69" s="108">
        <f>'[1]Input Tab'!N51</f>
        <v>0</v>
      </c>
      <c r="Q69" s="25"/>
      <c r="R69" s="109">
        <f>SUM(E69:P69)</f>
        <v>305357</v>
      </c>
    </row>
    <row r="70" spans="1:18">
      <c r="A70" s="70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25"/>
    </row>
    <row r="71" spans="1:18" ht="21" customHeight="1">
      <c r="A71" s="70"/>
      <c r="B71" s="75" t="s">
        <v>98</v>
      </c>
      <c r="C71" s="75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25"/>
    </row>
    <row r="72" spans="1:18">
      <c r="A72" s="70">
        <f>A69+1</f>
        <v>32</v>
      </c>
      <c r="B72" t="s">
        <v>94</v>
      </c>
      <c r="D72" s="70" t="s">
        <v>99</v>
      </c>
      <c r="E72" s="110">
        <f>IF(E68=0," ",E61/E68)</f>
        <v>13.454278188061528</v>
      </c>
      <c r="F72" s="110">
        <f>IF(F68=0," ",F61/F68)</f>
        <v>13.302882695839655</v>
      </c>
      <c r="G72" s="110">
        <f>IF(G68=0," ",G61/G68)</f>
        <v>13.639766454352442</v>
      </c>
      <c r="H72" s="110">
        <f t="shared" ref="H72:P72" si="19">IF(H68=0," ",H61/H68)</f>
        <v>14.008248346377842</v>
      </c>
      <c r="I72" s="110" t="str">
        <f>IF(I68=0," ",I61/I68)</f>
        <v xml:space="preserve"> </v>
      </c>
      <c r="J72" s="110" t="str">
        <f t="shared" si="19"/>
        <v xml:space="preserve"> </v>
      </c>
      <c r="K72" s="110" t="str">
        <f>IF(K68=0," ",K61/K68)</f>
        <v xml:space="preserve"> </v>
      </c>
      <c r="L72" s="110" t="str">
        <f t="shared" si="19"/>
        <v xml:space="preserve"> </v>
      </c>
      <c r="M72" s="110" t="str">
        <f t="shared" si="19"/>
        <v xml:space="preserve"> </v>
      </c>
      <c r="N72" s="110" t="str">
        <f t="shared" si="19"/>
        <v xml:space="preserve"> </v>
      </c>
      <c r="O72" s="110" t="str">
        <f t="shared" si="19"/>
        <v xml:space="preserve"> </v>
      </c>
      <c r="P72" s="110" t="str">
        <f t="shared" si="19"/>
        <v xml:space="preserve"> </v>
      </c>
      <c r="Q72" s="111"/>
      <c r="R72" s="111">
        <f>R61/R68</f>
        <v>13.600039967541512</v>
      </c>
    </row>
    <row r="73" spans="1:18">
      <c r="A73" s="70">
        <f>A72+1</f>
        <v>33</v>
      </c>
      <c r="B73" t="s">
        <v>100</v>
      </c>
      <c r="D73" s="70" t="s">
        <v>101</v>
      </c>
      <c r="E73" s="110">
        <f>IF(E69=0," ",E63/E69)</f>
        <v>27.772915011025173</v>
      </c>
      <c r="F73" s="110">
        <f>IF(F69=0," ",F63/F69)</f>
        <v>26.628836017279415</v>
      </c>
      <c r="G73" s="110">
        <f t="shared" ref="G73:P73" si="20">IF(G69=0," ",G63/G69)</f>
        <v>26.82965582661415</v>
      </c>
      <c r="H73" s="110">
        <f t="shared" si="20"/>
        <v>26.583227563288947</v>
      </c>
      <c r="I73" s="110" t="str">
        <f>IF(I69=0," ",I63/I69)</f>
        <v xml:space="preserve"> </v>
      </c>
      <c r="J73" s="110" t="str">
        <f t="shared" si="20"/>
        <v xml:space="preserve"> </v>
      </c>
      <c r="K73" s="110" t="str">
        <f t="shared" si="20"/>
        <v xml:space="preserve"> </v>
      </c>
      <c r="L73" s="110" t="str">
        <f t="shared" si="20"/>
        <v xml:space="preserve"> </v>
      </c>
      <c r="M73" s="110" t="str">
        <f t="shared" si="20"/>
        <v xml:space="preserve"> </v>
      </c>
      <c r="N73" s="110" t="str">
        <f t="shared" si="20"/>
        <v xml:space="preserve"> </v>
      </c>
      <c r="O73" s="110" t="str">
        <f t="shared" si="20"/>
        <v xml:space="preserve"> </v>
      </c>
      <c r="P73" s="110" t="str">
        <f t="shared" si="20"/>
        <v xml:space="preserve"> </v>
      </c>
      <c r="Q73" s="111"/>
      <c r="R73" s="111">
        <f>R63/R69</f>
        <v>27.020880477604901</v>
      </c>
    </row>
    <row r="74" spans="1:18">
      <c r="A74" s="70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25"/>
    </row>
    <row r="75" spans="1:18" ht="13.15">
      <c r="A75" s="70"/>
      <c r="B75" s="75" t="s">
        <v>102</v>
      </c>
      <c r="C75" s="75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25"/>
    </row>
    <row r="76" spans="1:18">
      <c r="A76" s="70">
        <f>A73+1</f>
        <v>34</v>
      </c>
      <c r="B76" t="s">
        <v>103</v>
      </c>
      <c r="D76" s="77">
        <f t="shared" ref="D76:D82" si="21">SUM(E76:P76)</f>
        <v>187</v>
      </c>
      <c r="E76" s="35">
        <v>113</v>
      </c>
      <c r="F76" s="35">
        <v>-12</v>
      </c>
      <c r="G76" s="35">
        <v>87</v>
      </c>
      <c r="H76" s="35">
        <v>-1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112"/>
      <c r="R76" s="113">
        <f t="shared" ref="R76:R81" si="22">SUM(E76:P76)</f>
        <v>187</v>
      </c>
    </row>
    <row r="77" spans="1:18">
      <c r="A77" s="70">
        <f t="shared" ref="A77:A82" si="23">A76+1</f>
        <v>35</v>
      </c>
      <c r="B77" t="s">
        <v>104</v>
      </c>
      <c r="D77" s="77">
        <f t="shared" si="21"/>
        <v>357214</v>
      </c>
      <c r="E77" s="35">
        <v>13515</v>
      </c>
      <c r="F77" s="35">
        <v>102792</v>
      </c>
      <c r="G77" s="35">
        <v>114417</v>
      </c>
      <c r="H77" s="35">
        <v>126490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112"/>
      <c r="R77" s="113">
        <f t="shared" si="22"/>
        <v>357214</v>
      </c>
    </row>
    <row r="78" spans="1:18">
      <c r="A78" s="70">
        <f t="shared" si="23"/>
        <v>36</v>
      </c>
      <c r="B78" t="s">
        <v>105</v>
      </c>
      <c r="D78" s="77">
        <f t="shared" si="21"/>
        <v>1282</v>
      </c>
      <c r="E78" s="35">
        <v>120</v>
      </c>
      <c r="F78" s="35">
        <v>-8703</v>
      </c>
      <c r="G78" s="35">
        <v>9978</v>
      </c>
      <c r="H78" s="35">
        <v>-113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112"/>
      <c r="R78" s="113">
        <f t="shared" si="22"/>
        <v>1282</v>
      </c>
    </row>
    <row r="79" spans="1:18">
      <c r="A79" s="70">
        <f t="shared" si="23"/>
        <v>37</v>
      </c>
      <c r="B79" t="s">
        <v>106</v>
      </c>
      <c r="D79" s="77">
        <f t="shared" si="21"/>
        <v>8723741</v>
      </c>
      <c r="E79" s="35">
        <v>3313555</v>
      </c>
      <c r="F79" s="35">
        <v>4600091</v>
      </c>
      <c r="G79" s="35">
        <v>384055</v>
      </c>
      <c r="H79" s="35">
        <v>426040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112"/>
      <c r="R79" s="113">
        <f t="shared" si="22"/>
        <v>8723741</v>
      </c>
    </row>
    <row r="80" spans="1:18">
      <c r="A80" s="70">
        <f>A79+1</f>
        <v>38</v>
      </c>
      <c r="B80" s="2" t="s">
        <v>107</v>
      </c>
      <c r="C80" s="2"/>
      <c r="D80" s="77">
        <f t="shared" si="21"/>
        <v>13181525</v>
      </c>
      <c r="E80" s="35">
        <v>2848373</v>
      </c>
      <c r="F80" s="35">
        <v>4650571</v>
      </c>
      <c r="G80" s="35">
        <v>2761100</v>
      </c>
      <c r="H80" s="35">
        <v>2921481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112"/>
      <c r="R80" s="113">
        <f>SUM(E80:P80)</f>
        <v>13181525</v>
      </c>
    </row>
    <row r="81" spans="1:18">
      <c r="A81" s="70">
        <f>A80+1</f>
        <v>39</v>
      </c>
      <c r="B81" s="114" t="s">
        <v>108</v>
      </c>
      <c r="C81" s="114"/>
      <c r="D81" s="77">
        <f t="shared" si="21"/>
        <v>1263762</v>
      </c>
      <c r="E81" s="101">
        <v>7765</v>
      </c>
      <c r="F81" s="101">
        <v>317767</v>
      </c>
      <c r="G81" s="101">
        <v>276470</v>
      </c>
      <c r="H81" s="101">
        <v>661760</v>
      </c>
      <c r="I81" s="101">
        <v>0</v>
      </c>
      <c r="J81" s="101">
        <v>0</v>
      </c>
      <c r="K81" s="101">
        <v>0</v>
      </c>
      <c r="L81" s="101">
        <v>0</v>
      </c>
      <c r="M81" s="101">
        <v>0</v>
      </c>
      <c r="N81" s="101">
        <v>0</v>
      </c>
      <c r="O81" s="101">
        <v>0</v>
      </c>
      <c r="P81" s="101">
        <v>0</v>
      </c>
      <c r="Q81" s="112"/>
      <c r="R81" s="115">
        <f t="shared" si="22"/>
        <v>1263762</v>
      </c>
    </row>
    <row r="82" spans="1:18" s="89" customFormat="1" ht="21.75" customHeight="1">
      <c r="A82" s="97">
        <f t="shared" si="23"/>
        <v>40</v>
      </c>
      <c r="B82" s="84" t="s">
        <v>109</v>
      </c>
      <c r="C82" s="84"/>
      <c r="D82" s="85">
        <f t="shared" si="21"/>
        <v>23527711</v>
      </c>
      <c r="E82" s="58">
        <f t="shared" ref="E82:P82" si="24">SUM(E76:E81)</f>
        <v>6183441</v>
      </c>
      <c r="F82" s="58">
        <f t="shared" si="24"/>
        <v>9662506</v>
      </c>
      <c r="G82" s="58">
        <f t="shared" si="24"/>
        <v>3546107</v>
      </c>
      <c r="H82" s="58">
        <f t="shared" si="24"/>
        <v>4135657</v>
      </c>
      <c r="I82" s="58">
        <f t="shared" si="24"/>
        <v>0</v>
      </c>
      <c r="J82" s="58">
        <f t="shared" si="24"/>
        <v>0</v>
      </c>
      <c r="K82" s="58">
        <f t="shared" si="24"/>
        <v>0</v>
      </c>
      <c r="L82" s="58">
        <f t="shared" si="24"/>
        <v>0</v>
      </c>
      <c r="M82" s="58">
        <f t="shared" si="24"/>
        <v>0</v>
      </c>
      <c r="N82" s="58">
        <f t="shared" si="24"/>
        <v>0</v>
      </c>
      <c r="O82" s="58">
        <f t="shared" si="24"/>
        <v>0</v>
      </c>
      <c r="P82" s="58">
        <f t="shared" si="24"/>
        <v>0</v>
      </c>
      <c r="Q82" s="116"/>
      <c r="R82" s="117">
        <f>SUM(R76:R81)</f>
        <v>23527711</v>
      </c>
    </row>
    <row r="83" spans="1:18" ht="15.75" customHeight="1">
      <c r="A83" s="70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12"/>
      <c r="R83" s="113"/>
    </row>
    <row r="84" spans="1:18" ht="21" customHeight="1">
      <c r="A84" s="97">
        <f>A82+1</f>
        <v>41</v>
      </c>
      <c r="B84" s="118" t="s">
        <v>110</v>
      </c>
      <c r="C84" s="118"/>
      <c r="D84" s="119">
        <f>SUM(E84:P84)</f>
        <v>54366877.232799999</v>
      </c>
      <c r="E84" s="58">
        <f t="shared" ref="E84:P84" si="25">E24+E47+E65+E82</f>
        <v>13961428.874600001</v>
      </c>
      <c r="F84" s="58">
        <f t="shared" si="25"/>
        <v>12734621.897</v>
      </c>
      <c r="G84" s="58">
        <f t="shared" si="25"/>
        <v>14774899.0331</v>
      </c>
      <c r="H84" s="58">
        <f t="shared" si="25"/>
        <v>12895927.428099999</v>
      </c>
      <c r="I84" s="58">
        <f t="shared" si="25"/>
        <v>0</v>
      </c>
      <c r="J84" s="58">
        <f t="shared" si="25"/>
        <v>0</v>
      </c>
      <c r="K84" s="58">
        <f t="shared" si="25"/>
        <v>0</v>
      </c>
      <c r="L84" s="58">
        <f t="shared" si="25"/>
        <v>0</v>
      </c>
      <c r="M84" s="58">
        <f t="shared" si="25"/>
        <v>0</v>
      </c>
      <c r="N84" s="58">
        <f t="shared" si="25"/>
        <v>0</v>
      </c>
      <c r="O84" s="58">
        <f t="shared" si="25"/>
        <v>0</v>
      </c>
      <c r="P84" s="58">
        <f t="shared" si="25"/>
        <v>0</v>
      </c>
      <c r="Q84" s="120"/>
      <c r="R84" s="121">
        <f>R24-R47+R65+R82</f>
        <v>101677035.34280001</v>
      </c>
    </row>
    <row r="85" spans="1:18" ht="12" customHeight="1"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25"/>
    </row>
    <row r="86" spans="1:18" outlineLevel="1">
      <c r="B86" s="122" t="s">
        <v>63</v>
      </c>
      <c r="C86" s="122"/>
      <c r="E86" s="123">
        <v>202101</v>
      </c>
      <c r="F86" s="123">
        <v>202102</v>
      </c>
      <c r="G86" s="123">
        <v>202103</v>
      </c>
      <c r="H86" s="123">
        <v>202104</v>
      </c>
      <c r="I86" s="123">
        <v>202105</v>
      </c>
      <c r="J86" s="123">
        <v>202106</v>
      </c>
      <c r="K86" s="123">
        <v>202107</v>
      </c>
      <c r="L86" s="123">
        <v>202108</v>
      </c>
      <c r="M86" s="123">
        <v>202109</v>
      </c>
      <c r="N86" s="123">
        <v>202110</v>
      </c>
      <c r="O86" s="123">
        <v>202111</v>
      </c>
      <c r="P86" s="123">
        <v>202112</v>
      </c>
      <c r="Q86" s="25"/>
    </row>
    <row r="87" spans="1:18" ht="13.15">
      <c r="B87" s="76" t="s">
        <v>111</v>
      </c>
      <c r="C87" s="76"/>
      <c r="D87" s="124"/>
      <c r="E87" s="12"/>
      <c r="F87" s="12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25"/>
    </row>
    <row r="88" spans="1:18">
      <c r="A88" s="70">
        <f>A84+1</f>
        <v>42</v>
      </c>
      <c r="B88" s="122" t="s">
        <v>112</v>
      </c>
      <c r="C88" s="122"/>
      <c r="D88" s="77">
        <f t="shared" ref="D88:D96" si="26">SUM(E88:P88)</f>
        <v>-2802832</v>
      </c>
      <c r="E88" s="35">
        <v>-593403</v>
      </c>
      <c r="F88" s="35">
        <v>-845855</v>
      </c>
      <c r="G88" s="35">
        <v>-644720</v>
      </c>
      <c r="H88" s="35">
        <v>-718854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112"/>
      <c r="R88" s="113">
        <f t="shared" ref="R88:R96" si="27">SUM(E88:P88)</f>
        <v>-2802832</v>
      </c>
    </row>
    <row r="89" spans="1:18">
      <c r="A89" s="70">
        <v>45</v>
      </c>
      <c r="B89" s="122" t="s">
        <v>113</v>
      </c>
      <c r="C89" s="122"/>
      <c r="D89" s="77">
        <f t="shared" si="26"/>
        <v>-308000</v>
      </c>
      <c r="E89" s="23">
        <v>-77000</v>
      </c>
      <c r="F89" s="23">
        <v>-77000</v>
      </c>
      <c r="G89" s="23">
        <v>-77000</v>
      </c>
      <c r="H89" s="23">
        <v>-77000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112"/>
      <c r="R89" s="113">
        <f t="shared" si="27"/>
        <v>-308000</v>
      </c>
    </row>
    <row r="90" spans="1:18">
      <c r="A90" s="70">
        <f>A89+1</f>
        <v>46</v>
      </c>
      <c r="B90" s="122" t="s">
        <v>114</v>
      </c>
      <c r="C90" s="122"/>
      <c r="D90" s="77">
        <f t="shared" si="26"/>
        <v>-25749</v>
      </c>
      <c r="E90" s="35">
        <v>0</v>
      </c>
      <c r="F90" s="35">
        <v>0</v>
      </c>
      <c r="G90" s="35">
        <v>-7259</v>
      </c>
      <c r="H90" s="35">
        <v>-18490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/>
      <c r="R90" s="113">
        <f t="shared" si="27"/>
        <v>-25749</v>
      </c>
    </row>
    <row r="91" spans="1:18">
      <c r="A91" s="70">
        <f>A90+1</f>
        <v>47</v>
      </c>
      <c r="B91" s="122" t="s">
        <v>115</v>
      </c>
      <c r="C91" s="122"/>
      <c r="D91" s="77">
        <f t="shared" si="26"/>
        <v>-407202</v>
      </c>
      <c r="E91" s="35">
        <v>-101484</v>
      </c>
      <c r="F91" s="35">
        <v>-102584</v>
      </c>
      <c r="G91" s="35">
        <v>-102211</v>
      </c>
      <c r="H91" s="35">
        <v>-100923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/>
      <c r="R91" s="113"/>
    </row>
    <row r="92" spans="1:18">
      <c r="A92" s="70">
        <f>A91+1</f>
        <v>48</v>
      </c>
      <c r="B92" s="122" t="s">
        <v>116</v>
      </c>
      <c r="C92" s="122"/>
      <c r="D92" s="77">
        <f t="shared" si="26"/>
        <v>-775714</v>
      </c>
      <c r="E92" s="35">
        <v>-216599</v>
      </c>
      <c r="F92" s="35">
        <v>-269939</v>
      </c>
      <c r="G92" s="35">
        <v>-201891</v>
      </c>
      <c r="H92" s="35">
        <v>-87285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112"/>
      <c r="R92" s="113">
        <f t="shared" si="27"/>
        <v>-775714</v>
      </c>
    </row>
    <row r="93" spans="1:18">
      <c r="A93" s="70">
        <f>+A92+1</f>
        <v>49</v>
      </c>
      <c r="B93" s="2" t="s">
        <v>117</v>
      </c>
      <c r="C93" s="2"/>
      <c r="D93" s="34">
        <f>SUM(E93:P93)</f>
        <v>-23112</v>
      </c>
      <c r="E93" s="126">
        <v>-5778</v>
      </c>
      <c r="F93" s="126">
        <v>-5778</v>
      </c>
      <c r="G93" s="126">
        <v>-5778</v>
      </c>
      <c r="H93" s="126">
        <v>-5778</v>
      </c>
      <c r="I93" s="126">
        <v>0</v>
      </c>
      <c r="J93" s="126">
        <v>0</v>
      </c>
      <c r="K93" s="126">
        <v>0</v>
      </c>
      <c r="L93" s="126">
        <v>0</v>
      </c>
      <c r="M93" s="126">
        <v>0</v>
      </c>
      <c r="N93" s="126">
        <v>0</v>
      </c>
      <c r="O93" s="126">
        <v>0</v>
      </c>
      <c r="P93" s="126">
        <v>0</v>
      </c>
      <c r="Q93" s="112"/>
      <c r="R93" s="113">
        <f t="shared" si="27"/>
        <v>-23112</v>
      </c>
    </row>
    <row r="94" spans="1:18">
      <c r="A94" s="70">
        <f>+A93+1</f>
        <v>50</v>
      </c>
      <c r="B94" s="122" t="s">
        <v>118</v>
      </c>
      <c r="C94" s="122"/>
      <c r="D94" s="77">
        <f t="shared" si="26"/>
        <v>-38092</v>
      </c>
      <c r="E94" s="35">
        <v>-9523</v>
      </c>
      <c r="F94" s="35">
        <v>-9523</v>
      </c>
      <c r="G94" s="35">
        <v>-9523</v>
      </c>
      <c r="H94" s="35">
        <v>-9523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112"/>
      <c r="R94" s="113">
        <f t="shared" si="27"/>
        <v>-38092</v>
      </c>
    </row>
    <row r="95" spans="1:18">
      <c r="A95" s="70">
        <f>+A94+1</f>
        <v>51</v>
      </c>
      <c r="B95" s="127" t="s">
        <v>119</v>
      </c>
      <c r="C95" s="127" t="s">
        <v>120</v>
      </c>
      <c r="D95" s="77">
        <f t="shared" si="26"/>
        <v>-595832</v>
      </c>
      <c r="E95" s="101">
        <v>-148958</v>
      </c>
      <c r="F95" s="101">
        <v>-148958</v>
      </c>
      <c r="G95" s="101">
        <v>-148958</v>
      </c>
      <c r="H95" s="101">
        <v>-148958</v>
      </c>
      <c r="I95" s="101">
        <v>0</v>
      </c>
      <c r="J95" s="101">
        <v>0</v>
      </c>
      <c r="K95" s="101">
        <v>0</v>
      </c>
      <c r="L95" s="101">
        <v>0</v>
      </c>
      <c r="M95" s="101">
        <v>0</v>
      </c>
      <c r="N95" s="101">
        <v>0</v>
      </c>
      <c r="O95" s="101">
        <v>0</v>
      </c>
      <c r="P95" s="101">
        <v>0</v>
      </c>
      <c r="Q95" s="112"/>
      <c r="R95" s="115">
        <f t="shared" si="27"/>
        <v>-595832</v>
      </c>
    </row>
    <row r="96" spans="1:18" s="89" customFormat="1" ht="20.25" customHeight="1">
      <c r="A96" s="97">
        <f>A95+1</f>
        <v>52</v>
      </c>
      <c r="B96" s="128" t="s">
        <v>121</v>
      </c>
      <c r="C96" s="128"/>
      <c r="D96" s="85">
        <f t="shared" si="26"/>
        <v>-4976533</v>
      </c>
      <c r="E96" s="85">
        <f>SUM(E88:E95)</f>
        <v>-1152745</v>
      </c>
      <c r="F96" s="85">
        <f t="shared" ref="F96:P96" si="28">SUM(F88:F95)</f>
        <v>-1459637</v>
      </c>
      <c r="G96" s="85">
        <f t="shared" si="28"/>
        <v>-1197340</v>
      </c>
      <c r="H96" s="85">
        <f t="shared" si="28"/>
        <v>-1166811</v>
      </c>
      <c r="I96" s="85">
        <f t="shared" si="28"/>
        <v>0</v>
      </c>
      <c r="J96" s="85">
        <f t="shared" si="28"/>
        <v>0</v>
      </c>
      <c r="K96" s="85">
        <f t="shared" si="28"/>
        <v>0</v>
      </c>
      <c r="L96" s="85">
        <f t="shared" si="28"/>
        <v>0</v>
      </c>
      <c r="M96" s="85">
        <f t="shared" si="28"/>
        <v>0</v>
      </c>
      <c r="N96" s="85">
        <f t="shared" si="28"/>
        <v>0</v>
      </c>
      <c r="O96" s="85">
        <f t="shared" si="28"/>
        <v>0</v>
      </c>
      <c r="P96" s="85">
        <f t="shared" si="28"/>
        <v>0</v>
      </c>
      <c r="Q96" s="116"/>
      <c r="R96" s="117">
        <f t="shared" si="27"/>
        <v>-4976533</v>
      </c>
    </row>
    <row r="97" spans="1:18">
      <c r="A97" s="70"/>
      <c r="E97" s="77"/>
      <c r="F97" s="77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12"/>
      <c r="R97" s="113"/>
    </row>
    <row r="98" spans="1:18" ht="13.15">
      <c r="A98" s="70"/>
      <c r="B98" s="75" t="s">
        <v>122</v>
      </c>
      <c r="C98" s="75"/>
      <c r="E98" s="77"/>
      <c r="F98" s="77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12"/>
      <c r="R98" s="113"/>
    </row>
    <row r="99" spans="1:18">
      <c r="A99" s="70">
        <f>A96+1</f>
        <v>53</v>
      </c>
      <c r="B99" s="2" t="s">
        <v>123</v>
      </c>
      <c r="C99" s="2"/>
      <c r="D99" s="77">
        <f>SUM(E99:P99)</f>
        <v>5635673</v>
      </c>
      <c r="E99" s="35">
        <v>1423401</v>
      </c>
      <c r="F99" s="35">
        <v>1391371</v>
      </c>
      <c r="G99" s="35">
        <v>1452196</v>
      </c>
      <c r="H99" s="35">
        <v>1368705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112"/>
      <c r="R99" s="113">
        <f>SUM(E99:P99)</f>
        <v>5635673</v>
      </c>
    </row>
    <row r="100" spans="1:18">
      <c r="A100" s="70">
        <f>A99+1</f>
        <v>54</v>
      </c>
      <c r="B100" s="2" t="s">
        <v>124</v>
      </c>
      <c r="C100" s="2" t="s">
        <v>66</v>
      </c>
      <c r="D100" s="77">
        <f>SUM(E100:P100)</f>
        <v>0</v>
      </c>
      <c r="E100" s="35">
        <v>0</v>
      </c>
      <c r="F100" s="35"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112"/>
      <c r="R100" s="113">
        <f>SUM(E100:P100)</f>
        <v>0</v>
      </c>
    </row>
    <row r="101" spans="1:18">
      <c r="A101" s="129">
        <f>A100+1</f>
        <v>55</v>
      </c>
      <c r="B101" s="8" t="s">
        <v>125</v>
      </c>
      <c r="C101" s="8"/>
      <c r="D101" s="77">
        <f>SUM(E101:P101)</f>
        <v>18144</v>
      </c>
      <c r="E101" s="101">
        <v>4536</v>
      </c>
      <c r="F101" s="101">
        <v>4536</v>
      </c>
      <c r="G101" s="101">
        <v>4536</v>
      </c>
      <c r="H101" s="101">
        <v>4536</v>
      </c>
      <c r="I101" s="101">
        <v>0</v>
      </c>
      <c r="J101" s="101">
        <v>0</v>
      </c>
      <c r="K101" s="101">
        <v>0</v>
      </c>
      <c r="L101" s="101">
        <v>0</v>
      </c>
      <c r="M101" s="101">
        <v>0</v>
      </c>
      <c r="N101" s="101">
        <v>0</v>
      </c>
      <c r="O101" s="101">
        <v>0</v>
      </c>
      <c r="P101" s="101">
        <v>0</v>
      </c>
      <c r="Q101" s="112"/>
      <c r="R101" s="115">
        <f>SUM(E101:P101)</f>
        <v>18144</v>
      </c>
    </row>
    <row r="102" spans="1:18" s="89" customFormat="1" ht="20.25" customHeight="1">
      <c r="A102" s="97">
        <f>A101+1</f>
        <v>56</v>
      </c>
      <c r="B102" s="128" t="s">
        <v>126</v>
      </c>
      <c r="C102" s="128"/>
      <c r="D102" s="85">
        <f>SUM(E102:P102)</f>
        <v>5653817</v>
      </c>
      <c r="E102" s="58">
        <f t="shared" ref="E102:P102" si="29">SUM(E99:E101)</f>
        <v>1427937</v>
      </c>
      <c r="F102" s="58">
        <f t="shared" si="29"/>
        <v>1395907</v>
      </c>
      <c r="G102" s="58">
        <f t="shared" si="29"/>
        <v>1456732</v>
      </c>
      <c r="H102" s="58">
        <f t="shared" si="29"/>
        <v>1373241</v>
      </c>
      <c r="I102" s="58">
        <f t="shared" si="29"/>
        <v>0</v>
      </c>
      <c r="J102" s="58">
        <f t="shared" si="29"/>
        <v>0</v>
      </c>
      <c r="K102" s="58">
        <f t="shared" si="29"/>
        <v>0</v>
      </c>
      <c r="L102" s="58">
        <f t="shared" si="29"/>
        <v>0</v>
      </c>
      <c r="M102" s="58">
        <f t="shared" si="29"/>
        <v>0</v>
      </c>
      <c r="N102" s="58">
        <f t="shared" si="29"/>
        <v>0</v>
      </c>
      <c r="O102" s="58">
        <f t="shared" si="29"/>
        <v>0</v>
      </c>
      <c r="P102" s="58">
        <f t="shared" si="29"/>
        <v>0</v>
      </c>
      <c r="Q102" s="116"/>
      <c r="R102" s="117">
        <f>SUM(E102:P102)</f>
        <v>5653817</v>
      </c>
    </row>
    <row r="103" spans="1:18">
      <c r="A103" s="70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12"/>
      <c r="R103" s="113"/>
    </row>
    <row r="104" spans="1:18" ht="13.15">
      <c r="A104" s="70"/>
      <c r="B104" s="75" t="s">
        <v>127</v>
      </c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12"/>
      <c r="R104" s="113"/>
    </row>
    <row r="105" spans="1:18">
      <c r="A105" s="70">
        <f>A102+1</f>
        <v>57</v>
      </c>
      <c r="B105" s="2" t="s">
        <v>128</v>
      </c>
      <c r="D105" s="77">
        <f>SUM(E105:P105)</f>
        <v>96644</v>
      </c>
      <c r="E105" s="12">
        <v>25242</v>
      </c>
      <c r="F105" s="12">
        <v>20273</v>
      </c>
      <c r="G105" s="12">
        <v>25053</v>
      </c>
      <c r="H105" s="12">
        <v>26076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12"/>
      <c r="R105" s="113"/>
    </row>
    <row r="106" spans="1:18">
      <c r="A106" s="70">
        <f>A105+1</f>
        <v>58</v>
      </c>
      <c r="B106" t="s">
        <v>129</v>
      </c>
      <c r="D106" s="77">
        <f>SUM(E106:P106)</f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12"/>
      <c r="R106" s="113"/>
    </row>
    <row r="107" spans="1:18">
      <c r="A107" s="70">
        <f>A106+1</f>
        <v>59</v>
      </c>
      <c r="B107" t="s">
        <v>130</v>
      </c>
      <c r="C107" t="s">
        <v>131</v>
      </c>
      <c r="D107" s="77">
        <f>SUM(E107:P107)</f>
        <v>43133</v>
      </c>
      <c r="E107" s="12">
        <v>5456</v>
      </c>
      <c r="F107" s="12">
        <v>20823</v>
      </c>
      <c r="G107" s="12">
        <v>8041</v>
      </c>
      <c r="H107" s="12">
        <v>8813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12"/>
      <c r="R107" s="113"/>
    </row>
    <row r="108" spans="1:18">
      <c r="A108" s="70">
        <f>A107+1</f>
        <v>60</v>
      </c>
      <c r="B108" t="s">
        <v>132</v>
      </c>
      <c r="C108" t="s">
        <v>133</v>
      </c>
      <c r="D108" s="77">
        <f>SUM(E108:P108)</f>
        <v>15645</v>
      </c>
      <c r="E108" s="12">
        <v>3638</v>
      </c>
      <c r="F108" s="12">
        <v>3756</v>
      </c>
      <c r="G108" s="12">
        <v>4049</v>
      </c>
      <c r="H108" s="12">
        <v>4202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12"/>
      <c r="R108" s="113"/>
    </row>
    <row r="109" spans="1:18" s="89" customFormat="1" ht="20.25" customHeight="1">
      <c r="A109" s="70">
        <f>A108+1</f>
        <v>61</v>
      </c>
      <c r="B109" s="128" t="s">
        <v>134</v>
      </c>
      <c r="C109" s="128"/>
      <c r="D109" s="85">
        <f>D105+D106+D107+D108</f>
        <v>155422</v>
      </c>
      <c r="E109" s="85">
        <f>E105+E106+E107+E108</f>
        <v>34336</v>
      </c>
      <c r="F109" s="85">
        <f t="shared" ref="F109:P109" si="30">F105+F106+F107+F108</f>
        <v>44852</v>
      </c>
      <c r="G109" s="85">
        <f t="shared" si="30"/>
        <v>37143</v>
      </c>
      <c r="H109" s="85">
        <f t="shared" si="30"/>
        <v>39091</v>
      </c>
      <c r="I109" s="85">
        <f t="shared" si="30"/>
        <v>0</v>
      </c>
      <c r="J109" s="85">
        <f t="shared" si="30"/>
        <v>0</v>
      </c>
      <c r="K109" s="85">
        <f t="shared" si="30"/>
        <v>0</v>
      </c>
      <c r="L109" s="85">
        <f t="shared" si="30"/>
        <v>0</v>
      </c>
      <c r="M109" s="85">
        <f t="shared" si="30"/>
        <v>0</v>
      </c>
      <c r="N109" s="85">
        <f t="shared" si="30"/>
        <v>0</v>
      </c>
      <c r="O109" s="85">
        <f t="shared" si="30"/>
        <v>0</v>
      </c>
      <c r="P109" s="85">
        <f t="shared" si="30"/>
        <v>0</v>
      </c>
      <c r="Q109" s="116"/>
      <c r="R109" s="117"/>
    </row>
    <row r="110" spans="1:18" ht="9" customHeight="1">
      <c r="A110" s="70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12"/>
      <c r="R110" s="113"/>
    </row>
    <row r="111" spans="1:18" ht="13.15">
      <c r="A111" s="70"/>
      <c r="B111" s="130" t="s">
        <v>135</v>
      </c>
      <c r="C111" s="130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12"/>
      <c r="R111" s="113"/>
    </row>
    <row r="112" spans="1:18">
      <c r="A112" s="70">
        <f>A109+1</f>
        <v>62</v>
      </c>
      <c r="B112" t="s">
        <v>136</v>
      </c>
      <c r="D112" s="77">
        <f>SUM(E112:P112)</f>
        <v>-2827086</v>
      </c>
      <c r="E112" s="12">
        <v>-674103</v>
      </c>
      <c r="F112" s="12">
        <v>-364175</v>
      </c>
      <c r="G112" s="12">
        <v>-1034253</v>
      </c>
      <c r="H112" s="12">
        <v>-754555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12"/>
      <c r="R112" s="113">
        <f t="shared" ref="R112:R123" si="31">SUM(E112:P112)</f>
        <v>-2827086</v>
      </c>
    </row>
    <row r="113" spans="1:18">
      <c r="A113" s="70">
        <f>A112+1</f>
        <v>63</v>
      </c>
      <c r="B113" t="s">
        <v>137</v>
      </c>
      <c r="D113" s="77">
        <f t="shared" ref="D113:D123" si="32">SUM(E113:P113)</f>
        <v>2551574</v>
      </c>
      <c r="E113" s="12">
        <v>834483</v>
      </c>
      <c r="F113" s="12">
        <v>-577904</v>
      </c>
      <c r="G113" s="12">
        <v>1001213</v>
      </c>
      <c r="H113" s="12">
        <v>1293782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12"/>
      <c r="R113" s="113">
        <f t="shared" si="31"/>
        <v>2551574</v>
      </c>
    </row>
    <row r="114" spans="1:18">
      <c r="A114" s="70">
        <f t="shared" ref="A114:A123" si="33">A113+1</f>
        <v>64</v>
      </c>
      <c r="B114" t="s">
        <v>138</v>
      </c>
      <c r="D114" s="77">
        <f t="shared" si="32"/>
        <v>73308</v>
      </c>
      <c r="E114" s="12">
        <v>0</v>
      </c>
      <c r="F114" s="12">
        <v>0</v>
      </c>
      <c r="G114" s="12">
        <v>0</v>
      </c>
      <c r="H114" s="12">
        <v>73308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12"/>
      <c r="R114" s="113">
        <f t="shared" si="31"/>
        <v>73308</v>
      </c>
    </row>
    <row r="115" spans="1:18">
      <c r="A115" s="70">
        <f t="shared" si="33"/>
        <v>65</v>
      </c>
      <c r="B115" s="2" t="s">
        <v>139</v>
      </c>
      <c r="C115" s="2"/>
      <c r="D115" s="77">
        <f t="shared" si="32"/>
        <v>-73308</v>
      </c>
      <c r="E115" s="12">
        <v>0</v>
      </c>
      <c r="F115" s="12">
        <v>0</v>
      </c>
      <c r="G115" s="12">
        <v>0</v>
      </c>
      <c r="H115" s="12">
        <v>-73308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12"/>
      <c r="R115" s="113">
        <f>SUM(E115:P115)</f>
        <v>-73308</v>
      </c>
    </row>
    <row r="116" spans="1:18">
      <c r="A116" s="70">
        <f t="shared" si="33"/>
        <v>66</v>
      </c>
      <c r="B116" t="s">
        <v>140</v>
      </c>
      <c r="D116" s="77">
        <f t="shared" si="32"/>
        <v>15933333</v>
      </c>
      <c r="E116" s="12">
        <v>2868984</v>
      </c>
      <c r="F116" s="12">
        <v>6447097</v>
      </c>
      <c r="G116" s="12">
        <v>3205749</v>
      </c>
      <c r="H116" s="12">
        <v>3411503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v>0</v>
      </c>
      <c r="Q116" s="112"/>
      <c r="R116" s="113">
        <f t="shared" si="31"/>
        <v>15933333</v>
      </c>
    </row>
    <row r="117" spans="1:18">
      <c r="A117" s="70">
        <f t="shared" si="33"/>
        <v>67</v>
      </c>
      <c r="B117" s="2" t="s">
        <v>141</v>
      </c>
      <c r="C117" s="2"/>
      <c r="D117" s="77">
        <f t="shared" si="32"/>
        <v>2694760</v>
      </c>
      <c r="E117" s="12">
        <v>1567174</v>
      </c>
      <c r="F117" s="12">
        <v>293860</v>
      </c>
      <c r="G117" s="12">
        <v>489761</v>
      </c>
      <c r="H117" s="12">
        <v>343965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12"/>
      <c r="R117" s="113">
        <f t="shared" si="31"/>
        <v>2694760</v>
      </c>
    </row>
    <row r="118" spans="1:18">
      <c r="A118" s="70">
        <f t="shared" si="33"/>
        <v>68</v>
      </c>
      <c r="B118" t="s">
        <v>142</v>
      </c>
      <c r="D118" s="77">
        <f t="shared" si="32"/>
        <v>-11682143</v>
      </c>
      <c r="E118" s="12">
        <v>-2909737</v>
      </c>
      <c r="F118" s="12">
        <v>-2249977</v>
      </c>
      <c r="G118" s="12">
        <v>-3422134</v>
      </c>
      <c r="H118" s="12">
        <v>-3100295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12"/>
      <c r="R118" s="113">
        <f t="shared" si="31"/>
        <v>-11682143</v>
      </c>
    </row>
    <row r="119" spans="1:18">
      <c r="A119" s="70">
        <f t="shared" si="33"/>
        <v>69</v>
      </c>
      <c r="B119" t="s">
        <v>143</v>
      </c>
      <c r="D119" s="77">
        <f t="shared" si="32"/>
        <v>-150519</v>
      </c>
      <c r="E119" s="12">
        <v>-2367</v>
      </c>
      <c r="F119" s="12">
        <v>-63628</v>
      </c>
      <c r="G119" s="12">
        <v>-33745</v>
      </c>
      <c r="H119" s="12">
        <v>-50779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12"/>
      <c r="R119" s="113"/>
    </row>
    <row r="120" spans="1:18">
      <c r="A120" s="70">
        <f t="shared" si="33"/>
        <v>70</v>
      </c>
      <c r="B120" t="s">
        <v>144</v>
      </c>
      <c r="D120" s="77">
        <f t="shared" si="32"/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12"/>
      <c r="R120" s="113"/>
    </row>
    <row r="121" spans="1:18">
      <c r="A121" s="70">
        <f t="shared" si="33"/>
        <v>71</v>
      </c>
      <c r="B121" t="s">
        <v>145</v>
      </c>
      <c r="D121" s="77">
        <f t="shared" si="32"/>
        <v>-7613157</v>
      </c>
      <c r="E121" s="12">
        <v>-1251637</v>
      </c>
      <c r="F121" s="12">
        <v>-4010362</v>
      </c>
      <c r="G121" s="12">
        <v>-731747</v>
      </c>
      <c r="H121" s="12">
        <v>-1619411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12"/>
      <c r="R121" s="113">
        <f t="shared" si="31"/>
        <v>-7613157</v>
      </c>
    </row>
    <row r="122" spans="1:18">
      <c r="A122" s="70">
        <f t="shared" si="33"/>
        <v>72</v>
      </c>
      <c r="B122" s="2" t="s">
        <v>146</v>
      </c>
      <c r="C122" s="2"/>
      <c r="D122" s="77">
        <f t="shared" si="32"/>
        <v>388882</v>
      </c>
      <c r="E122" s="12">
        <v>111045</v>
      </c>
      <c r="F122" s="12">
        <v>177323</v>
      </c>
      <c r="G122" s="12">
        <v>100514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12"/>
      <c r="R122" s="113">
        <f>SUM(E122:P122)</f>
        <v>388882</v>
      </c>
    </row>
    <row r="123" spans="1:18">
      <c r="A123" s="70">
        <f t="shared" si="33"/>
        <v>73</v>
      </c>
      <c r="B123" s="114" t="s">
        <v>147</v>
      </c>
      <c r="C123" s="114"/>
      <c r="D123" s="77">
        <f t="shared" si="32"/>
        <v>-388882</v>
      </c>
      <c r="E123" s="131">
        <v>-111045</v>
      </c>
      <c r="F123" s="131">
        <v>-177323</v>
      </c>
      <c r="G123" s="131">
        <v>-100514</v>
      </c>
      <c r="H123" s="131">
        <v>0</v>
      </c>
      <c r="I123" s="131">
        <v>0</v>
      </c>
      <c r="J123" s="131">
        <v>0</v>
      </c>
      <c r="K123" s="131">
        <v>0</v>
      </c>
      <c r="L123" s="131">
        <v>0</v>
      </c>
      <c r="M123" s="131">
        <v>0</v>
      </c>
      <c r="N123" s="131">
        <v>0</v>
      </c>
      <c r="O123" s="131">
        <v>0</v>
      </c>
      <c r="P123" s="131">
        <v>0</v>
      </c>
      <c r="Q123" s="112"/>
      <c r="R123" s="115">
        <f t="shared" si="31"/>
        <v>-388882</v>
      </c>
    </row>
    <row r="124" spans="1:18" ht="22.5" customHeight="1">
      <c r="A124" s="132">
        <f>+A123+1</f>
        <v>74</v>
      </c>
      <c r="B124" s="128" t="s">
        <v>148</v>
      </c>
      <c r="C124" s="128"/>
      <c r="D124" s="85">
        <f>SUM(E124:P124)</f>
        <v>-1093238</v>
      </c>
      <c r="E124" s="133">
        <f>SUM(E112:E123)</f>
        <v>432797</v>
      </c>
      <c r="F124" s="133">
        <f t="shared" ref="F124:P124" si="34">SUM(F112:F123)</f>
        <v>-525089</v>
      </c>
      <c r="G124" s="133">
        <f t="shared" si="34"/>
        <v>-525156</v>
      </c>
      <c r="H124" s="133">
        <f t="shared" si="34"/>
        <v>-475790</v>
      </c>
      <c r="I124" s="133">
        <f t="shared" si="34"/>
        <v>0</v>
      </c>
      <c r="J124" s="133">
        <f t="shared" si="34"/>
        <v>0</v>
      </c>
      <c r="K124" s="133">
        <f t="shared" si="34"/>
        <v>0</v>
      </c>
      <c r="L124" s="133">
        <f t="shared" si="34"/>
        <v>0</v>
      </c>
      <c r="M124" s="133">
        <f t="shared" si="34"/>
        <v>0</v>
      </c>
      <c r="N124" s="133">
        <f t="shared" si="34"/>
        <v>0</v>
      </c>
      <c r="O124" s="133">
        <f t="shared" si="34"/>
        <v>0</v>
      </c>
      <c r="P124" s="133">
        <f t="shared" si="34"/>
        <v>0</v>
      </c>
      <c r="Q124" s="112"/>
      <c r="R124" s="134">
        <f>SUM(R112:R123)</f>
        <v>-942719</v>
      </c>
    </row>
    <row r="125" spans="1:18" ht="9" customHeight="1">
      <c r="A125" s="70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12"/>
      <c r="R125" s="113"/>
    </row>
    <row r="126" spans="1:18" ht="9" customHeight="1">
      <c r="A126" s="70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12"/>
      <c r="R126" s="113"/>
    </row>
    <row r="127" spans="1:18">
      <c r="A127" s="70">
        <f>A124+1</f>
        <v>75</v>
      </c>
      <c r="B127" s="4" t="s">
        <v>149</v>
      </c>
      <c r="C127" s="4"/>
      <c r="D127" s="135">
        <f>SUM(E127:P127)</f>
        <v>1189</v>
      </c>
      <c r="E127" s="35">
        <v>0</v>
      </c>
      <c r="F127" s="35">
        <v>0</v>
      </c>
      <c r="G127" s="35">
        <v>1189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112"/>
      <c r="R127" s="113">
        <f>SUM(E127:P127)</f>
        <v>1189</v>
      </c>
    </row>
    <row r="128" spans="1:18" ht="18.75" customHeight="1">
      <c r="A128" s="132">
        <f>A127+1</f>
        <v>76</v>
      </c>
      <c r="B128" s="128" t="s">
        <v>150</v>
      </c>
      <c r="C128" s="128"/>
      <c r="D128" s="101">
        <f>SUM(E128:P128)</f>
        <v>1189</v>
      </c>
      <c r="E128" s="58">
        <f t="shared" ref="E128:P128" si="35">IF(E24=0," ",E127)</f>
        <v>0</v>
      </c>
      <c r="F128" s="58">
        <f t="shared" si="35"/>
        <v>0</v>
      </c>
      <c r="G128" s="58">
        <f t="shared" si="35"/>
        <v>1189</v>
      </c>
      <c r="H128" s="58">
        <f t="shared" si="35"/>
        <v>0</v>
      </c>
      <c r="I128" s="58" t="str">
        <f t="shared" si="35"/>
        <v xml:space="preserve"> </v>
      </c>
      <c r="J128" s="58" t="str">
        <f t="shared" si="35"/>
        <v xml:space="preserve"> </v>
      </c>
      <c r="K128" s="58" t="str">
        <f t="shared" si="35"/>
        <v xml:space="preserve"> </v>
      </c>
      <c r="L128" s="58" t="str">
        <f t="shared" si="35"/>
        <v xml:space="preserve"> </v>
      </c>
      <c r="M128" s="58" t="str">
        <f t="shared" si="35"/>
        <v xml:space="preserve"> </v>
      </c>
      <c r="N128" s="58" t="str">
        <f t="shared" si="35"/>
        <v xml:space="preserve"> </v>
      </c>
      <c r="O128" s="58" t="str">
        <f t="shared" si="35"/>
        <v xml:space="preserve"> </v>
      </c>
      <c r="P128" s="58" t="str">
        <f t="shared" si="35"/>
        <v xml:space="preserve"> </v>
      </c>
      <c r="Q128" s="112"/>
      <c r="R128" s="113">
        <f>SUM(E128:P128)</f>
        <v>1189</v>
      </c>
    </row>
    <row r="129" spans="1:19" ht="9" customHeight="1">
      <c r="A129" s="70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12"/>
      <c r="R129" s="113"/>
    </row>
    <row r="130" spans="1:19" ht="9" customHeight="1">
      <c r="A130" s="70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12"/>
      <c r="R130" s="113"/>
    </row>
    <row r="131" spans="1:19">
      <c r="A131" s="70">
        <f>A128+1</f>
        <v>77</v>
      </c>
      <c r="B131" s="122" t="s">
        <v>151</v>
      </c>
      <c r="C131" s="122"/>
      <c r="D131" s="35">
        <f>SUM(E131:P131)</f>
        <v>0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112"/>
      <c r="R131" s="113">
        <f>SUM(E131:P131)</f>
        <v>0</v>
      </c>
      <c r="S131" s="136" t="s">
        <v>63</v>
      </c>
    </row>
    <row r="132" spans="1:19">
      <c r="A132" s="129">
        <f>A131+1</f>
        <v>78</v>
      </c>
      <c r="B132" s="137" t="s">
        <v>152</v>
      </c>
      <c r="C132" s="137"/>
      <c r="D132" s="101">
        <f>SUM(E132:P132)</f>
        <v>199</v>
      </c>
      <c r="E132" s="101">
        <v>14</v>
      </c>
      <c r="F132" s="101">
        <v>41</v>
      </c>
      <c r="G132" s="101">
        <v>51</v>
      </c>
      <c r="H132" s="101">
        <v>93</v>
      </c>
      <c r="I132" s="101">
        <v>0</v>
      </c>
      <c r="J132" s="101">
        <v>0</v>
      </c>
      <c r="K132" s="101">
        <v>0</v>
      </c>
      <c r="L132" s="101">
        <v>0</v>
      </c>
      <c r="M132" s="101">
        <v>0</v>
      </c>
      <c r="N132" s="101">
        <v>0</v>
      </c>
      <c r="O132" s="101">
        <v>0</v>
      </c>
      <c r="P132" s="101">
        <v>0</v>
      </c>
      <c r="Q132" s="112"/>
      <c r="R132" s="115">
        <f>SUM(E132:P132)</f>
        <v>199</v>
      </c>
    </row>
    <row r="133" spans="1:19" ht="17.25" customHeight="1">
      <c r="A133" s="70">
        <f>A132+1</f>
        <v>79</v>
      </c>
      <c r="B133" s="62" t="s">
        <v>153</v>
      </c>
      <c r="C133" s="62"/>
      <c r="D133" s="103">
        <f>SUM(E133:P133)</f>
        <v>199</v>
      </c>
      <c r="E133" s="103">
        <f>E132-E131</f>
        <v>14</v>
      </c>
      <c r="F133" s="103">
        <f t="shared" ref="F133:P133" si="36">F132-F131</f>
        <v>41</v>
      </c>
      <c r="G133" s="103">
        <f t="shared" si="36"/>
        <v>51</v>
      </c>
      <c r="H133" s="103">
        <f t="shared" si="36"/>
        <v>93</v>
      </c>
      <c r="I133" s="103">
        <f t="shared" si="36"/>
        <v>0</v>
      </c>
      <c r="J133" s="103">
        <f t="shared" si="36"/>
        <v>0</v>
      </c>
      <c r="K133" s="103">
        <f t="shared" si="36"/>
        <v>0</v>
      </c>
      <c r="L133" s="103">
        <f t="shared" si="36"/>
        <v>0</v>
      </c>
      <c r="M133" s="103">
        <f t="shared" si="36"/>
        <v>0</v>
      </c>
      <c r="N133" s="103">
        <f t="shared" si="36"/>
        <v>0</v>
      </c>
      <c r="O133" s="103">
        <f t="shared" si="36"/>
        <v>0</v>
      </c>
      <c r="P133" s="103">
        <f t="shared" si="36"/>
        <v>0</v>
      </c>
      <c r="Q133" s="112"/>
      <c r="R133" s="113">
        <f>SUM(E133:P133)</f>
        <v>199</v>
      </c>
    </row>
    <row r="134" spans="1:19" ht="17.25" customHeight="1">
      <c r="A134" s="70"/>
      <c r="B134" s="62"/>
      <c r="C134" s="62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12"/>
      <c r="R134" s="113"/>
    </row>
    <row r="135" spans="1:19">
      <c r="A135" s="70">
        <f>A133+1</f>
        <v>80</v>
      </c>
      <c r="B135" s="122" t="s">
        <v>154</v>
      </c>
      <c r="C135" s="122"/>
      <c r="D135" s="35">
        <f>SUM(E135:P135)</f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112"/>
      <c r="R135" s="113">
        <f>SUM(E135:P135)</f>
        <v>0</v>
      </c>
      <c r="S135" s="136" t="s">
        <v>63</v>
      </c>
    </row>
    <row r="136" spans="1:19">
      <c r="A136" s="70">
        <f>A135+1</f>
        <v>81</v>
      </c>
      <c r="B136" s="122" t="s">
        <v>155</v>
      </c>
      <c r="C136" s="122"/>
      <c r="D136" s="35">
        <f>SUM(E136:P136)</f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112"/>
      <c r="R136" s="113"/>
      <c r="S136" s="136"/>
    </row>
    <row r="137" spans="1:19">
      <c r="A137" s="129">
        <f>A136+1</f>
        <v>82</v>
      </c>
      <c r="B137" s="127" t="s">
        <v>156</v>
      </c>
      <c r="C137" s="137"/>
      <c r="D137" s="101">
        <f>SUM(E137:P137)</f>
        <v>0</v>
      </c>
      <c r="E137" s="101">
        <v>0</v>
      </c>
      <c r="F137" s="101">
        <v>0</v>
      </c>
      <c r="G137" s="101">
        <v>0</v>
      </c>
      <c r="H137" s="101">
        <v>0</v>
      </c>
      <c r="I137" s="101">
        <v>0</v>
      </c>
      <c r="J137" s="101">
        <v>0</v>
      </c>
      <c r="K137" s="101">
        <v>0</v>
      </c>
      <c r="L137" s="101">
        <v>0</v>
      </c>
      <c r="M137" s="101">
        <v>0</v>
      </c>
      <c r="N137" s="101">
        <v>0</v>
      </c>
      <c r="O137" s="101">
        <v>0</v>
      </c>
      <c r="P137" s="101">
        <v>0</v>
      </c>
      <c r="Q137" s="112"/>
      <c r="R137" s="115">
        <f>SUM(E137:P137)</f>
        <v>0</v>
      </c>
    </row>
    <row r="138" spans="1:19" ht="17.25" customHeight="1">
      <c r="A138" s="70">
        <f>A137+1</f>
        <v>83</v>
      </c>
      <c r="B138" s="62" t="s">
        <v>157</v>
      </c>
      <c r="C138" s="62"/>
      <c r="D138" s="103">
        <f>E138+F138+G138+H138+I138+J138+K138</f>
        <v>0</v>
      </c>
      <c r="E138" s="103">
        <f>E135+E136+E137</f>
        <v>0</v>
      </c>
      <c r="F138" s="103">
        <f t="shared" ref="F138:P138" si="37">F135+F136+F137</f>
        <v>0</v>
      </c>
      <c r="G138" s="103">
        <f t="shared" si="37"/>
        <v>0</v>
      </c>
      <c r="H138" s="103">
        <f t="shared" si="37"/>
        <v>0</v>
      </c>
      <c r="I138" s="103">
        <f t="shared" si="37"/>
        <v>0</v>
      </c>
      <c r="J138" s="103">
        <f t="shared" si="37"/>
        <v>0</v>
      </c>
      <c r="K138" s="103">
        <f t="shared" si="37"/>
        <v>0</v>
      </c>
      <c r="L138" s="103">
        <f t="shared" si="37"/>
        <v>0</v>
      </c>
      <c r="M138" s="103">
        <f t="shared" si="37"/>
        <v>0</v>
      </c>
      <c r="N138" s="103">
        <f t="shared" si="37"/>
        <v>0</v>
      </c>
      <c r="O138" s="103">
        <f t="shared" si="37"/>
        <v>0</v>
      </c>
      <c r="P138" s="103">
        <f t="shared" si="37"/>
        <v>0</v>
      </c>
      <c r="Q138" s="103">
        <f>Q135+Q136+Q137</f>
        <v>0</v>
      </c>
      <c r="R138" s="103">
        <f>R135+R136+R137</f>
        <v>0</v>
      </c>
    </row>
    <row r="139" spans="1:19" ht="7.5" customHeight="1">
      <c r="A139" s="70"/>
      <c r="B139" s="138"/>
      <c r="C139" s="138"/>
      <c r="D139" s="139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112"/>
      <c r="R139" s="113"/>
    </row>
    <row r="140" spans="1:19" ht="23.25" customHeight="1">
      <c r="A140" s="97">
        <f>A138+1</f>
        <v>84</v>
      </c>
      <c r="B140" s="84" t="s">
        <v>158</v>
      </c>
      <c r="C140" s="84"/>
      <c r="D140" s="85">
        <f>SUM(E140:P140)</f>
        <v>-1091850</v>
      </c>
      <c r="E140" s="58">
        <f t="shared" ref="E140:P140" si="38">IF(E24=0," ",E124+E128+E133)</f>
        <v>432811</v>
      </c>
      <c r="F140" s="58">
        <f t="shared" si="38"/>
        <v>-525048</v>
      </c>
      <c r="G140" s="58">
        <f t="shared" si="38"/>
        <v>-523916</v>
      </c>
      <c r="H140" s="58">
        <f t="shared" si="38"/>
        <v>-475697</v>
      </c>
      <c r="I140" s="58" t="str">
        <f t="shared" si="38"/>
        <v xml:space="preserve"> </v>
      </c>
      <c r="J140" s="58" t="str">
        <f t="shared" si="38"/>
        <v xml:space="preserve"> </v>
      </c>
      <c r="K140" s="58" t="str">
        <f t="shared" si="38"/>
        <v xml:space="preserve"> </v>
      </c>
      <c r="L140" s="58" t="str">
        <f t="shared" si="38"/>
        <v xml:space="preserve"> </v>
      </c>
      <c r="M140" s="58" t="str">
        <f t="shared" si="38"/>
        <v xml:space="preserve"> </v>
      </c>
      <c r="N140" s="58" t="str">
        <f t="shared" si="38"/>
        <v xml:space="preserve"> </v>
      </c>
      <c r="O140" s="58" t="str">
        <f t="shared" si="38"/>
        <v xml:space="preserve"> </v>
      </c>
      <c r="P140" s="58" t="str">
        <f t="shared" si="38"/>
        <v xml:space="preserve"> </v>
      </c>
      <c r="Q140" s="112"/>
      <c r="R140" s="113">
        <f>SUM(F140:Q140)</f>
        <v>-1524661</v>
      </c>
    </row>
    <row r="141" spans="1:19" ht="9.75" customHeight="1">
      <c r="B141" s="2"/>
      <c r="C141" s="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12"/>
      <c r="R141" s="113"/>
    </row>
    <row r="142" spans="1:19" s="89" customFormat="1" ht="25.5" customHeight="1" thickBot="1">
      <c r="A142" s="140">
        <f>A140+1</f>
        <v>85</v>
      </c>
      <c r="B142" s="141" t="s">
        <v>13</v>
      </c>
      <c r="C142" s="141"/>
      <c r="D142" s="142">
        <f>SUM(E142:P142)</f>
        <v>54107733.232799999</v>
      </c>
      <c r="E142" s="143">
        <f t="shared" ref="E142:P142" si="39">IF(E24=0," ",E84+E96+E102+E109+E140+E138)</f>
        <v>14703767.874600001</v>
      </c>
      <c r="F142" s="143">
        <f t="shared" si="39"/>
        <v>12190695.897</v>
      </c>
      <c r="G142" s="143">
        <f t="shared" si="39"/>
        <v>14547518.0331</v>
      </c>
      <c r="H142" s="143">
        <f t="shared" si="39"/>
        <v>12665751.428099999</v>
      </c>
      <c r="I142" s="143" t="str">
        <f t="shared" si="39"/>
        <v xml:space="preserve"> </v>
      </c>
      <c r="J142" s="143" t="str">
        <f t="shared" si="39"/>
        <v xml:space="preserve"> </v>
      </c>
      <c r="K142" s="143" t="str">
        <f t="shared" si="39"/>
        <v xml:space="preserve"> </v>
      </c>
      <c r="L142" s="143" t="str">
        <f t="shared" si="39"/>
        <v xml:space="preserve"> </v>
      </c>
      <c r="M142" s="143" t="str">
        <f t="shared" si="39"/>
        <v xml:space="preserve"> </v>
      </c>
      <c r="N142" s="143" t="str">
        <f t="shared" si="39"/>
        <v xml:space="preserve"> </v>
      </c>
      <c r="O142" s="143" t="str">
        <f t="shared" si="39"/>
        <v xml:space="preserve"> </v>
      </c>
      <c r="P142" s="143" t="str">
        <f t="shared" si="39"/>
        <v xml:space="preserve"> </v>
      </c>
      <c r="Q142" s="116"/>
      <c r="R142" s="144"/>
    </row>
    <row r="143" spans="1:19" ht="13.15" thickTop="1"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1:19">
      <c r="Q144" s="25"/>
    </row>
    <row r="145" spans="5:17"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5:17"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5:17"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5:17"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5:17"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</row>
    <row r="150" spans="5:17"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5:17"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5:17"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5:17"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5:17"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5:17"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5:17"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5:17"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5:17"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5:17"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5:17"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5:17"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5:17"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5:17"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5:17"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5:17"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5:17"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5:17"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5:17"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</row>
    <row r="169" spans="5:17"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</row>
    <row r="170" spans="5:17"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5:17"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5:17"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5:17"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5:17"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</row>
    <row r="175" spans="5:17"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</row>
    <row r="176" spans="5:17"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</row>
    <row r="177" spans="5:17"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</row>
    <row r="178" spans="5:17"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</row>
    <row r="179" spans="5:17"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</row>
    <row r="180" spans="5:17"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</row>
    <row r="181" spans="5:17"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</row>
    <row r="182" spans="5:17"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</row>
    <row r="183" spans="5:17"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</row>
    <row r="184" spans="5:17"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</row>
    <row r="185" spans="5:17"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</row>
    <row r="186" spans="5:17"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</row>
    <row r="187" spans="5:17"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</row>
    <row r="188" spans="5:17"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</row>
    <row r="189" spans="5:17"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</row>
    <row r="190" spans="5:17"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</row>
    <row r="191" spans="5:17"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</row>
    <row r="192" spans="5:17"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</row>
    <row r="193" spans="5:17"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</row>
    <row r="194" spans="5:17"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</row>
    <row r="195" spans="5:17"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</row>
    <row r="196" spans="5:17"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</row>
    <row r="197" spans="5:17"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</row>
    <row r="198" spans="5:17"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</row>
    <row r="199" spans="5:17"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</row>
    <row r="200" spans="5:17"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</row>
    <row r="201" spans="5:17"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</row>
    <row r="202" spans="5:17"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</row>
    <row r="203" spans="5:17"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</row>
    <row r="204" spans="5:17"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</row>
    <row r="205" spans="5:17"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</row>
    <row r="206" spans="5:17"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</row>
    <row r="207" spans="5:17"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</row>
    <row r="208" spans="5:17"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</row>
    <row r="209" spans="5:17"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</row>
    <row r="210" spans="5:17"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</row>
    <row r="211" spans="5:17"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</row>
    <row r="212" spans="5:17"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</row>
    <row r="213" spans="5:17"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</row>
    <row r="214" spans="5:17"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</row>
    <row r="215" spans="5:17"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</row>
    <row r="216" spans="5:17"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</row>
    <row r="217" spans="5:17"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</row>
    <row r="218" spans="5:17"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</row>
    <row r="219" spans="5:17"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</row>
    <row r="220" spans="5:17"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</row>
    <row r="221" spans="5:17"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</row>
    <row r="222" spans="5:17"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</row>
    <row r="223" spans="5:17"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</row>
    <row r="224" spans="5:17"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</row>
    <row r="225" spans="5:17"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</row>
    <row r="226" spans="5:17"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</row>
    <row r="227" spans="5:17"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</row>
    <row r="228" spans="5:17"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</row>
    <row r="229" spans="5:17"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</row>
    <row r="230" spans="5:17"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</row>
    <row r="231" spans="5:17"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</row>
    <row r="232" spans="5:17"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</row>
    <row r="233" spans="5:17"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</row>
    <row r="234" spans="5:17"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</row>
    <row r="235" spans="5:17"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</row>
    <row r="236" spans="5:17"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</row>
    <row r="237" spans="5:17"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</row>
    <row r="238" spans="5:17"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</row>
    <row r="239" spans="5:17"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</row>
    <row r="240" spans="5:17"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</row>
    <row r="241" spans="5:17"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</row>
    <row r="242" spans="5:17"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</row>
    <row r="243" spans="5:17"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</row>
    <row r="244" spans="5:17"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</row>
    <row r="245" spans="5:17"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</row>
    <row r="246" spans="5:17"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</row>
    <row r="247" spans="5:17"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</row>
    <row r="248" spans="5:17"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</row>
    <row r="249" spans="5:17"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</row>
    <row r="250" spans="5:17"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</row>
    <row r="251" spans="5:17"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</row>
    <row r="252" spans="5:17"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</row>
    <row r="253" spans="5:17"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</row>
    <row r="254" spans="5:17"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</row>
    <row r="255" spans="5:17"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</row>
    <row r="256" spans="5:17"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</row>
    <row r="257" spans="6:17"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</row>
    <row r="258" spans="6:17"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</row>
    <row r="259" spans="6:17"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</row>
    <row r="260" spans="6:17"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</row>
    <row r="261" spans="6:17"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</row>
    <row r="262" spans="6:17"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</row>
    <row r="263" spans="6:17"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</row>
    <row r="264" spans="6:17"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</row>
    <row r="265" spans="6:17"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</row>
    <row r="266" spans="6:17"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</row>
    <row r="267" spans="6:17"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</row>
    <row r="268" spans="6:17"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</row>
    <row r="269" spans="6:17"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</row>
    <row r="270" spans="6:17"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</row>
    <row r="271" spans="6:17"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</row>
    <row r="272" spans="6:17"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</row>
    <row r="273" spans="6:17"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</row>
    <row r="274" spans="6:17"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</row>
    <row r="275" spans="6:17"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</row>
    <row r="276" spans="6:17"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</row>
    <row r="277" spans="6:17"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</row>
    <row r="278" spans="6:17"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</row>
    <row r="279" spans="6:17"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</row>
    <row r="280" spans="6:17"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</row>
    <row r="281" spans="6:17"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</row>
    <row r="282" spans="6:17"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</row>
    <row r="283" spans="6:17"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</row>
    <row r="284" spans="6:17"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</row>
    <row r="285" spans="6:17"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</row>
    <row r="286" spans="6:17"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</row>
    <row r="287" spans="6:17"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</row>
    <row r="288" spans="6:17"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</row>
    <row r="289" spans="6:17"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</row>
    <row r="290" spans="6:17"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</row>
    <row r="291" spans="6:17"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</row>
    <row r="292" spans="6:17"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</row>
    <row r="293" spans="6:17"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</row>
    <row r="294" spans="6:17"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</row>
    <row r="295" spans="6:17"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</row>
    <row r="296" spans="6:17"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</row>
    <row r="297" spans="6:17"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</row>
    <row r="298" spans="6:17"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</row>
    <row r="299" spans="6:17"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</row>
    <row r="300" spans="6:17"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</row>
    <row r="301" spans="6:17"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</row>
    <row r="302" spans="6:17"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</row>
    <row r="303" spans="6:17"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</row>
    <row r="304" spans="6:17"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</row>
    <row r="305" spans="6:17"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</row>
    <row r="306" spans="6:17"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</row>
    <row r="307" spans="6:17"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</row>
    <row r="308" spans="6:17"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</row>
    <row r="309" spans="6:17"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</row>
    <row r="310" spans="6:17"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</row>
    <row r="311" spans="6:17"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</row>
    <row r="312" spans="6:17"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</row>
    <row r="313" spans="6:17"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</row>
    <row r="314" spans="6:17"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</row>
    <row r="315" spans="6:17"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</row>
    <row r="316" spans="6:17"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</row>
    <row r="317" spans="6:17"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</row>
    <row r="318" spans="6:17"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</row>
    <row r="319" spans="6:17"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</row>
    <row r="320" spans="6:17"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</row>
    <row r="321" spans="6:17"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</row>
    <row r="322" spans="6:17"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</row>
    <row r="323" spans="6:17"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</row>
    <row r="324" spans="6:17"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</row>
    <row r="325" spans="6:17"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</row>
    <row r="326" spans="6:17"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</row>
    <row r="327" spans="6:17"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</row>
    <row r="328" spans="6:17"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</row>
    <row r="329" spans="6:17"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</row>
    <row r="330" spans="6:17"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</row>
    <row r="331" spans="6:17"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</row>
    <row r="332" spans="6:17"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</row>
    <row r="333" spans="6:17"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</row>
    <row r="334" spans="6:17"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</row>
    <row r="335" spans="6:17"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</row>
    <row r="336" spans="6:17"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</row>
    <row r="337" spans="6:17"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</row>
    <row r="338" spans="6:17"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</row>
    <row r="339" spans="6:17"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</row>
    <row r="340" spans="6:17"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</row>
    <row r="341" spans="6:17"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</row>
    <row r="342" spans="6:17"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</row>
    <row r="343" spans="6:17"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</row>
    <row r="344" spans="6:17"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</row>
    <row r="345" spans="6:17"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</row>
    <row r="346" spans="6:17"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</row>
    <row r="347" spans="6:17"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</row>
    <row r="348" spans="6:17"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</row>
    <row r="349" spans="6:17"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</row>
    <row r="350" spans="6:17"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</row>
    <row r="351" spans="6:17"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</row>
    <row r="352" spans="6:17"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</row>
    <row r="353" spans="6:17"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</row>
    <row r="354" spans="6:17"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</row>
    <row r="355" spans="6:17"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</row>
    <row r="356" spans="6:17"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</row>
    <row r="357" spans="6:17"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</row>
    <row r="358" spans="6:17"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</row>
    <row r="359" spans="6:17"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</row>
    <row r="360" spans="6:17"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</row>
    <row r="361" spans="6:17"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</row>
    <row r="362" spans="6:17"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</row>
    <row r="363" spans="6:17"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</row>
    <row r="364" spans="6:17"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</row>
    <row r="365" spans="6:17"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</row>
    <row r="366" spans="6:17"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</row>
    <row r="367" spans="6:17"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</row>
    <row r="368" spans="6:17"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</row>
    <row r="369" spans="6:17"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</row>
    <row r="370" spans="6:17"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</row>
    <row r="371" spans="6:17"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</row>
    <row r="372" spans="6:17"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</row>
    <row r="373" spans="6:17"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</row>
    <row r="374" spans="6:17"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</row>
    <row r="375" spans="6:17"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</row>
    <row r="376" spans="6:17"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</row>
    <row r="377" spans="6:17"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</row>
    <row r="378" spans="6:17"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</row>
    <row r="379" spans="6:17"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</row>
    <row r="380" spans="6:17"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</row>
    <row r="381" spans="6:17"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</row>
    <row r="382" spans="6:17"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</row>
    <row r="383" spans="6:17"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</row>
    <row r="384" spans="6:17"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</row>
    <row r="385" spans="6:17"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</row>
    <row r="386" spans="6:17"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</row>
    <row r="387" spans="6:17"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</row>
    <row r="388" spans="6:17"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</row>
    <row r="389" spans="6:17"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</row>
    <row r="390" spans="6:17"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</row>
    <row r="391" spans="6:17"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</row>
    <row r="392" spans="6:17"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</row>
    <row r="393" spans="6:17"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</row>
    <row r="394" spans="6:17"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</row>
    <row r="395" spans="6:17"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</row>
    <row r="396" spans="6:17"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</row>
    <row r="397" spans="6:17"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</row>
    <row r="398" spans="6:17"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</row>
    <row r="399" spans="6:17"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</row>
    <row r="400" spans="6:17"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</row>
    <row r="401" spans="6:17"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</row>
    <row r="402" spans="6:17"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</row>
    <row r="403" spans="6:17"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</row>
    <row r="404" spans="6:17"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</row>
    <row r="405" spans="6:17"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</row>
    <row r="406" spans="6:17"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</row>
    <row r="407" spans="6:17"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</row>
    <row r="408" spans="6:17"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</row>
    <row r="409" spans="6:17"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</row>
    <row r="410" spans="6:17"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</row>
    <row r="411" spans="6:17"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</row>
    <row r="412" spans="6:17"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</row>
    <row r="413" spans="6:17"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</row>
    <row r="414" spans="6:17"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</row>
    <row r="415" spans="6:17"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</row>
    <row r="416" spans="6:17"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</row>
    <row r="417" spans="6:17"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</row>
    <row r="418" spans="6:17"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</row>
    <row r="419" spans="6:17"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</row>
    <row r="420" spans="6:17"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</row>
    <row r="421" spans="6:17"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</row>
    <row r="422" spans="6:17"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</row>
    <row r="423" spans="6:17"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</row>
    <row r="424" spans="6:17"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</row>
    <row r="425" spans="6:17"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</row>
    <row r="426" spans="6:17"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</row>
    <row r="427" spans="6:17"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</row>
    <row r="428" spans="6:17"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</row>
    <row r="429" spans="6:17"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</row>
    <row r="430" spans="6:17"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</row>
    <row r="431" spans="6:17"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</row>
    <row r="432" spans="6:17"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</row>
    <row r="433" spans="6:17"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</row>
    <row r="434" spans="6:17"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</row>
    <row r="435" spans="6:17"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</row>
    <row r="436" spans="6:17"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</row>
    <row r="437" spans="6:17"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</row>
    <row r="438" spans="6:17"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</row>
    <row r="439" spans="6:17"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</row>
    <row r="440" spans="6:17"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</row>
    <row r="441" spans="6:17"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</row>
    <row r="442" spans="6:17"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</row>
    <row r="443" spans="6:17"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</row>
    <row r="444" spans="6:17"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</row>
    <row r="445" spans="6:17"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</row>
    <row r="446" spans="6:17"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</row>
    <row r="447" spans="6:17"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</row>
    <row r="448" spans="6:17"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</row>
    <row r="449" spans="6:17"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</row>
    <row r="450" spans="6:17"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</row>
    <row r="451" spans="6:17"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</row>
    <row r="452" spans="6:17"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</row>
    <row r="453" spans="6:17"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</row>
    <row r="454" spans="6:17"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</row>
    <row r="455" spans="6:17"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</row>
    <row r="456" spans="6:17"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</row>
    <row r="457" spans="6:17"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</row>
    <row r="458" spans="6:17"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</row>
    <row r="459" spans="6:17"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</row>
    <row r="460" spans="6:17"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</row>
    <row r="461" spans="6:17"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</row>
    <row r="462" spans="6:17"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</row>
    <row r="463" spans="6:17"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</row>
    <row r="464" spans="6:17"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</row>
    <row r="465" spans="6:17"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</row>
    <row r="466" spans="6:17"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</row>
    <row r="467" spans="6:17"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</row>
    <row r="468" spans="6:17"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</row>
    <row r="469" spans="6:17"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</row>
    <row r="470" spans="6:17"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</row>
    <row r="471" spans="6:17"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</row>
    <row r="472" spans="6:17"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</row>
    <row r="473" spans="6:17"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</row>
    <row r="474" spans="6:17"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</row>
    <row r="475" spans="6:17"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</row>
    <row r="476" spans="6:17"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</row>
    <row r="477" spans="6:17"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</row>
    <row r="478" spans="6:17"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</row>
    <row r="479" spans="6:17"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</row>
    <row r="480" spans="6:17"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</row>
    <row r="481" spans="6:17"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</row>
    <row r="482" spans="6:17"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</row>
    <row r="483" spans="6:17"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</row>
    <row r="484" spans="6:17"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</row>
    <row r="485" spans="6:17"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</row>
    <row r="486" spans="6:17"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</row>
    <row r="487" spans="6:17"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</row>
    <row r="488" spans="6:17"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</row>
    <row r="489" spans="6:17"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</row>
    <row r="490" spans="6:17"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</row>
    <row r="491" spans="6:17"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</row>
    <row r="492" spans="6:17"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</row>
    <row r="493" spans="6:17"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</row>
    <row r="494" spans="6:17"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</row>
    <row r="495" spans="6:17"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</row>
    <row r="496" spans="6:17"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</row>
    <row r="497" spans="6:17"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</row>
    <row r="498" spans="6:17"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</row>
    <row r="499" spans="6:17"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</row>
    <row r="500" spans="6:17"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</row>
    <row r="501" spans="6:17"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5F842-8D26-478F-BAA7-DA62F8C8A325}">
  <sheetPr>
    <pageSetUpPr fitToPage="1"/>
  </sheetPr>
  <dimension ref="A1:Q32"/>
  <sheetViews>
    <sheetView zoomScale="80" zoomScaleNormal="80" workbookViewId="0">
      <selection sqref="A1:XFD1048576"/>
    </sheetView>
  </sheetViews>
  <sheetFormatPr defaultColWidth="7.73046875" defaultRowHeight="15"/>
  <cols>
    <col min="1" max="1" width="32.3984375" style="145" customWidth="1"/>
    <col min="2" max="2" width="15.73046875" style="145" bestFit="1" customWidth="1"/>
    <col min="3" max="3" width="15.86328125" style="145" bestFit="1" customWidth="1"/>
    <col min="4" max="4" width="15.1328125" style="145" bestFit="1" customWidth="1"/>
    <col min="5" max="5" width="16.3984375" style="145" bestFit="1" customWidth="1"/>
    <col min="6" max="6" width="16.59765625" style="145" bestFit="1" customWidth="1"/>
    <col min="7" max="7" width="15" style="145" bestFit="1" customWidth="1"/>
    <col min="8" max="8" width="15.1328125" style="145" bestFit="1" customWidth="1"/>
    <col min="9" max="9" width="16.3984375" style="145" bestFit="1" customWidth="1"/>
    <col min="10" max="10" width="15" style="145" bestFit="1" customWidth="1"/>
    <col min="11" max="11" width="15.1328125" style="145" bestFit="1" customWidth="1"/>
    <col min="12" max="12" width="15.59765625" style="145" customWidth="1"/>
    <col min="13" max="13" width="15" style="145" bestFit="1" customWidth="1"/>
    <col min="14" max="14" width="17" style="145" bestFit="1" customWidth="1"/>
    <col min="15" max="15" width="7.73046875" style="145"/>
    <col min="16" max="16" width="23" style="145" bestFit="1" customWidth="1"/>
    <col min="17" max="17" width="10.86328125" style="145" bestFit="1" customWidth="1"/>
    <col min="18" max="16384" width="7.73046875" style="145"/>
  </cols>
  <sheetData>
    <row r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20.65">
      <c r="A2" s="146" t="s">
        <v>159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7" ht="22.5">
      <c r="A3" s="147" t="s">
        <v>160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1:17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</row>
    <row r="7" spans="1:17" ht="27" customHeight="1">
      <c r="A7" s="149" t="s">
        <v>161</v>
      </c>
      <c r="B7" s="150">
        <v>44227</v>
      </c>
      <c r="C7" s="150">
        <f>EOMONTH(B7,1)</f>
        <v>44255</v>
      </c>
      <c r="D7" s="150">
        <f t="shared" ref="D7:M7" si="0">EOMONTH(C7,1)</f>
        <v>44286</v>
      </c>
      <c r="E7" s="150">
        <f t="shared" si="0"/>
        <v>44316</v>
      </c>
      <c r="F7" s="150">
        <f t="shared" si="0"/>
        <v>44347</v>
      </c>
      <c r="G7" s="150">
        <f t="shared" si="0"/>
        <v>44377</v>
      </c>
      <c r="H7" s="150">
        <f t="shared" si="0"/>
        <v>44408</v>
      </c>
      <c r="I7" s="150">
        <f t="shared" si="0"/>
        <v>44439</v>
      </c>
      <c r="J7" s="150">
        <f t="shared" si="0"/>
        <v>44469</v>
      </c>
      <c r="K7" s="150">
        <f t="shared" si="0"/>
        <v>44500</v>
      </c>
      <c r="L7" s="150">
        <f t="shared" si="0"/>
        <v>44530</v>
      </c>
      <c r="M7" s="150">
        <f t="shared" si="0"/>
        <v>44561</v>
      </c>
      <c r="N7" s="151" t="s">
        <v>162</v>
      </c>
    </row>
    <row r="8" spans="1:17" ht="24.95" customHeight="1">
      <c r="A8" s="152" t="s">
        <v>163</v>
      </c>
      <c r="B8" s="153">
        <f>'[1]Input Tab'!C54</f>
        <v>523729</v>
      </c>
      <c r="C8" s="153">
        <f>'[1]Input Tab'!D54</f>
        <v>501047</v>
      </c>
      <c r="D8" s="153">
        <f>'[1]Input Tab'!E54</f>
        <v>536506</v>
      </c>
      <c r="E8" s="153">
        <f>'[1]Input Tab'!F54</f>
        <v>441255</v>
      </c>
      <c r="F8" s="153">
        <f>'[1]Input Tab'!G54</f>
        <v>0</v>
      </c>
      <c r="G8" s="153">
        <f>'[1]Input Tab'!H54</f>
        <v>0</v>
      </c>
      <c r="H8" s="153">
        <f>'[1]Input Tab'!I54</f>
        <v>0</v>
      </c>
      <c r="I8" s="153">
        <f>'[1]Input Tab'!J54</f>
        <v>0</v>
      </c>
      <c r="J8" s="153">
        <f>'[1]Input Tab'!K54</f>
        <v>0</v>
      </c>
      <c r="K8" s="153">
        <f>'[1]Input Tab'!L54</f>
        <v>0</v>
      </c>
      <c r="L8" s="153">
        <f>'[1]Input Tab'!M54</f>
        <v>0</v>
      </c>
      <c r="M8" s="153">
        <f>'[1]Input Tab'!N54</f>
        <v>0</v>
      </c>
      <c r="N8" s="154">
        <f t="shared" ref="N8:N13" si="1">SUM(B8:M8)</f>
        <v>2002537</v>
      </c>
      <c r="P8" s="155"/>
    </row>
    <row r="9" spans="1:17" ht="24.95" customHeight="1">
      <c r="A9" s="156" t="s">
        <v>164</v>
      </c>
      <c r="B9" s="157">
        <f>-310534094/1000</f>
        <v>-310534.09399999998</v>
      </c>
      <c r="C9" s="158">
        <f>IF(C8=0,0,-B10)</f>
        <v>-291212</v>
      </c>
      <c r="D9" s="158">
        <f t="shared" ref="D9:M9" si="2">IF(D8=0,0,-C10)</f>
        <v>-272741</v>
      </c>
      <c r="E9" s="158">
        <f t="shared" si="2"/>
        <v>-225056</v>
      </c>
      <c r="F9" s="158">
        <f t="shared" si="2"/>
        <v>0</v>
      </c>
      <c r="G9" s="158">
        <f t="shared" si="2"/>
        <v>0</v>
      </c>
      <c r="H9" s="158">
        <f t="shared" si="2"/>
        <v>0</v>
      </c>
      <c r="I9" s="158">
        <f t="shared" si="2"/>
        <v>0</v>
      </c>
      <c r="J9" s="158">
        <f t="shared" si="2"/>
        <v>0</v>
      </c>
      <c r="K9" s="158">
        <f t="shared" si="2"/>
        <v>0</v>
      </c>
      <c r="L9" s="158">
        <f t="shared" si="2"/>
        <v>0</v>
      </c>
      <c r="M9" s="158">
        <f t="shared" si="2"/>
        <v>0</v>
      </c>
      <c r="N9" s="154">
        <f t="shared" si="1"/>
        <v>-1099543.094</v>
      </c>
    </row>
    <row r="10" spans="1:17" ht="24.95" customHeight="1">
      <c r="A10" s="156" t="s">
        <v>165</v>
      </c>
      <c r="B10" s="153">
        <f>'[1]Input Tab'!C55</f>
        <v>291212</v>
      </c>
      <c r="C10" s="153">
        <f>'[1]Input Tab'!D55</f>
        <v>272741</v>
      </c>
      <c r="D10" s="153">
        <f>'[1]Input Tab'!E55</f>
        <v>225056</v>
      </c>
      <c r="E10" s="153">
        <f>'[1]Input Tab'!F55</f>
        <v>200672</v>
      </c>
      <c r="F10" s="153">
        <f>'[1]Input Tab'!G55</f>
        <v>0</v>
      </c>
      <c r="G10" s="153">
        <f>'[1]Input Tab'!H55</f>
        <v>0</v>
      </c>
      <c r="H10" s="153">
        <f>'[1]Input Tab'!I55</f>
        <v>0</v>
      </c>
      <c r="I10" s="153">
        <f>'[1]Input Tab'!J55</f>
        <v>0</v>
      </c>
      <c r="J10" s="153">
        <f>'[1]Input Tab'!K55</f>
        <v>0</v>
      </c>
      <c r="K10" s="153">
        <f>'[1]Input Tab'!L55</f>
        <v>0</v>
      </c>
      <c r="L10" s="153">
        <f>'[1]Input Tab'!M55</f>
        <v>0</v>
      </c>
      <c r="M10" s="153">
        <f>'[1]Input Tab'!N55</f>
        <v>0</v>
      </c>
      <c r="N10" s="154">
        <f t="shared" si="1"/>
        <v>989681</v>
      </c>
      <c r="P10" s="159"/>
      <c r="Q10" s="159"/>
    </row>
    <row r="11" spans="1:17" ht="30.75" customHeight="1">
      <c r="A11" s="160" t="s">
        <v>166</v>
      </c>
      <c r="B11" s="161">
        <f t="shared" ref="B11:L11" si="3">SUM(B8:B10)</f>
        <v>504406.90600000002</v>
      </c>
      <c r="C11" s="161">
        <f t="shared" si="3"/>
        <v>482576</v>
      </c>
      <c r="D11" s="161">
        <f t="shared" si="3"/>
        <v>488821</v>
      </c>
      <c r="E11" s="161">
        <f t="shared" si="3"/>
        <v>416871</v>
      </c>
      <c r="F11" s="161">
        <f t="shared" si="3"/>
        <v>0</v>
      </c>
      <c r="G11" s="161">
        <f t="shared" si="3"/>
        <v>0</v>
      </c>
      <c r="H11" s="161">
        <f t="shared" si="3"/>
        <v>0</v>
      </c>
      <c r="I11" s="161">
        <f t="shared" si="3"/>
        <v>0</v>
      </c>
      <c r="J11" s="161">
        <f t="shared" si="3"/>
        <v>0</v>
      </c>
      <c r="K11" s="161">
        <f t="shared" si="3"/>
        <v>0</v>
      </c>
      <c r="L11" s="161">
        <f t="shared" si="3"/>
        <v>0</v>
      </c>
      <c r="M11" s="161">
        <f>SUM(M8:M10)</f>
        <v>0</v>
      </c>
      <c r="N11" s="162">
        <f t="shared" si="1"/>
        <v>1892674.906</v>
      </c>
      <c r="P11" s="157"/>
      <c r="Q11" s="155"/>
    </row>
    <row r="12" spans="1:17" ht="32.25" customHeight="1">
      <c r="A12" s="163" t="s">
        <v>167</v>
      </c>
      <c r="B12" s="164">
        <f>'[1]Input Tab'!C56</f>
        <v>556117</v>
      </c>
      <c r="C12" s="164">
        <f>'[1]Input Tab'!D56</f>
        <v>486363</v>
      </c>
      <c r="D12" s="164">
        <f>'[1]Input Tab'!E56</f>
        <v>477535</v>
      </c>
      <c r="E12" s="164">
        <f>'[1]Input Tab'!F56</f>
        <v>431246</v>
      </c>
      <c r="F12" s="164">
        <f>'[1]Input Tab'!G56</f>
        <v>432473</v>
      </c>
      <c r="G12" s="164">
        <f>'[1]Input Tab'!H56</f>
        <v>424693</v>
      </c>
      <c r="H12" s="164">
        <f>'[1]Input Tab'!I56</f>
        <v>490670</v>
      </c>
      <c r="I12" s="164">
        <f>'[1]Input Tab'!J56</f>
        <v>464617</v>
      </c>
      <c r="J12" s="164">
        <f>'[1]Input Tab'!K56</f>
        <v>435934</v>
      </c>
      <c r="K12" s="164">
        <f>'[1]Input Tab'!L56</f>
        <v>436959</v>
      </c>
      <c r="L12" s="164">
        <f>'[1]Input Tab'!M56</f>
        <v>468856</v>
      </c>
      <c r="M12" s="164">
        <f>'[1]Input Tab'!N56</f>
        <v>553150</v>
      </c>
      <c r="N12" s="165">
        <f>SUM(B12:E12)</f>
        <v>1951261</v>
      </c>
      <c r="P12" s="107" t="s">
        <v>168</v>
      </c>
    </row>
    <row r="13" spans="1:17" ht="38.25" customHeight="1">
      <c r="A13" s="166" t="s">
        <v>169</v>
      </c>
      <c r="B13" s="167">
        <f>B11-B12</f>
        <v>-51710.093999999983</v>
      </c>
      <c r="C13" s="167">
        <f>IF(C8=0," ",C11-C12)</f>
        <v>-3787</v>
      </c>
      <c r="D13" s="167">
        <f t="shared" ref="D13:M13" si="4">IF(D8=0," ",D11-D12)</f>
        <v>11286</v>
      </c>
      <c r="E13" s="167">
        <f t="shared" si="4"/>
        <v>-14375</v>
      </c>
      <c r="F13" s="167" t="str">
        <f t="shared" si="4"/>
        <v xml:space="preserve"> </v>
      </c>
      <c r="G13" s="167" t="str">
        <f t="shared" si="4"/>
        <v xml:space="preserve"> </v>
      </c>
      <c r="H13" s="167" t="str">
        <f t="shared" si="4"/>
        <v xml:space="preserve"> </v>
      </c>
      <c r="I13" s="167" t="str">
        <f t="shared" si="4"/>
        <v xml:space="preserve"> </v>
      </c>
      <c r="J13" s="167" t="str">
        <f t="shared" si="4"/>
        <v xml:space="preserve"> </v>
      </c>
      <c r="K13" s="167" t="str">
        <f t="shared" si="4"/>
        <v xml:space="preserve"> </v>
      </c>
      <c r="L13" s="167" t="str">
        <f t="shared" si="4"/>
        <v xml:space="preserve"> </v>
      </c>
      <c r="M13" s="167" t="str">
        <f t="shared" si="4"/>
        <v xml:space="preserve"> </v>
      </c>
      <c r="N13" s="168">
        <f t="shared" si="1"/>
        <v>-58586.093999999983</v>
      </c>
    </row>
    <row r="14" spans="1:17" ht="42.75" customHeight="1">
      <c r="A14" s="166" t="s">
        <v>170</v>
      </c>
      <c r="B14" s="169">
        <f>'[1]Input Tab'!C57</f>
        <v>18.11</v>
      </c>
      <c r="C14" s="169">
        <f>'[1]Input Tab'!D57</f>
        <v>18.11</v>
      </c>
      <c r="D14" s="169">
        <f>'[1]Input Tab'!E57</f>
        <v>18.11</v>
      </c>
      <c r="E14" s="169">
        <f>'[1]Input Tab'!F57</f>
        <v>18.11</v>
      </c>
      <c r="F14" s="169">
        <f>'[1]Input Tab'!G57</f>
        <v>18.11</v>
      </c>
      <c r="G14" s="169">
        <f>'[1]Input Tab'!H57</f>
        <v>18.11</v>
      </c>
      <c r="H14" s="169">
        <f>'[1]Input Tab'!I57</f>
        <v>18.11</v>
      </c>
      <c r="I14" s="169">
        <f>'[1]Input Tab'!J57</f>
        <v>18.11</v>
      </c>
      <c r="J14" s="169">
        <f>'[1]Input Tab'!K57</f>
        <v>18.11</v>
      </c>
      <c r="K14" s="169">
        <f>'[1]Input Tab'!L57</f>
        <v>18.11</v>
      </c>
      <c r="L14" s="169">
        <f>'[1]Input Tab'!M57</f>
        <v>18.11</v>
      </c>
      <c r="M14" s="169">
        <f>'[1]Input Tab'!N57</f>
        <v>18.11</v>
      </c>
      <c r="N14" s="154"/>
    </row>
    <row r="15" spans="1:17" ht="30.75" customHeight="1" thickBot="1">
      <c r="A15" s="170" t="s">
        <v>171</v>
      </c>
      <c r="B15" s="171">
        <f>B13*B14</f>
        <v>-936469.8023399997</v>
      </c>
      <c r="C15" s="171">
        <f>IF(C8=0,0,C13*C14)</f>
        <v>-68582.569999999992</v>
      </c>
      <c r="D15" s="171">
        <f t="shared" ref="D15:M15" si="5">IF(D8=0,0,D13*D14)</f>
        <v>204389.46</v>
      </c>
      <c r="E15" s="171">
        <f t="shared" si="5"/>
        <v>-260331.25</v>
      </c>
      <c r="F15" s="171">
        <f t="shared" si="5"/>
        <v>0</v>
      </c>
      <c r="G15" s="171">
        <f t="shared" si="5"/>
        <v>0</v>
      </c>
      <c r="H15" s="171">
        <f t="shared" si="5"/>
        <v>0</v>
      </c>
      <c r="I15" s="171">
        <f t="shared" si="5"/>
        <v>0</v>
      </c>
      <c r="J15" s="171">
        <f t="shared" si="5"/>
        <v>0</v>
      </c>
      <c r="K15" s="171">
        <f t="shared" si="5"/>
        <v>0</v>
      </c>
      <c r="L15" s="171">
        <f t="shared" si="5"/>
        <v>0</v>
      </c>
      <c r="M15" s="171">
        <f t="shared" si="5"/>
        <v>0</v>
      </c>
      <c r="N15" s="171">
        <f>SUM(B15:M15)</f>
        <v>-1060994.1623399998</v>
      </c>
    </row>
    <row r="16" spans="1:17" ht="20.100000000000001" customHeight="1" thickTop="1">
      <c r="G16" s="172"/>
      <c r="N16" s="155"/>
    </row>
    <row r="17" spans="1:14" ht="20.100000000000001" customHeight="1">
      <c r="A17" s="173"/>
      <c r="N17" s="155"/>
    </row>
    <row r="18" spans="1:14" ht="36.75" customHeight="1">
      <c r="A18" s="174" t="s">
        <v>172</v>
      </c>
      <c r="B18" s="175">
        <f>B7</f>
        <v>44227</v>
      </c>
      <c r="C18" s="175">
        <f t="shared" ref="C18:N18" si="6">C7</f>
        <v>44255</v>
      </c>
      <c r="D18" s="175">
        <f t="shared" si="6"/>
        <v>44286</v>
      </c>
      <c r="E18" s="175">
        <f t="shared" si="6"/>
        <v>44316</v>
      </c>
      <c r="F18" s="175">
        <f t="shared" si="6"/>
        <v>44347</v>
      </c>
      <c r="G18" s="175">
        <f t="shared" si="6"/>
        <v>44377</v>
      </c>
      <c r="H18" s="175">
        <f t="shared" si="6"/>
        <v>44408</v>
      </c>
      <c r="I18" s="175">
        <f t="shared" si="6"/>
        <v>44439</v>
      </c>
      <c r="J18" s="175">
        <f t="shared" si="6"/>
        <v>44469</v>
      </c>
      <c r="K18" s="175">
        <f t="shared" si="6"/>
        <v>44500</v>
      </c>
      <c r="L18" s="175">
        <f t="shared" si="6"/>
        <v>44530</v>
      </c>
      <c r="M18" s="175">
        <f t="shared" si="6"/>
        <v>44561</v>
      </c>
      <c r="N18" s="150" t="str">
        <f t="shared" si="6"/>
        <v>YTD</v>
      </c>
    </row>
    <row r="19" spans="1:14" ht="29.25" customHeight="1">
      <c r="A19" s="176" t="s">
        <v>173</v>
      </c>
      <c r="B19" s="177">
        <f>IF(B8=0," ",B15*-1)</f>
        <v>936469.8023399997</v>
      </c>
      <c r="C19" s="177">
        <f>IF(C8=0," ",C15*-1)</f>
        <v>68582.569999999992</v>
      </c>
      <c r="D19" s="177">
        <f t="shared" ref="D19:M19" si="7">IF(D8=0," ",D15*-1)</f>
        <v>-204389.46</v>
      </c>
      <c r="E19" s="177">
        <f t="shared" si="7"/>
        <v>260331.25</v>
      </c>
      <c r="F19" s="177" t="str">
        <f t="shared" si="7"/>
        <v xml:space="preserve"> </v>
      </c>
      <c r="G19" s="177" t="str">
        <f t="shared" si="7"/>
        <v xml:space="preserve"> </v>
      </c>
      <c r="H19" s="177" t="str">
        <f t="shared" si="7"/>
        <v xml:space="preserve"> </v>
      </c>
      <c r="I19" s="177" t="str">
        <f t="shared" si="7"/>
        <v xml:space="preserve"> </v>
      </c>
      <c r="J19" s="177" t="str">
        <f t="shared" si="7"/>
        <v xml:space="preserve"> </v>
      </c>
      <c r="K19" s="177" t="str">
        <f t="shared" si="7"/>
        <v xml:space="preserve"> </v>
      </c>
      <c r="L19" s="177" t="str">
        <f t="shared" si="7"/>
        <v xml:space="preserve"> </v>
      </c>
      <c r="M19" s="177" t="str">
        <f t="shared" si="7"/>
        <v xml:space="preserve"> </v>
      </c>
      <c r="N19" s="177">
        <f>N15*-1</f>
        <v>1060994.1623399998</v>
      </c>
    </row>
    <row r="20" spans="1:14">
      <c r="A20" s="178"/>
      <c r="B20" s="179" t="str">
        <f>IF(B19&lt;0,"Rebate","Surcharge")</f>
        <v>Surcharge</v>
      </c>
      <c r="C20" s="179" t="str">
        <f t="shared" ref="C20:N20" si="8">IF(C19&lt;0,"Rebate","Surcharge")</f>
        <v>Surcharge</v>
      </c>
      <c r="D20" s="179" t="str">
        <f t="shared" si="8"/>
        <v>Rebate</v>
      </c>
      <c r="E20" s="179" t="str">
        <f t="shared" si="8"/>
        <v>Surcharge</v>
      </c>
      <c r="F20" s="179" t="str">
        <f t="shared" si="8"/>
        <v>Surcharge</v>
      </c>
      <c r="G20" s="179" t="str">
        <f t="shared" si="8"/>
        <v>Surcharge</v>
      </c>
      <c r="H20" s="179" t="str">
        <f t="shared" si="8"/>
        <v>Surcharge</v>
      </c>
      <c r="I20" s="179" t="str">
        <f t="shared" si="8"/>
        <v>Surcharge</v>
      </c>
      <c r="J20" s="179" t="str">
        <f t="shared" si="8"/>
        <v>Surcharge</v>
      </c>
      <c r="K20" s="179" t="str">
        <f t="shared" si="8"/>
        <v>Surcharge</v>
      </c>
      <c r="L20" s="179" t="str">
        <f t="shared" si="8"/>
        <v>Surcharge</v>
      </c>
      <c r="M20" s="179" t="str">
        <f t="shared" si="8"/>
        <v>Surcharge</v>
      </c>
      <c r="N20" s="179" t="str">
        <f t="shared" si="8"/>
        <v>Surcharge</v>
      </c>
    </row>
    <row r="23" spans="1:14">
      <c r="G23" s="155"/>
    </row>
    <row r="32" spans="1:14" ht="15.4">
      <c r="A32" s="180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9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2021-05-14T07:00:00+00:00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D41081B-CFA1-41D4-B54C-523E047E94C1}"/>
</file>

<file path=customXml/itemProps2.xml><?xml version="1.0" encoding="utf-8"?>
<ds:datastoreItem xmlns:ds="http://schemas.openxmlformats.org/officeDocument/2006/customXml" ds:itemID="{49883053-C925-491C-BCC2-45600B452B83}"/>
</file>

<file path=customXml/itemProps3.xml><?xml version="1.0" encoding="utf-8"?>
<ds:datastoreItem xmlns:ds="http://schemas.openxmlformats.org/officeDocument/2006/customXml" ds:itemID="{607DA117-B91A-4E31-8783-A633D435FA07}"/>
</file>

<file path=customXml/itemProps4.xml><?xml version="1.0" encoding="utf-8"?>
<ds:datastoreItem xmlns:ds="http://schemas.openxmlformats.org/officeDocument/2006/customXml" ds:itemID="{76570192-4F15-4547-BFCA-B350831820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2021-05-09T21:03:07Z</dcterms:created>
  <dcterms:modified xsi:type="dcterms:W3CDTF">2021-05-09T21:04:11Z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