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persons/person.xml" ContentType="application/vnd.ms-excel.perso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MYRP Compliance/"/>
    </mc:Choice>
  </mc:AlternateContent>
  <xr:revisionPtr revIDLastSave="151" documentId="8_{70767618-ACC6-4128-BC7B-5F5C11D44F20}" xr6:coauthVersionLast="47" xr6:coauthVersionMax="47" xr10:uidLastSave="{6622F4D0-E3B7-4AA6-BDE4-0D4100724660}"/>
  <bookViews>
    <workbookView xWindow="-28920" yWindow="-120" windowWidth="29040" windowHeight="15720" xr2:uid="{1CE80618-9CDD-496E-BF2A-B4CC1A79A3BD}"/>
  </bookViews>
  <sheets>
    <sheet name="Dashboard" sheetId="66" r:id="rId1"/>
    <sheet name="Comparison" sheetId="73" r:id="rId2"/>
    <sheet name="Workpapers===&gt;" sheetId="74" r:id="rId3"/>
    <sheet name="AMI SMI CROSSOVER" sheetId="70" r:id="rId4"/>
    <sheet name="Count" sheetId="69" r:id="rId5"/>
    <sheet name="Assistance" sheetId="67" r:id="rId6"/>
    <sheet name="FPL" sheetId="71" r:id="rId7"/>
    <sheet name="WA AMI" sheetId="72" r:id="rId8"/>
  </sheets>
  <definedNames>
    <definedName name="_xlnm._FilterDatabase" localSheetId="3" hidden="1">'AMI SMI CROSSOVER'!#REF!</definedName>
    <definedName name="_xlnm._FilterDatabase" localSheetId="4" hidden="1">Count!#REF!</definedName>
    <definedName name="_xlnm._FilterDatabase" localSheetId="0" hidden="1">Dashboard!#REF!</definedName>
    <definedName name="_xlnm.Print_Area" localSheetId="0">Dashboard!$A$1:$M$40</definedName>
    <definedName name="solver_adj" localSheetId="0" hidden="1">Dashboard!$E$17:$E$21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Dashboard!$E$17:$E$21</definedName>
    <definedName name="solver_lhs2" localSheetId="0" hidden="1">Dashboard!$E$18</definedName>
    <definedName name="solver_lhs3" localSheetId="0" hidden="1">Dashboard!$E$19</definedName>
    <definedName name="solver_lhs4" localSheetId="0" hidden="1">Dashboard!$E$20</definedName>
    <definedName name="solver_lhs5" localSheetId="0" hidden="1">Dashboard!$E$21</definedName>
    <definedName name="solver_lhs6" localSheetId="0" hidden="1">Dashboard!$L$17:$L$21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Dashboard!#REF!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2</definedName>
    <definedName name="solver_rhs1" localSheetId="0" hidden="1">Dashboard!#REF!</definedName>
    <definedName name="solver_rhs2" localSheetId="0" hidden="1">Dashboard!$E$17</definedName>
    <definedName name="solver_rhs3" localSheetId="0" hidden="1">Dashboard!$E$18</definedName>
    <definedName name="solver_rhs4" localSheetId="0" hidden="1">Dashboard!$E$19</definedName>
    <definedName name="solver_rhs5" localSheetId="0" hidden="1">Dashboard!$E$20</definedName>
    <definedName name="solver_rhs6" localSheetId="0" hidden="1">Dashboard!#REF!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9" l="1"/>
  <c r="L6" i="69" s="1"/>
  <c r="E6" i="69"/>
  <c r="K6" i="69"/>
  <c r="C7" i="69"/>
  <c r="E7" i="69"/>
  <c r="K7" i="69"/>
  <c r="C8" i="69"/>
  <c r="E8" i="69"/>
  <c r="K8" i="69"/>
  <c r="C9" i="69"/>
  <c r="L9" i="69" s="1"/>
  <c r="E9" i="69"/>
  <c r="K9" i="69"/>
  <c r="C10" i="69"/>
  <c r="L10" i="69" s="1"/>
  <c r="E10" i="69"/>
  <c r="K10" i="69"/>
  <c r="C11" i="69"/>
  <c r="E11" i="69"/>
  <c r="K11" i="69"/>
  <c r="L11" i="69"/>
  <c r="O11" i="69"/>
  <c r="R11" i="69"/>
  <c r="U11" i="69"/>
  <c r="C12" i="69"/>
  <c r="L12" i="69" s="1"/>
  <c r="E12" i="69"/>
  <c r="K12" i="69"/>
  <c r="C13" i="69"/>
  <c r="E13" i="69"/>
  <c r="K13" i="69"/>
  <c r="C14" i="69"/>
  <c r="L14" i="69" s="1"/>
  <c r="E14" i="69"/>
  <c r="K14" i="69"/>
  <c r="C15" i="69"/>
  <c r="L15" i="69" s="1"/>
  <c r="E15" i="69"/>
  <c r="K15" i="69"/>
  <c r="C16" i="69"/>
  <c r="L16" i="69" s="1"/>
  <c r="E16" i="69"/>
  <c r="K16" i="69"/>
  <c r="C17" i="69"/>
  <c r="E17" i="69"/>
  <c r="K17" i="69"/>
  <c r="L17" i="69"/>
  <c r="C18" i="69"/>
  <c r="E18" i="69"/>
  <c r="K18" i="69"/>
  <c r="L18" i="69"/>
  <c r="C19" i="69"/>
  <c r="L19" i="69" s="1"/>
  <c r="E19" i="69"/>
  <c r="K19" i="69"/>
  <c r="C20" i="69"/>
  <c r="E20" i="69"/>
  <c r="K20" i="69"/>
  <c r="L20" i="69"/>
  <c r="C21" i="69"/>
  <c r="E21" i="69"/>
  <c r="K21" i="69"/>
  <c r="L21" i="69"/>
  <c r="C22" i="69"/>
  <c r="E22" i="69"/>
  <c r="K22" i="69"/>
  <c r="C23" i="69"/>
  <c r="E23" i="69"/>
  <c r="K23" i="69"/>
  <c r="C24" i="69"/>
  <c r="E24" i="69"/>
  <c r="K24" i="69"/>
  <c r="L24" i="69"/>
  <c r="C25" i="69"/>
  <c r="E25" i="69"/>
  <c r="K25" i="69"/>
  <c r="C26" i="69"/>
  <c r="L26" i="69" s="1"/>
  <c r="E26" i="69"/>
  <c r="K26" i="69"/>
  <c r="C27" i="69"/>
  <c r="L27" i="69" s="1"/>
  <c r="E27" i="69"/>
  <c r="K27" i="69"/>
  <c r="C28" i="69"/>
  <c r="L28" i="69" s="1"/>
  <c r="E28" i="69"/>
  <c r="K28" i="69"/>
  <c r="C29" i="69"/>
  <c r="L29" i="69" s="1"/>
  <c r="E29" i="69"/>
  <c r="K29" i="69"/>
  <c r="C30" i="69"/>
  <c r="L30" i="69" s="1"/>
  <c r="E30" i="69"/>
  <c r="K30" i="69"/>
  <c r="C31" i="69"/>
  <c r="E31" i="69"/>
  <c r="K31" i="69"/>
  <c r="L31" i="69"/>
  <c r="C32" i="69"/>
  <c r="E32" i="69"/>
  <c r="K32" i="69"/>
  <c r="L32" i="69"/>
  <c r="C33" i="69"/>
  <c r="L33" i="69" s="1"/>
  <c r="E33" i="69"/>
  <c r="K33" i="69"/>
  <c r="C34" i="69"/>
  <c r="E34" i="69"/>
  <c r="K34" i="69"/>
  <c r="C35" i="69"/>
  <c r="E35" i="69"/>
  <c r="K35" i="69"/>
  <c r="C36" i="69"/>
  <c r="E36" i="69"/>
  <c r="K36" i="69"/>
  <c r="C37" i="69"/>
  <c r="E37" i="69"/>
  <c r="K37" i="69"/>
  <c r="C38" i="69"/>
  <c r="E38" i="69"/>
  <c r="K38" i="69"/>
  <c r="C39" i="69"/>
  <c r="E39" i="69"/>
  <c r="K39" i="69"/>
  <c r="C40" i="69"/>
  <c r="E40" i="69"/>
  <c r="K40" i="69"/>
  <c r="C41" i="69"/>
  <c r="E41" i="69"/>
  <c r="K41" i="69"/>
  <c r="C42" i="69"/>
  <c r="E42" i="69"/>
  <c r="K42" i="69"/>
  <c r="C43" i="69"/>
  <c r="E43" i="69"/>
  <c r="K43" i="69"/>
  <c r="C44" i="69"/>
  <c r="E44" i="69"/>
  <c r="K44" i="69"/>
  <c r="C45" i="69"/>
  <c r="E45" i="69"/>
  <c r="H45" i="69"/>
  <c r="K45" i="69"/>
  <c r="D28" i="66"/>
  <c r="H28" i="66" s="1"/>
  <c r="D29" i="66"/>
  <c r="H29" i="66" s="1"/>
  <c r="D30" i="66"/>
  <c r="H30" i="66" s="1"/>
  <c r="D31" i="66"/>
  <c r="H31" i="66" s="1"/>
  <c r="D27" i="66"/>
  <c r="H27" i="66" s="1"/>
  <c r="F6" i="66"/>
  <c r="F9" i="69" l="1"/>
  <c r="F42" i="69"/>
  <c r="F26" i="69"/>
  <c r="F17" i="69"/>
  <c r="I17" i="69" s="1"/>
  <c r="H17" i="69" s="1"/>
  <c r="F14" i="69"/>
  <c r="I14" i="69" s="1"/>
  <c r="F18" i="69"/>
  <c r="I18" i="69" s="1"/>
  <c r="H18" i="69" s="1"/>
  <c r="F31" i="69"/>
  <c r="I31" i="69" s="1"/>
  <c r="F6" i="69"/>
  <c r="I42" i="69"/>
  <c r="L42" i="69"/>
  <c r="H31" i="69"/>
  <c r="F38" i="69"/>
  <c r="L38" i="69" s="1"/>
  <c r="F43" i="69"/>
  <c r="F35" i="69"/>
  <c r="I35" i="69" s="1"/>
  <c r="L8" i="69"/>
  <c r="F37" i="69"/>
  <c r="L37" i="69" s="1"/>
  <c r="F23" i="69"/>
  <c r="F25" i="69"/>
  <c r="I25" i="69" s="1"/>
  <c r="F30" i="69"/>
  <c r="I30" i="69" s="1"/>
  <c r="C46" i="69"/>
  <c r="C47" i="69" s="1"/>
  <c r="L25" i="69"/>
  <c r="L34" i="69"/>
  <c r="I22" i="69"/>
  <c r="L22" i="69"/>
  <c r="F19" i="69"/>
  <c r="I19" i="69" s="1"/>
  <c r="F39" i="69"/>
  <c r="F27" i="69"/>
  <c r="I27" i="69" s="1"/>
  <c r="F21" i="69"/>
  <c r="I21" i="69" s="1"/>
  <c r="F15" i="69"/>
  <c r="I15" i="69" s="1"/>
  <c r="F12" i="69"/>
  <c r="I12" i="69" s="1"/>
  <c r="F10" i="69"/>
  <c r="I10" i="69" s="1"/>
  <c r="I6" i="69"/>
  <c r="I23" i="69"/>
  <c r="F7" i="69"/>
  <c r="I7" i="69" s="1"/>
  <c r="F36" i="69"/>
  <c r="L36" i="69" s="1"/>
  <c r="F24" i="69"/>
  <c r="I24" i="69" s="1"/>
  <c r="F40" i="69"/>
  <c r="F28" i="69"/>
  <c r="I28" i="69" s="1"/>
  <c r="F16" i="69"/>
  <c r="I16" i="69" s="1"/>
  <c r="F13" i="69"/>
  <c r="I13" i="69" s="1"/>
  <c r="F11" i="69"/>
  <c r="I11" i="69" s="1"/>
  <c r="L7" i="69"/>
  <c r="F8" i="69"/>
  <c r="I8" i="69" s="1"/>
  <c r="F41" i="69"/>
  <c r="F29" i="69"/>
  <c r="I29" i="69" s="1"/>
  <c r="I26" i="69"/>
  <c r="I9" i="69"/>
  <c r="L35" i="69"/>
  <c r="F34" i="69"/>
  <c r="I34" i="69" s="1"/>
  <c r="F33" i="69"/>
  <c r="I33" i="69" s="1"/>
  <c r="F44" i="69"/>
  <c r="L23" i="69"/>
  <c r="F22" i="69"/>
  <c r="F20" i="69"/>
  <c r="I20" i="69" s="1"/>
  <c r="F32" i="69"/>
  <c r="I32" i="69" s="1"/>
  <c r="L13" i="69"/>
  <c r="I36" i="69" l="1"/>
  <c r="I38" i="69"/>
  <c r="H24" i="69"/>
  <c r="H34" i="69"/>
  <c r="H12" i="69"/>
  <c r="H13" i="69"/>
  <c r="H25" i="69"/>
  <c r="H33" i="69"/>
  <c r="H36" i="69"/>
  <c r="H23" i="69"/>
  <c r="H22" i="69"/>
  <c r="H35" i="69"/>
  <c r="H7" i="69"/>
  <c r="H6" i="69"/>
  <c r="H9" i="69"/>
  <c r="H11" i="69"/>
  <c r="H10" i="69"/>
  <c r="H38" i="69"/>
  <c r="H8" i="69"/>
  <c r="H42" i="69"/>
  <c r="H26" i="69"/>
  <c r="H15" i="69"/>
  <c r="H29" i="69"/>
  <c r="H16" i="69"/>
  <c r="H21" i="69"/>
  <c r="H32" i="69"/>
  <c r="I41" i="69"/>
  <c r="L41" i="69"/>
  <c r="H28" i="69"/>
  <c r="H27" i="69"/>
  <c r="I37" i="69"/>
  <c r="L43" i="69"/>
  <c r="I43" i="69"/>
  <c r="H20" i="69"/>
  <c r="L40" i="69"/>
  <c r="I40" i="69"/>
  <c r="L39" i="69"/>
  <c r="I39" i="69"/>
  <c r="F45" i="69"/>
  <c r="L45" i="69" s="1"/>
  <c r="H19" i="69"/>
  <c r="H14" i="69"/>
  <c r="I44" i="69"/>
  <c r="L44" i="69"/>
  <c r="H30" i="69"/>
  <c r="I45" i="69" l="1"/>
  <c r="F46" i="69"/>
  <c r="F47" i="69" s="1"/>
  <c r="H40" i="69"/>
  <c r="H41" i="69"/>
  <c r="H43" i="69"/>
  <c r="L46" i="69"/>
  <c r="H37" i="69"/>
  <c r="H39" i="69"/>
  <c r="I46" i="69"/>
  <c r="H44" i="69"/>
  <c r="D18" i="73" l="1"/>
  <c r="G18" i="73" s="1"/>
  <c r="D19" i="73"/>
  <c r="G19" i="73" s="1"/>
  <c r="D20" i="73"/>
  <c r="G20" i="73" s="1"/>
  <c r="D21" i="73"/>
  <c r="G21" i="73" s="1"/>
  <c r="D17" i="73"/>
  <c r="G17" i="73" s="1"/>
  <c r="D5" i="73" l="1"/>
  <c r="F5" i="73" s="1"/>
  <c r="G5" i="73" s="1"/>
  <c r="V6" i="70" l="1"/>
  <c r="H17" i="66" l="1"/>
  <c r="F18" i="67"/>
  <c r="D18" i="67"/>
  <c r="C18" i="67"/>
  <c r="E17" i="67"/>
  <c r="E16" i="67"/>
  <c r="E15" i="67"/>
  <c r="E14" i="67"/>
  <c r="E13" i="67"/>
  <c r="E12" i="67"/>
  <c r="E11" i="67"/>
  <c r="E10" i="67"/>
  <c r="E9" i="67"/>
  <c r="E8" i="67"/>
  <c r="E7" i="67"/>
  <c r="E6" i="67"/>
  <c r="E5" i="67"/>
  <c r="E4" i="67"/>
  <c r="E3" i="67"/>
  <c r="E2" i="67"/>
  <c r="E18" i="67" s="1"/>
  <c r="D6" i="70"/>
  <c r="E6" i="70"/>
  <c r="F6" i="70"/>
  <c r="G6" i="70"/>
  <c r="H6" i="70"/>
  <c r="I6" i="70"/>
  <c r="J6" i="70"/>
  <c r="K6" i="70"/>
  <c r="L6" i="70"/>
  <c r="M6" i="70"/>
  <c r="N6" i="70"/>
  <c r="O6" i="70"/>
  <c r="P6" i="70"/>
  <c r="Q6" i="70"/>
  <c r="R6" i="70"/>
  <c r="C6" i="70"/>
  <c r="P13" i="72"/>
  <c r="P14" i="72" s="1"/>
  <c r="P15" i="72" s="1"/>
  <c r="P16" i="72" s="1"/>
  <c r="P17" i="72" s="1"/>
  <c r="P18" i="72" s="1"/>
  <c r="P19" i="72" s="1"/>
  <c r="P20" i="72" s="1"/>
  <c r="P21" i="72" s="1"/>
  <c r="P22" i="72" s="1"/>
  <c r="P23" i="72" s="1"/>
  <c r="P24" i="72" s="1"/>
  <c r="P25" i="72" s="1"/>
  <c r="P26" i="72" s="1"/>
  <c r="P27" i="72" s="1"/>
  <c r="O13" i="72"/>
  <c r="O14" i="72" s="1"/>
  <c r="O15" i="72" s="1"/>
  <c r="O16" i="72" s="1"/>
  <c r="O17" i="72" s="1"/>
  <c r="O18" i="72" s="1"/>
  <c r="O19" i="72" s="1"/>
  <c r="O20" i="72" s="1"/>
  <c r="O21" i="72" s="1"/>
  <c r="O22" i="72" s="1"/>
  <c r="O23" i="72" s="1"/>
  <c r="O24" i="72" s="1"/>
  <c r="O25" i="72" s="1"/>
  <c r="O26" i="72" s="1"/>
  <c r="O27" i="72" s="1"/>
  <c r="D13" i="72"/>
  <c r="D14" i="72" s="1"/>
  <c r="D15" i="72" s="1"/>
  <c r="D16" i="72" s="1"/>
  <c r="D17" i="72" s="1"/>
  <c r="D18" i="72" s="1"/>
  <c r="D19" i="72" s="1"/>
  <c r="D20" i="72" s="1"/>
  <c r="D21" i="72" s="1"/>
  <c r="D22" i="72" s="1"/>
  <c r="D23" i="72" s="1"/>
  <c r="D24" i="72" s="1"/>
  <c r="D25" i="72" s="1"/>
  <c r="D26" i="72" s="1"/>
  <c r="D27" i="72" s="1"/>
  <c r="C13" i="72"/>
  <c r="C14" i="72" s="1"/>
  <c r="C15" i="72" s="1"/>
  <c r="C16" i="72" s="1"/>
  <c r="C17" i="72" s="1"/>
  <c r="C18" i="72" s="1"/>
  <c r="C19" i="72" s="1"/>
  <c r="C20" i="72" s="1"/>
  <c r="C21" i="72" s="1"/>
  <c r="C22" i="72" s="1"/>
  <c r="C23" i="72" s="1"/>
  <c r="C24" i="72" s="1"/>
  <c r="C25" i="72" s="1"/>
  <c r="C26" i="72" s="1"/>
  <c r="C27" i="72" s="1"/>
  <c r="I12" i="72"/>
  <c r="I13" i="72" s="1"/>
  <c r="I14" i="72" s="1"/>
  <c r="I15" i="72" s="1"/>
  <c r="I16" i="72" s="1"/>
  <c r="I17" i="72" s="1"/>
  <c r="I18" i="72" s="1"/>
  <c r="I19" i="72" s="1"/>
  <c r="I20" i="72" s="1"/>
  <c r="I21" i="72" s="1"/>
  <c r="I22" i="72" s="1"/>
  <c r="I23" i="72" s="1"/>
  <c r="I24" i="72" s="1"/>
  <c r="I25" i="72" s="1"/>
  <c r="I26" i="72" s="1"/>
  <c r="I27" i="72" s="1"/>
  <c r="H12" i="72"/>
  <c r="H13" i="72" s="1"/>
  <c r="H14" i="72" s="1"/>
  <c r="H15" i="72" s="1"/>
  <c r="H16" i="72" s="1"/>
  <c r="H17" i="72" s="1"/>
  <c r="H18" i="72" s="1"/>
  <c r="H19" i="72" s="1"/>
  <c r="H20" i="72" s="1"/>
  <c r="H21" i="72" s="1"/>
  <c r="H22" i="72" s="1"/>
  <c r="H23" i="72" s="1"/>
  <c r="H24" i="72" s="1"/>
  <c r="H25" i="72" s="1"/>
  <c r="H26" i="72" s="1"/>
  <c r="H27" i="72" s="1"/>
  <c r="P11" i="72"/>
  <c r="P12" i="72" s="1"/>
  <c r="O11" i="72"/>
  <c r="O12" i="72" s="1"/>
  <c r="N11" i="72"/>
  <c r="N12" i="72" s="1"/>
  <c r="N13" i="72" s="1"/>
  <c r="N14" i="72" s="1"/>
  <c r="N15" i="72" s="1"/>
  <c r="N16" i="72" s="1"/>
  <c r="N17" i="72" s="1"/>
  <c r="N18" i="72" s="1"/>
  <c r="N19" i="72" s="1"/>
  <c r="N20" i="72" s="1"/>
  <c r="N21" i="72" s="1"/>
  <c r="N22" i="72" s="1"/>
  <c r="N23" i="72" s="1"/>
  <c r="N24" i="72" s="1"/>
  <c r="N25" i="72" s="1"/>
  <c r="N26" i="72" s="1"/>
  <c r="N27" i="72" s="1"/>
  <c r="M11" i="72"/>
  <c r="M12" i="72" s="1"/>
  <c r="M13" i="72" s="1"/>
  <c r="M14" i="72" s="1"/>
  <c r="M15" i="72" s="1"/>
  <c r="M16" i="72" s="1"/>
  <c r="M17" i="72" s="1"/>
  <c r="M18" i="72" s="1"/>
  <c r="M19" i="72" s="1"/>
  <c r="M20" i="72" s="1"/>
  <c r="M21" i="72" s="1"/>
  <c r="M22" i="72" s="1"/>
  <c r="M23" i="72" s="1"/>
  <c r="M24" i="72" s="1"/>
  <c r="M25" i="72" s="1"/>
  <c r="M26" i="72" s="1"/>
  <c r="M27" i="72" s="1"/>
  <c r="G11" i="72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G25" i="72" s="1"/>
  <c r="G26" i="72" s="1"/>
  <c r="G27" i="72" s="1"/>
  <c r="F11" i="72"/>
  <c r="F12" i="72" s="1"/>
  <c r="F13" i="72" s="1"/>
  <c r="F14" i="72" s="1"/>
  <c r="F15" i="72" s="1"/>
  <c r="F16" i="72" s="1"/>
  <c r="F17" i="72" s="1"/>
  <c r="F18" i="72" s="1"/>
  <c r="F19" i="72" s="1"/>
  <c r="F20" i="72" s="1"/>
  <c r="F21" i="72" s="1"/>
  <c r="F22" i="72" s="1"/>
  <c r="F23" i="72" s="1"/>
  <c r="F24" i="72" s="1"/>
  <c r="F25" i="72" s="1"/>
  <c r="F26" i="72" s="1"/>
  <c r="F27" i="72" s="1"/>
  <c r="E11" i="72"/>
  <c r="E12" i="72" s="1"/>
  <c r="E13" i="72" s="1"/>
  <c r="E14" i="72" s="1"/>
  <c r="E15" i="72" s="1"/>
  <c r="E16" i="72" s="1"/>
  <c r="E17" i="72" s="1"/>
  <c r="E18" i="72" s="1"/>
  <c r="E19" i="72" s="1"/>
  <c r="E20" i="72" s="1"/>
  <c r="E21" i="72" s="1"/>
  <c r="E22" i="72" s="1"/>
  <c r="E23" i="72" s="1"/>
  <c r="E24" i="72" s="1"/>
  <c r="E25" i="72" s="1"/>
  <c r="E26" i="72" s="1"/>
  <c r="E27" i="72" s="1"/>
  <c r="D11" i="72"/>
  <c r="D12" i="72" s="1"/>
  <c r="C11" i="72"/>
  <c r="C12" i="72" s="1"/>
  <c r="B11" i="72"/>
  <c r="B12" i="72" s="1"/>
  <c r="Q10" i="72"/>
  <c r="Q11" i="72" s="1"/>
  <c r="Q12" i="72" s="1"/>
  <c r="Q13" i="72" s="1"/>
  <c r="Q14" i="72" s="1"/>
  <c r="Q15" i="72" s="1"/>
  <c r="Q16" i="72" s="1"/>
  <c r="Q17" i="72" s="1"/>
  <c r="Q18" i="72" s="1"/>
  <c r="Q19" i="72" s="1"/>
  <c r="Q20" i="72" s="1"/>
  <c r="Q21" i="72" s="1"/>
  <c r="Q22" i="72" s="1"/>
  <c r="Q23" i="72" s="1"/>
  <c r="Q24" i="72" s="1"/>
  <c r="Q25" i="72" s="1"/>
  <c r="Q26" i="72" s="1"/>
  <c r="Q27" i="72" s="1"/>
  <c r="P10" i="72"/>
  <c r="O10" i="72"/>
  <c r="N10" i="72"/>
  <c r="M10" i="72"/>
  <c r="L10" i="72"/>
  <c r="L11" i="72" s="1"/>
  <c r="L12" i="72" s="1"/>
  <c r="L13" i="72" s="1"/>
  <c r="L14" i="72" s="1"/>
  <c r="L15" i="72" s="1"/>
  <c r="L16" i="72" s="1"/>
  <c r="L17" i="72" s="1"/>
  <c r="L18" i="72" s="1"/>
  <c r="L19" i="72" s="1"/>
  <c r="L20" i="72" s="1"/>
  <c r="L21" i="72" s="1"/>
  <c r="L22" i="72" s="1"/>
  <c r="L23" i="72" s="1"/>
  <c r="L24" i="72" s="1"/>
  <c r="L25" i="72" s="1"/>
  <c r="L26" i="72" s="1"/>
  <c r="L27" i="72" s="1"/>
  <c r="K10" i="72"/>
  <c r="K11" i="72" s="1"/>
  <c r="K12" i="72" s="1"/>
  <c r="K13" i="72" s="1"/>
  <c r="K14" i="72" s="1"/>
  <c r="K15" i="72" s="1"/>
  <c r="K16" i="72" s="1"/>
  <c r="K17" i="72" s="1"/>
  <c r="K18" i="72" s="1"/>
  <c r="K19" i="72" s="1"/>
  <c r="K20" i="72" s="1"/>
  <c r="K21" i="72" s="1"/>
  <c r="K22" i="72" s="1"/>
  <c r="K23" i="72" s="1"/>
  <c r="K24" i="72" s="1"/>
  <c r="K25" i="72" s="1"/>
  <c r="K26" i="72" s="1"/>
  <c r="K27" i="72" s="1"/>
  <c r="J10" i="72"/>
  <c r="J11" i="72" s="1"/>
  <c r="J12" i="72" s="1"/>
  <c r="J13" i="72" s="1"/>
  <c r="J14" i="72" s="1"/>
  <c r="J15" i="72" s="1"/>
  <c r="J16" i="72" s="1"/>
  <c r="J17" i="72" s="1"/>
  <c r="J18" i="72" s="1"/>
  <c r="J19" i="72" s="1"/>
  <c r="J20" i="72" s="1"/>
  <c r="J21" i="72" s="1"/>
  <c r="J22" i="72" s="1"/>
  <c r="J23" i="72" s="1"/>
  <c r="J24" i="72" s="1"/>
  <c r="J25" i="72" s="1"/>
  <c r="J26" i="72" s="1"/>
  <c r="J27" i="72" s="1"/>
  <c r="I10" i="72"/>
  <c r="I11" i="72" s="1"/>
  <c r="H10" i="72"/>
  <c r="H11" i="72" s="1"/>
  <c r="G10" i="72"/>
  <c r="F10" i="72"/>
  <c r="E10" i="72"/>
  <c r="D10" i="72"/>
  <c r="C10" i="72"/>
  <c r="B10" i="72"/>
  <c r="B10" i="71"/>
  <c r="B11" i="71" s="1"/>
  <c r="B12" i="71" s="1"/>
  <c r="B13" i="71" s="1"/>
  <c r="B14" i="71" s="1"/>
  <c r="B15" i="71" s="1"/>
  <c r="B16" i="71" s="1"/>
  <c r="B17" i="71" s="1"/>
  <c r="B18" i="71" s="1"/>
  <c r="B19" i="71" s="1"/>
  <c r="B20" i="71" s="1"/>
  <c r="B21" i="71" s="1"/>
  <c r="B22" i="71" s="1"/>
  <c r="B23" i="71" s="1"/>
  <c r="B24" i="71" s="1"/>
  <c r="B25" i="71" s="1"/>
  <c r="B26" i="71" s="1"/>
  <c r="B27" i="71" s="1"/>
  <c r="B13" i="72" l="1"/>
  <c r="B14" i="72" l="1"/>
  <c r="B15" i="72" l="1"/>
  <c r="B16" i="72" l="1"/>
  <c r="B17" i="72" l="1"/>
  <c r="B18" i="72" l="1"/>
  <c r="B19" i="72" l="1"/>
  <c r="B20" i="72" l="1"/>
  <c r="B21" i="72" l="1"/>
  <c r="B22" i="72" l="1"/>
  <c r="B23" i="72" l="1"/>
  <c r="B24" i="72" l="1"/>
  <c r="B25" i="72" l="1"/>
  <c r="B26" i="72" l="1"/>
  <c r="B27" i="72" l="1"/>
  <c r="B13" i="70" l="1"/>
  <c r="U13" i="70" s="1"/>
  <c r="V13" i="70" s="1"/>
  <c r="D7" i="70"/>
  <c r="E7" i="70"/>
  <c r="F7" i="70"/>
  <c r="G7" i="70"/>
  <c r="H7" i="70"/>
  <c r="I7" i="70"/>
  <c r="J7" i="70"/>
  <c r="K7" i="70"/>
  <c r="L7" i="70"/>
  <c r="M7" i="70"/>
  <c r="N7" i="70"/>
  <c r="O7" i="70"/>
  <c r="P7" i="70"/>
  <c r="Q7" i="70"/>
  <c r="R7" i="70"/>
  <c r="C7" i="70"/>
  <c r="S7" i="70" s="1"/>
  <c r="V21" i="70"/>
  <c r="V14" i="70"/>
  <c r="U20" i="70"/>
  <c r="V20" i="70" s="1"/>
  <c r="U19" i="70"/>
  <c r="V19" i="70" s="1"/>
  <c r="U18" i="70"/>
  <c r="V18" i="70" s="1"/>
  <c r="U17" i="70"/>
  <c r="V17" i="70" s="1"/>
  <c r="B10" i="70" l="1"/>
  <c r="U10" i="70" s="1"/>
  <c r="V10" i="70" s="1"/>
  <c r="S6" i="70" l="1"/>
  <c r="B11" i="70"/>
  <c r="U11" i="70" s="1"/>
  <c r="V11" i="70" s="1"/>
  <c r="B12" i="70"/>
  <c r="U12" i="70" s="1"/>
  <c r="V12" i="70" s="1"/>
  <c r="B31" i="66"/>
  <c r="B27" i="66"/>
  <c r="D18" i="66" l="1"/>
  <c r="D17" i="66"/>
  <c r="D20" i="66"/>
  <c r="D19" i="66"/>
  <c r="R10" i="70"/>
  <c r="C10" i="70"/>
  <c r="D17" i="70"/>
  <c r="E17" i="70"/>
  <c r="F17" i="70"/>
  <c r="G17" i="70"/>
  <c r="H17" i="70"/>
  <c r="I17" i="70"/>
  <c r="J17" i="70"/>
  <c r="K17" i="70"/>
  <c r="L17" i="70"/>
  <c r="M17" i="70"/>
  <c r="N17" i="70"/>
  <c r="O17" i="70"/>
  <c r="P17" i="70"/>
  <c r="Q17" i="70"/>
  <c r="R17" i="70"/>
  <c r="D18" i="70"/>
  <c r="E18" i="70"/>
  <c r="F18" i="70"/>
  <c r="G18" i="70"/>
  <c r="H18" i="70"/>
  <c r="I18" i="70"/>
  <c r="J18" i="70"/>
  <c r="K18" i="70"/>
  <c r="L18" i="70"/>
  <c r="M18" i="70"/>
  <c r="N18" i="70"/>
  <c r="O18" i="70"/>
  <c r="P18" i="70"/>
  <c r="Q18" i="70"/>
  <c r="R18" i="70"/>
  <c r="D19" i="70"/>
  <c r="E19" i="70"/>
  <c r="F19" i="70"/>
  <c r="G19" i="70"/>
  <c r="H19" i="70"/>
  <c r="I19" i="70"/>
  <c r="J19" i="70"/>
  <c r="K19" i="70"/>
  <c r="L19" i="70"/>
  <c r="M19" i="70"/>
  <c r="N19" i="70"/>
  <c r="O19" i="70"/>
  <c r="P19" i="70"/>
  <c r="Q19" i="70"/>
  <c r="R19" i="70"/>
  <c r="D20" i="70"/>
  <c r="E20" i="70"/>
  <c r="F20" i="70"/>
  <c r="G20" i="70"/>
  <c r="H20" i="70"/>
  <c r="I20" i="70"/>
  <c r="J20" i="70"/>
  <c r="K20" i="70"/>
  <c r="L20" i="70"/>
  <c r="M20" i="70"/>
  <c r="N20" i="70"/>
  <c r="O20" i="70"/>
  <c r="P20" i="70"/>
  <c r="Q20" i="70"/>
  <c r="R20" i="70"/>
  <c r="D21" i="70"/>
  <c r="E21" i="70"/>
  <c r="F21" i="70"/>
  <c r="G21" i="70"/>
  <c r="H21" i="70"/>
  <c r="I21" i="70"/>
  <c r="J21" i="70"/>
  <c r="K21" i="70"/>
  <c r="L21" i="70"/>
  <c r="M21" i="70"/>
  <c r="N21" i="70"/>
  <c r="O21" i="70"/>
  <c r="P21" i="70"/>
  <c r="Q21" i="70"/>
  <c r="R21" i="70"/>
  <c r="C18" i="70"/>
  <c r="C19" i="70"/>
  <c r="C20" i="70"/>
  <c r="C21" i="70"/>
  <c r="C17" i="70"/>
  <c r="C27" i="66" l="1"/>
  <c r="G27" i="66" s="1"/>
  <c r="D10" i="70" l="1"/>
  <c r="E10" i="70"/>
  <c r="F10" i="70"/>
  <c r="G10" i="70"/>
  <c r="H10" i="70"/>
  <c r="I10" i="70"/>
  <c r="J10" i="70"/>
  <c r="K10" i="70"/>
  <c r="L10" i="70"/>
  <c r="M10" i="70"/>
  <c r="N10" i="70"/>
  <c r="O10" i="70"/>
  <c r="P10" i="70"/>
  <c r="Q10" i="70"/>
  <c r="D11" i="70"/>
  <c r="E11" i="70"/>
  <c r="F11" i="70"/>
  <c r="G11" i="70"/>
  <c r="H11" i="70"/>
  <c r="I11" i="70"/>
  <c r="J11" i="70"/>
  <c r="K11" i="70"/>
  <c r="L11" i="70"/>
  <c r="M11" i="70"/>
  <c r="N11" i="70"/>
  <c r="O11" i="70"/>
  <c r="P11" i="70"/>
  <c r="Q11" i="70"/>
  <c r="R11" i="70"/>
  <c r="D12" i="70"/>
  <c r="E12" i="70"/>
  <c r="F12" i="70"/>
  <c r="G12" i="70"/>
  <c r="H12" i="70"/>
  <c r="I12" i="70"/>
  <c r="J12" i="70"/>
  <c r="K12" i="70"/>
  <c r="L12" i="70"/>
  <c r="M12" i="70"/>
  <c r="N12" i="70"/>
  <c r="O12" i="70"/>
  <c r="P12" i="70"/>
  <c r="Q12" i="70"/>
  <c r="R12" i="70"/>
  <c r="D13" i="70"/>
  <c r="E13" i="70"/>
  <c r="F13" i="70"/>
  <c r="G13" i="70"/>
  <c r="H13" i="70"/>
  <c r="I13" i="70"/>
  <c r="J13" i="70"/>
  <c r="K13" i="70"/>
  <c r="L13" i="70"/>
  <c r="M13" i="70"/>
  <c r="N13" i="70"/>
  <c r="O13" i="70"/>
  <c r="P13" i="70"/>
  <c r="Q13" i="70"/>
  <c r="R13" i="70"/>
  <c r="D14" i="70"/>
  <c r="E14" i="70"/>
  <c r="F14" i="70"/>
  <c r="G14" i="70"/>
  <c r="H14" i="70"/>
  <c r="I14" i="70"/>
  <c r="J14" i="70"/>
  <c r="K14" i="70"/>
  <c r="L14" i="70"/>
  <c r="M14" i="70"/>
  <c r="N14" i="70"/>
  <c r="O14" i="70"/>
  <c r="P14" i="70"/>
  <c r="Q14" i="70"/>
  <c r="R14" i="70"/>
  <c r="C11" i="70"/>
  <c r="C12" i="70"/>
  <c r="C13" i="70"/>
  <c r="C14" i="70"/>
  <c r="S14" i="70" l="1"/>
  <c r="S11" i="70"/>
  <c r="S13" i="70"/>
  <c r="S10" i="70"/>
  <c r="S12" i="70"/>
  <c r="B26" i="66" l="1"/>
  <c r="H16" i="66" l="1"/>
  <c r="H18" i="66" l="1"/>
  <c r="H19" i="66" s="1"/>
  <c r="H20" i="66" s="1"/>
  <c r="B29" i="66" l="1"/>
  <c r="B30" i="66" l="1"/>
  <c r="C30" i="66" l="1"/>
  <c r="G30" i="66" s="1"/>
  <c r="C31" i="66"/>
  <c r="G31" i="66" s="1"/>
  <c r="K20" i="66" l="1"/>
  <c r="D13" i="73" s="1"/>
  <c r="G13" i="73" s="1"/>
  <c r="I30" i="66"/>
  <c r="J30" i="66" s="1"/>
  <c r="L20" i="66" s="1"/>
  <c r="D27" i="73" s="1"/>
  <c r="G27" i="73" s="1"/>
  <c r="K21" i="66"/>
  <c r="D14" i="73" s="1"/>
  <c r="G14" i="73" s="1"/>
  <c r="I31" i="66"/>
  <c r="K30" i="66" l="1"/>
  <c r="J31" i="66"/>
  <c r="L21" i="66" s="1"/>
  <c r="D28" i="73" s="1"/>
  <c r="G28" i="73" s="1"/>
  <c r="K31" i="66"/>
  <c r="G20" i="66"/>
  <c r="I20" i="66" s="1"/>
  <c r="B28" i="66"/>
  <c r="M20" i="66" l="1"/>
  <c r="C28" i="66"/>
  <c r="G28" i="66" s="1"/>
  <c r="C29" i="66"/>
  <c r="G29" i="66" s="1"/>
  <c r="G21" i="66"/>
  <c r="I21" i="66" s="1"/>
  <c r="K17" i="66" l="1"/>
  <c r="D10" i="73" s="1"/>
  <c r="G10" i="73" s="1"/>
  <c r="K18" i="66"/>
  <c r="D11" i="73" s="1"/>
  <c r="G11" i="73" s="1"/>
  <c r="M21" i="66"/>
  <c r="C32" i="66"/>
  <c r="I28" i="66"/>
  <c r="I27" i="66"/>
  <c r="K19" i="66" l="1"/>
  <c r="D12" i="73" s="1"/>
  <c r="G12" i="73" s="1"/>
  <c r="I29" i="66"/>
  <c r="K29" i="66" s="1"/>
  <c r="D32" i="66"/>
  <c r="K28" i="66"/>
  <c r="E32" i="66"/>
  <c r="E29" i="66"/>
  <c r="E31" i="66"/>
  <c r="E30" i="66"/>
  <c r="E28" i="66"/>
  <c r="E27" i="66"/>
  <c r="J28" i="66"/>
  <c r="L18" i="66" s="1"/>
  <c r="D25" i="73" s="1"/>
  <c r="G25" i="73" s="1"/>
  <c r="J27" i="66"/>
  <c r="L17" i="66" s="1"/>
  <c r="D24" i="73" s="1"/>
  <c r="G24" i="73" s="1"/>
  <c r="G32" i="66" l="1"/>
  <c r="H32" i="66" s="1"/>
  <c r="D7" i="73" s="1"/>
  <c r="F7" i="73" s="1"/>
  <c r="G7" i="73" s="1"/>
  <c r="J29" i="66"/>
  <c r="L19" i="66" s="1"/>
  <c r="D26" i="73" s="1"/>
  <c r="G26" i="73" s="1"/>
  <c r="G18" i="66"/>
  <c r="I18" i="66" s="1"/>
  <c r="G17" i="66"/>
  <c r="I17" i="66" s="1"/>
  <c r="K27" i="66"/>
  <c r="M18" i="66" l="1"/>
  <c r="M17" i="66"/>
  <c r="K32" i="66"/>
  <c r="G19" i="66"/>
  <c r="I19" i="66" s="1"/>
  <c r="M19" i="66" l="1"/>
</calcChain>
</file>

<file path=xl/sharedStrings.xml><?xml version="1.0" encoding="utf-8"?>
<sst xmlns="http://schemas.openxmlformats.org/spreadsheetml/2006/main" count="164" uniqueCount="114">
  <si>
    <t>INPUT</t>
  </si>
  <si>
    <t>Enrollment Level</t>
  </si>
  <si>
    <t>Poverty Level</t>
  </si>
  <si>
    <t>$ FPL @ 1HH</t>
  </si>
  <si>
    <t>Assistance Received</t>
  </si>
  <si>
    <t>Avg. LIHEAP</t>
  </si>
  <si>
    <t>MYRP Rate Increase</t>
  </si>
  <si>
    <t>Percentage Type</t>
  </si>
  <si>
    <t>MAX</t>
  </si>
  <si>
    <t>ANNUAL RESULTS</t>
  </si>
  <si>
    <t>Energy Discount</t>
  </si>
  <si>
    <t>Program w/ Other Assistance</t>
  </si>
  <si>
    <t>Energy Burden</t>
  </si>
  <si>
    <t>Tier</t>
  </si>
  <si>
    <t>FPL %</t>
  </si>
  <si>
    <t>AMI %</t>
  </si>
  <si>
    <t>Discount</t>
  </si>
  <si>
    <t>Post</t>
  </si>
  <si>
    <t>Acct Balance</t>
  </si>
  <si>
    <t>Before Discount</t>
  </si>
  <si>
    <t>After Discount</t>
  </si>
  <si>
    <t>After w/LIHEAP</t>
  </si>
  <si>
    <t>T1</t>
  </si>
  <si>
    <t>T2</t>
  </si>
  <si>
    <t>T3</t>
  </si>
  <si>
    <t>T4</t>
  </si>
  <si>
    <t>T5</t>
  </si>
  <si>
    <t>DATA</t>
  </si>
  <si>
    <t>Count</t>
  </si>
  <si>
    <r>
      <t>Avg Bill</t>
    </r>
    <r>
      <rPr>
        <i/>
        <vertAlign val="superscript"/>
        <sz val="10"/>
        <color rgb="FF000000"/>
        <rFont val="Calibri"/>
        <family val="2"/>
        <scheme val="minor"/>
      </rPr>
      <t>1</t>
    </r>
  </si>
  <si>
    <t>% of Count</t>
  </si>
  <si>
    <r>
      <t>Updated Avg Bill</t>
    </r>
    <r>
      <rPr>
        <i/>
        <vertAlign val="superscript"/>
        <sz val="10"/>
        <color rgb="FF000000"/>
        <rFont val="Calibri"/>
        <family val="2"/>
        <scheme val="minor"/>
      </rPr>
      <t>2</t>
    </r>
  </si>
  <si>
    <t>Notes:</t>
  </si>
  <si>
    <t>Proposed</t>
  </si>
  <si>
    <t>$ Difference</t>
  </si>
  <si>
    <t>% Difference</t>
  </si>
  <si>
    <t>Federal Poverty Level</t>
  </si>
  <si>
    <t>Average Bill</t>
  </si>
  <si>
    <t>Energy Burden Before Discount</t>
  </si>
  <si>
    <t>Energy Burden After Discount</t>
  </si>
  <si>
    <t>AMI Crossover</t>
  </si>
  <si>
    <t>SMI Crossover</t>
  </si>
  <si>
    <t>WA</t>
  </si>
  <si>
    <t>Description</t>
  </si>
  <si>
    <t>Adams</t>
  </si>
  <si>
    <t>Benton</t>
  </si>
  <si>
    <t>Chelan</t>
  </si>
  <si>
    <t>Cowlitz</t>
  </si>
  <si>
    <t>Douglas</t>
  </si>
  <si>
    <t>Franklin</t>
  </si>
  <si>
    <t>Grant</t>
  </si>
  <si>
    <t>Grays Harbor</t>
  </si>
  <si>
    <t>Island</t>
  </si>
  <si>
    <t>Kitsap</t>
  </si>
  <si>
    <t>Mason</t>
  </si>
  <si>
    <t>Skagit</t>
  </si>
  <si>
    <t>Snohomish</t>
  </si>
  <si>
    <t>Walla Walla</t>
  </si>
  <si>
    <t>Whatcom</t>
  </si>
  <si>
    <t>Yakima</t>
  </si>
  <si>
    <t>Crossover</t>
  </si>
  <si>
    <t>$ AMI @ 1HH</t>
  </si>
  <si>
    <t>$ SMI @ 1HH</t>
  </si>
  <si>
    <t>State Median Income Chart | DSHS</t>
  </si>
  <si>
    <t>FPL/AMI Crossover</t>
  </si>
  <si>
    <t>FPL/SMI Crossover</t>
  </si>
  <si>
    <t>AMI/FPL Crossover</t>
  </si>
  <si>
    <t>SMI/FPL Crossover</t>
  </si>
  <si>
    <t>CNG LIRA REPORT</t>
  </si>
  <si>
    <t>FPL</t>
  </si>
  <si>
    <t>AMI</t>
  </si>
  <si>
    <t>Max</t>
  </si>
  <si>
    <t>AVA</t>
  </si>
  <si>
    <t>SMI</t>
  </si>
  <si>
    <t>COUNTY</t>
  </si>
  <si>
    <t>ACCOUNTS</t>
  </si>
  <si>
    <t>ACCOUNTS LIHEAP</t>
  </si>
  <si>
    <t>LIEAP RECEIVED</t>
  </si>
  <si>
    <t>AVG LIHEAP RCVD</t>
  </si>
  <si>
    <t>AVG MONTHLY GAS COST</t>
  </si>
  <si>
    <t xml:space="preserve">ADAMS       </t>
  </si>
  <si>
    <t xml:space="preserve">BENTON      </t>
  </si>
  <si>
    <t xml:space="preserve">CHELAN      </t>
  </si>
  <si>
    <t xml:space="preserve">COWLITZ     </t>
  </si>
  <si>
    <t xml:space="preserve">DOUGLAS     </t>
  </si>
  <si>
    <t xml:space="preserve">FRANKLIN    </t>
  </si>
  <si>
    <t xml:space="preserve">GRANT       </t>
  </si>
  <si>
    <t>GRAYS HARBOR</t>
  </si>
  <si>
    <t xml:space="preserve">ISLAND      </t>
  </si>
  <si>
    <t xml:space="preserve">KITSAP      </t>
  </si>
  <si>
    <t xml:space="preserve">MASON       </t>
  </si>
  <si>
    <t xml:space="preserve">SKAGIT      </t>
  </si>
  <si>
    <t xml:space="preserve">SNOHOMISH   </t>
  </si>
  <si>
    <t xml:space="preserve">WALLA WALLA </t>
  </si>
  <si>
    <t xml:space="preserve">WHATCOM     </t>
  </si>
  <si>
    <t xml:space="preserve">YAKIMA      </t>
  </si>
  <si>
    <t>Household Size</t>
  </si>
  <si>
    <t>Poverty Guideline</t>
  </si>
  <si>
    <t>Household Adder</t>
  </si>
  <si>
    <t>For each additional household after 8 persons.</t>
  </si>
  <si>
    <t>https://aspe.hhs.gov/poverty-guidelines</t>
  </si>
  <si>
    <t>Household Adjuster</t>
  </si>
  <si>
    <t>x</t>
  </si>
  <si>
    <t>2024 Poverty Guidelines for Area Median Income (HUD)</t>
  </si>
  <si>
    <t>https://www.huduser.gov/portal/datasets/il.html#year2024</t>
  </si>
  <si>
    <t>Total Discounts</t>
  </si>
  <si>
    <t>Avg Bill Post</t>
  </si>
  <si>
    <t>Cascade Arrearage Relief and Energy Savings (CARES) Energy Burden Analyisis</t>
  </si>
  <si>
    <t>1) Average Bill based on current bills as provided in Docket UG-240008. See Exhibit ZLH-9. Current Average Monthly is $74.47. Current Average Annual Bill is $894.64</t>
  </si>
  <si>
    <r>
      <t>Current</t>
    </r>
    <r>
      <rPr>
        <vertAlign val="superscript"/>
        <sz val="10"/>
        <rFont val="Arial"/>
        <family val="2"/>
      </rPr>
      <t>1</t>
    </r>
  </si>
  <si>
    <t>2) Updated Average Bill updates the Average Bill from the LIRA Report using the overall residential percentage increase from Cascade's most recent multi-year rate plan (Docket UG-240008)</t>
  </si>
  <si>
    <t>*CNGC LIRA Report is filed in UG-230551</t>
  </si>
  <si>
    <t>1) Current values are from Docket UG-230551, CNGC Advice No. W23-06-02</t>
  </si>
  <si>
    <t>2025 Poverty Guidelines for the 48 Contiguous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</si>
</sst>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"/>
    <numFmt numFmtId="168" formatCode="&quot;$&quot;#,##0.00"/>
    <numFmt numFmtId="169" formatCode="_(* #,##0.0_);_(* \(#,##0.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19150F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vertAlign val="superscript"/>
      <sz val="10"/>
      <color rgb="FF000000"/>
      <name val="Calibri"/>
      <family val="2"/>
      <scheme val="minor"/>
    </font>
    <font>
      <sz val="10"/>
      <name val="Arial"/>
      <family val="2"/>
    </font>
    <font>
      <b/>
      <sz val="14"/>
      <color rgb="FF000000"/>
      <name val="Calibri"/>
      <family val="2"/>
      <scheme val="minor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139">
    <xf numFmtId="0" fontId="0" fillId="0" borderId="0" xfId="0"/>
    <xf numFmtId="9" fontId="7" fillId="2" borderId="0" xfId="7" applyNumberFormat="1" applyFont="1" applyFill="1"/>
    <xf numFmtId="0" fontId="8" fillId="2" borderId="0" xfId="7" applyFont="1" applyFill="1"/>
    <xf numFmtId="0" fontId="8" fillId="0" borderId="0" xfId="7" applyFont="1"/>
    <xf numFmtId="9" fontId="7" fillId="0" borderId="0" xfId="7" applyNumberFormat="1" applyFont="1"/>
    <xf numFmtId="166" fontId="8" fillId="0" borderId="0" xfId="9" applyNumberFormat="1" applyFont="1" applyFill="1" applyBorder="1" applyAlignment="1"/>
    <xf numFmtId="166" fontId="8" fillId="0" borderId="0" xfId="7" applyNumberFormat="1" applyFont="1"/>
    <xf numFmtId="9" fontId="8" fillId="0" borderId="0" xfId="7" applyNumberFormat="1" applyFont="1" applyAlignment="1">
      <alignment horizontal="left"/>
    </xf>
    <xf numFmtId="0" fontId="9" fillId="0" borderId="2" xfId="7" applyFont="1" applyBorder="1" applyAlignment="1">
      <alignment horizontal="center"/>
    </xf>
    <xf numFmtId="167" fontId="8" fillId="0" borderId="0" xfId="7" applyNumberFormat="1" applyFont="1"/>
    <xf numFmtId="9" fontId="8" fillId="0" borderId="0" xfId="7" applyNumberFormat="1" applyFont="1"/>
    <xf numFmtId="166" fontId="8" fillId="0" borderId="3" xfId="9" applyNumberFormat="1" applyFont="1" applyFill="1" applyBorder="1" applyAlignment="1"/>
    <xf numFmtId="0" fontId="8" fillId="0" borderId="0" xfId="7" applyFont="1" applyAlignment="1">
      <alignment horizontal="left"/>
    </xf>
    <xf numFmtId="0" fontId="8" fillId="0" borderId="3" xfId="7" applyFont="1" applyBorder="1" applyAlignment="1">
      <alignment horizontal="left"/>
    </xf>
    <xf numFmtId="168" fontId="8" fillId="0" borderId="0" xfId="7" applyNumberFormat="1" applyFont="1"/>
    <xf numFmtId="9" fontId="8" fillId="0" borderId="3" xfId="7" applyNumberFormat="1" applyFont="1" applyBorder="1" applyAlignment="1">
      <alignment horizontal="left"/>
    </xf>
    <xf numFmtId="43" fontId="8" fillId="0" borderId="0" xfId="11" applyFont="1"/>
    <xf numFmtId="0" fontId="8" fillId="3" borderId="0" xfId="7" applyFont="1" applyFill="1" applyAlignment="1" applyProtection="1">
      <alignment horizontal="center"/>
      <protection locked="0"/>
    </xf>
    <xf numFmtId="1" fontId="8" fillId="3" borderId="0" xfId="8" applyNumberFormat="1" applyFont="1" applyFill="1" applyAlignment="1" applyProtection="1">
      <alignment horizontal="center"/>
      <protection locked="0"/>
    </xf>
    <xf numFmtId="166" fontId="8" fillId="0" borderId="0" xfId="9" applyNumberFormat="1" applyFont="1" applyFill="1" applyBorder="1" applyAlignment="1" applyProtection="1"/>
    <xf numFmtId="9" fontId="8" fillId="0" borderId="0" xfId="8" applyFont="1" applyProtection="1"/>
    <xf numFmtId="9" fontId="5" fillId="0" borderId="0" xfId="7" applyNumberFormat="1" applyFont="1" applyAlignment="1">
      <alignment horizontal="left"/>
    </xf>
    <xf numFmtId="167" fontId="8" fillId="0" borderId="0" xfId="9" applyNumberFormat="1" applyFont="1" applyFill="1" applyBorder="1" applyAlignment="1" applyProtection="1"/>
    <xf numFmtId="166" fontId="8" fillId="0" borderId="1" xfId="9" applyNumberFormat="1" applyFont="1" applyFill="1" applyBorder="1" applyAlignment="1" applyProtection="1"/>
    <xf numFmtId="167" fontId="8" fillId="0" borderId="1" xfId="9" applyNumberFormat="1" applyFont="1" applyFill="1" applyBorder="1" applyAlignment="1" applyProtection="1"/>
    <xf numFmtId="165" fontId="8" fillId="0" borderId="0" xfId="7" applyNumberFormat="1" applyFont="1"/>
    <xf numFmtId="167" fontId="8" fillId="0" borderId="0" xfId="10" applyNumberFormat="1" applyFont="1" applyFill="1" applyBorder="1" applyAlignment="1" applyProtection="1"/>
    <xf numFmtId="9" fontId="10" fillId="0" borderId="0" xfId="1" applyFont="1" applyProtection="1"/>
    <xf numFmtId="44" fontId="8" fillId="0" borderId="0" xfId="10" applyFont="1" applyFill="1" applyBorder="1" applyAlignment="1" applyProtection="1"/>
    <xf numFmtId="167" fontId="8" fillId="0" borderId="0" xfId="9" applyNumberFormat="1" applyFont="1" applyProtection="1"/>
    <xf numFmtId="164" fontId="8" fillId="0" borderId="0" xfId="7" applyNumberFormat="1" applyFont="1"/>
    <xf numFmtId="9" fontId="8" fillId="0" borderId="0" xfId="1" applyFont="1" applyAlignment="1" applyProtection="1">
      <alignment horizontal="left"/>
    </xf>
    <xf numFmtId="9" fontId="8" fillId="0" borderId="3" xfId="1" applyFont="1" applyBorder="1" applyAlignment="1" applyProtection="1">
      <alignment horizontal="left"/>
    </xf>
    <xf numFmtId="166" fontId="8" fillId="0" borderId="3" xfId="9" applyNumberFormat="1" applyFont="1" applyFill="1" applyBorder="1" applyAlignment="1" applyProtection="1"/>
    <xf numFmtId="165" fontId="8" fillId="0" borderId="0" xfId="1" applyNumberFormat="1" applyFont="1" applyFill="1" applyBorder="1" applyAlignment="1" applyProtection="1"/>
    <xf numFmtId="165" fontId="8" fillId="0" borderId="3" xfId="1" applyNumberFormat="1" applyFont="1" applyFill="1" applyBorder="1" applyAlignment="1" applyProtection="1"/>
    <xf numFmtId="165" fontId="8" fillId="0" borderId="0" xfId="1" applyNumberFormat="1" applyFont="1" applyProtection="1"/>
    <xf numFmtId="0" fontId="12" fillId="2" borderId="0" xfId="7" applyFont="1" applyFill="1" applyAlignment="1">
      <alignment horizontal="right"/>
    </xf>
    <xf numFmtId="9" fontId="8" fillId="0" borderId="0" xfId="1" applyFont="1" applyProtection="1"/>
    <xf numFmtId="9" fontId="8" fillId="3" borderId="0" xfId="7" applyNumberFormat="1" applyFont="1" applyFill="1" applyAlignment="1" applyProtection="1">
      <alignment horizontal="right"/>
      <protection locked="0"/>
    </xf>
    <xf numFmtId="9" fontId="8" fillId="0" borderId="0" xfId="7" applyNumberFormat="1" applyFont="1" applyProtection="1">
      <protection locked="0"/>
    </xf>
    <xf numFmtId="9" fontId="8" fillId="0" borderId="0" xfId="7" applyNumberFormat="1" applyFont="1" applyAlignment="1" applyProtection="1">
      <alignment horizontal="right"/>
      <protection locked="0"/>
    </xf>
    <xf numFmtId="166" fontId="8" fillId="0" borderId="0" xfId="11" applyNumberFormat="1" applyFont="1" applyProtection="1"/>
    <xf numFmtId="9" fontId="13" fillId="0" borderId="0" xfId="1" applyFont="1" applyProtection="1"/>
    <xf numFmtId="43" fontId="8" fillId="0" borderId="0" xfId="7" applyNumberFormat="1" applyFont="1"/>
    <xf numFmtId="9" fontId="8" fillId="0" borderId="0" xfId="1" applyFont="1"/>
    <xf numFmtId="169" fontId="8" fillId="0" borderId="0" xfId="7" applyNumberFormat="1" applyFont="1"/>
    <xf numFmtId="165" fontId="9" fillId="0" borderId="5" xfId="7" applyNumberFormat="1" applyFont="1" applyBorder="1" applyAlignment="1">
      <alignment horizontal="center"/>
    </xf>
    <xf numFmtId="10" fontId="8" fillId="3" borderId="0" xfId="1" applyNumberFormat="1" applyFont="1" applyFill="1" applyAlignment="1" applyProtection="1">
      <alignment horizontal="center"/>
      <protection locked="0"/>
    </xf>
    <xf numFmtId="9" fontId="8" fillId="0" borderId="0" xfId="1" applyFont="1" applyFill="1" applyProtection="1"/>
    <xf numFmtId="0" fontId="18" fillId="0" borderId="0" xfId="21" applyFont="1" applyFill="1" applyAlignment="1"/>
    <xf numFmtId="0" fontId="17" fillId="0" borderId="0" xfId="17" applyFill="1" applyAlignment="1"/>
    <xf numFmtId="0" fontId="18" fillId="0" borderId="0" xfId="17" applyFont="1" applyFill="1" applyAlignment="1"/>
    <xf numFmtId="0" fontId="5" fillId="0" borderId="0" xfId="2" applyFont="1"/>
    <xf numFmtId="0" fontId="15" fillId="4" borderId="9" xfId="2" applyFont="1" applyFill="1" applyBorder="1" applyAlignment="1">
      <alignment wrapText="1"/>
    </xf>
    <xf numFmtId="0" fontId="15" fillId="4" borderId="10" xfId="2" applyFont="1" applyFill="1" applyBorder="1" applyAlignment="1">
      <alignment wrapText="1"/>
    </xf>
    <xf numFmtId="0" fontId="5" fillId="0" borderId="0" xfId="2" applyFont="1" applyAlignment="1">
      <alignment wrapText="1"/>
    </xf>
    <xf numFmtId="0" fontId="14" fillId="5" borderId="9" xfId="2" applyFont="1" applyFill="1" applyBorder="1"/>
    <xf numFmtId="0" fontId="14" fillId="0" borderId="9" xfId="2" applyFont="1" applyBorder="1"/>
    <xf numFmtId="0" fontId="15" fillId="4" borderId="0" xfId="2" applyFont="1" applyFill="1" applyAlignment="1">
      <alignment wrapText="1"/>
    </xf>
    <xf numFmtId="0" fontId="19" fillId="0" borderId="0" xfId="2" applyFont="1" applyAlignment="1">
      <alignment wrapText="1"/>
    </xf>
    <xf numFmtId="9" fontId="5" fillId="0" borderId="0" xfId="2" applyNumberFormat="1" applyFont="1" applyAlignment="1">
      <alignment wrapText="1"/>
    </xf>
    <xf numFmtId="167" fontId="20" fillId="5" borderId="10" xfId="2" applyNumberFormat="1" applyFont="1" applyFill="1" applyBorder="1"/>
    <xf numFmtId="43" fontId="5" fillId="5" borderId="0" xfId="18" applyFont="1" applyFill="1" applyBorder="1"/>
    <xf numFmtId="0" fontId="19" fillId="0" borderId="0" xfId="2" applyFont="1"/>
    <xf numFmtId="167" fontId="20" fillId="0" borderId="10" xfId="2" applyNumberFormat="1" applyFont="1" applyBorder="1"/>
    <xf numFmtId="43" fontId="5" fillId="0" borderId="0" xfId="18" applyFont="1" applyBorder="1"/>
    <xf numFmtId="167" fontId="5" fillId="5" borderId="10" xfId="2" applyNumberFormat="1" applyFont="1" applyFill="1" applyBorder="1"/>
    <xf numFmtId="167" fontId="5" fillId="0" borderId="10" xfId="2" applyNumberFormat="1" applyFont="1" applyBorder="1"/>
    <xf numFmtId="43" fontId="5" fillId="0" borderId="0" xfId="18" applyFont="1"/>
    <xf numFmtId="0" fontId="14" fillId="0" borderId="0" xfId="2" applyFont="1"/>
    <xf numFmtId="167" fontId="14" fillId="0" borderId="0" xfId="2" applyNumberFormat="1" applyFont="1"/>
    <xf numFmtId="167" fontId="14" fillId="0" borderId="0" xfId="2" applyNumberFormat="1" applyFont="1" applyAlignment="1">
      <alignment horizontal="center"/>
    </xf>
    <xf numFmtId="3" fontId="1" fillId="0" borderId="0" xfId="19" applyNumberFormat="1"/>
    <xf numFmtId="0" fontId="9" fillId="0" borderId="5" xfId="7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166" fontId="24" fillId="0" borderId="0" xfId="9" applyNumberFormat="1" applyFont="1" applyAlignment="1">
      <alignment horizontal="right"/>
    </xf>
    <xf numFmtId="44" fontId="24" fillId="0" borderId="0" xfId="10" applyFont="1" applyAlignment="1">
      <alignment horizontal="right"/>
    </xf>
    <xf numFmtId="164" fontId="24" fillId="0" borderId="0" xfId="10" applyNumberFormat="1" applyFont="1" applyAlignment="1">
      <alignment horizontal="right"/>
    </xf>
    <xf numFmtId="0" fontId="23" fillId="0" borderId="1" xfId="0" applyFont="1" applyBorder="1"/>
    <xf numFmtId="166" fontId="24" fillId="0" borderId="1" xfId="9" applyNumberFormat="1" applyFont="1" applyBorder="1" applyAlignment="1">
      <alignment horizontal="right"/>
    </xf>
    <xf numFmtId="44" fontId="24" fillId="0" borderId="1" xfId="10" applyFont="1" applyBorder="1" applyAlignment="1">
      <alignment horizontal="right"/>
    </xf>
    <xf numFmtId="44" fontId="24" fillId="0" borderId="0" xfId="10" applyFont="1" applyBorder="1" applyAlignment="1">
      <alignment horizontal="right"/>
    </xf>
    <xf numFmtId="164" fontId="24" fillId="0" borderId="1" xfId="10" applyNumberFormat="1" applyFont="1" applyBorder="1" applyAlignment="1">
      <alignment horizontal="right"/>
    </xf>
    <xf numFmtId="166" fontId="23" fillId="0" borderId="0" xfId="9" applyNumberFormat="1" applyFont="1"/>
    <xf numFmtId="44" fontId="23" fillId="0" borderId="0" xfId="10" applyFont="1"/>
    <xf numFmtId="44" fontId="22" fillId="0" borderId="4" xfId="10" applyFont="1" applyBorder="1"/>
    <xf numFmtId="0" fontId="21" fillId="0" borderId="0" xfId="21"/>
    <xf numFmtId="167" fontId="5" fillId="0" borderId="0" xfId="7" applyNumberFormat="1" applyFont="1"/>
    <xf numFmtId="166" fontId="8" fillId="0" borderId="0" xfId="11" applyNumberFormat="1" applyFont="1" applyFill="1" applyAlignment="1" applyProtection="1">
      <alignment horizontal="center"/>
    </xf>
    <xf numFmtId="166" fontId="12" fillId="0" borderId="0" xfId="11" applyNumberFormat="1" applyFont="1" applyFill="1" applyAlignment="1" applyProtection="1">
      <alignment horizontal="center"/>
    </xf>
    <xf numFmtId="165" fontId="8" fillId="0" borderId="0" xfId="1" applyNumberFormat="1" applyFont="1" applyFill="1" applyProtection="1"/>
    <xf numFmtId="9" fontId="12" fillId="0" borderId="0" xfId="1" applyFont="1" applyFill="1" applyProtection="1"/>
    <xf numFmtId="0" fontId="12" fillId="0" borderId="0" xfId="7" applyFont="1"/>
    <xf numFmtId="9" fontId="5" fillId="0" borderId="0" xfId="7" applyNumberFormat="1" applyFont="1" applyAlignment="1" applyProtection="1">
      <alignment horizontal="left"/>
      <protection locked="0"/>
    </xf>
    <xf numFmtId="165" fontId="7" fillId="0" borderId="6" xfId="1" applyNumberFormat="1" applyFont="1" applyFill="1" applyBorder="1" applyAlignment="1" applyProtection="1">
      <protection locked="0"/>
    </xf>
    <xf numFmtId="165" fontId="7" fillId="0" borderId="7" xfId="1" applyNumberFormat="1" applyFont="1" applyFill="1" applyBorder="1" applyAlignment="1" applyProtection="1">
      <protection locked="0"/>
    </xf>
    <xf numFmtId="165" fontId="7" fillId="0" borderId="8" xfId="1" applyNumberFormat="1" applyFont="1" applyFill="1" applyBorder="1" applyAlignment="1" applyProtection="1">
      <protection locked="0"/>
    </xf>
    <xf numFmtId="10" fontId="8" fillId="0" borderId="0" xfId="7" applyNumberFormat="1" applyFont="1"/>
    <xf numFmtId="10" fontId="8" fillId="0" borderId="0" xfId="1" applyNumberFormat="1" applyFont="1" applyFill="1" applyAlignment="1" applyProtection="1">
      <alignment horizontal="center"/>
      <protection locked="0"/>
    </xf>
    <xf numFmtId="164" fontId="0" fillId="0" borderId="0" xfId="22" applyNumberFormat="1" applyFont="1"/>
    <xf numFmtId="164" fontId="0" fillId="0" borderId="0" xfId="0" applyNumberFormat="1"/>
    <xf numFmtId="9" fontId="0" fillId="0" borderId="0" xfId="1" applyFont="1"/>
    <xf numFmtId="0" fontId="4" fillId="0" borderId="0" xfId="0" applyFont="1"/>
    <xf numFmtId="0" fontId="8" fillId="0" borderId="0" xfId="7" applyFont="1" applyAlignment="1">
      <alignment horizontal="left" indent="2"/>
    </xf>
    <xf numFmtId="165" fontId="0" fillId="0" borderId="0" xfId="1" applyNumberFormat="1" applyFont="1"/>
    <xf numFmtId="10" fontId="0" fillId="0" borderId="0" xfId="0" applyNumberFormat="1"/>
    <xf numFmtId="0" fontId="27" fillId="0" borderId="0" xfId="7" applyFont="1"/>
    <xf numFmtId="165" fontId="8" fillId="3" borderId="0" xfId="8" applyNumberFormat="1" applyFont="1" applyFill="1" applyAlignment="1" applyProtection="1">
      <alignment horizontal="center"/>
      <protection locked="0"/>
    </xf>
    <xf numFmtId="167" fontId="8" fillId="0" borderId="3" xfId="9" applyNumberFormat="1" applyFont="1" applyBorder="1" applyProtection="1"/>
    <xf numFmtId="0" fontId="8" fillId="0" borderId="0" xfId="7" applyFont="1" applyFill="1"/>
    <xf numFmtId="0" fontId="5" fillId="0" borderId="0" xfId="7" applyFont="1" applyFill="1"/>
    <xf numFmtId="10" fontId="0" fillId="0" borderId="0" xfId="1" applyNumberFormat="1" applyFont="1"/>
    <xf numFmtId="167" fontId="8" fillId="3" borderId="0" xfId="10" applyNumberFormat="1" applyFont="1" applyFill="1" applyBorder="1" applyAlignment="1" applyProtection="1">
      <alignment horizontal="center"/>
    </xf>
    <xf numFmtId="165" fontId="5" fillId="0" borderId="13" xfId="1" applyNumberFormat="1" applyFont="1" applyFill="1" applyBorder="1" applyAlignment="1" applyProtection="1"/>
    <xf numFmtId="165" fontId="5" fillId="0" borderId="14" xfId="1" applyNumberFormat="1" applyFont="1" applyFill="1" applyBorder="1" applyAlignment="1" applyProtection="1"/>
    <xf numFmtId="165" fontId="5" fillId="0" borderId="15" xfId="1" applyNumberFormat="1" applyFont="1" applyFill="1" applyBorder="1" applyAlignment="1" applyProtection="1"/>
    <xf numFmtId="166" fontId="8" fillId="0" borderId="0" xfId="7" applyNumberFormat="1" applyFont="1" applyFill="1"/>
    <xf numFmtId="43" fontId="8" fillId="0" borderId="0" xfId="11" applyFont="1" applyFill="1"/>
    <xf numFmtId="0" fontId="16" fillId="6" borderId="0" xfId="2" applyFont="1" applyFill="1" applyAlignment="1">
      <alignment horizontal="center"/>
    </xf>
    <xf numFmtId="0" fontId="18" fillId="6" borderId="0" xfId="21" applyFont="1" applyFill="1" applyAlignment="1">
      <alignment horizontal="center"/>
    </xf>
    <xf numFmtId="0" fontId="17" fillId="6" borderId="0" xfId="17" applyFill="1" applyAlignment="1">
      <alignment horizontal="center"/>
    </xf>
    <xf numFmtId="0" fontId="15" fillId="0" borderId="9" xfId="2" applyFont="1" applyFill="1" applyBorder="1" applyAlignment="1">
      <alignment wrapText="1"/>
    </xf>
    <xf numFmtId="0" fontId="15" fillId="0" borderId="10" xfId="2" applyFont="1" applyFill="1" applyBorder="1" applyAlignment="1">
      <alignment wrapText="1"/>
    </xf>
    <xf numFmtId="0" fontId="5" fillId="0" borderId="0" xfId="2" applyFont="1" applyFill="1" applyAlignment="1">
      <alignment wrapText="1"/>
    </xf>
    <xf numFmtId="0" fontId="15" fillId="0" borderId="11" xfId="2" applyFont="1" applyFill="1" applyBorder="1" applyAlignment="1">
      <alignment wrapText="1"/>
    </xf>
    <xf numFmtId="0" fontId="14" fillId="0" borderId="9" xfId="2" applyFont="1" applyFill="1" applyBorder="1"/>
    <xf numFmtId="167" fontId="20" fillId="0" borderId="10" xfId="2" applyNumberFormat="1" applyFont="1" applyFill="1" applyBorder="1"/>
    <xf numFmtId="167" fontId="5" fillId="0" borderId="0" xfId="2" applyNumberFormat="1" applyFont="1" applyFill="1"/>
    <xf numFmtId="0" fontId="14" fillId="0" borderId="12" xfId="2" applyFont="1" applyFill="1" applyBorder="1"/>
    <xf numFmtId="0" fontId="5" fillId="0" borderId="0" xfId="2" applyFont="1" applyFill="1"/>
    <xf numFmtId="168" fontId="5" fillId="0" borderId="0" xfId="2" applyNumberFormat="1" applyFont="1" applyFill="1"/>
    <xf numFmtId="167" fontId="14" fillId="0" borderId="10" xfId="2" applyNumberFormat="1" applyFont="1" applyFill="1" applyBorder="1"/>
    <xf numFmtId="167" fontId="20" fillId="0" borderId="0" xfId="16" applyNumberFormat="1" applyFont="1" applyFill="1" applyAlignment="1">
      <alignment horizontal="right"/>
    </xf>
    <xf numFmtId="0" fontId="5" fillId="0" borderId="0" xfId="2" applyFont="1" applyFill="1" applyAlignment="1">
      <alignment horizontal="right"/>
    </xf>
    <xf numFmtId="164" fontId="5" fillId="0" borderId="0" xfId="2" applyNumberFormat="1" applyFont="1" applyFill="1"/>
    <xf numFmtId="0" fontId="16" fillId="0" borderId="0" xfId="2" applyFont="1" applyFill="1" applyAlignment="1">
      <alignment horizontal="center"/>
    </xf>
    <xf numFmtId="0" fontId="18" fillId="0" borderId="0" xfId="17" applyFont="1" applyFill="1" applyAlignment="1">
      <alignment horizontal="center"/>
    </xf>
  </cellXfs>
  <cellStyles count="23">
    <cellStyle name="Comma" xfId="11" builtinId="3"/>
    <cellStyle name="Comma 2" xfId="6" xr:uid="{A58F62E3-752A-434E-A5EB-DB2CD6E7CA45}"/>
    <cellStyle name="Comma 2 2" xfId="18" xr:uid="{FC83850A-E04B-444C-8019-67F42465F856}"/>
    <cellStyle name="Comma 3" xfId="9" xr:uid="{4A67A1BB-A021-4703-A821-4F30C0237776}"/>
    <cellStyle name="Currency" xfId="22" builtinId="4"/>
    <cellStyle name="Currency 2" xfId="10" xr:uid="{2660FE23-8BED-4F6B-AEF0-6FABE4C4A3AF}"/>
    <cellStyle name="Currency 2 2" xfId="16" xr:uid="{CE4DADBF-F8AE-41B6-A064-184CFD738BBC}"/>
    <cellStyle name="Hyperlink" xfId="21" builtinId="8"/>
    <cellStyle name="Hyperlink 2" xfId="17" xr:uid="{D617E4BC-F22F-4BB2-9698-E95309542134}"/>
    <cellStyle name="Normal" xfId="0" builtinId="0"/>
    <cellStyle name="Normal 2" xfId="2" xr:uid="{00000000-0005-0000-0000-000003000000}"/>
    <cellStyle name="Normal 3" xfId="3" xr:uid="{00000000-0005-0000-0000-000004000000}"/>
    <cellStyle name="Normal 3 2" xfId="20" xr:uid="{59D46B63-256B-4D10-87BE-F1E29C4AF1DF}"/>
    <cellStyle name="Normal 4" xfId="4" xr:uid="{56FBD157-65AB-4A0A-98A3-C601908CD24B}"/>
    <cellStyle name="Normal 4 2" xfId="19" xr:uid="{356E20A7-164E-4E53-B23D-1C798CA88F9C}"/>
    <cellStyle name="Normal 4 3" xfId="14" xr:uid="{41696727-CC66-45A3-9C8A-C89CC29D768C}"/>
    <cellStyle name="Normal 5" xfId="7" xr:uid="{30BEE901-821A-4C44-9981-DE3A1579C698}"/>
    <cellStyle name="Normal 6" xfId="12" xr:uid="{EB9DD7D7-ED56-4CBD-8AB7-A431C7014B98}"/>
    <cellStyle name="Percent" xfId="1" builtinId="5"/>
    <cellStyle name="Percent 2" xfId="5" xr:uid="{316E3C7B-7CD6-48F9-A682-951DC80D2F32}"/>
    <cellStyle name="Percent 2 2" xfId="15" xr:uid="{41A07CAE-3768-423D-B534-8F45E27BB243}"/>
    <cellStyle name="Percent 3" xfId="8" xr:uid="{9393A9F1-416E-4EAB-A97A-65FBF0943548}"/>
    <cellStyle name="Percent 4" xfId="13" xr:uid="{09162ABD-D572-4081-BC15-59747907ABDC}"/>
  </cellStyles>
  <dxfs count="0"/>
  <tableStyles count="1" defaultTableStyle="TableStyleMedium9" defaultPivotStyle="PivotStyleLight16">
    <tableStyle name="Invisible" pivot="0" table="0" count="0" xr9:uid="{87CADAFF-8530-4C62-9FA3-80839C81687D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dshs.wa.gov/esa/eligibility-z-manual-ea-z/state-median-income-cha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spe.hhs.gov/poverty-guideline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huduser.gov/portal/datasets/i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D84D-FED9-4826-B1B2-D0E1040ADDC6}">
  <sheetPr codeName="Sheet1">
    <tabColor theme="7" tint="0.79998168889431442"/>
    <pageSetUpPr fitToPage="1"/>
  </sheetPr>
  <dimension ref="A1:Q47"/>
  <sheetViews>
    <sheetView tabSelected="1" zoomScale="130" zoomScaleNormal="130" workbookViewId="0">
      <selection activeCell="F6" sqref="F6"/>
    </sheetView>
  </sheetViews>
  <sheetFormatPr defaultColWidth="8.85546875" defaultRowHeight="12.75" x14ac:dyDescent="0.2"/>
  <cols>
    <col min="1" max="1" width="3.7109375" style="3" customWidth="1"/>
    <col min="2" max="2" width="20.140625" style="3" bestFit="1" customWidth="1"/>
    <col min="3" max="3" width="14.140625" style="3" bestFit="1" customWidth="1"/>
    <col min="4" max="4" width="11.7109375" style="3" bestFit="1" customWidth="1"/>
    <col min="5" max="5" width="17.42578125" style="3" bestFit="1" customWidth="1"/>
    <col min="6" max="6" width="12.28515625" style="3" customWidth="1"/>
    <col min="7" max="7" width="12.7109375" style="3" bestFit="1" customWidth="1"/>
    <col min="8" max="8" width="15" style="3" customWidth="1"/>
    <col min="9" max="9" width="13.7109375" style="3" bestFit="1" customWidth="1"/>
    <col min="10" max="10" width="11" style="3" bestFit="1" customWidth="1"/>
    <col min="11" max="11" width="14.140625" style="3" bestFit="1" customWidth="1"/>
    <col min="12" max="12" width="12.28515625" style="3" bestFit="1" customWidth="1"/>
    <col min="13" max="13" width="12.7109375" style="3" customWidth="1"/>
    <col min="14" max="14" width="12.28515625" style="3" bestFit="1" customWidth="1"/>
    <col min="15" max="15" width="14.140625" style="3" bestFit="1" customWidth="1"/>
    <col min="16" max="16" width="15.7109375" style="3" bestFit="1" customWidth="1"/>
    <col min="17" max="17" width="12.5703125" style="3" bestFit="1" customWidth="1"/>
    <col min="18" max="18" width="12.85546875" style="3" customWidth="1"/>
    <col min="19" max="19" width="15.7109375" style="3" bestFit="1" customWidth="1"/>
    <col min="20" max="20" width="11" style="3" bestFit="1" customWidth="1"/>
    <col min="21" max="16384" width="8.85546875" style="3"/>
  </cols>
  <sheetData>
    <row r="1" spans="2:16" ht="20.25" customHeight="1" x14ac:dyDescent="0.3">
      <c r="B1" s="108" t="s">
        <v>107</v>
      </c>
    </row>
    <row r="2" spans="2:16" ht="11.25" customHeight="1" x14ac:dyDescent="0.2"/>
    <row r="3" spans="2:16" ht="7.5" customHeight="1" x14ac:dyDescent="0.2"/>
    <row r="4" spans="2:16" x14ac:dyDescent="0.2">
      <c r="B4" s="1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5.25" customHeight="1" x14ac:dyDescent="0.2"/>
    <row r="6" spans="2:16" x14ac:dyDescent="0.2">
      <c r="B6" s="3" t="s">
        <v>1</v>
      </c>
      <c r="C6" s="109">
        <v>0.25</v>
      </c>
      <c r="E6" s="3" t="s">
        <v>2</v>
      </c>
      <c r="F6" s="114">
        <f>FPL!B2</f>
        <v>15650</v>
      </c>
      <c r="G6" s="3" t="s">
        <v>3</v>
      </c>
      <c r="H6" s="9"/>
    </row>
    <row r="7" spans="2:16" ht="5.25" customHeight="1" x14ac:dyDescent="0.2"/>
    <row r="8" spans="2:16" x14ac:dyDescent="0.2">
      <c r="B8" s="3" t="s">
        <v>4</v>
      </c>
      <c r="C8" s="17" t="s">
        <v>5</v>
      </c>
      <c r="E8" s="111" t="s">
        <v>6</v>
      </c>
      <c r="F8" s="48">
        <v>8.1164030613443863E-2</v>
      </c>
    </row>
    <row r="9" spans="2:16" ht="5.25" customHeight="1" x14ac:dyDescent="0.2"/>
    <row r="10" spans="2:16" x14ac:dyDescent="0.2">
      <c r="B10" s="3" t="s">
        <v>7</v>
      </c>
      <c r="C10" s="18" t="s">
        <v>8</v>
      </c>
      <c r="F10" s="9"/>
      <c r="G10" s="38"/>
      <c r="N10" s="99"/>
      <c r="O10" s="25"/>
      <c r="P10" s="99"/>
    </row>
    <row r="11" spans="2:16" ht="12" customHeight="1" x14ac:dyDescent="0.2">
      <c r="C11" s="100"/>
    </row>
    <row r="12" spans="2:16" ht="12" customHeight="1" x14ac:dyDescent="0.2">
      <c r="C12" s="100"/>
    </row>
    <row r="13" spans="2:16" x14ac:dyDescent="0.2">
      <c r="B13" s="1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6" x14ac:dyDescent="0.2">
      <c r="D14" s="25"/>
      <c r="E14" s="25"/>
      <c r="F14" s="20"/>
    </row>
    <row r="15" spans="2:16" ht="13.5" thickBot="1" x14ac:dyDescent="0.25">
      <c r="B15" s="7" t="s">
        <v>10</v>
      </c>
      <c r="D15" s="25"/>
      <c r="E15" s="25"/>
      <c r="G15" s="7" t="s">
        <v>11</v>
      </c>
      <c r="K15" s="3" t="s">
        <v>12</v>
      </c>
    </row>
    <row r="16" spans="2:16" ht="13.5" thickBot="1" x14ac:dyDescent="0.25">
      <c r="B16" s="8" t="s">
        <v>13</v>
      </c>
      <c r="C16" s="8" t="s">
        <v>14</v>
      </c>
      <c r="D16" s="8" t="s">
        <v>15</v>
      </c>
      <c r="E16" s="47" t="s">
        <v>16</v>
      </c>
      <c r="G16" s="8" t="s">
        <v>17</v>
      </c>
      <c r="H16" s="8" t="str">
        <f>C8</f>
        <v>Avg. LIHEAP</v>
      </c>
      <c r="I16" s="8" t="s">
        <v>18</v>
      </c>
      <c r="K16" s="8" t="s">
        <v>19</v>
      </c>
      <c r="L16" s="74" t="s">
        <v>20</v>
      </c>
      <c r="M16" s="8" t="s">
        <v>21</v>
      </c>
    </row>
    <row r="17" spans="2:17" x14ac:dyDescent="0.2">
      <c r="B17" s="3" t="s">
        <v>22</v>
      </c>
      <c r="C17" s="95">
        <v>0.2</v>
      </c>
      <c r="D17" s="21">
        <f>MROUND((Dashboard!$F$6*$C17)/('AMI SMI CROSSOVER'!$S$6/$D$21), 2%)</f>
        <v>0.04</v>
      </c>
      <c r="E17" s="96">
        <v>0.9</v>
      </c>
      <c r="F17" s="10"/>
      <c r="G17" s="26">
        <f>J27</f>
        <v>96.617142431739808</v>
      </c>
      <c r="H17" s="26">
        <f>Assistance!E18</f>
        <v>565.34449168023764</v>
      </c>
      <c r="I17" s="26">
        <f>G17-H17</f>
        <v>-468.72734924849783</v>
      </c>
      <c r="J17" s="27"/>
      <c r="K17" s="34">
        <f>H27/(Dashboard!$F$6*C17)</f>
        <v>0.30868096623559038</v>
      </c>
      <c r="L17" s="115">
        <f>J27/($F$6*C17)</f>
        <v>3.0868096623559042E-2</v>
      </c>
      <c r="M17" s="34">
        <f>I17/(Dashboard!$F$6*C17)</f>
        <v>-0.1497531467247597</v>
      </c>
      <c r="O17" s="99"/>
    </row>
    <row r="18" spans="2:17" x14ac:dyDescent="0.2">
      <c r="B18" s="3" t="s">
        <v>23</v>
      </c>
      <c r="C18" s="95">
        <v>0.5</v>
      </c>
      <c r="D18" s="21">
        <f>MROUND((Dashboard!$F$6*$C18)/('AMI SMI CROSSOVER'!$S$6/$D$21), 2%)</f>
        <v>0.12</v>
      </c>
      <c r="E18" s="97">
        <v>0.75</v>
      </c>
      <c r="F18" s="10"/>
      <c r="G18" s="26">
        <f>J28</f>
        <v>241.54285607934946</v>
      </c>
      <c r="H18" s="26">
        <f>H17</f>
        <v>565.34449168023764</v>
      </c>
      <c r="I18" s="26">
        <f t="shared" ref="I18:I20" si="0">G18-H18</f>
        <v>-323.80163560088818</v>
      </c>
      <c r="J18" s="27"/>
      <c r="K18" s="34">
        <f>H28/(Dashboard!$F$6*C18)</f>
        <v>0.12347238649423614</v>
      </c>
      <c r="L18" s="116">
        <f>J28/($F$6*C18)</f>
        <v>3.0868096623559035E-2</v>
      </c>
      <c r="M18" s="34">
        <f>I18/(Dashboard!$F$6*C18)</f>
        <v>-4.1380400715768456E-2</v>
      </c>
      <c r="O18" s="99"/>
    </row>
    <row r="19" spans="2:17" x14ac:dyDescent="0.2">
      <c r="B19" s="3" t="s">
        <v>24</v>
      </c>
      <c r="C19" s="95">
        <v>1</v>
      </c>
      <c r="D19" s="21">
        <f>MROUND((Dashboard!$F$6*$C19)/('AMI SMI CROSSOVER'!$S$6/$D$21), 2%)</f>
        <v>0.24</v>
      </c>
      <c r="E19" s="97">
        <v>0.5</v>
      </c>
      <c r="F19" s="10"/>
      <c r="G19" s="26">
        <f>J29</f>
        <v>483.08571215869893</v>
      </c>
      <c r="H19" s="26">
        <f>H18</f>
        <v>565.34449168023764</v>
      </c>
      <c r="I19" s="26">
        <f t="shared" si="0"/>
        <v>-82.258779521538713</v>
      </c>
      <c r="J19" s="27"/>
      <c r="K19" s="34">
        <f>H29/(Dashboard!$F$6*C19)</f>
        <v>6.1736193247118071E-2</v>
      </c>
      <c r="L19" s="116">
        <f>J29/($F$6*C19)</f>
        <v>3.0868096623559035E-2</v>
      </c>
      <c r="M19" s="34">
        <f>I19/(Dashboard!$F$6*C19)</f>
        <v>-5.2561520461047104E-3</v>
      </c>
      <c r="O19" s="99"/>
    </row>
    <row r="20" spans="2:17" x14ac:dyDescent="0.2">
      <c r="B20" s="3" t="s">
        <v>25</v>
      </c>
      <c r="C20" s="95">
        <v>1.5</v>
      </c>
      <c r="D20" s="21">
        <f>MROUND((Dashboard!$F$6*$C20)/('AMI SMI CROSSOVER'!$S$6/$D$21), 2%)</f>
        <v>0.38</v>
      </c>
      <c r="E20" s="97">
        <v>0.25</v>
      </c>
      <c r="F20" s="10"/>
      <c r="G20" s="26">
        <f>J30</f>
        <v>724.62856823804839</v>
      </c>
      <c r="H20" s="26">
        <f>H19</f>
        <v>565.34449168023764</v>
      </c>
      <c r="I20" s="26">
        <f t="shared" si="0"/>
        <v>159.28407655781075</v>
      </c>
      <c r="J20" s="27"/>
      <c r="K20" s="34">
        <f>H30/(Dashboard!$F$6*C20)</f>
        <v>4.1157462164745383E-2</v>
      </c>
      <c r="L20" s="116">
        <f>J30/($F$6*C20)</f>
        <v>3.0868096623559035E-2</v>
      </c>
      <c r="M20" s="34">
        <f>I20/(Dashboard!$F$6*C20)</f>
        <v>6.7852641771165385E-3</v>
      </c>
      <c r="O20" s="99"/>
    </row>
    <row r="21" spans="2:17" ht="13.5" thickBot="1" x14ac:dyDescent="0.25">
      <c r="B21" s="3" t="s">
        <v>26</v>
      </c>
      <c r="C21" s="21">
        <v>2</v>
      </c>
      <c r="D21" s="21">
        <v>0.8</v>
      </c>
      <c r="E21" s="98">
        <v>0.08</v>
      </c>
      <c r="F21" s="10"/>
      <c r="G21" s="26">
        <f>J31</f>
        <v>888.87771037200605</v>
      </c>
      <c r="H21" s="28"/>
      <c r="I21" s="26">
        <f>G21</f>
        <v>888.87771037200605</v>
      </c>
      <c r="J21" s="27"/>
      <c r="K21" s="34">
        <f>H31/(Dashboard!$F$6*C21)</f>
        <v>3.0868096623559035E-2</v>
      </c>
      <c r="L21" s="117">
        <f>J31/($F$6*C21)</f>
        <v>2.8398648893674314E-2</v>
      </c>
      <c r="M21" s="34">
        <f>I21/(Dashboard!$F$6*C21)</f>
        <v>2.8398648893674314E-2</v>
      </c>
      <c r="O21" s="99"/>
    </row>
    <row r="22" spans="2:17" x14ac:dyDescent="0.2">
      <c r="G22" s="44"/>
      <c r="H22" s="44"/>
      <c r="I22" s="44"/>
      <c r="M22" s="14"/>
    </row>
    <row r="23" spans="2:17" x14ac:dyDescent="0.2">
      <c r="Q23" s="34"/>
    </row>
    <row r="24" spans="2:17" x14ac:dyDescent="0.2">
      <c r="B24" s="1" t="s">
        <v>27</v>
      </c>
      <c r="C24" s="2"/>
      <c r="D24" s="2"/>
      <c r="E24" s="2"/>
      <c r="F24" s="2"/>
      <c r="G24" s="2"/>
      <c r="H24" s="2"/>
      <c r="I24" s="2"/>
      <c r="J24" s="2"/>
      <c r="K24" s="2"/>
    </row>
    <row r="25" spans="2:17" ht="13.5" thickBot="1" x14ac:dyDescent="0.25">
      <c r="B25" s="4"/>
      <c r="C25" s="19"/>
      <c r="D25" s="6"/>
      <c r="E25" s="6"/>
      <c r="G25" s="7"/>
    </row>
    <row r="26" spans="2:17" ht="15" x14ac:dyDescent="0.2">
      <c r="B26" s="8" t="str">
        <f>C10&amp;" %"</f>
        <v>MAX %</v>
      </c>
      <c r="C26" s="8" t="s">
        <v>28</v>
      </c>
      <c r="D26" s="8" t="s">
        <v>29</v>
      </c>
      <c r="E26" s="8" t="s">
        <v>30</v>
      </c>
      <c r="G26" s="8" t="s">
        <v>28</v>
      </c>
      <c r="H26" s="8" t="s">
        <v>31</v>
      </c>
      <c r="I26" s="8" t="s">
        <v>16</v>
      </c>
      <c r="J26" s="8" t="s">
        <v>106</v>
      </c>
      <c r="K26" s="8" t="s">
        <v>105</v>
      </c>
    </row>
    <row r="27" spans="2:17" x14ac:dyDescent="0.2">
      <c r="B27" s="7">
        <f>IF($C$10="AMI",D17,C17)</f>
        <v>0.2</v>
      </c>
      <c r="C27" s="19">
        <f>IF($C$10="AMI",SUMIF(Count!$E$6:$E$45,"&lt;="&amp;B27,Count!$F$6:$F$45),IF($C$10="FPL",SUMIF(Count!$B$6:$B$45,"&lt;="&amp;B27,Count!$C$6:$C$45),IF($C$10="MAX",SUMIF(Count!$B$6:$B$45,"&lt;="&amp;B27,Count!$I$6:$I$45),SUMIF(Count!$B$6:$B$45,"&lt;="&amp;B27,Count!$L$6:$L$45))))</f>
        <v>819.33333333333337</v>
      </c>
      <c r="D27" s="29">
        <f>74.47*12</f>
        <v>893.64</v>
      </c>
      <c r="E27" s="34">
        <f t="shared" ref="E27:E32" si="1">C27/$C$32</f>
        <v>1.3676297940765716E-2</v>
      </c>
      <c r="G27" s="19">
        <f>C27*$C$6</f>
        <v>204.83333333333334</v>
      </c>
      <c r="H27" s="22">
        <f>D27*(1+$F$8)</f>
        <v>966.17142431739785</v>
      </c>
      <c r="I27" s="22">
        <f>H27*E17</f>
        <v>869.55428188565804</v>
      </c>
      <c r="J27" s="22">
        <f>H27-I27</f>
        <v>96.617142431739808</v>
      </c>
      <c r="K27" s="22">
        <f>I27*G27</f>
        <v>178113.7020729123</v>
      </c>
      <c r="M27" s="14"/>
    </row>
    <row r="28" spans="2:17" x14ac:dyDescent="0.2">
      <c r="B28" s="31">
        <f>IF($C$10="AMI",D18,C18)</f>
        <v>0.5</v>
      </c>
      <c r="C28" s="19">
        <f>IF($C$10="AMI",SUMIFS(Count!$F$6:$F$45,Count!$E$6:$E$45,"&lt;="&amp;B28,Count!$E$6:$E$45,"&gt;"&amp;B27),IF($C$10="FPL", SUMIFS(Count!$C$6:$C$45,Count!$B$6:$B$45,"&lt;="&amp;B28,Count!$B$6:$B$45,"&gt;"&amp;B27),  IF($C$10="MAX", SUMIFS(Count!$I$6:$I$45,Count!$B$6:$B$45,"&lt;="&amp;B28,Count!$B$6:$B$45,"&gt;"&amp;B27), SUMIFS(Count!$L$6:$L$45,Count!$B$6:$B$45,"&lt;="&amp;B28,Count!$B$6:$B$45,"&gt;"&amp;B27))))</f>
        <v>1924.6666666666667</v>
      </c>
      <c r="D28" s="29">
        <f t="shared" ref="D28:D31" si="2">74.47*12</f>
        <v>893.64</v>
      </c>
      <c r="E28" s="34">
        <f t="shared" si="1"/>
        <v>3.2126502973954939E-2</v>
      </c>
      <c r="G28" s="19">
        <f>C28*$C$6</f>
        <v>481.16666666666669</v>
      </c>
      <c r="H28" s="22">
        <f t="shared" ref="H28:H31" si="3">D28*(1+$F$8)</f>
        <v>966.17142431739785</v>
      </c>
      <c r="I28" s="22">
        <f>H28*E18</f>
        <v>724.62856823804839</v>
      </c>
      <c r="J28" s="22">
        <f t="shared" ref="J28:J31" si="4">H28-I28</f>
        <v>241.54285607934946</v>
      </c>
      <c r="K28" s="22">
        <f t="shared" ref="K28:K29" si="5">I28*G28</f>
        <v>348667.11275054095</v>
      </c>
    </row>
    <row r="29" spans="2:17" x14ac:dyDescent="0.2">
      <c r="B29" s="31">
        <f>IF($C$10="AMI",D19,C19)</f>
        <v>1</v>
      </c>
      <c r="C29" s="19">
        <f>IF($C$10="AMI",SUMIFS(Count!$F$6:$F$45,Count!$E$6:$E$45,"&lt;="&amp;B29,Count!$E$6:$E$45,"&gt;"&amp;B28),IF($C$10="FPL", SUMIFS(Count!$C$6:$C$45,Count!$B$6:$B$45,"&lt;="&amp;B29,Count!$B$6:$B$45,"&gt;"&amp;B28),  IF($C$10="MAX", SUMIFS(Count!$I$6:$I$45,Count!$B$6:$B$45,"&lt;="&amp;B29,Count!$B$6:$B$45,"&gt;"&amp;B28), SUMIFS(Count!$L$6:$L$45,Count!$B$6:$B$45,"&lt;="&amp;B29,Count!$B$6:$B$45,"&gt;"&amp;B28))))</f>
        <v>9710</v>
      </c>
      <c r="D29" s="29">
        <f t="shared" si="2"/>
        <v>893.64</v>
      </c>
      <c r="E29" s="34">
        <f t="shared" si="1"/>
        <v>0.16207915338263029</v>
      </c>
      <c r="G29" s="19">
        <f>C29*$C$6</f>
        <v>2427.5</v>
      </c>
      <c r="H29" s="22">
        <f t="shared" si="3"/>
        <v>966.17142431739785</v>
      </c>
      <c r="I29" s="22">
        <f>H29*E19</f>
        <v>483.08571215869893</v>
      </c>
      <c r="J29" s="22">
        <f t="shared" si="4"/>
        <v>483.08571215869893</v>
      </c>
      <c r="K29" s="22">
        <f t="shared" si="5"/>
        <v>1172690.5662652417</v>
      </c>
    </row>
    <row r="30" spans="2:17" x14ac:dyDescent="0.2">
      <c r="B30" s="31">
        <f>IF($C$10="AMI",D20,C20)</f>
        <v>1.5</v>
      </c>
      <c r="C30" s="19">
        <f>IF($C$10="AMI",SUMIFS(Count!$F$6:$F$45,Count!$E$6:$E$45,"&lt;="&amp;B30,Count!$E$6:$E$45,"&gt;"&amp;B29),IF($C$10="FPL", SUMIFS(Count!$C$6:$C$45,Count!$B$6:$B$45,"&lt;="&amp;B30,Count!$B$6:$B$45,"&gt;"&amp;B29),  IF($C$10="MAX", SUMIFS(Count!$I$6:$I$45,Count!$B$6:$B$45,"&lt;="&amp;B30,Count!$B$6:$B$45,"&gt;"&amp;B29), SUMIFS(Count!$L$6:$L$45,Count!$B$6:$B$45,"&lt;="&amp;B30,Count!$B$6:$B$45,"&gt;"&amp;B29))))</f>
        <v>12510.017871036189</v>
      </c>
      <c r="D30" s="29">
        <f t="shared" si="2"/>
        <v>893.64</v>
      </c>
      <c r="E30" s="34">
        <f t="shared" si="1"/>
        <v>0.20881700363945629</v>
      </c>
      <c r="G30" s="19">
        <f>C30*$C$6</f>
        <v>3127.5044677590472</v>
      </c>
      <c r="H30" s="22">
        <f t="shared" si="3"/>
        <v>966.17142431739785</v>
      </c>
      <c r="I30" s="22">
        <f>H30*E20</f>
        <v>241.54285607934946</v>
      </c>
      <c r="J30" s="22">
        <f t="shared" si="4"/>
        <v>724.62856823804839</v>
      </c>
      <c r="K30" s="22">
        <f>I30*G30</f>
        <v>755426.36154344596</v>
      </c>
    </row>
    <row r="31" spans="2:17" ht="13.5" thickBot="1" x14ac:dyDescent="0.25">
      <c r="B31" s="32">
        <f>IF($C$10="AMI",D21,C21)</f>
        <v>2</v>
      </c>
      <c r="C31" s="33">
        <f>IF($C$10="AMI",SUMIFS(Count!$F$6:$F$45,Count!$E$6:$E$45,"&lt;="&amp;B31,Count!$E$6:$E$45,"&gt;"&amp;B30),IF($C$10="FPL", SUMIFS(Count!$C$6:$C$45,Count!$B$6:$B$45,"&lt;="&amp;B31,Count!$B$6:$B$45,"&gt;"&amp;B30),  IF($C$10="MAX", SUMIFS(Count!$I$6:$I$45,Count!$B$6:$B$45,"&lt;="&amp;B31,Count!$B$6:$B$45,"&gt;"&amp;B30), SUMIFS(Count!$L$6:$L$45,Count!$B$6:$B$45,"&lt;="&amp;B31,Count!$B$6:$B$45,"&gt;"&amp;B30))))</f>
        <v>34944.98212896382</v>
      </c>
      <c r="D31" s="110">
        <f t="shared" si="2"/>
        <v>893.64</v>
      </c>
      <c r="E31" s="35">
        <f t="shared" si="1"/>
        <v>0.58330104206319278</v>
      </c>
      <c r="G31" s="23">
        <f>C31*$C$6</f>
        <v>8736.2455322409551</v>
      </c>
      <c r="H31" s="24">
        <f t="shared" si="3"/>
        <v>966.17142431739785</v>
      </c>
      <c r="I31" s="24">
        <f>H31*E21</f>
        <v>77.293713945391829</v>
      </c>
      <c r="J31" s="24">
        <f t="shared" si="4"/>
        <v>888.87771037200605</v>
      </c>
      <c r="K31" s="24">
        <f>I31*G31</f>
        <v>675256.86312573974</v>
      </c>
    </row>
    <row r="32" spans="2:17" x14ac:dyDescent="0.2">
      <c r="C32" s="6">
        <f>SUM(C27:C31)</f>
        <v>59909.000000000007</v>
      </c>
      <c r="D32" s="9">
        <f>SUMPRODUCT(C27:C31,D27:D31)/C32</f>
        <v>893.64</v>
      </c>
      <c r="E32" s="36">
        <f t="shared" si="1"/>
        <v>1</v>
      </c>
      <c r="F32" s="20"/>
      <c r="G32" s="6">
        <f>SUM(G27:G31)</f>
        <v>14977.250000000002</v>
      </c>
      <c r="H32" s="9">
        <f>SUMPRODUCT(G27:G31,H27:H31)/G32</f>
        <v>966.17142431739774</v>
      </c>
      <c r="I32" s="9"/>
      <c r="J32" s="9"/>
      <c r="K32" s="22">
        <f>SUM(K27:K31)</f>
        <v>3130154.6057578805</v>
      </c>
    </row>
    <row r="33" spans="1:13" x14ac:dyDescent="0.2">
      <c r="E33" s="25"/>
      <c r="F33" s="20"/>
    </row>
    <row r="34" spans="1:13" x14ac:dyDescent="0.2">
      <c r="C34" s="25"/>
      <c r="D34" s="25"/>
      <c r="E34" s="36"/>
      <c r="F34" s="20"/>
      <c r="G34" s="42"/>
      <c r="H34" s="43"/>
      <c r="I34" s="42"/>
      <c r="J34" s="42"/>
    </row>
    <row r="35" spans="1:13" x14ac:dyDescent="0.2">
      <c r="G35" s="42"/>
      <c r="H35" s="43"/>
      <c r="I35" s="42"/>
      <c r="J35" s="42"/>
    </row>
    <row r="36" spans="1:13" x14ac:dyDescent="0.2">
      <c r="B36" s="3" t="s">
        <v>32</v>
      </c>
      <c r="G36" s="42"/>
      <c r="H36" s="43"/>
      <c r="I36" s="42"/>
      <c r="J36" s="42"/>
    </row>
    <row r="37" spans="1:13" x14ac:dyDescent="0.2">
      <c r="B37" s="112" t="s">
        <v>108</v>
      </c>
      <c r="G37" s="42"/>
      <c r="H37" s="43"/>
      <c r="I37" s="42"/>
      <c r="J37" s="42"/>
    </row>
    <row r="38" spans="1:13" x14ac:dyDescent="0.2">
      <c r="B38" s="3" t="s">
        <v>110</v>
      </c>
      <c r="G38" s="42"/>
      <c r="H38" s="43"/>
      <c r="I38" s="42"/>
      <c r="J38" s="42"/>
    </row>
    <row r="39" spans="1:13" x14ac:dyDescent="0.2">
      <c r="G39" s="42"/>
      <c r="H39" s="43"/>
      <c r="I39" s="42"/>
      <c r="J39" s="42"/>
    </row>
    <row r="40" spans="1:13" x14ac:dyDescent="0.2">
      <c r="G40" s="42"/>
      <c r="H40" s="43"/>
      <c r="I40" s="42"/>
      <c r="J40" s="42"/>
    </row>
    <row r="41" spans="1:13" x14ac:dyDescent="0.2">
      <c r="G41" s="30"/>
      <c r="H41" s="30"/>
      <c r="I41" s="30"/>
      <c r="J41" s="30"/>
      <c r="K41" s="30"/>
      <c r="L41" s="30"/>
      <c r="M41" s="30"/>
    </row>
    <row r="42" spans="1:13" x14ac:dyDescent="0.2">
      <c r="A42" s="10"/>
      <c r="G42" s="30"/>
      <c r="H42" s="30"/>
      <c r="I42" s="30"/>
      <c r="J42" s="30"/>
      <c r="K42" s="30"/>
      <c r="L42" s="30"/>
      <c r="M42" s="30"/>
    </row>
    <row r="43" spans="1:13" x14ac:dyDescent="0.2">
      <c r="A43" s="10"/>
      <c r="G43" s="30"/>
      <c r="H43" s="30"/>
      <c r="I43" s="30"/>
      <c r="J43" s="30"/>
      <c r="K43" s="30"/>
      <c r="L43" s="30"/>
      <c r="M43" s="30"/>
    </row>
    <row r="45" spans="1:13" x14ac:dyDescent="0.2">
      <c r="H45" s="38"/>
      <c r="I45" s="38"/>
      <c r="J45" s="38"/>
      <c r="K45" s="38"/>
      <c r="L45" s="38"/>
      <c r="M45" s="38"/>
    </row>
    <row r="46" spans="1:13" x14ac:dyDescent="0.2">
      <c r="H46" s="38"/>
      <c r="I46" s="38"/>
      <c r="J46" s="38"/>
      <c r="K46" s="38"/>
      <c r="L46" s="38"/>
      <c r="M46" s="38"/>
    </row>
    <row r="47" spans="1:13" ht="8.25" customHeight="1" x14ac:dyDescent="0.2"/>
  </sheetData>
  <sheetProtection formatCells="0" formatColumns="0" formatRows="0" sort="0" autoFilter="0" pivotTables="0"/>
  <protectedRanges>
    <protectedRange sqref="H41:M43" name="RD"/>
    <protectedRange sqref="F36:F41 H32 B27:E32" name="Data"/>
    <protectedRange sqref="F25:F29 C17:E22 N22:S22 G17:M21 G32 I32:K32 G27:K31" name="EDP"/>
    <protectedRange sqref="F16:F21" name="AMP"/>
  </protectedRanges>
  <dataValidations disablePrompts="1" count="4">
    <dataValidation type="list" allowBlank="1" showInputMessage="1" showErrorMessage="1" sqref="C8" xr:uid="{BA68A474-7F16-435E-893F-7884FE1203E9}">
      <formula1>"Avg. Assistance, Avg. LIHEAP"</formula1>
    </dataValidation>
    <dataValidation type="list" allowBlank="1" showInputMessage="1" showErrorMessage="1" sqref="C5" xr:uid="{25FA86DE-E8A1-4517-8E3A-4CE15819BAA9}">
      <formula1>"WA, OR"</formula1>
    </dataValidation>
    <dataValidation type="list" allowBlank="1" showInputMessage="1" showErrorMessage="1" sqref="C8" xr:uid="{A2829DED-D94D-4B5B-8CFF-D39EF457BF79}">
      <formula1>#REF!</formula1>
    </dataValidation>
    <dataValidation type="list" allowBlank="1" showInputMessage="1" showErrorMessage="1" sqref="C10" xr:uid="{4B4E4331-FE8D-4A21-A136-81E985C41EB8}">
      <formula1>"FPL, AMI, MAX, AVA"</formula1>
    </dataValidation>
  </dataValidation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87E42-6B57-4D69-AB94-AD1318C49E53}">
  <dimension ref="A4:G33"/>
  <sheetViews>
    <sheetView zoomScale="190" zoomScaleNormal="190" workbookViewId="0">
      <selection activeCell="C10" sqref="C10"/>
    </sheetView>
  </sheetViews>
  <sheetFormatPr defaultRowHeight="12.75" x14ac:dyDescent="0.2"/>
  <cols>
    <col min="2" max="2" width="20.7109375" customWidth="1"/>
    <col min="3" max="4" width="11.28515625" bestFit="1" customWidth="1"/>
    <col min="5" max="5" width="4" customWidth="1"/>
    <col min="6" max="6" width="10.7109375" bestFit="1" customWidth="1"/>
    <col min="7" max="7" width="11.42578125" bestFit="1" customWidth="1"/>
  </cols>
  <sheetData>
    <row r="4" spans="2:7" ht="14.25" x14ac:dyDescent="0.2">
      <c r="C4" s="104" t="s">
        <v>109</v>
      </c>
      <c r="D4" t="s">
        <v>33</v>
      </c>
      <c r="F4" t="s">
        <v>34</v>
      </c>
      <c r="G4" t="s">
        <v>35</v>
      </c>
    </row>
    <row r="5" spans="2:7" x14ac:dyDescent="0.2">
      <c r="B5" t="s">
        <v>36</v>
      </c>
      <c r="C5" s="101">
        <v>13590</v>
      </c>
      <c r="D5" s="101">
        <f>Dashboard!F6</f>
        <v>15650</v>
      </c>
      <c r="F5" s="102">
        <f>D5-C5</f>
        <v>2060</v>
      </c>
      <c r="G5" s="113">
        <f>F5/C5</f>
        <v>0.15158204562178071</v>
      </c>
    </row>
    <row r="7" spans="2:7" x14ac:dyDescent="0.2">
      <c r="B7" t="s">
        <v>37</v>
      </c>
      <c r="C7" s="101">
        <v>840</v>
      </c>
      <c r="D7" s="101">
        <f>Dashboard!H32</f>
        <v>966.17142431739774</v>
      </c>
      <c r="F7" s="102">
        <f>D7-C7</f>
        <v>126.17142431739774</v>
      </c>
      <c r="G7" s="113">
        <f>F7/C7</f>
        <v>0.15020407656833065</v>
      </c>
    </row>
    <row r="8" spans="2:7" x14ac:dyDescent="0.2">
      <c r="C8" s="101"/>
      <c r="D8" s="101"/>
      <c r="F8" s="102"/>
      <c r="G8" s="103"/>
    </row>
    <row r="9" spans="2:7" x14ac:dyDescent="0.2">
      <c r="B9" s="104" t="s">
        <v>38</v>
      </c>
    </row>
    <row r="10" spans="2:7" x14ac:dyDescent="0.2">
      <c r="B10" s="105" t="s">
        <v>22</v>
      </c>
      <c r="C10" s="106">
        <v>0.30218297767966645</v>
      </c>
      <c r="D10" s="106">
        <f>Dashboard!K17</f>
        <v>0.30868096623559038</v>
      </c>
      <c r="G10" s="107">
        <f>D10-C10</f>
        <v>6.4979885559239281E-3</v>
      </c>
    </row>
    <row r="11" spans="2:7" x14ac:dyDescent="0.2">
      <c r="B11" s="105" t="s">
        <v>23</v>
      </c>
      <c r="C11" s="106">
        <v>0.1231624560542883</v>
      </c>
      <c r="D11" s="106">
        <f>Dashboard!K18</f>
        <v>0.12347238649423614</v>
      </c>
      <c r="G11" s="107">
        <f t="shared" ref="G11:G14" si="0">D11-C11</f>
        <v>3.0993043994784197E-4</v>
      </c>
    </row>
    <row r="12" spans="2:7" x14ac:dyDescent="0.2">
      <c r="B12" s="105" t="s">
        <v>24</v>
      </c>
      <c r="C12" s="106">
        <v>5.9063036546480263E-2</v>
      </c>
      <c r="D12" s="106">
        <f>Dashboard!K19</f>
        <v>6.1736193247118071E-2</v>
      </c>
      <c r="G12" s="107">
        <f t="shared" si="0"/>
        <v>2.6731567006378076E-3</v>
      </c>
    </row>
    <row r="13" spans="2:7" x14ac:dyDescent="0.2">
      <c r="B13" s="105" t="s">
        <v>25</v>
      </c>
      <c r="C13" s="106">
        <v>4.1488022238574111E-2</v>
      </c>
      <c r="D13" s="106">
        <f>Dashboard!K20</f>
        <v>4.1157462164745383E-2</v>
      </c>
      <c r="G13" s="107">
        <f t="shared" si="0"/>
        <v>-3.3056007382872843E-4</v>
      </c>
    </row>
    <row r="14" spans="2:7" x14ac:dyDescent="0.2">
      <c r="B14" s="105" t="s">
        <v>26</v>
      </c>
      <c r="C14" s="106">
        <v>3.2891832229580573E-2</v>
      </c>
      <c r="D14" s="106">
        <f>Dashboard!K21</f>
        <v>3.0868096623559035E-2</v>
      </c>
      <c r="G14" s="107">
        <f t="shared" si="0"/>
        <v>-2.0237356060215372E-3</v>
      </c>
    </row>
    <row r="15" spans="2:7" x14ac:dyDescent="0.2">
      <c r="B15" s="105"/>
      <c r="C15" s="106"/>
      <c r="D15" s="106"/>
      <c r="G15" s="107"/>
    </row>
    <row r="16" spans="2:7" x14ac:dyDescent="0.2">
      <c r="B16" s="104" t="s">
        <v>10</v>
      </c>
      <c r="C16" s="101"/>
      <c r="D16" s="101"/>
      <c r="F16" s="102"/>
      <c r="G16" s="103"/>
    </row>
    <row r="17" spans="1:7" x14ac:dyDescent="0.2">
      <c r="B17" s="105" t="s">
        <v>22</v>
      </c>
      <c r="C17" s="103">
        <v>0.9</v>
      </c>
      <c r="D17" s="103">
        <f>Dashboard!E17</f>
        <v>0.9</v>
      </c>
      <c r="F17" s="102"/>
      <c r="G17" s="107">
        <f>D17-C17</f>
        <v>0</v>
      </c>
    </row>
    <row r="18" spans="1:7" x14ac:dyDescent="0.2">
      <c r="B18" s="105" t="s">
        <v>23</v>
      </c>
      <c r="C18" s="103">
        <v>0.71</v>
      </c>
      <c r="D18" s="103">
        <f>Dashboard!E18</f>
        <v>0.75</v>
      </c>
      <c r="F18" s="102"/>
      <c r="G18" s="107">
        <f t="shared" ref="G18:G21" si="1">D18-C18</f>
        <v>4.0000000000000036E-2</v>
      </c>
    </row>
    <row r="19" spans="1:7" x14ac:dyDescent="0.2">
      <c r="B19" s="105" t="s">
        <v>24</v>
      </c>
      <c r="C19" s="103">
        <v>0.4</v>
      </c>
      <c r="D19" s="103">
        <f>Dashboard!E19</f>
        <v>0.5</v>
      </c>
      <c r="F19" s="102"/>
      <c r="G19" s="107">
        <f t="shared" si="1"/>
        <v>9.9999999999999978E-2</v>
      </c>
    </row>
    <row r="20" spans="1:7" x14ac:dyDescent="0.2">
      <c r="B20" s="105" t="s">
        <v>25</v>
      </c>
      <c r="C20" s="103">
        <v>0.15</v>
      </c>
      <c r="D20" s="103">
        <f>Dashboard!E20</f>
        <v>0.25</v>
      </c>
      <c r="F20" s="102"/>
      <c r="G20" s="107">
        <f t="shared" si="1"/>
        <v>0.1</v>
      </c>
    </row>
    <row r="21" spans="1:7" x14ac:dyDescent="0.2">
      <c r="B21" s="105" t="s">
        <v>26</v>
      </c>
      <c r="C21" s="103">
        <v>0.08</v>
      </c>
      <c r="D21" s="103">
        <f>Dashboard!E21</f>
        <v>0.08</v>
      </c>
      <c r="F21" s="102"/>
      <c r="G21" s="107">
        <f t="shared" si="1"/>
        <v>0</v>
      </c>
    </row>
    <row r="22" spans="1:7" x14ac:dyDescent="0.2">
      <c r="B22" s="105"/>
      <c r="C22" s="106"/>
      <c r="D22" s="106"/>
      <c r="G22" s="107"/>
    </row>
    <row r="23" spans="1:7" x14ac:dyDescent="0.2">
      <c r="B23" s="104" t="s">
        <v>39</v>
      </c>
    </row>
    <row r="24" spans="1:7" x14ac:dyDescent="0.2">
      <c r="B24" s="105" t="s">
        <v>22</v>
      </c>
      <c r="C24" s="106">
        <v>3.021829776796664E-2</v>
      </c>
      <c r="D24" s="106">
        <f>Dashboard!L17</f>
        <v>3.0868096623559042E-2</v>
      </c>
      <c r="G24" s="107">
        <f>D24-C24</f>
        <v>6.4979885559240252E-4</v>
      </c>
    </row>
    <row r="25" spans="1:7" x14ac:dyDescent="0.2">
      <c r="B25" s="105" t="s">
        <v>23</v>
      </c>
      <c r="C25" s="106">
        <v>3.5717112255743623E-2</v>
      </c>
      <c r="D25" s="106">
        <f>Dashboard!L18</f>
        <v>3.0868096623559035E-2</v>
      </c>
      <c r="G25" s="107">
        <f t="shared" ref="G25:G28" si="2">D25-C25</f>
        <v>-4.8490156321845876E-3</v>
      </c>
    </row>
    <row r="26" spans="1:7" x14ac:dyDescent="0.2">
      <c r="B26" s="105" t="s">
        <v>24</v>
      </c>
      <c r="C26" s="106">
        <v>3.5437821927888156E-2</v>
      </c>
      <c r="D26" s="106">
        <f>Dashboard!L19</f>
        <v>3.0868096623559035E-2</v>
      </c>
      <c r="G26" s="107">
        <f t="shared" si="2"/>
        <v>-4.5697253043291211E-3</v>
      </c>
    </row>
    <row r="27" spans="1:7" x14ac:dyDescent="0.2">
      <c r="B27" s="105" t="s">
        <v>25</v>
      </c>
      <c r="C27" s="106">
        <v>3.5264818902787994E-2</v>
      </c>
      <c r="D27" s="106">
        <f>Dashboard!L20</f>
        <v>3.0868096623559035E-2</v>
      </c>
      <c r="G27" s="107">
        <f t="shared" si="2"/>
        <v>-4.3967222792289581E-3</v>
      </c>
    </row>
    <row r="28" spans="1:7" x14ac:dyDescent="0.2">
      <c r="B28" s="105" t="s">
        <v>26</v>
      </c>
      <c r="C28" s="106">
        <v>3.0260485651214128E-2</v>
      </c>
      <c r="D28" s="106">
        <f>Dashboard!L21</f>
        <v>2.8398648893674314E-2</v>
      </c>
      <c r="G28" s="107">
        <f t="shared" si="2"/>
        <v>-1.8618367575398143E-3</v>
      </c>
    </row>
    <row r="31" spans="1:7" x14ac:dyDescent="0.2">
      <c r="A31" s="104" t="s">
        <v>32</v>
      </c>
    </row>
    <row r="32" spans="1:7" x14ac:dyDescent="0.2">
      <c r="A32" s="104" t="s">
        <v>112</v>
      </c>
    </row>
    <row r="33" spans="1:1" x14ac:dyDescent="0.2">
      <c r="A33" s="10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029B-6281-44AA-95BB-4F1567C3FA47}">
  <sheetPr>
    <tabColor theme="3" tint="0.59999389629810485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D039-5610-41BF-B535-10A304CCA0E1}">
  <sheetPr codeName="Sheet2">
    <tabColor theme="3" tint="0.59999389629810485"/>
    <pageSetUpPr fitToPage="1"/>
  </sheetPr>
  <dimension ref="B2:X80"/>
  <sheetViews>
    <sheetView zoomScale="145" zoomScaleNormal="145" workbookViewId="0">
      <selection activeCell="V17" sqref="V17"/>
    </sheetView>
  </sheetViews>
  <sheetFormatPr defaultColWidth="8.85546875" defaultRowHeight="12.75" x14ac:dyDescent="0.2"/>
  <cols>
    <col min="1" max="1" width="4.5703125" style="3" customWidth="1"/>
    <col min="2" max="2" width="16.140625" style="3" customWidth="1"/>
    <col min="3" max="6" width="7.42578125" style="3" bestFit="1" customWidth="1"/>
    <col min="7" max="7" width="8" style="3" bestFit="1" customWidth="1"/>
    <col min="8" max="8" width="7.85546875" style="3" bestFit="1" customWidth="1"/>
    <col min="9" max="9" width="7.42578125" style="3" bestFit="1" customWidth="1"/>
    <col min="10" max="10" width="11.85546875" style="3" bestFit="1" customWidth="1"/>
    <col min="11" max="14" width="7.42578125" style="3" bestFit="1" customWidth="1"/>
    <col min="15" max="15" width="10.28515625" style="3" bestFit="1" customWidth="1"/>
    <col min="16" max="16" width="11.140625" style="3" bestFit="1" customWidth="1"/>
    <col min="17" max="17" width="9.28515625" style="3" bestFit="1" customWidth="1"/>
    <col min="18" max="18" width="7.42578125" style="3" bestFit="1" customWidth="1"/>
    <col min="19" max="19" width="9.28515625" style="3" bestFit="1" customWidth="1"/>
    <col min="20" max="20" width="8.85546875" style="3"/>
    <col min="21" max="21" width="15.85546875" style="3" bestFit="1" customWidth="1"/>
    <col min="22" max="22" width="7.42578125" style="3" bestFit="1" customWidth="1"/>
    <col min="23" max="16384" width="8.85546875" style="3"/>
  </cols>
  <sheetData>
    <row r="2" spans="2:24" x14ac:dyDescent="0.2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7"/>
      <c r="U2" s="1" t="s">
        <v>41</v>
      </c>
      <c r="V2" s="37"/>
    </row>
    <row r="3" spans="2:24" ht="8.25" customHeight="1" x14ac:dyDescent="0.2">
      <c r="B3" s="4"/>
    </row>
    <row r="4" spans="2:24" ht="13.5" thickBot="1" x14ac:dyDescent="0.25">
      <c r="B4" s="3" t="s">
        <v>42</v>
      </c>
    </row>
    <row r="5" spans="2:24" x14ac:dyDescent="0.2">
      <c r="B5" s="8" t="s">
        <v>43</v>
      </c>
      <c r="C5" s="8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8" t="s">
        <v>50</v>
      </c>
      <c r="J5" s="8" t="s">
        <v>51</v>
      </c>
      <c r="K5" s="8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8" t="s">
        <v>59</v>
      </c>
      <c r="S5" s="8" t="s">
        <v>60</v>
      </c>
      <c r="U5" s="8" t="s">
        <v>43</v>
      </c>
      <c r="V5" s="8" t="s">
        <v>42</v>
      </c>
    </row>
    <row r="6" spans="2:24" ht="15" x14ac:dyDescent="0.25">
      <c r="B6" s="3" t="s">
        <v>61</v>
      </c>
      <c r="C6" s="26">
        <f>'WA AMI'!B2</f>
        <v>50400</v>
      </c>
      <c r="D6" s="26">
        <f>'WA AMI'!C2</f>
        <v>55950</v>
      </c>
      <c r="E6" s="26">
        <f>'WA AMI'!D2</f>
        <v>51950</v>
      </c>
      <c r="F6" s="26">
        <f>'WA AMI'!E2</f>
        <v>50400</v>
      </c>
      <c r="G6" s="26">
        <f>'WA AMI'!F2</f>
        <v>51950</v>
      </c>
      <c r="H6" s="26">
        <f>'WA AMI'!G2</f>
        <v>55950</v>
      </c>
      <c r="I6" s="26">
        <f>'WA AMI'!H2</f>
        <v>50400</v>
      </c>
      <c r="J6" s="26">
        <f>'WA AMI'!I2</f>
        <v>50400</v>
      </c>
      <c r="K6" s="26">
        <f>'WA AMI'!J2</f>
        <v>57150</v>
      </c>
      <c r="L6" s="26">
        <f>'WA AMI'!K2</f>
        <v>67050</v>
      </c>
      <c r="M6" s="26">
        <f>'WA AMI'!L2</f>
        <v>51450</v>
      </c>
      <c r="N6" s="26">
        <f>'WA AMI'!M2</f>
        <v>56150</v>
      </c>
      <c r="O6" s="26">
        <f>'WA AMI'!N2</f>
        <v>77700</v>
      </c>
      <c r="P6" s="26">
        <f>'WA AMI'!O2</f>
        <v>50550</v>
      </c>
      <c r="Q6" s="26">
        <f>'WA AMI'!P2</f>
        <v>59150</v>
      </c>
      <c r="R6" s="26">
        <f>'WA AMI'!Q2</f>
        <v>50400</v>
      </c>
      <c r="S6" s="89">
        <f>ROUND(_xlfn.MODE.SNGL(C6:R6), 4)</f>
        <v>50400</v>
      </c>
      <c r="U6" s="3" t="s">
        <v>62</v>
      </c>
      <c r="V6" s="26">
        <f>5736*12</f>
        <v>68832</v>
      </c>
      <c r="X6" s="88" t="s">
        <v>63</v>
      </c>
    </row>
    <row r="7" spans="2:24" x14ac:dyDescent="0.2">
      <c r="C7" s="90" t="str">
        <f>IF(C6&lt;$V$6, "Y", "N")</f>
        <v>Y</v>
      </c>
      <c r="D7" s="90" t="str">
        <f t="shared" ref="D7:R7" si="0">IF(D6&lt;$V$6, "Y", "N")</f>
        <v>Y</v>
      </c>
      <c r="E7" s="90" t="str">
        <f t="shared" si="0"/>
        <v>Y</v>
      </c>
      <c r="F7" s="90" t="str">
        <f t="shared" si="0"/>
        <v>Y</v>
      </c>
      <c r="G7" s="90" t="str">
        <f t="shared" si="0"/>
        <v>Y</v>
      </c>
      <c r="H7" s="90" t="str">
        <f t="shared" si="0"/>
        <v>Y</v>
      </c>
      <c r="I7" s="90" t="str">
        <f t="shared" si="0"/>
        <v>Y</v>
      </c>
      <c r="J7" s="90" t="str">
        <f t="shared" si="0"/>
        <v>Y</v>
      </c>
      <c r="K7" s="90" t="str">
        <f t="shared" si="0"/>
        <v>Y</v>
      </c>
      <c r="L7" s="91" t="str">
        <f t="shared" si="0"/>
        <v>Y</v>
      </c>
      <c r="M7" s="90" t="str">
        <f t="shared" si="0"/>
        <v>Y</v>
      </c>
      <c r="N7" s="90" t="str">
        <f t="shared" si="0"/>
        <v>Y</v>
      </c>
      <c r="O7" s="91" t="str">
        <f t="shared" si="0"/>
        <v>N</v>
      </c>
      <c r="P7" s="90" t="str">
        <f t="shared" si="0"/>
        <v>Y</v>
      </c>
      <c r="Q7" s="90" t="str">
        <f t="shared" si="0"/>
        <v>Y</v>
      </c>
      <c r="R7" s="90" t="str">
        <f t="shared" si="0"/>
        <v>Y</v>
      </c>
      <c r="S7" s="90">
        <f>COUNTIF(C7:R7, "Y")</f>
        <v>15</v>
      </c>
      <c r="V7" s="42"/>
    </row>
    <row r="8" spans="2:24" x14ac:dyDescent="0.2"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3"/>
      <c r="V8" s="36"/>
    </row>
    <row r="9" spans="2:24" x14ac:dyDescent="0.2">
      <c r="B9" s="3" t="s">
        <v>64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94"/>
      <c r="T9" s="38"/>
      <c r="U9" s="3" t="s">
        <v>65</v>
      </c>
      <c r="V9" s="25"/>
    </row>
    <row r="10" spans="2:24" x14ac:dyDescent="0.2">
      <c r="B10" s="41">
        <f>Dashboard!C17</f>
        <v>0.2</v>
      </c>
      <c r="C10" s="92">
        <f>(Dashboard!$F$6*$B10)/(C$6/$B$21)</f>
        <v>4.9682539682539682E-2</v>
      </c>
      <c r="D10" s="92">
        <f>(Dashboard!$F$6*$B10)/(D$6/$B$21)</f>
        <v>4.4754244861483466E-2</v>
      </c>
      <c r="E10" s="92">
        <f>(Dashboard!$F$6*$B10)/(E$6/$B$21)</f>
        <v>4.820019249278152E-2</v>
      </c>
      <c r="F10" s="92">
        <f>(Dashboard!$F$6*$B10)/(F$6/$B$21)</f>
        <v>4.9682539682539682E-2</v>
      </c>
      <c r="G10" s="92">
        <f>(Dashboard!$F$6*$B10)/(G$6/$B$21)</f>
        <v>4.820019249278152E-2</v>
      </c>
      <c r="H10" s="92">
        <f>(Dashboard!$F$6*$B10)/(H$6/$B$21)</f>
        <v>4.4754244861483466E-2</v>
      </c>
      <c r="I10" s="92">
        <f>(Dashboard!$F$6*$B10)/(I$6/$B$21)</f>
        <v>4.9682539682539682E-2</v>
      </c>
      <c r="J10" s="92">
        <f>(Dashboard!$F$6*$B10)/(J$6/$B$21)</f>
        <v>4.9682539682539682E-2</v>
      </c>
      <c r="K10" s="92">
        <f>(Dashboard!$F$6*$B10)/(K$6/$B$21)</f>
        <v>4.3814523184601925E-2</v>
      </c>
      <c r="L10" s="92">
        <f>(Dashboard!$F$6*$B10)/(L$6/$B$21)</f>
        <v>3.7345264727815061E-2</v>
      </c>
      <c r="M10" s="92">
        <f>(Dashboard!$F$6*$B10)/(M$6/$B$21)</f>
        <v>4.8668610301263363E-2</v>
      </c>
      <c r="N10" s="92">
        <f>(Dashboard!$F$6*$B10)/(N$6/$B$21)</f>
        <v>4.4594835262689224E-2</v>
      </c>
      <c r="O10" s="92">
        <f>(Dashboard!$F$6*$B10)/(O$6/$B$21)</f>
        <v>3.2226512226512224E-2</v>
      </c>
      <c r="P10" s="92">
        <f>(Dashboard!$F$6*$B10)/(P$6/$B$21)</f>
        <v>4.9535113748763598E-2</v>
      </c>
      <c r="Q10" s="92">
        <f>(Dashboard!$F$6*$B10)/(Q$6/$B$21)</f>
        <v>4.2333051563820792E-2</v>
      </c>
      <c r="R10" s="92">
        <f>(Dashboard!$F$6*$B10)/(R$6/$B$21)</f>
        <v>4.9682539682539682E-2</v>
      </c>
      <c r="S10" s="49">
        <f>MROUND(ROUND(_xlfn.MODE.SNGL(C10:R10), 4), 2%)</f>
        <v>0.04</v>
      </c>
      <c r="T10" s="36"/>
      <c r="U10" s="39">
        <f>B10</f>
        <v>0.2</v>
      </c>
      <c r="V10" s="38">
        <f>(Dashboard!$F$6*$U10)/(V$6/$U$21)</f>
        <v>3.6378428637842866E-2</v>
      </c>
    </row>
    <row r="11" spans="2:24" x14ac:dyDescent="0.2">
      <c r="B11" s="41">
        <f>Dashboard!C18</f>
        <v>0.5</v>
      </c>
      <c r="C11" s="92">
        <f>(Dashboard!$F$6*$B11)/(C$6/$B$21)</f>
        <v>0.12420634920634921</v>
      </c>
      <c r="D11" s="92">
        <f>(Dashboard!$F$6*$B11)/(D$6/$B$21)</f>
        <v>0.11188561215370867</v>
      </c>
      <c r="E11" s="92">
        <f>(Dashboard!$F$6*$B11)/(E$6/$B$21)</f>
        <v>0.1205004812319538</v>
      </c>
      <c r="F11" s="92">
        <f>(Dashboard!$F$6*$B11)/(F$6/$B$21)</f>
        <v>0.12420634920634921</v>
      </c>
      <c r="G11" s="92">
        <f>(Dashboard!$F$6*$B11)/(G$6/$B$21)</f>
        <v>0.1205004812319538</v>
      </c>
      <c r="H11" s="92">
        <f>(Dashboard!$F$6*$B11)/(H$6/$B$21)</f>
        <v>0.11188561215370867</v>
      </c>
      <c r="I11" s="92">
        <f>(Dashboard!$F$6*$B11)/(I$6/$B$21)</f>
        <v>0.12420634920634921</v>
      </c>
      <c r="J11" s="92">
        <f>(Dashboard!$F$6*$B11)/(J$6/$B$21)</f>
        <v>0.12420634920634921</v>
      </c>
      <c r="K11" s="92">
        <f>(Dashboard!$F$6*$B11)/(K$6/$B$21)</f>
        <v>0.10953630796150481</v>
      </c>
      <c r="L11" s="92">
        <f>(Dashboard!$F$6*$B11)/(L$6/$B$21)</f>
        <v>9.336316181953766E-2</v>
      </c>
      <c r="M11" s="92">
        <f>(Dashboard!$F$6*$B11)/(M$6/$B$21)</f>
        <v>0.1216715257531584</v>
      </c>
      <c r="N11" s="92">
        <f>(Dashboard!$F$6*$B11)/(N$6/$B$21)</f>
        <v>0.11148708815672306</v>
      </c>
      <c r="O11" s="92">
        <f>(Dashboard!$F$6*$B11)/(O$6/$B$21)</f>
        <v>8.0566280566280568E-2</v>
      </c>
      <c r="P11" s="92">
        <f>(Dashboard!$F$6*$B11)/(P$6/$B$21)</f>
        <v>0.123837784371909</v>
      </c>
      <c r="Q11" s="92">
        <f>(Dashboard!$F$6*$B11)/(Q$6/$B$21)</f>
        <v>0.10583262890955199</v>
      </c>
      <c r="R11" s="92">
        <f>(Dashboard!$F$6*$B11)/(R$6/$B$21)</f>
        <v>0.12420634920634921</v>
      </c>
      <c r="S11" s="49">
        <f t="shared" ref="S11:S14" si="1">MROUND(ROUND(_xlfn.MODE.SNGL(C11:R11), 4), 2%)</f>
        <v>0.12</v>
      </c>
      <c r="T11" s="36"/>
      <c r="U11" s="39">
        <f>B11</f>
        <v>0.5</v>
      </c>
      <c r="V11" s="38">
        <f>(Dashboard!$F$6*$U11)/(V$6/$U$21)</f>
        <v>9.0946071594607159E-2</v>
      </c>
    </row>
    <row r="12" spans="2:24" x14ac:dyDescent="0.2">
      <c r="B12" s="41">
        <f>Dashboard!C19</f>
        <v>1</v>
      </c>
      <c r="C12" s="92">
        <f>(Dashboard!$F$6*$B12)/(C$6/$B$21)</f>
        <v>0.24841269841269842</v>
      </c>
      <c r="D12" s="92">
        <f>(Dashboard!$F$6*$B12)/(D$6/$B$21)</f>
        <v>0.22377122430741733</v>
      </c>
      <c r="E12" s="92">
        <f>(Dashboard!$F$6*$B12)/(E$6/$B$21)</f>
        <v>0.24100096246390759</v>
      </c>
      <c r="F12" s="92">
        <f>(Dashboard!$F$6*$B12)/(F$6/$B$21)</f>
        <v>0.24841269841269842</v>
      </c>
      <c r="G12" s="92">
        <f>(Dashboard!$F$6*$B12)/(G$6/$B$21)</f>
        <v>0.24100096246390759</v>
      </c>
      <c r="H12" s="92">
        <f>(Dashboard!$F$6*$B12)/(H$6/$B$21)</f>
        <v>0.22377122430741733</v>
      </c>
      <c r="I12" s="92">
        <f>(Dashboard!$F$6*$B12)/(I$6/$B$21)</f>
        <v>0.24841269841269842</v>
      </c>
      <c r="J12" s="92">
        <f>(Dashboard!$F$6*$B12)/(J$6/$B$21)</f>
        <v>0.24841269841269842</v>
      </c>
      <c r="K12" s="92">
        <f>(Dashboard!$F$6*$B12)/(K$6/$B$21)</f>
        <v>0.21907261592300961</v>
      </c>
      <c r="L12" s="92">
        <f>(Dashboard!$F$6*$B12)/(L$6/$B$21)</f>
        <v>0.18672632363907532</v>
      </c>
      <c r="M12" s="92">
        <f>(Dashboard!$F$6*$B12)/(M$6/$B$21)</f>
        <v>0.2433430515063168</v>
      </c>
      <c r="N12" s="92">
        <f>(Dashboard!$F$6*$B12)/(N$6/$B$21)</f>
        <v>0.22297417631344613</v>
      </c>
      <c r="O12" s="92">
        <f>(Dashboard!$F$6*$B12)/(O$6/$B$21)</f>
        <v>0.16113256113256114</v>
      </c>
      <c r="P12" s="92">
        <f>(Dashboard!$F$6*$B12)/(P$6/$B$21)</f>
        <v>0.24767556874381799</v>
      </c>
      <c r="Q12" s="92">
        <f>(Dashboard!$F$6*$B12)/(Q$6/$B$21)</f>
        <v>0.21166525781910397</v>
      </c>
      <c r="R12" s="92">
        <f>(Dashboard!$F$6*$B12)/(R$6/$B$21)</f>
        <v>0.24841269841269842</v>
      </c>
      <c r="S12" s="49">
        <f t="shared" si="1"/>
        <v>0.24</v>
      </c>
      <c r="T12" s="36"/>
      <c r="U12" s="39">
        <f>B12</f>
        <v>1</v>
      </c>
      <c r="V12" s="38">
        <f>(Dashboard!$F$6*$U12)/(V$6/$U$21)</f>
        <v>0.18189214318921432</v>
      </c>
    </row>
    <row r="13" spans="2:24" x14ac:dyDescent="0.2">
      <c r="B13" s="41">
        <f>Dashboard!C20</f>
        <v>1.5</v>
      </c>
      <c r="C13" s="92">
        <f>(Dashboard!$F$6*$B13)/(C$6/$B$21)</f>
        <v>0.37261904761904763</v>
      </c>
      <c r="D13" s="92">
        <f>(Dashboard!$F$6*$B13)/(D$6/$B$21)</f>
        <v>0.33565683646112598</v>
      </c>
      <c r="E13" s="92">
        <f>(Dashboard!$F$6*$B13)/(E$6/$B$21)</f>
        <v>0.3615014436958614</v>
      </c>
      <c r="F13" s="92">
        <f>(Dashboard!$F$6*$B13)/(F$6/$B$21)</f>
        <v>0.37261904761904763</v>
      </c>
      <c r="G13" s="92">
        <f>(Dashboard!$F$6*$B13)/(G$6/$B$21)</f>
        <v>0.3615014436958614</v>
      </c>
      <c r="H13" s="92">
        <f>(Dashboard!$F$6*$B13)/(H$6/$B$21)</f>
        <v>0.33565683646112598</v>
      </c>
      <c r="I13" s="92">
        <f>(Dashboard!$F$6*$B13)/(I$6/$B$21)</f>
        <v>0.37261904761904763</v>
      </c>
      <c r="J13" s="92">
        <f>(Dashboard!$F$6*$B13)/(J$6/$B$21)</f>
        <v>0.37261904761904763</v>
      </c>
      <c r="K13" s="92">
        <f>(Dashboard!$F$6*$B13)/(K$6/$B$21)</f>
        <v>0.32860892388451446</v>
      </c>
      <c r="L13" s="92">
        <f>(Dashboard!$F$6*$B13)/(L$6/$B$21)</f>
        <v>0.28008948545861295</v>
      </c>
      <c r="M13" s="92">
        <f>(Dashboard!$F$6*$B13)/(M$6/$B$21)</f>
        <v>0.36501457725947523</v>
      </c>
      <c r="N13" s="92">
        <f>(Dashboard!$F$6*$B13)/(N$6/$B$21)</f>
        <v>0.33446126447016922</v>
      </c>
      <c r="O13" s="92">
        <f>(Dashboard!$F$6*$B13)/(O$6/$B$21)</f>
        <v>0.2416988416988417</v>
      </c>
      <c r="P13" s="92">
        <f>(Dashboard!$F$6*$B13)/(P$6/$B$21)</f>
        <v>0.37151335311572703</v>
      </c>
      <c r="Q13" s="92">
        <f>(Dashboard!$F$6*$B13)/(Q$6/$B$21)</f>
        <v>0.31749788672865598</v>
      </c>
      <c r="R13" s="92">
        <f>(Dashboard!$F$6*$B13)/(R$6/$B$21)</f>
        <v>0.37261904761904763</v>
      </c>
      <c r="S13" s="49">
        <f t="shared" si="1"/>
        <v>0.38</v>
      </c>
      <c r="T13" s="36"/>
      <c r="U13" s="39">
        <f>B13</f>
        <v>1.5</v>
      </c>
      <c r="V13" s="38">
        <f>(Dashboard!$F$6*$U13)/(V$6/$U$21)</f>
        <v>0.27283821478382148</v>
      </c>
    </row>
    <row r="14" spans="2:24" x14ac:dyDescent="0.2">
      <c r="B14" s="40">
        <v>2</v>
      </c>
      <c r="C14" s="92">
        <f>(Dashboard!$F$6*$B14)/(C$6/$B$21)</f>
        <v>0.49682539682539684</v>
      </c>
      <c r="D14" s="92">
        <f>(Dashboard!$F$6*$B14)/(D$6/$B$21)</f>
        <v>0.44754244861483466</v>
      </c>
      <c r="E14" s="92">
        <f>(Dashboard!$F$6*$B14)/(E$6/$B$21)</f>
        <v>0.48200192492781518</v>
      </c>
      <c r="F14" s="92">
        <f>(Dashboard!$F$6*$B14)/(F$6/$B$21)</f>
        <v>0.49682539682539684</v>
      </c>
      <c r="G14" s="92">
        <f>(Dashboard!$F$6*$B14)/(G$6/$B$21)</f>
        <v>0.48200192492781518</v>
      </c>
      <c r="H14" s="92">
        <f>(Dashboard!$F$6*$B14)/(H$6/$B$21)</f>
        <v>0.44754244861483466</v>
      </c>
      <c r="I14" s="92">
        <f>(Dashboard!$F$6*$B14)/(I$6/$B$21)</f>
        <v>0.49682539682539684</v>
      </c>
      <c r="J14" s="92">
        <f>(Dashboard!$F$6*$B14)/(J$6/$B$21)</f>
        <v>0.49682539682539684</v>
      </c>
      <c r="K14" s="92">
        <f>(Dashboard!$F$6*$B14)/(K$6/$B$21)</f>
        <v>0.43814523184601922</v>
      </c>
      <c r="L14" s="92">
        <f>(Dashboard!$F$6*$B14)/(L$6/$B$21)</f>
        <v>0.37345264727815064</v>
      </c>
      <c r="M14" s="92">
        <f>(Dashboard!$F$6*$B14)/(M$6/$B$21)</f>
        <v>0.4866861030126336</v>
      </c>
      <c r="N14" s="92">
        <f>(Dashboard!$F$6*$B14)/(N$6/$B$21)</f>
        <v>0.44594835262689225</v>
      </c>
      <c r="O14" s="92">
        <f>(Dashboard!$F$6*$B14)/(O$6/$B$21)</f>
        <v>0.32226512226512227</v>
      </c>
      <c r="P14" s="92">
        <f>(Dashboard!$F$6*$B14)/(P$6/$B$21)</f>
        <v>0.49535113748763598</v>
      </c>
      <c r="Q14" s="92">
        <f>(Dashboard!$F$6*$B14)/(Q$6/$B$21)</f>
        <v>0.42333051563820795</v>
      </c>
      <c r="R14" s="92">
        <f>(Dashboard!$F$6*$B14)/(R$6/$B$21)</f>
        <v>0.49682539682539684</v>
      </c>
      <c r="S14" s="49">
        <f t="shared" si="1"/>
        <v>0.5</v>
      </c>
      <c r="T14" s="36"/>
      <c r="U14" s="40">
        <v>2</v>
      </c>
      <c r="V14" s="38">
        <f>(Dashboard!$F$6*$U14)/(V$6/$U$21)</f>
        <v>0.36378428637842863</v>
      </c>
    </row>
    <row r="15" spans="2:24" x14ac:dyDescent="0.2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V15" s="10"/>
    </row>
    <row r="16" spans="2:24" x14ac:dyDescent="0.2">
      <c r="B16" s="3" t="s">
        <v>66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U16" s="3" t="s">
        <v>67</v>
      </c>
      <c r="V16" s="10"/>
    </row>
    <row r="17" spans="2:22" x14ac:dyDescent="0.2">
      <c r="B17" s="41">
        <v>0.1</v>
      </c>
      <c r="C17" s="92">
        <f>((C$6/$B$21)*$B17)/Dashboard!$F$6</f>
        <v>0.402555910543131</v>
      </c>
      <c r="D17" s="92">
        <f>((D$6/$B$21)*$B17)/Dashboard!$F$6</f>
        <v>0.4468849840255591</v>
      </c>
      <c r="E17" s="92">
        <f>((E$6/$B$21)*$B17)/Dashboard!$F$6</f>
        <v>0.41493610223642174</v>
      </c>
      <c r="F17" s="92">
        <f>((F$6/$B$21)*$B17)/Dashboard!$F$6</f>
        <v>0.402555910543131</v>
      </c>
      <c r="G17" s="92">
        <f>((G$6/$B$21)*$B17)/Dashboard!$F$6</f>
        <v>0.41493610223642174</v>
      </c>
      <c r="H17" s="92">
        <f>((H$6/$B$21)*$B17)/Dashboard!$F$6</f>
        <v>0.4468849840255591</v>
      </c>
      <c r="I17" s="92">
        <f>((I$6/$B$21)*$B17)/Dashboard!$F$6</f>
        <v>0.402555910543131</v>
      </c>
      <c r="J17" s="92">
        <f>((J$6/$B$21)*$B17)/Dashboard!$F$6</f>
        <v>0.402555910543131</v>
      </c>
      <c r="K17" s="92">
        <f>((K$6/$B$21)*$B17)/Dashboard!$F$6</f>
        <v>0.45646964856230032</v>
      </c>
      <c r="L17" s="92">
        <f>((L$6/$B$21)*$B17)/Dashboard!$F$6</f>
        <v>0.53554313099041528</v>
      </c>
      <c r="M17" s="92">
        <f>((M$6/$B$21)*$B17)/Dashboard!$F$6</f>
        <v>0.41094249201277955</v>
      </c>
      <c r="N17" s="92">
        <f>((N$6/$B$21)*$B17)/Dashboard!$F$6</f>
        <v>0.44848242811501599</v>
      </c>
      <c r="O17" s="92">
        <f>((O$6/$B$21)*$B17)/Dashboard!$F$6</f>
        <v>0.62060702875399365</v>
      </c>
      <c r="P17" s="92">
        <f>((P$6/$B$21)*$B17)/Dashboard!$F$6</f>
        <v>0.40375399361022363</v>
      </c>
      <c r="Q17" s="92">
        <f>((Q$6/$B$21)*$B17)/Dashboard!$F$6</f>
        <v>0.472444089456869</v>
      </c>
      <c r="R17" s="92">
        <f>((R$6/$B$21)*$B17)/Dashboard!$F$6</f>
        <v>0.402555910543131</v>
      </c>
      <c r="S17" s="92"/>
      <c r="U17" s="39">
        <f>B17</f>
        <v>0.1</v>
      </c>
      <c r="V17" s="38">
        <f>((V$6/$U$21)*$U17)/Dashboard!$F$6</f>
        <v>0.54977635782747603</v>
      </c>
    </row>
    <row r="18" spans="2:22" x14ac:dyDescent="0.2">
      <c r="B18" s="41">
        <v>0.2</v>
      </c>
      <c r="C18" s="92">
        <f>((C$6/$B$21)*$B18)/Dashboard!$F$6</f>
        <v>0.805111821086262</v>
      </c>
      <c r="D18" s="92">
        <f>((D$6/$B$21)*$B18)/Dashboard!$F$6</f>
        <v>0.89376996805111819</v>
      </c>
      <c r="E18" s="92">
        <f>((E$6/$B$21)*$B18)/Dashboard!$F$6</f>
        <v>0.82987220447284349</v>
      </c>
      <c r="F18" s="92">
        <f>((F$6/$B$21)*$B18)/Dashboard!$F$6</f>
        <v>0.805111821086262</v>
      </c>
      <c r="G18" s="92">
        <f>((G$6/$B$21)*$B18)/Dashboard!$F$6</f>
        <v>0.82987220447284349</v>
      </c>
      <c r="H18" s="92">
        <f>((H$6/$B$21)*$B18)/Dashboard!$F$6</f>
        <v>0.89376996805111819</v>
      </c>
      <c r="I18" s="92">
        <f>((I$6/$B$21)*$B18)/Dashboard!$F$6</f>
        <v>0.805111821086262</v>
      </c>
      <c r="J18" s="92">
        <f>((J$6/$B$21)*$B18)/Dashboard!$F$6</f>
        <v>0.805111821086262</v>
      </c>
      <c r="K18" s="92">
        <f>((K$6/$B$21)*$B18)/Dashboard!$F$6</f>
        <v>0.91293929712460065</v>
      </c>
      <c r="L18" s="92">
        <f>((L$6/$B$21)*$B18)/Dashboard!$F$6</f>
        <v>1.0710862619808306</v>
      </c>
      <c r="M18" s="92">
        <f>((M$6/$B$21)*$B18)/Dashboard!$F$6</f>
        <v>0.8218849840255591</v>
      </c>
      <c r="N18" s="92">
        <f>((N$6/$B$21)*$B18)/Dashboard!$F$6</f>
        <v>0.89696485623003197</v>
      </c>
      <c r="O18" s="92">
        <f>((O$6/$B$21)*$B18)/Dashboard!$F$6</f>
        <v>1.2412140575079873</v>
      </c>
      <c r="P18" s="92">
        <f>((P$6/$B$21)*$B18)/Dashboard!$F$6</f>
        <v>0.80750798722044725</v>
      </c>
      <c r="Q18" s="92">
        <f>((Q$6/$B$21)*$B18)/Dashboard!$F$6</f>
        <v>0.944888178913738</v>
      </c>
      <c r="R18" s="92">
        <f>((R$6/$B$21)*$B18)/Dashboard!$F$6</f>
        <v>0.805111821086262</v>
      </c>
      <c r="S18" s="92"/>
      <c r="U18" s="39">
        <f>B18</f>
        <v>0.2</v>
      </c>
      <c r="V18" s="38">
        <f>((V$6/$U$21)*$U18)/Dashboard!$F$6</f>
        <v>1.0995527156549521</v>
      </c>
    </row>
    <row r="19" spans="2:22" x14ac:dyDescent="0.2">
      <c r="B19" s="41">
        <v>0.4</v>
      </c>
      <c r="C19" s="92">
        <f>((C$6/$B$21)*$B19)/Dashboard!$F$6</f>
        <v>1.610223642172524</v>
      </c>
      <c r="D19" s="92">
        <f>((D$6/$B$21)*$B19)/Dashboard!$F$6</f>
        <v>1.7875399361022364</v>
      </c>
      <c r="E19" s="92">
        <f>((E$6/$B$21)*$B19)/Dashboard!$F$6</f>
        <v>1.659744408945687</v>
      </c>
      <c r="F19" s="92">
        <f>((F$6/$B$21)*$B19)/Dashboard!$F$6</f>
        <v>1.610223642172524</v>
      </c>
      <c r="G19" s="92">
        <f>((G$6/$B$21)*$B19)/Dashboard!$F$6</f>
        <v>1.659744408945687</v>
      </c>
      <c r="H19" s="92">
        <f>((H$6/$B$21)*$B19)/Dashboard!$F$6</f>
        <v>1.7875399361022364</v>
      </c>
      <c r="I19" s="92">
        <f>((I$6/$B$21)*$B19)/Dashboard!$F$6</f>
        <v>1.610223642172524</v>
      </c>
      <c r="J19" s="92">
        <f>((J$6/$B$21)*$B19)/Dashboard!$F$6</f>
        <v>1.610223642172524</v>
      </c>
      <c r="K19" s="92">
        <f>((K$6/$B$21)*$B19)/Dashboard!$F$6</f>
        <v>1.8258785942492013</v>
      </c>
      <c r="L19" s="92">
        <f>((L$6/$B$21)*$B19)/Dashboard!$F$6</f>
        <v>2.1421725239616611</v>
      </c>
      <c r="M19" s="92">
        <f>((M$6/$B$21)*$B19)/Dashboard!$F$6</f>
        <v>1.6437699680511182</v>
      </c>
      <c r="N19" s="92">
        <f>((N$6/$B$21)*$B19)/Dashboard!$F$6</f>
        <v>1.7939297124600639</v>
      </c>
      <c r="O19" s="92">
        <f>((O$6/$B$21)*$B19)/Dashboard!$F$6</f>
        <v>2.4824281150159746</v>
      </c>
      <c r="P19" s="92">
        <f>((P$6/$B$21)*$B19)/Dashboard!$F$6</f>
        <v>1.6150159744408945</v>
      </c>
      <c r="Q19" s="92">
        <f>((Q$6/$B$21)*$B19)/Dashboard!$F$6</f>
        <v>1.889776357827476</v>
      </c>
      <c r="R19" s="92">
        <f>((R$6/$B$21)*$B19)/Dashboard!$F$6</f>
        <v>1.610223642172524</v>
      </c>
      <c r="S19" s="92"/>
      <c r="U19" s="39">
        <f>B19</f>
        <v>0.4</v>
      </c>
      <c r="V19" s="38">
        <f>((V$6/$U$21)*$U19)/Dashboard!$F$6</f>
        <v>2.1991054313099041</v>
      </c>
    </row>
    <row r="20" spans="2:22" x14ac:dyDescent="0.2">
      <c r="B20" s="41">
        <v>0.60000000000000009</v>
      </c>
      <c r="C20" s="92">
        <f>((C$6/$B$21)*$B20)/Dashboard!$F$6</f>
        <v>2.4153354632587862</v>
      </c>
      <c r="D20" s="92">
        <f>((D$6/$B$21)*$B20)/Dashboard!$F$6</f>
        <v>2.681309904153355</v>
      </c>
      <c r="E20" s="92">
        <f>((E$6/$B$21)*$B20)/Dashboard!$F$6</f>
        <v>2.4896166134185309</v>
      </c>
      <c r="F20" s="92">
        <f>((F$6/$B$21)*$B20)/Dashboard!$F$6</f>
        <v>2.4153354632587862</v>
      </c>
      <c r="G20" s="92">
        <f>((G$6/$B$21)*$B20)/Dashboard!$F$6</f>
        <v>2.4896166134185309</v>
      </c>
      <c r="H20" s="92">
        <f>((H$6/$B$21)*$B20)/Dashboard!$F$6</f>
        <v>2.681309904153355</v>
      </c>
      <c r="I20" s="92">
        <f>((I$6/$B$21)*$B20)/Dashboard!$F$6</f>
        <v>2.4153354632587862</v>
      </c>
      <c r="J20" s="92">
        <f>((J$6/$B$21)*$B20)/Dashboard!$F$6</f>
        <v>2.4153354632587862</v>
      </c>
      <c r="K20" s="92">
        <f>((K$6/$B$21)*$B20)/Dashboard!$F$6</f>
        <v>2.7388178913738024</v>
      </c>
      <c r="L20" s="92">
        <f>((L$6/$B$21)*$B20)/Dashboard!$F$6</f>
        <v>3.2132587859424926</v>
      </c>
      <c r="M20" s="92">
        <f>((M$6/$B$21)*$B20)/Dashboard!$F$6</f>
        <v>2.4656549520766777</v>
      </c>
      <c r="N20" s="92">
        <f>((N$6/$B$21)*$B20)/Dashboard!$F$6</f>
        <v>2.6908945686900965</v>
      </c>
      <c r="O20" s="92">
        <f>((O$6/$B$21)*$B20)/Dashboard!$F$6</f>
        <v>3.7236421725239621</v>
      </c>
      <c r="P20" s="92">
        <f>((P$6/$B$21)*$B20)/Dashboard!$F$6</f>
        <v>2.4225239616613425</v>
      </c>
      <c r="Q20" s="92">
        <f>((Q$6/$B$21)*$B20)/Dashboard!$F$6</f>
        <v>2.8346645367412147</v>
      </c>
      <c r="R20" s="92">
        <f>((R$6/$B$21)*$B20)/Dashboard!$F$6</f>
        <v>2.4153354632587862</v>
      </c>
      <c r="S20" s="92"/>
      <c r="U20" s="39">
        <f>B20</f>
        <v>0.60000000000000009</v>
      </c>
      <c r="V20" s="38">
        <f>((V$6/$U$21)*$U20)/Dashboard!$F$6</f>
        <v>3.2986581469648568</v>
      </c>
    </row>
    <row r="21" spans="2:22" x14ac:dyDescent="0.2">
      <c r="B21" s="41">
        <v>0.8</v>
      </c>
      <c r="C21" s="92">
        <f>((C$6/$B$21)*$B21)/Dashboard!$F$6</f>
        <v>3.220447284345048</v>
      </c>
      <c r="D21" s="92">
        <f>((D$6/$B$21)*$B21)/Dashboard!$F$6</f>
        <v>3.5750798722044728</v>
      </c>
      <c r="E21" s="92">
        <f>((E$6/$B$21)*$B21)/Dashboard!$F$6</f>
        <v>3.319488817891374</v>
      </c>
      <c r="F21" s="92">
        <f>((F$6/$B$21)*$B21)/Dashboard!$F$6</f>
        <v>3.220447284345048</v>
      </c>
      <c r="G21" s="92">
        <f>((G$6/$B$21)*$B21)/Dashboard!$F$6</f>
        <v>3.319488817891374</v>
      </c>
      <c r="H21" s="92">
        <f>((H$6/$B$21)*$B21)/Dashboard!$F$6</f>
        <v>3.5750798722044728</v>
      </c>
      <c r="I21" s="92">
        <f>((I$6/$B$21)*$B21)/Dashboard!$F$6</f>
        <v>3.220447284345048</v>
      </c>
      <c r="J21" s="92">
        <f>((J$6/$B$21)*$B21)/Dashboard!$F$6</f>
        <v>3.220447284345048</v>
      </c>
      <c r="K21" s="92">
        <f>((K$6/$B$21)*$B21)/Dashboard!$F$6</f>
        <v>3.6517571884984026</v>
      </c>
      <c r="L21" s="92">
        <f>((L$6/$B$21)*$B21)/Dashboard!$F$6</f>
        <v>4.2843450479233223</v>
      </c>
      <c r="M21" s="92">
        <f>((M$6/$B$21)*$B21)/Dashboard!$F$6</f>
        <v>3.2875399361022364</v>
      </c>
      <c r="N21" s="92">
        <f>((N$6/$B$21)*$B21)/Dashboard!$F$6</f>
        <v>3.5878594249201279</v>
      </c>
      <c r="O21" s="92">
        <f>((O$6/$B$21)*$B21)/Dashboard!$F$6</f>
        <v>4.9648562300319492</v>
      </c>
      <c r="P21" s="92">
        <f>((P$6/$B$21)*$B21)/Dashboard!$F$6</f>
        <v>3.230031948881789</v>
      </c>
      <c r="Q21" s="92">
        <f>((Q$6/$B$21)*$B21)/Dashboard!$F$6</f>
        <v>3.779552715654952</v>
      </c>
      <c r="R21" s="92">
        <f>((R$6/$B$21)*$B21)/Dashboard!$F$6</f>
        <v>3.220447284345048</v>
      </c>
      <c r="S21" s="92"/>
      <c r="U21" s="41">
        <v>0.8</v>
      </c>
      <c r="V21" s="38">
        <f>((V$6/$U$21)*$U21)/Dashboard!$F$6</f>
        <v>4.3982108626198082</v>
      </c>
    </row>
    <row r="23" spans="2:22" x14ac:dyDescent="0.2">
      <c r="O23" s="9"/>
    </row>
    <row r="25" spans="2:22" x14ac:dyDescent="0.2">
      <c r="C25" s="52"/>
      <c r="D25" s="52"/>
      <c r="E25" s="52"/>
      <c r="F25" s="52"/>
    </row>
    <row r="27" spans="2:22" x14ac:dyDescent="0.2">
      <c r="B27" s="49"/>
      <c r="C27" s="50"/>
      <c r="D27" s="51"/>
      <c r="E27" s="51"/>
      <c r="F27" s="51"/>
      <c r="G27" s="51"/>
      <c r="H27" s="51"/>
    </row>
    <row r="28" spans="2:22" x14ac:dyDescent="0.2">
      <c r="C28" s="49"/>
      <c r="D28" s="26"/>
      <c r="E28" s="26"/>
      <c r="F28" s="49"/>
      <c r="G28" s="49"/>
    </row>
    <row r="29" spans="2:22" x14ac:dyDescent="0.2">
      <c r="C29" s="26"/>
      <c r="D29" s="26"/>
      <c r="E29" s="10"/>
      <c r="F29" s="49"/>
      <c r="G29" s="49"/>
    </row>
    <row r="30" spans="2:22" x14ac:dyDescent="0.2">
      <c r="E30" s="10"/>
    </row>
    <row r="32" spans="2:22" x14ac:dyDescent="0.2">
      <c r="E32" s="10"/>
    </row>
    <row r="33" spans="3:5" x14ac:dyDescent="0.2">
      <c r="E33" s="10"/>
    </row>
    <row r="34" spans="3:5" x14ac:dyDescent="0.2">
      <c r="E34" s="10"/>
    </row>
    <row r="35" spans="3:5" x14ac:dyDescent="0.2">
      <c r="C35" s="38"/>
      <c r="E35" s="10"/>
    </row>
    <row r="36" spans="3:5" x14ac:dyDescent="0.2">
      <c r="C36" s="38"/>
      <c r="E36" s="10"/>
    </row>
    <row r="37" spans="3:5" x14ac:dyDescent="0.2">
      <c r="C37" s="38"/>
    </row>
    <row r="38" spans="3:5" x14ac:dyDescent="0.2">
      <c r="C38" s="38"/>
    </row>
    <row r="51" spans="14:17" ht="8.25" customHeight="1" x14ac:dyDescent="0.2"/>
    <row r="60" spans="14:17" x14ac:dyDescent="0.2">
      <c r="N60" s="9"/>
      <c r="O60" s="9"/>
      <c r="P60" s="9"/>
      <c r="Q60" s="6"/>
    </row>
    <row r="61" spans="14:17" x14ac:dyDescent="0.2">
      <c r="N61" s="9"/>
      <c r="O61" s="9"/>
      <c r="P61" s="9"/>
      <c r="Q61" s="6"/>
    </row>
    <row r="62" spans="14:17" x14ac:dyDescent="0.2">
      <c r="N62" s="9"/>
      <c r="O62" s="9"/>
      <c r="P62" s="9"/>
      <c r="Q62" s="6"/>
    </row>
    <row r="63" spans="14:17" x14ac:dyDescent="0.2">
      <c r="N63" s="9"/>
      <c r="O63" s="9"/>
      <c r="P63" s="9"/>
      <c r="Q63" s="6"/>
    </row>
    <row r="64" spans="14:17" x14ac:dyDescent="0.2">
      <c r="N64" s="9"/>
      <c r="O64" s="9"/>
      <c r="P64" s="9"/>
      <c r="Q64" s="6"/>
    </row>
    <row r="65" spans="4:17" x14ac:dyDescent="0.2">
      <c r="N65" s="9"/>
      <c r="O65" s="9"/>
      <c r="P65" s="9"/>
      <c r="Q65" s="6"/>
    </row>
    <row r="66" spans="4:17" x14ac:dyDescent="0.2">
      <c r="N66" s="9"/>
      <c r="O66" s="9"/>
      <c r="P66" s="9"/>
      <c r="Q66" s="6"/>
    </row>
    <row r="67" spans="4:17" x14ac:dyDescent="0.2">
      <c r="N67" s="9"/>
      <c r="O67" s="9"/>
      <c r="P67" s="9"/>
      <c r="Q67" s="6"/>
    </row>
    <row r="68" spans="4:17" x14ac:dyDescent="0.2">
      <c r="N68" s="9"/>
      <c r="O68" s="9"/>
      <c r="P68" s="9"/>
      <c r="Q68" s="6"/>
    </row>
    <row r="69" spans="4:17" x14ac:dyDescent="0.2">
      <c r="N69" s="9"/>
      <c r="O69" s="9"/>
      <c r="P69" s="9"/>
      <c r="Q69" s="6"/>
    </row>
    <row r="70" spans="4:17" x14ac:dyDescent="0.2">
      <c r="N70" s="9"/>
      <c r="O70" s="9"/>
      <c r="P70" s="9"/>
      <c r="Q70" s="6"/>
    </row>
    <row r="71" spans="4:17" x14ac:dyDescent="0.2">
      <c r="N71" s="9"/>
      <c r="O71" s="9"/>
      <c r="P71" s="9"/>
      <c r="Q71" s="6"/>
    </row>
    <row r="72" spans="4:17" x14ac:dyDescent="0.2">
      <c r="N72" s="9"/>
      <c r="O72" s="9"/>
      <c r="P72" s="9"/>
      <c r="Q72" s="6"/>
    </row>
    <row r="73" spans="4:17" x14ac:dyDescent="0.2">
      <c r="N73" s="9"/>
      <c r="O73" s="9"/>
      <c r="P73" s="9"/>
    </row>
    <row r="74" spans="4:17" x14ac:dyDescent="0.2">
      <c r="N74" s="9"/>
      <c r="O74" s="9"/>
      <c r="P74" s="9"/>
    </row>
    <row r="75" spans="4:17" x14ac:dyDescent="0.2">
      <c r="N75" s="9"/>
      <c r="O75" s="9"/>
      <c r="P75" s="9"/>
    </row>
    <row r="77" spans="4:17" x14ac:dyDescent="0.2">
      <c r="D77" s="38"/>
      <c r="N77" s="9"/>
    </row>
    <row r="78" spans="4:17" x14ac:dyDescent="0.2">
      <c r="D78" s="6"/>
      <c r="N78" s="9"/>
      <c r="O78" s="9"/>
    </row>
    <row r="79" spans="4:17" x14ac:dyDescent="0.2">
      <c r="M79" s="9"/>
      <c r="N79" s="9"/>
      <c r="O79" s="9"/>
    </row>
    <row r="80" spans="4:17" x14ac:dyDescent="0.2">
      <c r="D80" s="46"/>
    </row>
  </sheetData>
  <sheetProtection formatCells="0" formatColumns="0" formatRows="0"/>
  <protectedRanges>
    <protectedRange sqref="T10:T14 C8:S21" name="Info"/>
    <protectedRange sqref="V8:V21" name="Info_1"/>
  </protectedRanges>
  <hyperlinks>
    <hyperlink ref="X6" r:id="rId1" display="https://www.dshs.wa.gov/esa/eligibility-z-manual-ea-z/state-median-income-chart" xr:uid="{357D495F-57CC-4F4A-81D1-8DE96430C2C4}"/>
  </hyperlinks>
  <pageMargins left="0.7" right="0.7" top="0.75" bottom="0.75" header="0.3" footer="0.3"/>
  <pageSetup scale="52" fitToHeight="0" orientation="landscape" r:id="rId2"/>
  <headerFooter>
    <oddHeader>&amp;LCascade Natural Gas Corp.&amp;CLow-Income Energy Burden Program&amp;R&amp;D</oddHeader>
    <oddFooter>&amp;L&amp;A&amp;RPage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B981-A09B-4ACA-B313-B245CF3CAD1E}">
  <sheetPr codeName="Sheet3">
    <tabColor theme="3" tint="0.59999389629810485"/>
    <pageSetUpPr fitToPage="1"/>
  </sheetPr>
  <dimension ref="A2:U48"/>
  <sheetViews>
    <sheetView topLeftCell="A10" zoomScale="145" zoomScaleNormal="145" workbookViewId="0">
      <selection activeCell="T37" sqref="T37"/>
    </sheetView>
  </sheetViews>
  <sheetFormatPr defaultColWidth="8.85546875" defaultRowHeight="12.75" x14ac:dyDescent="0.2"/>
  <cols>
    <col min="1" max="1" width="3.7109375" style="3" customWidth="1"/>
    <col min="2" max="2" width="5.28515625" style="3" bestFit="1" customWidth="1"/>
    <col min="3" max="3" width="7.5703125" style="3" bestFit="1" customWidth="1"/>
    <col min="4" max="4" width="2.42578125" style="3" customWidth="1"/>
    <col min="5" max="5" width="7.85546875" style="3" bestFit="1" customWidth="1"/>
    <col min="6" max="6" width="10.5703125" style="3" bestFit="1" customWidth="1"/>
    <col min="7" max="7" width="2.42578125" style="3" customWidth="1"/>
    <col min="8" max="8" width="7.85546875" style="3" bestFit="1" customWidth="1"/>
    <col min="9" max="9" width="10.5703125" style="3" bestFit="1" customWidth="1"/>
    <col min="10" max="10" width="2.42578125" style="3" customWidth="1"/>
    <col min="11" max="11" width="7.85546875" style="3" bestFit="1" customWidth="1"/>
    <col min="12" max="12" width="10.5703125" style="3" bestFit="1" customWidth="1"/>
    <col min="13" max="13" width="8.85546875" style="3"/>
    <col min="14" max="14" width="9.7109375" style="3" bestFit="1" customWidth="1"/>
    <col min="15" max="15" width="8.85546875" style="3"/>
    <col min="16" max="16" width="2.42578125" style="3" customWidth="1"/>
    <col min="17" max="18" width="8.85546875" style="3"/>
    <col min="19" max="19" width="2.42578125" style="3" customWidth="1"/>
    <col min="20" max="16384" width="8.85546875" style="3"/>
  </cols>
  <sheetData>
    <row r="2" spans="1:21" x14ac:dyDescent="0.2">
      <c r="B2" s="1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N2" s="1" t="s">
        <v>68</v>
      </c>
      <c r="O2" s="2"/>
      <c r="P2" s="2"/>
      <c r="Q2" s="2"/>
      <c r="R2" s="2"/>
      <c r="S2" s="2"/>
      <c r="T2" s="2"/>
      <c r="U2" s="2"/>
    </row>
    <row r="3" spans="1:21" ht="8.25" customHeight="1" x14ac:dyDescent="0.2">
      <c r="B3" s="4"/>
      <c r="C3" s="5"/>
    </row>
    <row r="4" spans="1:21" ht="13.5" thickBot="1" x14ac:dyDescent="0.25">
      <c r="B4" s="3" t="s">
        <v>42</v>
      </c>
      <c r="N4" s="3" t="s">
        <v>42</v>
      </c>
    </row>
    <row r="5" spans="1:21" x14ac:dyDescent="0.2">
      <c r="B5" s="8" t="s">
        <v>69</v>
      </c>
      <c r="C5" s="8" t="s">
        <v>28</v>
      </c>
      <c r="E5" s="8" t="s">
        <v>70</v>
      </c>
      <c r="F5" s="8" t="s">
        <v>28</v>
      </c>
      <c r="H5" s="8" t="s">
        <v>71</v>
      </c>
      <c r="I5" s="8" t="s">
        <v>28</v>
      </c>
      <c r="K5" s="8" t="s">
        <v>72</v>
      </c>
      <c r="L5" s="8" t="s">
        <v>28</v>
      </c>
      <c r="N5" s="8" t="s">
        <v>69</v>
      </c>
      <c r="O5" s="8" t="s">
        <v>28</v>
      </c>
      <c r="Q5" s="8" t="s">
        <v>73</v>
      </c>
      <c r="R5" s="8" t="s">
        <v>28</v>
      </c>
      <c r="T5" s="8" t="s">
        <v>70</v>
      </c>
      <c r="U5" s="8" t="s">
        <v>28</v>
      </c>
    </row>
    <row r="6" spans="1:21" x14ac:dyDescent="0.2">
      <c r="B6" s="7">
        <v>0.05</v>
      </c>
      <c r="C6" s="5">
        <f>B6/SUM($B$6:$B$10)*$O$6</f>
        <v>81.933333333333337</v>
      </c>
      <c r="E6" s="7">
        <f>ROUND((Dashboard!$F$6*B6)/('AMI SMI CROSSOVER'!S$6/'AMI SMI CROSSOVER'!$B$21),2)</f>
        <v>0.01</v>
      </c>
      <c r="F6" s="5">
        <f t="shared" ref="F6:F18" si="0">E6/SUM($E$6:$E$18)*$R$6</f>
        <v>26.758928571428577</v>
      </c>
      <c r="H6" s="7">
        <f t="shared" ref="H6:H44" si="1">IF(I6=C6,_xlfn.XLOOKUP(I6,$C$6:$C$45,$B$6:$B$45),_xlfn.XLOOKUP(I6,$F$6:$F$45,$E$6:$E$45))</f>
        <v>0.05</v>
      </c>
      <c r="I6" s="5">
        <f t="shared" ref="I6:I44" si="2">MAX(C6,F6)</f>
        <v>81.933333333333337</v>
      </c>
      <c r="K6" s="7">
        <f>B6</f>
        <v>0.05</v>
      </c>
      <c r="L6" s="5">
        <f>C6</f>
        <v>81.933333333333337</v>
      </c>
      <c r="M6" s="14"/>
      <c r="N6" s="7">
        <v>0.25</v>
      </c>
      <c r="O6" s="5">
        <v>1229</v>
      </c>
      <c r="Q6" s="7">
        <v>0.15</v>
      </c>
      <c r="R6" s="5">
        <v>2997</v>
      </c>
      <c r="T6" s="7">
        <v>0.3</v>
      </c>
      <c r="U6" s="5">
        <v>14935</v>
      </c>
    </row>
    <row r="7" spans="1:21" x14ac:dyDescent="0.2">
      <c r="B7" s="7">
        <v>0.1</v>
      </c>
      <c r="C7" s="5">
        <f>B7/SUM($B$6:$B$10)*$O$6</f>
        <v>163.86666666666667</v>
      </c>
      <c r="E7" s="7">
        <f>ROUND((Dashboard!$F$6*B7)/('AMI SMI CROSSOVER'!S$6/'AMI SMI CROSSOVER'!$B$21),2)</f>
        <v>0.02</v>
      </c>
      <c r="F7" s="5">
        <f t="shared" si="0"/>
        <v>53.517857142857153</v>
      </c>
      <c r="H7" s="7">
        <f t="shared" si="1"/>
        <v>0.1</v>
      </c>
      <c r="I7" s="5">
        <f t="shared" si="2"/>
        <v>163.86666666666667</v>
      </c>
      <c r="K7" s="7">
        <f t="shared" ref="K7:K45" si="3">B7</f>
        <v>0.1</v>
      </c>
      <c r="L7" s="5">
        <f t="shared" ref="L7:L35" si="4">C7</f>
        <v>163.86666666666667</v>
      </c>
      <c r="M7" s="14"/>
      <c r="N7" s="7">
        <v>0.5</v>
      </c>
      <c r="O7" s="5">
        <v>1515</v>
      </c>
      <c r="Q7" s="7">
        <v>0.3</v>
      </c>
      <c r="R7" s="5">
        <v>11468</v>
      </c>
      <c r="T7" s="7">
        <v>0.6</v>
      </c>
      <c r="U7" s="5">
        <v>24274</v>
      </c>
    </row>
    <row r="8" spans="1:21" x14ac:dyDescent="0.2">
      <c r="B8" s="7">
        <v>0.15</v>
      </c>
      <c r="C8" s="5">
        <f>B8/SUM($B$6:$B$10)*$O$6</f>
        <v>245.79999999999998</v>
      </c>
      <c r="E8" s="7">
        <f>ROUND((Dashboard!$F$6*B8)/('AMI SMI CROSSOVER'!S$6/'AMI SMI CROSSOVER'!$B$21),2)</f>
        <v>0.04</v>
      </c>
      <c r="F8" s="5">
        <f t="shared" si="0"/>
        <v>107.03571428571431</v>
      </c>
      <c r="H8" s="7">
        <f t="shared" si="1"/>
        <v>0.15</v>
      </c>
      <c r="I8" s="5">
        <f t="shared" si="2"/>
        <v>245.79999999999998</v>
      </c>
      <c r="K8" s="7">
        <f t="shared" si="3"/>
        <v>0.15</v>
      </c>
      <c r="L8" s="5">
        <f t="shared" si="4"/>
        <v>245.79999999999998</v>
      </c>
      <c r="M8" s="14"/>
      <c r="N8" s="7">
        <v>1</v>
      </c>
      <c r="O8" s="5">
        <v>9710</v>
      </c>
      <c r="Q8" s="7">
        <v>0.45</v>
      </c>
      <c r="R8" s="5">
        <v>20110</v>
      </c>
      <c r="T8" s="7">
        <v>0.8</v>
      </c>
      <c r="U8" s="5">
        <v>20700</v>
      </c>
    </row>
    <row r="9" spans="1:21" x14ac:dyDescent="0.2">
      <c r="B9" s="7">
        <v>0.2</v>
      </c>
      <c r="C9" s="5">
        <f>B9/SUM($B$6:$B$10)*$O$6</f>
        <v>327.73333333333335</v>
      </c>
      <c r="E9" s="7">
        <f>ROUND((Dashboard!$F$6*B9)/('AMI SMI CROSSOVER'!S$6/'AMI SMI CROSSOVER'!$B$21),2)</f>
        <v>0.05</v>
      </c>
      <c r="F9" s="5">
        <f t="shared" si="0"/>
        <v>133.79464285714289</v>
      </c>
      <c r="H9" s="7">
        <f t="shared" si="1"/>
        <v>0.2</v>
      </c>
      <c r="I9" s="5">
        <f t="shared" si="2"/>
        <v>327.73333333333335</v>
      </c>
      <c r="K9" s="7">
        <f t="shared" si="3"/>
        <v>0.2</v>
      </c>
      <c r="L9" s="5">
        <f t="shared" si="4"/>
        <v>327.73333333333335</v>
      </c>
      <c r="M9" s="14"/>
      <c r="N9" s="7">
        <v>1.5</v>
      </c>
      <c r="O9" s="5">
        <v>12382</v>
      </c>
      <c r="Q9" s="7">
        <v>0.6</v>
      </c>
      <c r="R9" s="5">
        <v>9158</v>
      </c>
      <c r="T9" s="12"/>
      <c r="U9" s="5"/>
    </row>
    <row r="10" spans="1:21" ht="13.5" thickBot="1" x14ac:dyDescent="0.25">
      <c r="B10" s="7">
        <v>0.25</v>
      </c>
      <c r="C10" s="5">
        <f>B10/SUM($B$6:$B$10)*$O$6</f>
        <v>409.66666666666663</v>
      </c>
      <c r="E10" s="7">
        <f>ROUND((Dashboard!$F$6*B10)/('AMI SMI CROSSOVER'!S$6/'AMI SMI CROSSOVER'!$B$21),2)</f>
        <v>0.06</v>
      </c>
      <c r="F10" s="5">
        <f t="shared" si="0"/>
        <v>160.55357142857144</v>
      </c>
      <c r="H10" s="7">
        <f t="shared" si="1"/>
        <v>0.25</v>
      </c>
      <c r="I10" s="5">
        <f t="shared" si="2"/>
        <v>409.66666666666663</v>
      </c>
      <c r="K10" s="7">
        <f t="shared" si="3"/>
        <v>0.25</v>
      </c>
      <c r="L10" s="5">
        <f t="shared" si="4"/>
        <v>409.66666666666663</v>
      </c>
      <c r="M10" s="14"/>
      <c r="N10" s="15">
        <v>2</v>
      </c>
      <c r="O10" s="11">
        <v>14114</v>
      </c>
      <c r="Q10" s="15">
        <v>0.8</v>
      </c>
      <c r="R10" s="11">
        <v>22745</v>
      </c>
      <c r="T10" s="13"/>
      <c r="U10" s="11"/>
    </row>
    <row r="11" spans="1:21" x14ac:dyDescent="0.2">
      <c r="B11" s="7">
        <v>0.3</v>
      </c>
      <c r="C11" s="5">
        <f>B11/SUM($B$11:$B$15)*$O$7</f>
        <v>227.25000000000003</v>
      </c>
      <c r="E11" s="7">
        <f>ROUND((Dashboard!$F$6*B11)/('AMI SMI CROSSOVER'!S$6/'AMI SMI CROSSOVER'!$B$21),2)</f>
        <v>7.0000000000000007E-2</v>
      </c>
      <c r="F11" s="5">
        <f t="shared" si="0"/>
        <v>187.31250000000003</v>
      </c>
      <c r="H11" s="7">
        <f t="shared" si="1"/>
        <v>0.3</v>
      </c>
      <c r="I11" s="5">
        <f t="shared" si="2"/>
        <v>227.25000000000003</v>
      </c>
      <c r="K11" s="7">
        <f t="shared" si="3"/>
        <v>0.3</v>
      </c>
      <c r="L11" s="5">
        <f t="shared" si="4"/>
        <v>227.25000000000003</v>
      </c>
      <c r="M11" s="14"/>
      <c r="O11" s="6">
        <f>SUM(O6:O10)</f>
        <v>38950</v>
      </c>
      <c r="R11" s="6">
        <f>SUM(R6:R10)</f>
        <v>66478</v>
      </c>
      <c r="U11" s="6">
        <f>SUM(U6:U10)</f>
        <v>59909</v>
      </c>
    </row>
    <row r="12" spans="1:21" x14ac:dyDescent="0.2">
      <c r="B12" s="7">
        <v>0.35</v>
      </c>
      <c r="C12" s="5">
        <f>B12/SUM($B$11:$B$15)*$O$7</f>
        <v>265.125</v>
      </c>
      <c r="E12" s="7">
        <f>ROUND((Dashboard!$F$6*B12)/('AMI SMI CROSSOVER'!S$6/'AMI SMI CROSSOVER'!$B$21),2)</f>
        <v>0.09</v>
      </c>
      <c r="F12" s="5">
        <f t="shared" si="0"/>
        <v>240.83035714285717</v>
      </c>
      <c r="H12" s="7">
        <f t="shared" si="1"/>
        <v>0.35</v>
      </c>
      <c r="I12" s="5">
        <f t="shared" si="2"/>
        <v>265.125</v>
      </c>
      <c r="K12" s="7">
        <f t="shared" si="3"/>
        <v>0.35</v>
      </c>
      <c r="L12" s="5">
        <f t="shared" si="4"/>
        <v>265.125</v>
      </c>
      <c r="M12" s="14"/>
      <c r="O12" s="6"/>
      <c r="R12" s="6"/>
      <c r="U12" s="6"/>
    </row>
    <row r="13" spans="1:21" x14ac:dyDescent="0.2">
      <c r="B13" s="7">
        <v>0.4</v>
      </c>
      <c r="C13" s="5">
        <f>B13/SUM($B$11:$B$15)*$O$7</f>
        <v>303.00000000000006</v>
      </c>
      <c r="E13" s="7">
        <f>ROUND((Dashboard!$F$6*B13)/('AMI SMI CROSSOVER'!S$6/'AMI SMI CROSSOVER'!$B$21),2)</f>
        <v>0.1</v>
      </c>
      <c r="F13" s="5">
        <f t="shared" si="0"/>
        <v>267.58928571428578</v>
      </c>
      <c r="H13" s="7">
        <f t="shared" si="1"/>
        <v>0.4</v>
      </c>
      <c r="I13" s="5">
        <f t="shared" si="2"/>
        <v>303.00000000000006</v>
      </c>
      <c r="K13" s="7">
        <f t="shared" si="3"/>
        <v>0.4</v>
      </c>
      <c r="L13" s="5">
        <f t="shared" si="4"/>
        <v>303.00000000000006</v>
      </c>
      <c r="M13" s="14"/>
    </row>
    <row r="14" spans="1:21" x14ac:dyDescent="0.2">
      <c r="B14" s="7">
        <v>0.45</v>
      </c>
      <c r="C14" s="5">
        <f>B14/SUM($B$11:$B$15)*$O$7</f>
        <v>340.87500000000006</v>
      </c>
      <c r="E14" s="7">
        <f>ROUND((Dashboard!$F$6*B14)/('AMI SMI CROSSOVER'!S$6/'AMI SMI CROSSOVER'!$B$21),2)</f>
        <v>0.11</v>
      </c>
      <c r="F14" s="5">
        <f t="shared" si="0"/>
        <v>294.34821428571433</v>
      </c>
      <c r="H14" s="7">
        <f t="shared" si="1"/>
        <v>0.45</v>
      </c>
      <c r="I14" s="5">
        <f t="shared" si="2"/>
        <v>340.87500000000006</v>
      </c>
      <c r="K14" s="7">
        <f t="shared" si="3"/>
        <v>0.45</v>
      </c>
      <c r="L14" s="5">
        <f t="shared" si="4"/>
        <v>340.87500000000006</v>
      </c>
      <c r="M14" s="14"/>
      <c r="N14" s="3" t="s">
        <v>111</v>
      </c>
    </row>
    <row r="15" spans="1:21" x14ac:dyDescent="0.2">
      <c r="B15" s="7">
        <v>0.5</v>
      </c>
      <c r="C15" s="5">
        <f>B15/SUM($B$11:$B$15)*$O$7</f>
        <v>378.75000000000006</v>
      </c>
      <c r="E15" s="7">
        <f>ROUND((Dashboard!$F$6*B15)/('AMI SMI CROSSOVER'!S$6/'AMI SMI CROSSOVER'!$B$21),2)</f>
        <v>0.12</v>
      </c>
      <c r="F15" s="5">
        <f t="shared" si="0"/>
        <v>321.10714285714289</v>
      </c>
      <c r="H15" s="7">
        <f t="shared" si="1"/>
        <v>0.5</v>
      </c>
      <c r="I15" s="5">
        <f t="shared" si="2"/>
        <v>378.75000000000006</v>
      </c>
      <c r="K15" s="7">
        <f t="shared" si="3"/>
        <v>0.5</v>
      </c>
      <c r="L15" s="5">
        <f t="shared" si="4"/>
        <v>378.75000000000006</v>
      </c>
      <c r="N15" s="14"/>
    </row>
    <row r="16" spans="1:21" x14ac:dyDescent="0.2">
      <c r="A16" s="10"/>
      <c r="B16" s="7">
        <v>0.55000000000000004</v>
      </c>
      <c r="C16" s="5">
        <f t="shared" ref="C16:C25" si="5">B16/SUM($B$16:$B$25)*$O$8</f>
        <v>689.09677419354841</v>
      </c>
      <c r="E16" s="7">
        <f>ROUND((Dashboard!$F$6*B16)/('AMI SMI CROSSOVER'!S$6/'AMI SMI CROSSOVER'!$B$21),2)</f>
        <v>0.14000000000000001</v>
      </c>
      <c r="F16" s="5">
        <f t="shared" si="0"/>
        <v>374.62500000000006</v>
      </c>
      <c r="H16" s="7">
        <f t="shared" si="1"/>
        <v>0.55000000000000004</v>
      </c>
      <c r="I16" s="5">
        <f t="shared" si="2"/>
        <v>689.09677419354841</v>
      </c>
      <c r="K16" s="7">
        <f t="shared" si="3"/>
        <v>0.55000000000000004</v>
      </c>
      <c r="L16" s="5">
        <f t="shared" si="4"/>
        <v>689.09677419354841</v>
      </c>
    </row>
    <row r="17" spans="1:14" x14ac:dyDescent="0.2">
      <c r="A17" s="10"/>
      <c r="B17" s="7">
        <v>0.6</v>
      </c>
      <c r="C17" s="5">
        <f t="shared" si="5"/>
        <v>751.74193548387098</v>
      </c>
      <c r="E17" s="7">
        <f>ROUND((Dashboard!$F$6*B17)/('AMI SMI CROSSOVER'!S$6/'AMI SMI CROSSOVER'!$B$21),2)</f>
        <v>0.15</v>
      </c>
      <c r="F17" s="5">
        <f t="shared" si="0"/>
        <v>401.38392857142856</v>
      </c>
      <c r="H17" s="7">
        <f t="shared" si="1"/>
        <v>0.6</v>
      </c>
      <c r="I17" s="5">
        <f t="shared" si="2"/>
        <v>751.74193548387098</v>
      </c>
      <c r="K17" s="7">
        <f t="shared" si="3"/>
        <v>0.6</v>
      </c>
      <c r="L17" s="5">
        <f t="shared" si="4"/>
        <v>751.74193548387098</v>
      </c>
    </row>
    <row r="18" spans="1:14" x14ac:dyDescent="0.2">
      <c r="B18" s="7">
        <v>0.65</v>
      </c>
      <c r="C18" s="5">
        <f t="shared" si="5"/>
        <v>814.38709677419365</v>
      </c>
      <c r="E18" s="7">
        <f>ROUND((Dashboard!$F$6*B18)/('AMI SMI CROSSOVER'!S$6/'AMI SMI CROSSOVER'!$B$21),2)</f>
        <v>0.16</v>
      </c>
      <c r="F18" s="5">
        <f t="shared" si="0"/>
        <v>428.14285714285722</v>
      </c>
      <c r="H18" s="7">
        <f t="shared" si="1"/>
        <v>0.65</v>
      </c>
      <c r="I18" s="5">
        <f t="shared" si="2"/>
        <v>814.38709677419365</v>
      </c>
      <c r="K18" s="7">
        <f t="shared" si="3"/>
        <v>0.65</v>
      </c>
      <c r="L18" s="5">
        <f t="shared" si="4"/>
        <v>814.38709677419365</v>
      </c>
    </row>
    <row r="19" spans="1:14" x14ac:dyDescent="0.2">
      <c r="B19" s="7">
        <v>0.7</v>
      </c>
      <c r="C19" s="5">
        <f t="shared" si="5"/>
        <v>877.0322580645161</v>
      </c>
      <c r="E19" s="7">
        <f>ROUND((Dashboard!$F$6*B19)/('AMI SMI CROSSOVER'!S$6/'AMI SMI CROSSOVER'!$B$21),2)</f>
        <v>0.17</v>
      </c>
      <c r="F19" s="5">
        <f t="shared" ref="F19:F32" si="6">E19/SUM($E$19:$E$32)*($U$6-$R$6)</f>
        <v>568.4761904761906</v>
      </c>
      <c r="H19" s="7">
        <f t="shared" si="1"/>
        <v>0.7</v>
      </c>
      <c r="I19" s="5">
        <f t="shared" si="2"/>
        <v>877.0322580645161</v>
      </c>
      <c r="K19" s="7">
        <f t="shared" si="3"/>
        <v>0.7</v>
      </c>
      <c r="L19" s="5">
        <f t="shared" si="4"/>
        <v>877.0322580645161</v>
      </c>
    </row>
    <row r="20" spans="1:14" x14ac:dyDescent="0.2">
      <c r="B20" s="7">
        <v>0.75</v>
      </c>
      <c r="C20" s="5">
        <f t="shared" si="5"/>
        <v>939.67741935483866</v>
      </c>
      <c r="E20" s="7">
        <f>ROUND((Dashboard!$F$6*B20)/('AMI SMI CROSSOVER'!S$6/'AMI SMI CROSSOVER'!$B$21),2)</f>
        <v>0.19</v>
      </c>
      <c r="F20" s="5">
        <f t="shared" si="6"/>
        <v>635.35574229691895</v>
      </c>
      <c r="H20" s="7">
        <f t="shared" si="1"/>
        <v>0.75</v>
      </c>
      <c r="I20" s="5">
        <f t="shared" si="2"/>
        <v>939.67741935483866</v>
      </c>
      <c r="K20" s="7">
        <f t="shared" si="3"/>
        <v>0.75</v>
      </c>
      <c r="L20" s="5">
        <f t="shared" si="4"/>
        <v>939.67741935483866</v>
      </c>
    </row>
    <row r="21" spans="1:14" x14ac:dyDescent="0.2">
      <c r="B21" s="7">
        <v>0.8</v>
      </c>
      <c r="C21" s="5">
        <f t="shared" si="5"/>
        <v>1002.3225806451613</v>
      </c>
      <c r="E21" s="7">
        <f>ROUND((Dashboard!$F$6*B21)/('AMI SMI CROSSOVER'!S$6/'AMI SMI CROSSOVER'!$B$21),2)</f>
        <v>0.2</v>
      </c>
      <c r="F21" s="5">
        <f t="shared" si="6"/>
        <v>668.79551820728307</v>
      </c>
      <c r="H21" s="7">
        <f t="shared" si="1"/>
        <v>0.8</v>
      </c>
      <c r="I21" s="5">
        <f t="shared" si="2"/>
        <v>1002.3225806451613</v>
      </c>
      <c r="K21" s="7">
        <f t="shared" si="3"/>
        <v>0.8</v>
      </c>
      <c r="L21" s="5">
        <f t="shared" si="4"/>
        <v>1002.3225806451613</v>
      </c>
      <c r="N21" s="10"/>
    </row>
    <row r="22" spans="1:14" x14ac:dyDescent="0.2">
      <c r="B22" s="7">
        <v>0.85</v>
      </c>
      <c r="C22" s="5">
        <f t="shared" si="5"/>
        <v>1064.9677419354839</v>
      </c>
      <c r="E22" s="7">
        <f>ROUND((Dashboard!$F$6*B22)/('AMI SMI CROSSOVER'!S$6/'AMI SMI CROSSOVER'!$B$21),2)</f>
        <v>0.21</v>
      </c>
      <c r="F22" s="5">
        <f t="shared" si="6"/>
        <v>702.23529411764719</v>
      </c>
      <c r="H22" s="7">
        <f t="shared" si="1"/>
        <v>0.85</v>
      </c>
      <c r="I22" s="5">
        <f t="shared" si="2"/>
        <v>1064.9677419354839</v>
      </c>
      <c r="K22" s="7">
        <f t="shared" si="3"/>
        <v>0.85</v>
      </c>
      <c r="L22" s="5">
        <f t="shared" si="4"/>
        <v>1064.9677419354839</v>
      </c>
    </row>
    <row r="23" spans="1:14" x14ac:dyDescent="0.2">
      <c r="B23" s="7">
        <v>0.9</v>
      </c>
      <c r="C23" s="5">
        <f t="shared" si="5"/>
        <v>1127.6129032258066</v>
      </c>
      <c r="E23" s="7">
        <f>ROUND((Dashboard!$F$6*B23)/('AMI SMI CROSSOVER'!S$6/'AMI SMI CROSSOVER'!$B$21),2)</f>
        <v>0.22</v>
      </c>
      <c r="F23" s="5">
        <f t="shared" si="6"/>
        <v>735.67507002801131</v>
      </c>
      <c r="H23" s="7">
        <f t="shared" si="1"/>
        <v>0.9</v>
      </c>
      <c r="I23" s="5">
        <f t="shared" si="2"/>
        <v>1127.6129032258066</v>
      </c>
      <c r="K23" s="7">
        <f t="shared" si="3"/>
        <v>0.9</v>
      </c>
      <c r="L23" s="5">
        <f t="shared" si="4"/>
        <v>1127.6129032258066</v>
      </c>
    </row>
    <row r="24" spans="1:14" x14ac:dyDescent="0.2">
      <c r="B24" s="7">
        <v>0.95</v>
      </c>
      <c r="C24" s="5">
        <f t="shared" si="5"/>
        <v>1190.258064516129</v>
      </c>
      <c r="E24" s="7">
        <f>ROUND((Dashboard!$F$6*B24)/('AMI SMI CROSSOVER'!S$6/'AMI SMI CROSSOVER'!$B$21),2)</f>
        <v>0.24</v>
      </c>
      <c r="F24" s="5">
        <f t="shared" si="6"/>
        <v>802.55462184873966</v>
      </c>
      <c r="H24" s="7">
        <f t="shared" si="1"/>
        <v>0.95</v>
      </c>
      <c r="I24" s="5">
        <f t="shared" si="2"/>
        <v>1190.258064516129</v>
      </c>
      <c r="K24" s="7">
        <f t="shared" si="3"/>
        <v>0.95</v>
      </c>
      <c r="L24" s="5">
        <f t="shared" si="4"/>
        <v>1190.258064516129</v>
      </c>
    </row>
    <row r="25" spans="1:14" x14ac:dyDescent="0.2">
      <c r="B25" s="7">
        <v>1</v>
      </c>
      <c r="C25" s="5">
        <f t="shared" si="5"/>
        <v>1252.9032258064515</v>
      </c>
      <c r="E25" s="7">
        <f>ROUND((Dashboard!$F$6*B25)/('AMI SMI CROSSOVER'!S$6/'AMI SMI CROSSOVER'!$B$21),2)</f>
        <v>0.25</v>
      </c>
      <c r="F25" s="5">
        <f t="shared" si="6"/>
        <v>835.99439775910378</v>
      </c>
      <c r="H25" s="7">
        <f t="shared" si="1"/>
        <v>1</v>
      </c>
      <c r="I25" s="5">
        <f t="shared" si="2"/>
        <v>1252.9032258064515</v>
      </c>
      <c r="K25" s="7">
        <f t="shared" si="3"/>
        <v>1</v>
      </c>
      <c r="L25" s="5">
        <f t="shared" si="4"/>
        <v>1252.9032258064515</v>
      </c>
    </row>
    <row r="26" spans="1:14" x14ac:dyDescent="0.2">
      <c r="B26" s="7">
        <v>1.05</v>
      </c>
      <c r="C26" s="5">
        <f t="shared" ref="C26:C35" si="7">B26/SUM($B$26:$B$35)*$O$9</f>
        <v>1019.6941176470588</v>
      </c>
      <c r="E26" s="7">
        <f>ROUND((Dashboard!$F$6*B26)/('AMI SMI CROSSOVER'!S$6/'AMI SMI CROSSOVER'!$B$21),2)</f>
        <v>0.26</v>
      </c>
      <c r="F26" s="5">
        <f t="shared" si="6"/>
        <v>869.43417366946801</v>
      </c>
      <c r="H26" s="7">
        <f t="shared" si="1"/>
        <v>1.05</v>
      </c>
      <c r="I26" s="5">
        <f t="shared" si="2"/>
        <v>1019.6941176470588</v>
      </c>
      <c r="K26" s="7">
        <f t="shared" si="3"/>
        <v>1.05</v>
      </c>
      <c r="L26" s="5">
        <f t="shared" si="4"/>
        <v>1019.6941176470588</v>
      </c>
    </row>
    <row r="27" spans="1:14" x14ac:dyDescent="0.2">
      <c r="B27" s="7">
        <v>1.1000000000000001</v>
      </c>
      <c r="C27" s="5">
        <f t="shared" si="7"/>
        <v>1068.2509803921571</v>
      </c>
      <c r="E27" s="7">
        <f>ROUND((Dashboard!$F$6*B27)/('AMI SMI CROSSOVER'!S$6/'AMI SMI CROSSOVER'!$B$21),2)</f>
        <v>0.27</v>
      </c>
      <c r="F27" s="5">
        <f t="shared" si="6"/>
        <v>902.87394957983224</v>
      </c>
      <c r="H27" s="7">
        <f t="shared" si="1"/>
        <v>1.1000000000000001</v>
      </c>
      <c r="I27" s="5">
        <f t="shared" si="2"/>
        <v>1068.2509803921571</v>
      </c>
      <c r="K27" s="7">
        <f t="shared" si="3"/>
        <v>1.1000000000000001</v>
      </c>
      <c r="L27" s="5">
        <f t="shared" si="4"/>
        <v>1068.2509803921571</v>
      </c>
    </row>
    <row r="28" spans="1:14" x14ac:dyDescent="0.2">
      <c r="B28" s="7">
        <v>1.1499999999999999</v>
      </c>
      <c r="C28" s="5">
        <f t="shared" si="7"/>
        <v>1116.8078431372548</v>
      </c>
      <c r="E28" s="7">
        <f>ROUND((Dashboard!$F$6*B28)/('AMI SMI CROSSOVER'!S$6/'AMI SMI CROSSOVER'!$B$21),2)</f>
        <v>0.28999999999999998</v>
      </c>
      <c r="F28" s="5">
        <f t="shared" si="6"/>
        <v>969.75350140056025</v>
      </c>
      <c r="H28" s="7">
        <f t="shared" si="1"/>
        <v>1.1499999999999999</v>
      </c>
      <c r="I28" s="5">
        <f t="shared" si="2"/>
        <v>1116.8078431372548</v>
      </c>
      <c r="K28" s="7">
        <f t="shared" si="3"/>
        <v>1.1499999999999999</v>
      </c>
      <c r="L28" s="5">
        <f t="shared" si="4"/>
        <v>1116.8078431372548</v>
      </c>
      <c r="N28" s="45"/>
    </row>
    <row r="29" spans="1:14" x14ac:dyDescent="0.2">
      <c r="B29" s="7">
        <v>1.2</v>
      </c>
      <c r="C29" s="5">
        <f t="shared" si="7"/>
        <v>1165.3647058823528</v>
      </c>
      <c r="E29" s="7">
        <f>ROUND((Dashboard!$F$6*B29)/('AMI SMI CROSSOVER'!S$6/'AMI SMI CROSSOVER'!$B$21),2)</f>
        <v>0.3</v>
      </c>
      <c r="F29" s="5">
        <f t="shared" si="6"/>
        <v>1003.1932773109245</v>
      </c>
      <c r="H29" s="7">
        <f t="shared" si="1"/>
        <v>1.2</v>
      </c>
      <c r="I29" s="5">
        <f t="shared" si="2"/>
        <v>1165.3647058823528</v>
      </c>
      <c r="K29" s="7">
        <f t="shared" si="3"/>
        <v>1.2</v>
      </c>
      <c r="L29" s="5">
        <f t="shared" si="4"/>
        <v>1165.3647058823528</v>
      </c>
    </row>
    <row r="30" spans="1:14" x14ac:dyDescent="0.2">
      <c r="B30" s="7">
        <v>1.25</v>
      </c>
      <c r="C30" s="5">
        <f t="shared" si="7"/>
        <v>1213.9215686274511</v>
      </c>
      <c r="E30" s="7">
        <f>ROUND((Dashboard!$F$6*B30)/('AMI SMI CROSSOVER'!S$6/'AMI SMI CROSSOVER'!$B$21),2)</f>
        <v>0.31</v>
      </c>
      <c r="F30" s="5">
        <f t="shared" si="6"/>
        <v>1036.6330532212887</v>
      </c>
      <c r="H30" s="7">
        <f t="shared" si="1"/>
        <v>1.25</v>
      </c>
      <c r="I30" s="5">
        <f t="shared" si="2"/>
        <v>1213.9215686274511</v>
      </c>
      <c r="K30" s="7">
        <f t="shared" si="3"/>
        <v>1.25</v>
      </c>
      <c r="L30" s="5">
        <f t="shared" si="4"/>
        <v>1213.9215686274511</v>
      </c>
      <c r="N30" s="45"/>
    </row>
    <row r="31" spans="1:14" x14ac:dyDescent="0.2">
      <c r="B31" s="7">
        <v>1.3</v>
      </c>
      <c r="C31" s="5">
        <f t="shared" si="7"/>
        <v>1262.478431372549</v>
      </c>
      <c r="E31" s="7">
        <f>ROUND((Dashboard!$F$6*B31)/('AMI SMI CROSSOVER'!S$6/'AMI SMI CROSSOVER'!$B$21),2)</f>
        <v>0.32</v>
      </c>
      <c r="F31" s="5">
        <f t="shared" si="6"/>
        <v>1070.0728291316527</v>
      </c>
      <c r="H31" s="7">
        <f t="shared" si="1"/>
        <v>1.3</v>
      </c>
      <c r="I31" s="5">
        <f t="shared" si="2"/>
        <v>1262.478431372549</v>
      </c>
      <c r="K31" s="7">
        <f t="shared" si="3"/>
        <v>1.3</v>
      </c>
      <c r="L31" s="5">
        <f t="shared" si="4"/>
        <v>1262.478431372549</v>
      </c>
    </row>
    <row r="32" spans="1:14" x14ac:dyDescent="0.2">
      <c r="B32" s="7">
        <v>1.35</v>
      </c>
      <c r="C32" s="5">
        <f t="shared" si="7"/>
        <v>1311.0352941176473</v>
      </c>
      <c r="E32" s="7">
        <f>ROUND((Dashboard!$F$6*B32)/('AMI SMI CROSSOVER'!S$6/'AMI SMI CROSSOVER'!$B$21),2)</f>
        <v>0.34</v>
      </c>
      <c r="F32" s="5">
        <f t="shared" si="6"/>
        <v>1136.9523809523812</v>
      </c>
      <c r="H32" s="7">
        <f t="shared" si="1"/>
        <v>1.35</v>
      </c>
      <c r="I32" s="5">
        <f t="shared" si="2"/>
        <v>1311.0352941176473</v>
      </c>
      <c r="K32" s="7">
        <f t="shared" si="3"/>
        <v>1.35</v>
      </c>
      <c r="L32" s="5">
        <f t="shared" si="4"/>
        <v>1311.0352941176473</v>
      </c>
    </row>
    <row r="33" spans="2:12" x14ac:dyDescent="0.2">
      <c r="B33" s="7">
        <v>1.4</v>
      </c>
      <c r="C33" s="5">
        <f t="shared" si="7"/>
        <v>1359.592156862745</v>
      </c>
      <c r="E33" s="7">
        <f>ROUND((Dashboard!$F$6*B33)/('AMI SMI CROSSOVER'!S$6/'AMI SMI CROSSOVER'!$B$21),2)</f>
        <v>0.35</v>
      </c>
      <c r="F33" s="5">
        <f t="shared" ref="F33:F44" si="8">E33/SUM($E$33:$E$44)*($R$8)</f>
        <v>1410.5210420841681</v>
      </c>
      <c r="H33" s="7">
        <f t="shared" si="1"/>
        <v>0.35</v>
      </c>
      <c r="I33" s="5">
        <f t="shared" si="2"/>
        <v>1410.5210420841681</v>
      </c>
      <c r="K33" s="7">
        <f t="shared" si="3"/>
        <v>1.4</v>
      </c>
      <c r="L33" s="5">
        <f t="shared" si="4"/>
        <v>1359.592156862745</v>
      </c>
    </row>
    <row r="34" spans="2:12" x14ac:dyDescent="0.2">
      <c r="B34" s="7">
        <v>1.45</v>
      </c>
      <c r="C34" s="5">
        <f t="shared" si="7"/>
        <v>1408.1490196078432</v>
      </c>
      <c r="E34" s="7">
        <f>ROUND((Dashboard!$F$6*B34)/('AMI SMI CROSSOVER'!S$6/'AMI SMI CROSSOVER'!$B$21),2)</f>
        <v>0.36</v>
      </c>
      <c r="F34" s="5">
        <f t="shared" si="8"/>
        <v>1450.8216432865729</v>
      </c>
      <c r="H34" s="7">
        <f t="shared" si="1"/>
        <v>0.36</v>
      </c>
      <c r="I34" s="5">
        <f t="shared" si="2"/>
        <v>1450.8216432865729</v>
      </c>
      <c r="K34" s="7">
        <f t="shared" si="3"/>
        <v>1.45</v>
      </c>
      <c r="L34" s="5">
        <f t="shared" si="4"/>
        <v>1408.1490196078432</v>
      </c>
    </row>
    <row r="35" spans="2:12" x14ac:dyDescent="0.2">
      <c r="B35" s="7">
        <v>1.5</v>
      </c>
      <c r="C35" s="5">
        <f t="shared" si="7"/>
        <v>1456.7058823529412</v>
      </c>
      <c r="E35" s="7">
        <f>ROUND((Dashboard!$F$6*B35)/('AMI SMI CROSSOVER'!S$6/'AMI SMI CROSSOVER'!$B$21),2)</f>
        <v>0.37</v>
      </c>
      <c r="F35" s="5">
        <f t="shared" si="8"/>
        <v>1491.1222444889777</v>
      </c>
      <c r="H35" s="7">
        <f t="shared" si="1"/>
        <v>0.37</v>
      </c>
      <c r="I35" s="5">
        <f t="shared" si="2"/>
        <v>1491.1222444889777</v>
      </c>
      <c r="K35" s="7">
        <f t="shared" si="3"/>
        <v>1.5</v>
      </c>
      <c r="L35" s="5">
        <f t="shared" si="4"/>
        <v>1456.7058823529412</v>
      </c>
    </row>
    <row r="36" spans="2:12" x14ac:dyDescent="0.2">
      <c r="B36" s="7">
        <v>1.55</v>
      </c>
      <c r="C36" s="5">
        <f t="shared" ref="C36:C45" si="9">B36/SUM($B$36:$B$45)*$O$10</f>
        <v>1232.4901408450705</v>
      </c>
      <c r="E36" s="7">
        <f>ROUND((Dashboard!$F$6*B36)/('AMI SMI CROSSOVER'!S$6/'AMI SMI CROSSOVER'!$B$21),2)</f>
        <v>0.39</v>
      </c>
      <c r="F36" s="5">
        <f t="shared" si="8"/>
        <v>1571.7234468937875</v>
      </c>
      <c r="H36" s="7">
        <f t="shared" si="1"/>
        <v>0.39</v>
      </c>
      <c r="I36" s="5">
        <f t="shared" si="2"/>
        <v>1571.7234468937875</v>
      </c>
      <c r="K36" s="7">
        <f t="shared" si="3"/>
        <v>1.55</v>
      </c>
      <c r="L36" s="5">
        <f t="shared" ref="L36:L44" si="10">MAX(F36,C36)</f>
        <v>1571.7234468937875</v>
      </c>
    </row>
    <row r="37" spans="2:12" x14ac:dyDescent="0.2">
      <c r="B37" s="7">
        <v>1.6</v>
      </c>
      <c r="C37" s="5">
        <f t="shared" si="9"/>
        <v>1272.2478873239438</v>
      </c>
      <c r="E37" s="7">
        <f>ROUND((Dashboard!$F$6*B37)/('AMI SMI CROSSOVER'!S$6/'AMI SMI CROSSOVER'!$B$21),2)</f>
        <v>0.4</v>
      </c>
      <c r="F37" s="5">
        <f t="shared" si="8"/>
        <v>1612.0240480961922</v>
      </c>
      <c r="H37" s="7">
        <f t="shared" si="1"/>
        <v>0.4</v>
      </c>
      <c r="I37" s="5">
        <f t="shared" si="2"/>
        <v>1612.0240480961922</v>
      </c>
      <c r="K37" s="7">
        <f t="shared" si="3"/>
        <v>1.6</v>
      </c>
      <c r="L37" s="5">
        <f t="shared" si="10"/>
        <v>1612.0240480961922</v>
      </c>
    </row>
    <row r="38" spans="2:12" x14ac:dyDescent="0.2">
      <c r="B38" s="7">
        <v>1.65</v>
      </c>
      <c r="C38" s="5">
        <f t="shared" si="9"/>
        <v>1312.0056338028169</v>
      </c>
      <c r="E38" s="7">
        <f>ROUND((Dashboard!$F$6*B38)/('AMI SMI CROSSOVER'!S$6/'AMI SMI CROSSOVER'!$B$21),2)</f>
        <v>0.41</v>
      </c>
      <c r="F38" s="5">
        <f t="shared" si="8"/>
        <v>1652.3246492985968</v>
      </c>
      <c r="H38" s="7">
        <f t="shared" si="1"/>
        <v>0.41</v>
      </c>
      <c r="I38" s="5">
        <f t="shared" si="2"/>
        <v>1652.3246492985968</v>
      </c>
      <c r="K38" s="7">
        <f t="shared" si="3"/>
        <v>1.65</v>
      </c>
      <c r="L38" s="5">
        <f t="shared" si="10"/>
        <v>1652.3246492985968</v>
      </c>
    </row>
    <row r="39" spans="2:12" x14ac:dyDescent="0.2">
      <c r="B39" s="7">
        <v>1.7</v>
      </c>
      <c r="C39" s="5">
        <f t="shared" si="9"/>
        <v>1351.7633802816902</v>
      </c>
      <c r="E39" s="7">
        <f>ROUND((Dashboard!$F$6*B39)/('AMI SMI CROSSOVER'!S$6/'AMI SMI CROSSOVER'!$B$21),2)</f>
        <v>0.42</v>
      </c>
      <c r="F39" s="5">
        <f t="shared" si="8"/>
        <v>1692.6252505010018</v>
      </c>
      <c r="H39" s="7">
        <f t="shared" si="1"/>
        <v>0.42</v>
      </c>
      <c r="I39" s="5">
        <f t="shared" si="2"/>
        <v>1692.6252505010018</v>
      </c>
      <c r="K39" s="7">
        <f t="shared" si="3"/>
        <v>1.7</v>
      </c>
      <c r="L39" s="5">
        <f t="shared" si="10"/>
        <v>1692.6252505010018</v>
      </c>
    </row>
    <row r="40" spans="2:12" x14ac:dyDescent="0.2">
      <c r="B40" s="7">
        <v>1.75</v>
      </c>
      <c r="C40" s="5">
        <f t="shared" si="9"/>
        <v>1391.5211267605632</v>
      </c>
      <c r="E40" s="7">
        <f>ROUND((Dashboard!$F$6*B40)/('AMI SMI CROSSOVER'!S$6/'AMI SMI CROSSOVER'!$B$21),2)</f>
        <v>0.43</v>
      </c>
      <c r="F40" s="5">
        <f t="shared" si="8"/>
        <v>1732.9258517034066</v>
      </c>
      <c r="H40" s="7">
        <f t="shared" si="1"/>
        <v>0.43</v>
      </c>
      <c r="I40" s="5">
        <f t="shared" si="2"/>
        <v>1732.9258517034066</v>
      </c>
      <c r="K40" s="7">
        <f t="shared" si="3"/>
        <v>1.75</v>
      </c>
      <c r="L40" s="5">
        <f t="shared" si="10"/>
        <v>1732.9258517034066</v>
      </c>
    </row>
    <row r="41" spans="2:12" x14ac:dyDescent="0.2">
      <c r="B41" s="7">
        <v>1.8</v>
      </c>
      <c r="C41" s="5">
        <f t="shared" si="9"/>
        <v>1431.2788732394367</v>
      </c>
      <c r="E41" s="7">
        <f>ROUND((Dashboard!$F$6*B41)/('AMI SMI CROSSOVER'!S$6/'AMI SMI CROSSOVER'!$B$21),2)</f>
        <v>0.45</v>
      </c>
      <c r="F41" s="5">
        <f t="shared" si="8"/>
        <v>1813.5270541082164</v>
      </c>
      <c r="H41" s="7">
        <f t="shared" si="1"/>
        <v>0.45</v>
      </c>
      <c r="I41" s="5">
        <f t="shared" si="2"/>
        <v>1813.5270541082164</v>
      </c>
      <c r="K41" s="7">
        <f t="shared" si="3"/>
        <v>1.8</v>
      </c>
      <c r="L41" s="5">
        <f t="shared" si="10"/>
        <v>1813.5270541082164</v>
      </c>
    </row>
    <row r="42" spans="2:12" x14ac:dyDescent="0.2">
      <c r="B42" s="7">
        <v>1.85</v>
      </c>
      <c r="C42" s="5">
        <f t="shared" si="9"/>
        <v>1471.0366197183098</v>
      </c>
      <c r="E42" s="7">
        <f>ROUND((Dashboard!$F$6*B42)/('AMI SMI CROSSOVER'!S$6/'AMI SMI CROSSOVER'!$B$21),2)</f>
        <v>0.46</v>
      </c>
      <c r="F42" s="5">
        <f t="shared" si="8"/>
        <v>1853.8276553106211</v>
      </c>
      <c r="H42" s="7">
        <f t="shared" si="1"/>
        <v>0.46</v>
      </c>
      <c r="I42" s="5">
        <f t="shared" si="2"/>
        <v>1853.8276553106211</v>
      </c>
      <c r="K42" s="7">
        <f t="shared" si="3"/>
        <v>1.85</v>
      </c>
      <c r="L42" s="5">
        <f t="shared" si="10"/>
        <v>1853.8276553106211</v>
      </c>
    </row>
    <row r="43" spans="2:12" x14ac:dyDescent="0.2">
      <c r="B43" s="7">
        <v>1.9</v>
      </c>
      <c r="C43" s="5">
        <f t="shared" si="9"/>
        <v>1510.7943661971831</v>
      </c>
      <c r="E43" s="7">
        <f>ROUND((Dashboard!$F$6*B43)/('AMI SMI CROSSOVER'!S$6/'AMI SMI CROSSOVER'!$B$21),2)</f>
        <v>0.47</v>
      </c>
      <c r="F43" s="5">
        <f t="shared" si="8"/>
        <v>1894.1282565130259</v>
      </c>
      <c r="H43" s="7">
        <f t="shared" si="1"/>
        <v>0.47</v>
      </c>
      <c r="I43" s="5">
        <f t="shared" si="2"/>
        <v>1894.1282565130259</v>
      </c>
      <c r="K43" s="7">
        <f t="shared" si="3"/>
        <v>1.9</v>
      </c>
      <c r="L43" s="5">
        <f t="shared" si="10"/>
        <v>1894.1282565130259</v>
      </c>
    </row>
    <row r="44" spans="2:12" x14ac:dyDescent="0.2">
      <c r="B44" s="7">
        <v>1.95</v>
      </c>
      <c r="C44" s="5">
        <f t="shared" si="9"/>
        <v>1550.5521126760561</v>
      </c>
      <c r="E44" s="7">
        <f>ROUND((Dashboard!$F$6*B44)/('AMI SMI CROSSOVER'!S$6/'AMI SMI CROSSOVER'!$B$21),2)</f>
        <v>0.48</v>
      </c>
      <c r="F44" s="5">
        <f t="shared" si="8"/>
        <v>1934.4288577154309</v>
      </c>
      <c r="H44" s="7">
        <f t="shared" si="1"/>
        <v>0.48</v>
      </c>
      <c r="I44" s="5">
        <f t="shared" si="2"/>
        <v>1934.4288577154309</v>
      </c>
      <c r="K44" s="7">
        <f t="shared" si="3"/>
        <v>1.95</v>
      </c>
      <c r="L44" s="5">
        <f t="shared" si="10"/>
        <v>1934.4288577154309</v>
      </c>
    </row>
    <row r="45" spans="2:12" ht="13.5" thickBot="1" x14ac:dyDescent="0.25">
      <c r="B45" s="15">
        <v>2</v>
      </c>
      <c r="C45" s="11">
        <f t="shared" si="9"/>
        <v>1590.3098591549297</v>
      </c>
      <c r="E45" s="15">
        <f>ROUND((Dashboard!$F$6*B45)/('AMI SMI CROSSOVER'!S$6/'AMI SMI CROSSOVER'!$B$21),2)</f>
        <v>0.5</v>
      </c>
      <c r="F45" s="11">
        <f>U11-SUM(F6:F44)</f>
        <v>24864</v>
      </c>
      <c r="H45" s="15">
        <f>B45</f>
        <v>2</v>
      </c>
      <c r="I45" s="11">
        <f>MAX(U11,O11)-SUM(I6:I44)</f>
        <v>19187.447058823542</v>
      </c>
      <c r="K45" s="15">
        <f t="shared" si="3"/>
        <v>2</v>
      </c>
      <c r="L45" s="11">
        <f>F45-C45</f>
        <v>23273.690140845072</v>
      </c>
    </row>
    <row r="46" spans="2:12" x14ac:dyDescent="0.2">
      <c r="C46" s="6">
        <f>SUM(C6:C45)</f>
        <v>38950</v>
      </c>
      <c r="F46" s="6">
        <f>SUM(F6:F45)</f>
        <v>59909</v>
      </c>
      <c r="I46" s="118">
        <f>SUM(I6:I45)</f>
        <v>59909</v>
      </c>
      <c r="L46" s="6">
        <f>SUM(L6:L45)</f>
        <v>63867.225210985336</v>
      </c>
    </row>
    <row r="47" spans="2:12" x14ac:dyDescent="0.2">
      <c r="C47" s="16">
        <f>C46-O11</f>
        <v>0</v>
      </c>
      <c r="F47" s="16">
        <f>F46-U11</f>
        <v>0</v>
      </c>
      <c r="I47" s="119"/>
      <c r="L47" s="16"/>
    </row>
    <row r="48" spans="2:12" x14ac:dyDescent="0.2">
      <c r="I48" s="111"/>
    </row>
  </sheetData>
  <sheetProtection formatCells="0" formatColumns="0" formatRows="0"/>
  <protectedRanges>
    <protectedRange sqref="F6:F44 G6:L45 B6:C45 O22:O47 O20" name="Count"/>
    <protectedRange sqref="N20 N22:N47 E6:E45" name="Info"/>
  </protectedRanges>
  <pageMargins left="0.7" right="0.7" top="0.75" bottom="0.75" header="0.3" footer="0.3"/>
  <pageSetup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067A-9FD7-4276-9EB6-0A109B4F2255}">
  <sheetPr codeName="Sheet4">
    <tabColor theme="3" tint="0.59999389629810485"/>
    <pageSetUpPr fitToPage="1"/>
  </sheetPr>
  <dimension ref="A1:F18"/>
  <sheetViews>
    <sheetView view="pageLayout" topLeftCell="A14" zoomScaleNormal="100" workbookViewId="0">
      <selection activeCell="F32" sqref="F32"/>
    </sheetView>
  </sheetViews>
  <sheetFormatPr defaultColWidth="9.140625" defaultRowHeight="12.75" x14ac:dyDescent="0.2"/>
  <cols>
    <col min="1" max="2" width="15.7109375" style="3" customWidth="1"/>
    <col min="3" max="3" width="17.7109375" style="3" bestFit="1" customWidth="1"/>
    <col min="4" max="4" width="15.7109375" style="3" customWidth="1"/>
    <col min="5" max="5" width="17" style="3" bestFit="1" customWidth="1"/>
    <col min="6" max="6" width="24" style="3" bestFit="1" customWidth="1"/>
    <col min="7" max="16384" width="9.140625" style="3"/>
  </cols>
  <sheetData>
    <row r="1" spans="1:6" ht="15" x14ac:dyDescent="0.25">
      <c r="A1" s="75" t="s">
        <v>74</v>
      </c>
      <c r="B1" s="75" t="s">
        <v>75</v>
      </c>
      <c r="C1" s="75" t="s">
        <v>76</v>
      </c>
      <c r="D1" s="75" t="s">
        <v>77</v>
      </c>
      <c r="E1" s="75" t="s">
        <v>78</v>
      </c>
      <c r="F1" s="75" t="s">
        <v>79</v>
      </c>
    </row>
    <row r="2" spans="1:6" ht="15" x14ac:dyDescent="0.25">
      <c r="A2" s="76" t="s">
        <v>80</v>
      </c>
      <c r="B2" s="77">
        <v>1417</v>
      </c>
      <c r="C2" s="77">
        <v>38</v>
      </c>
      <c r="D2" s="78">
        <v>14840</v>
      </c>
      <c r="E2" s="78">
        <f>D2/C2</f>
        <v>390.5263157894737</v>
      </c>
      <c r="F2" s="79">
        <v>156</v>
      </c>
    </row>
    <row r="3" spans="1:6" ht="15" x14ac:dyDescent="0.25">
      <c r="A3" s="76" t="s">
        <v>81</v>
      </c>
      <c r="B3" s="77">
        <v>23582</v>
      </c>
      <c r="C3" s="77">
        <v>11</v>
      </c>
      <c r="D3" s="78">
        <v>10980</v>
      </c>
      <c r="E3" s="78">
        <f t="shared" ref="E3:E17" si="0">D3/C3</f>
        <v>998.18181818181813</v>
      </c>
      <c r="F3" s="79">
        <v>123</v>
      </c>
    </row>
    <row r="4" spans="1:6" ht="15" x14ac:dyDescent="0.25">
      <c r="A4" s="76" t="s">
        <v>82</v>
      </c>
      <c r="B4" s="77">
        <v>1558</v>
      </c>
      <c r="C4" s="77">
        <v>7</v>
      </c>
      <c r="D4" s="78">
        <v>3743</v>
      </c>
      <c r="E4" s="78">
        <f t="shared" si="0"/>
        <v>534.71428571428567</v>
      </c>
      <c r="F4" s="79">
        <v>247</v>
      </c>
    </row>
    <row r="5" spans="1:6" ht="15" x14ac:dyDescent="0.25">
      <c r="A5" s="76" t="s">
        <v>83</v>
      </c>
      <c r="B5" s="77">
        <v>4576</v>
      </c>
      <c r="C5" s="77">
        <v>1</v>
      </c>
      <c r="D5" s="78">
        <v>521</v>
      </c>
      <c r="E5" s="78">
        <f t="shared" si="0"/>
        <v>521</v>
      </c>
      <c r="F5" s="79">
        <v>197</v>
      </c>
    </row>
    <row r="6" spans="1:6" ht="15" x14ac:dyDescent="0.25">
      <c r="A6" s="76" t="s">
        <v>84</v>
      </c>
      <c r="B6" s="77">
        <v>455</v>
      </c>
      <c r="C6" s="77">
        <v>3</v>
      </c>
      <c r="D6" s="78">
        <v>1806</v>
      </c>
      <c r="E6" s="78">
        <f t="shared" si="0"/>
        <v>602</v>
      </c>
      <c r="F6" s="79">
        <v>237</v>
      </c>
    </row>
    <row r="7" spans="1:6" ht="15" x14ac:dyDescent="0.25">
      <c r="A7" s="76" t="s">
        <v>85</v>
      </c>
      <c r="B7" s="77">
        <v>14243</v>
      </c>
      <c r="C7" s="77">
        <v>25</v>
      </c>
      <c r="D7" s="78">
        <v>23456.04</v>
      </c>
      <c r="E7" s="78">
        <f t="shared" si="0"/>
        <v>938.24160000000006</v>
      </c>
      <c r="F7" s="79">
        <v>105</v>
      </c>
    </row>
    <row r="8" spans="1:6" ht="15" x14ac:dyDescent="0.25">
      <c r="A8" s="76" t="s">
        <v>86</v>
      </c>
      <c r="B8" s="77">
        <v>1284</v>
      </c>
      <c r="C8" s="77">
        <v>4</v>
      </c>
      <c r="D8" s="78">
        <v>1526</v>
      </c>
      <c r="E8" s="78">
        <f t="shared" si="0"/>
        <v>381.5</v>
      </c>
      <c r="F8" s="79">
        <v>393</v>
      </c>
    </row>
    <row r="9" spans="1:6" ht="15" x14ac:dyDescent="0.25">
      <c r="A9" s="76" t="s">
        <v>87</v>
      </c>
      <c r="B9" s="77">
        <v>4319</v>
      </c>
      <c r="C9" s="77">
        <v>42</v>
      </c>
      <c r="D9" s="78">
        <v>21605.66</v>
      </c>
      <c r="E9" s="78">
        <f t="shared" si="0"/>
        <v>514.42047619047617</v>
      </c>
      <c r="F9" s="79">
        <v>155</v>
      </c>
    </row>
    <row r="10" spans="1:6" ht="15" x14ac:dyDescent="0.25">
      <c r="A10" s="76" t="s">
        <v>88</v>
      </c>
      <c r="B10" s="77">
        <v>7626</v>
      </c>
      <c r="C10" s="77">
        <v>29</v>
      </c>
      <c r="D10" s="78">
        <v>14180</v>
      </c>
      <c r="E10" s="78">
        <f t="shared" si="0"/>
        <v>488.9655172413793</v>
      </c>
      <c r="F10" s="79">
        <v>106</v>
      </c>
    </row>
    <row r="11" spans="1:6" ht="15" x14ac:dyDescent="0.25">
      <c r="A11" s="76" t="s">
        <v>89</v>
      </c>
      <c r="B11" s="77">
        <v>37966</v>
      </c>
      <c r="C11" s="77">
        <v>103</v>
      </c>
      <c r="D11" s="78">
        <v>70939.570000000007</v>
      </c>
      <c r="E11" s="78">
        <f t="shared" si="0"/>
        <v>688.73368932038841</v>
      </c>
      <c r="F11" s="79">
        <v>97</v>
      </c>
    </row>
    <row r="12" spans="1:6" ht="15" x14ac:dyDescent="0.25">
      <c r="A12" s="76" t="s">
        <v>90</v>
      </c>
      <c r="B12" s="77">
        <v>2507</v>
      </c>
      <c r="C12" s="77">
        <v>15</v>
      </c>
      <c r="D12" s="78">
        <v>8181</v>
      </c>
      <c r="E12" s="78">
        <f t="shared" si="0"/>
        <v>545.4</v>
      </c>
      <c r="F12" s="79">
        <v>138</v>
      </c>
    </row>
    <row r="13" spans="1:6" ht="15" x14ac:dyDescent="0.25">
      <c r="A13" s="76" t="s">
        <v>91</v>
      </c>
      <c r="B13" s="77">
        <v>30605</v>
      </c>
      <c r="C13" s="77">
        <v>228</v>
      </c>
      <c r="D13" s="78">
        <v>112742</v>
      </c>
      <c r="E13" s="78">
        <f t="shared" si="0"/>
        <v>494.48245614035091</v>
      </c>
      <c r="F13" s="79">
        <v>109</v>
      </c>
    </row>
    <row r="14" spans="1:6" ht="15" x14ac:dyDescent="0.25">
      <c r="A14" s="76" t="s">
        <v>92</v>
      </c>
      <c r="B14" s="77">
        <v>8074</v>
      </c>
      <c r="C14" s="77">
        <v>29</v>
      </c>
      <c r="D14" s="78">
        <v>13795.18</v>
      </c>
      <c r="E14" s="78">
        <f t="shared" si="0"/>
        <v>475.69586206896554</v>
      </c>
      <c r="F14" s="79">
        <v>127</v>
      </c>
    </row>
    <row r="15" spans="1:6" ht="15" x14ac:dyDescent="0.25">
      <c r="A15" s="76" t="s">
        <v>93</v>
      </c>
      <c r="B15" s="77">
        <v>13551</v>
      </c>
      <c r="C15" s="77">
        <v>120</v>
      </c>
      <c r="D15" s="78">
        <v>65777.899999999994</v>
      </c>
      <c r="E15" s="78">
        <f t="shared" si="0"/>
        <v>548.14916666666659</v>
      </c>
      <c r="F15" s="79">
        <v>117</v>
      </c>
    </row>
    <row r="16" spans="1:6" ht="15" x14ac:dyDescent="0.25">
      <c r="A16" s="76" t="s">
        <v>94</v>
      </c>
      <c r="B16" s="77">
        <v>53344</v>
      </c>
      <c r="C16" s="77">
        <v>451</v>
      </c>
      <c r="D16" s="78">
        <v>192332.07</v>
      </c>
      <c r="E16" s="78">
        <f t="shared" si="0"/>
        <v>426.45691796008873</v>
      </c>
      <c r="F16" s="79">
        <v>110</v>
      </c>
    </row>
    <row r="17" spans="1:6" ht="15.75" thickBot="1" x14ac:dyDescent="0.3">
      <c r="A17" s="80" t="s">
        <v>95</v>
      </c>
      <c r="B17" s="81">
        <v>31643</v>
      </c>
      <c r="C17" s="81">
        <v>646</v>
      </c>
      <c r="D17" s="82">
        <v>321090.27</v>
      </c>
      <c r="E17" s="83">
        <f t="shared" si="0"/>
        <v>497.04376160990716</v>
      </c>
      <c r="F17" s="84">
        <v>139</v>
      </c>
    </row>
    <row r="18" spans="1:6" ht="15.75" thickBot="1" x14ac:dyDescent="0.3">
      <c r="A18" s="76"/>
      <c r="B18" s="76"/>
      <c r="C18" s="85">
        <f>AVERAGE(C2:C17)</f>
        <v>109.5</v>
      </c>
      <c r="D18" s="86">
        <f t="shared" ref="D18:F18" si="1">AVERAGE(D2:D17)</f>
        <v>54844.730624999997</v>
      </c>
      <c r="E18" s="87">
        <f t="shared" si="1"/>
        <v>565.34449168023764</v>
      </c>
      <c r="F18" s="86">
        <f t="shared" si="1"/>
        <v>159.75</v>
      </c>
    </row>
  </sheetData>
  <sheetProtection formatCells="0" formatColumns="0" formatRows="0"/>
  <protectedRanges>
    <protectedRange sqref="M2:X18" name="Assistance"/>
  </protectedRanges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BF35-3135-402B-9565-50E63A5AFD32}">
  <sheetPr>
    <tabColor theme="3" tint="0.59999389629810485"/>
  </sheetPr>
  <dimension ref="A1:I30"/>
  <sheetViews>
    <sheetView zoomScaleNormal="100" workbookViewId="0">
      <selection activeCell="H32" sqref="H32"/>
    </sheetView>
  </sheetViews>
  <sheetFormatPr defaultColWidth="8.85546875" defaultRowHeight="12.75" x14ac:dyDescent="0.2"/>
  <cols>
    <col min="1" max="2" width="12" style="131" customWidth="1"/>
    <col min="3" max="3" width="3.28515625" style="131" customWidth="1"/>
    <col min="4" max="4" width="38.85546875" style="131" bestFit="1" customWidth="1"/>
    <col min="5" max="5" width="3" style="131" bestFit="1" customWidth="1"/>
    <col min="6" max="16384" width="8.85546875" style="131"/>
  </cols>
  <sheetData>
    <row r="1" spans="1:9" s="125" customFormat="1" ht="25.5" x14ac:dyDescent="0.2">
      <c r="A1" s="123" t="s">
        <v>96</v>
      </c>
      <c r="B1" s="124" t="s">
        <v>97</v>
      </c>
      <c r="D1" s="126" t="s">
        <v>98</v>
      </c>
    </row>
    <row r="2" spans="1:9" x14ac:dyDescent="0.2">
      <c r="A2" s="127">
        <v>1</v>
      </c>
      <c r="B2" s="128">
        <v>15650</v>
      </c>
      <c r="C2" s="129"/>
      <c r="D2" s="130" t="s">
        <v>99</v>
      </c>
      <c r="G2" s="132"/>
      <c r="H2" s="132"/>
    </row>
    <row r="3" spans="1:9" x14ac:dyDescent="0.2">
      <c r="A3" s="127">
        <v>2</v>
      </c>
      <c r="B3" s="133">
        <v>21150</v>
      </c>
      <c r="C3" s="129"/>
      <c r="D3" s="134">
        <v>5500</v>
      </c>
    </row>
    <row r="4" spans="1:9" x14ac:dyDescent="0.2">
      <c r="A4" s="127">
        <v>3</v>
      </c>
      <c r="B4" s="133">
        <v>26650</v>
      </c>
      <c r="C4" s="129"/>
      <c r="E4" s="135"/>
    </row>
    <row r="5" spans="1:9" x14ac:dyDescent="0.2">
      <c r="A5" s="127">
        <v>4</v>
      </c>
      <c r="B5" s="133">
        <v>32150</v>
      </c>
      <c r="C5" s="129"/>
      <c r="D5" s="129"/>
      <c r="E5" s="129"/>
    </row>
    <row r="6" spans="1:9" x14ac:dyDescent="0.2">
      <c r="A6" s="127">
        <v>5</v>
      </c>
      <c r="B6" s="133">
        <v>37650</v>
      </c>
      <c r="C6" s="129"/>
      <c r="D6" s="129"/>
      <c r="E6" s="129"/>
      <c r="G6" s="132"/>
      <c r="H6" s="132"/>
      <c r="I6" s="132"/>
    </row>
    <row r="7" spans="1:9" x14ac:dyDescent="0.2">
      <c r="A7" s="127">
        <v>6</v>
      </c>
      <c r="B7" s="133">
        <v>43150</v>
      </c>
      <c r="C7" s="129"/>
      <c r="D7" s="129"/>
    </row>
    <row r="8" spans="1:9" x14ac:dyDescent="0.2">
      <c r="A8" s="127">
        <v>7</v>
      </c>
      <c r="B8" s="133">
        <v>48650</v>
      </c>
      <c r="C8" s="129"/>
      <c r="D8" s="129"/>
    </row>
    <row r="9" spans="1:9" x14ac:dyDescent="0.2">
      <c r="A9" s="127">
        <v>8</v>
      </c>
      <c r="B9" s="133">
        <v>54150</v>
      </c>
      <c r="C9" s="129"/>
      <c r="D9" s="129"/>
      <c r="E9" s="136"/>
    </row>
    <row r="10" spans="1:9" x14ac:dyDescent="0.2">
      <c r="A10" s="127">
        <v>9</v>
      </c>
      <c r="B10" s="133">
        <f>B9+$D$3</f>
        <v>59650</v>
      </c>
      <c r="C10" s="129"/>
      <c r="D10" s="129"/>
      <c r="E10" s="136"/>
    </row>
    <row r="11" spans="1:9" x14ac:dyDescent="0.2">
      <c r="A11" s="127">
        <v>10</v>
      </c>
      <c r="B11" s="133">
        <f t="shared" ref="B11:B25" si="0">B10+$D$3</f>
        <v>65150</v>
      </c>
      <c r="C11" s="129"/>
      <c r="D11" s="129"/>
      <c r="E11" s="136"/>
    </row>
    <row r="12" spans="1:9" x14ac:dyDescent="0.2">
      <c r="A12" s="127">
        <v>11</v>
      </c>
      <c r="B12" s="133">
        <f t="shared" si="0"/>
        <v>70650</v>
      </c>
      <c r="C12" s="129"/>
      <c r="D12" s="129"/>
      <c r="E12" s="136"/>
    </row>
    <row r="13" spans="1:9" x14ac:dyDescent="0.2">
      <c r="A13" s="127">
        <v>12</v>
      </c>
      <c r="B13" s="133">
        <f t="shared" si="0"/>
        <v>76150</v>
      </c>
      <c r="C13" s="129"/>
      <c r="D13" s="129"/>
      <c r="E13" s="136"/>
    </row>
    <row r="14" spans="1:9" x14ac:dyDescent="0.2">
      <c r="A14" s="127">
        <v>13</v>
      </c>
      <c r="B14" s="133">
        <f t="shared" si="0"/>
        <v>81650</v>
      </c>
      <c r="C14" s="129"/>
      <c r="D14" s="129"/>
      <c r="E14" s="136"/>
    </row>
    <row r="15" spans="1:9" x14ac:dyDescent="0.2">
      <c r="A15" s="127">
        <v>14</v>
      </c>
      <c r="B15" s="133">
        <f t="shared" si="0"/>
        <v>87150</v>
      </c>
      <c r="C15" s="129"/>
      <c r="D15" s="129"/>
      <c r="E15" s="136"/>
    </row>
    <row r="16" spans="1:9" x14ac:dyDescent="0.2">
      <c r="A16" s="127">
        <v>15</v>
      </c>
      <c r="B16" s="133">
        <f>B15+$D$3</f>
        <v>92650</v>
      </c>
      <c r="C16" s="129"/>
      <c r="D16" s="129"/>
      <c r="E16" s="136"/>
    </row>
    <row r="17" spans="1:5" x14ac:dyDescent="0.2">
      <c r="A17" s="127">
        <v>16</v>
      </c>
      <c r="B17" s="133">
        <f t="shared" si="0"/>
        <v>98150</v>
      </c>
      <c r="C17" s="129"/>
      <c r="D17" s="129"/>
      <c r="E17" s="136"/>
    </row>
    <row r="18" spans="1:5" x14ac:dyDescent="0.2">
      <c r="A18" s="127">
        <v>17</v>
      </c>
      <c r="B18" s="133">
        <f t="shared" si="0"/>
        <v>103650</v>
      </c>
      <c r="C18" s="129"/>
      <c r="D18" s="129"/>
      <c r="E18" s="136"/>
    </row>
    <row r="19" spans="1:5" x14ac:dyDescent="0.2">
      <c r="A19" s="127">
        <v>18</v>
      </c>
      <c r="B19" s="133">
        <f t="shared" si="0"/>
        <v>109150</v>
      </c>
      <c r="C19" s="129"/>
      <c r="D19" s="129"/>
      <c r="E19" s="136"/>
    </row>
    <row r="20" spans="1:5" x14ac:dyDescent="0.2">
      <c r="A20" s="127">
        <v>19</v>
      </c>
      <c r="B20" s="133">
        <f>B19+$D$3</f>
        <v>114650</v>
      </c>
      <c r="C20" s="129"/>
      <c r="D20" s="129"/>
      <c r="E20" s="136"/>
    </row>
    <row r="21" spans="1:5" x14ac:dyDescent="0.2">
      <c r="A21" s="127">
        <v>20</v>
      </c>
      <c r="B21" s="133">
        <f t="shared" si="0"/>
        <v>120150</v>
      </c>
      <c r="C21" s="129"/>
      <c r="D21" s="129"/>
      <c r="E21" s="136"/>
    </row>
    <row r="22" spans="1:5" x14ac:dyDescent="0.2">
      <c r="A22" s="127">
        <v>21</v>
      </c>
      <c r="B22" s="133">
        <f t="shared" si="0"/>
        <v>125650</v>
      </c>
      <c r="C22" s="129"/>
      <c r="D22" s="129"/>
      <c r="E22" s="136"/>
    </row>
    <row r="23" spans="1:5" x14ac:dyDescent="0.2">
      <c r="A23" s="127">
        <v>22</v>
      </c>
      <c r="B23" s="133">
        <f t="shared" si="0"/>
        <v>131150</v>
      </c>
      <c r="C23" s="129"/>
      <c r="D23" s="129"/>
      <c r="E23" s="136"/>
    </row>
    <row r="24" spans="1:5" x14ac:dyDescent="0.2">
      <c r="A24" s="127">
        <v>23</v>
      </c>
      <c r="B24" s="133">
        <f t="shared" si="0"/>
        <v>136650</v>
      </c>
      <c r="C24" s="129"/>
      <c r="D24" s="129"/>
      <c r="E24" s="136"/>
    </row>
    <row r="25" spans="1:5" x14ac:dyDescent="0.2">
      <c r="A25" s="127">
        <v>24</v>
      </c>
      <c r="B25" s="133">
        <f t="shared" si="0"/>
        <v>142150</v>
      </c>
      <c r="C25" s="129"/>
      <c r="D25" s="129"/>
      <c r="E25" s="136"/>
    </row>
    <row r="26" spans="1:5" x14ac:dyDescent="0.2">
      <c r="A26" s="127">
        <v>25</v>
      </c>
      <c r="B26" s="133">
        <f>B25+$D$3</f>
        <v>147650</v>
      </c>
      <c r="C26" s="129"/>
      <c r="D26" s="129"/>
      <c r="E26" s="136"/>
    </row>
    <row r="27" spans="1:5" x14ac:dyDescent="0.2">
      <c r="A27" s="127">
        <v>26</v>
      </c>
      <c r="B27" s="133">
        <f>B26+$D$3</f>
        <v>153150</v>
      </c>
      <c r="C27" s="129"/>
      <c r="D27" s="129"/>
      <c r="E27" s="136"/>
    </row>
    <row r="29" spans="1:5" x14ac:dyDescent="0.2">
      <c r="A29" s="137" t="s">
        <v>113</v>
      </c>
      <c r="B29" s="137"/>
      <c r="C29" s="137"/>
      <c r="D29" s="137"/>
    </row>
    <row r="30" spans="1:5" x14ac:dyDescent="0.2">
      <c r="A30" s="138" t="s">
        <v>100</v>
      </c>
      <c r="B30" s="138"/>
      <c r="C30" s="138"/>
      <c r="D30" s="138"/>
    </row>
  </sheetData>
  <mergeCells count="2">
    <mergeCell ref="A29:D29"/>
    <mergeCell ref="A30:D30"/>
  </mergeCells>
  <hyperlinks>
    <hyperlink ref="A30" r:id="rId1" xr:uid="{1A6B651B-8657-48C5-8EF6-89541DA94355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06B1-1730-4DF3-85AB-DCB61228987A}">
  <sheetPr>
    <tabColor theme="3" tint="0.59999389629810485"/>
    <pageSetUpPr fitToPage="1"/>
  </sheetPr>
  <dimension ref="A1:AG32"/>
  <sheetViews>
    <sheetView workbookViewId="0">
      <selection activeCell="P37" sqref="P37"/>
    </sheetView>
  </sheetViews>
  <sheetFormatPr defaultColWidth="8.85546875" defaultRowHeight="12.75" x14ac:dyDescent="0.2"/>
  <cols>
    <col min="1" max="1" width="9.42578125" style="53" customWidth="1"/>
    <col min="2" max="13" width="8.42578125" style="53" bestFit="1" customWidth="1"/>
    <col min="14" max="14" width="9.5703125" style="53" bestFit="1" customWidth="1"/>
    <col min="15" max="15" width="8.42578125" style="53" bestFit="1" customWidth="1"/>
    <col min="16" max="16" width="8.5703125" style="53" bestFit="1" customWidth="1"/>
    <col min="17" max="17" width="8.42578125" style="53" bestFit="1" customWidth="1"/>
    <col min="18" max="18" width="9.140625" style="53" bestFit="1" customWidth="1"/>
    <col min="19" max="23" width="8.85546875" style="53"/>
    <col min="24" max="24" width="7" style="53" bestFit="1" customWidth="1"/>
    <col min="25" max="16384" width="8.85546875" style="53"/>
  </cols>
  <sheetData>
    <row r="1" spans="1:33" s="56" customFormat="1" ht="27" customHeight="1" x14ac:dyDescent="0.2">
      <c r="A1" s="54" t="s">
        <v>96</v>
      </c>
      <c r="B1" s="55" t="s">
        <v>44</v>
      </c>
      <c r="C1" s="55" t="s">
        <v>45</v>
      </c>
      <c r="D1" s="55" t="s">
        <v>46</v>
      </c>
      <c r="E1" s="55" t="s">
        <v>47</v>
      </c>
      <c r="F1" s="55" t="s">
        <v>48</v>
      </c>
      <c r="G1" s="55" t="s">
        <v>49</v>
      </c>
      <c r="H1" s="55" t="s">
        <v>50</v>
      </c>
      <c r="I1" s="55" t="s">
        <v>51</v>
      </c>
      <c r="J1" s="55" t="s">
        <v>52</v>
      </c>
      <c r="K1" s="55" t="s">
        <v>53</v>
      </c>
      <c r="L1" s="55" t="s">
        <v>54</v>
      </c>
      <c r="M1" s="55" t="s">
        <v>55</v>
      </c>
      <c r="N1" s="55" t="s">
        <v>56</v>
      </c>
      <c r="O1" s="55" t="s">
        <v>57</v>
      </c>
      <c r="P1" s="55" t="s">
        <v>58</v>
      </c>
      <c r="Q1" s="55" t="s">
        <v>59</v>
      </c>
      <c r="R1" s="59" t="s">
        <v>101</v>
      </c>
      <c r="T1" s="60"/>
      <c r="W1" s="61"/>
      <c r="X1" s="61"/>
      <c r="Y1" s="61"/>
    </row>
    <row r="2" spans="1:33" x14ac:dyDescent="0.2">
      <c r="A2" s="57">
        <v>1</v>
      </c>
      <c r="B2" s="62">
        <v>50400</v>
      </c>
      <c r="C2" s="62">
        <v>55950</v>
      </c>
      <c r="D2" s="62">
        <v>51950</v>
      </c>
      <c r="E2" s="62">
        <v>50400</v>
      </c>
      <c r="F2" s="62">
        <v>51950</v>
      </c>
      <c r="G2" s="62">
        <v>55950</v>
      </c>
      <c r="H2" s="62">
        <v>50400</v>
      </c>
      <c r="I2" s="62">
        <v>50400</v>
      </c>
      <c r="J2" s="62">
        <v>57150</v>
      </c>
      <c r="K2" s="62">
        <v>67050</v>
      </c>
      <c r="L2" s="62">
        <v>51450</v>
      </c>
      <c r="M2" s="62">
        <v>56150</v>
      </c>
      <c r="N2" s="62">
        <v>77700</v>
      </c>
      <c r="O2" s="62">
        <v>50550</v>
      </c>
      <c r="P2" s="62">
        <v>59150</v>
      </c>
      <c r="Q2" s="62">
        <v>50400</v>
      </c>
      <c r="R2" s="63">
        <v>1</v>
      </c>
      <c r="T2" s="64"/>
    </row>
    <row r="3" spans="1:33" x14ac:dyDescent="0.2">
      <c r="A3" s="58">
        <v>2</v>
      </c>
      <c r="B3" s="65">
        <v>57600</v>
      </c>
      <c r="C3" s="65">
        <v>63950</v>
      </c>
      <c r="D3" s="65">
        <v>59350</v>
      </c>
      <c r="E3" s="65">
        <v>57600</v>
      </c>
      <c r="F3" s="65">
        <v>59350</v>
      </c>
      <c r="G3" s="65">
        <v>63950</v>
      </c>
      <c r="H3" s="65">
        <v>57600</v>
      </c>
      <c r="I3" s="65">
        <v>57600</v>
      </c>
      <c r="J3" s="65">
        <v>65300</v>
      </c>
      <c r="K3" s="65">
        <v>76600</v>
      </c>
      <c r="L3" s="65">
        <v>58750</v>
      </c>
      <c r="M3" s="65">
        <v>64150</v>
      </c>
      <c r="N3" s="65">
        <v>88800</v>
      </c>
      <c r="O3" s="65">
        <v>57750</v>
      </c>
      <c r="P3" s="65">
        <v>67550</v>
      </c>
      <c r="Q3" s="65">
        <v>57600</v>
      </c>
      <c r="R3" s="66">
        <v>1.1428571428571428</v>
      </c>
      <c r="T3" s="64"/>
    </row>
    <row r="4" spans="1:33" x14ac:dyDescent="0.2">
      <c r="A4" s="57">
        <v>3</v>
      </c>
      <c r="B4" s="62">
        <v>64800</v>
      </c>
      <c r="C4" s="62">
        <v>71950</v>
      </c>
      <c r="D4" s="62">
        <v>66750</v>
      </c>
      <c r="E4" s="62">
        <v>64800</v>
      </c>
      <c r="F4" s="62">
        <v>66750</v>
      </c>
      <c r="G4" s="62">
        <v>71950</v>
      </c>
      <c r="H4" s="62">
        <v>64800</v>
      </c>
      <c r="I4" s="62">
        <v>64800</v>
      </c>
      <c r="J4" s="62">
        <v>73450</v>
      </c>
      <c r="K4" s="62">
        <v>86200</v>
      </c>
      <c r="L4" s="62">
        <v>66150</v>
      </c>
      <c r="M4" s="62">
        <v>72150</v>
      </c>
      <c r="N4" s="62">
        <v>99900</v>
      </c>
      <c r="O4" s="62">
        <v>64950</v>
      </c>
      <c r="P4" s="62">
        <v>76050</v>
      </c>
      <c r="Q4" s="62">
        <v>64800</v>
      </c>
      <c r="R4" s="63">
        <v>1.2857142857142858</v>
      </c>
      <c r="T4" s="60"/>
    </row>
    <row r="5" spans="1:33" x14ac:dyDescent="0.2">
      <c r="A5" s="58">
        <v>4</v>
      </c>
      <c r="B5" s="65">
        <v>72000</v>
      </c>
      <c r="C5" s="65">
        <v>79900</v>
      </c>
      <c r="D5" s="65">
        <v>74150</v>
      </c>
      <c r="E5" s="65">
        <v>72000</v>
      </c>
      <c r="F5" s="65">
        <v>74150</v>
      </c>
      <c r="G5" s="65">
        <v>79900</v>
      </c>
      <c r="H5" s="65">
        <v>72000</v>
      </c>
      <c r="I5" s="65">
        <v>72000</v>
      </c>
      <c r="J5" s="65">
        <v>81600</v>
      </c>
      <c r="K5" s="65">
        <v>95750</v>
      </c>
      <c r="L5" s="65">
        <v>73450</v>
      </c>
      <c r="M5" s="65">
        <v>80150</v>
      </c>
      <c r="N5" s="65">
        <v>110950</v>
      </c>
      <c r="O5" s="65">
        <v>72150</v>
      </c>
      <c r="P5" s="65">
        <v>84450</v>
      </c>
      <c r="Q5" s="65">
        <v>72000</v>
      </c>
      <c r="R5" s="66">
        <v>1.4285714285714286</v>
      </c>
      <c r="T5" s="64"/>
    </row>
    <row r="6" spans="1:33" x14ac:dyDescent="0.2">
      <c r="A6" s="57">
        <v>5</v>
      </c>
      <c r="B6" s="62">
        <v>77800</v>
      </c>
      <c r="C6" s="62">
        <v>86300</v>
      </c>
      <c r="D6" s="62">
        <v>80100</v>
      </c>
      <c r="E6" s="62">
        <v>77800</v>
      </c>
      <c r="F6" s="62">
        <v>80100</v>
      </c>
      <c r="G6" s="62">
        <v>86300</v>
      </c>
      <c r="H6" s="62">
        <v>77800</v>
      </c>
      <c r="I6" s="62">
        <v>77800</v>
      </c>
      <c r="J6" s="62">
        <v>88150</v>
      </c>
      <c r="K6" s="62">
        <v>103450</v>
      </c>
      <c r="L6" s="62">
        <v>79350</v>
      </c>
      <c r="M6" s="62">
        <v>86600</v>
      </c>
      <c r="N6" s="62">
        <v>119850</v>
      </c>
      <c r="O6" s="62">
        <v>77950</v>
      </c>
      <c r="P6" s="62">
        <v>91200</v>
      </c>
      <c r="Q6" s="62">
        <v>77800</v>
      </c>
      <c r="R6" s="63">
        <v>1.5436507936507937</v>
      </c>
      <c r="T6" s="64"/>
    </row>
    <row r="7" spans="1:33" x14ac:dyDescent="0.2">
      <c r="A7" s="58">
        <v>6</v>
      </c>
      <c r="B7" s="65">
        <v>83550</v>
      </c>
      <c r="C7" s="65">
        <v>92700</v>
      </c>
      <c r="D7" s="65">
        <v>86050</v>
      </c>
      <c r="E7" s="65">
        <v>83550</v>
      </c>
      <c r="F7" s="65">
        <v>86050</v>
      </c>
      <c r="G7" s="65">
        <v>92700</v>
      </c>
      <c r="H7" s="65">
        <v>83550</v>
      </c>
      <c r="I7" s="65">
        <v>83550</v>
      </c>
      <c r="J7" s="65">
        <v>94700</v>
      </c>
      <c r="K7" s="65">
        <v>111100</v>
      </c>
      <c r="L7" s="65">
        <v>85250</v>
      </c>
      <c r="M7" s="65">
        <v>93000</v>
      </c>
      <c r="N7" s="65">
        <v>128750</v>
      </c>
      <c r="O7" s="65">
        <v>83700</v>
      </c>
      <c r="P7" s="65">
        <v>98000</v>
      </c>
      <c r="Q7" s="65">
        <v>83550</v>
      </c>
      <c r="R7" s="66">
        <v>1.6577380952380953</v>
      </c>
      <c r="T7" s="60"/>
    </row>
    <row r="8" spans="1:33" x14ac:dyDescent="0.2">
      <c r="A8" s="57">
        <v>7</v>
      </c>
      <c r="B8" s="62">
        <v>89300</v>
      </c>
      <c r="C8" s="62">
        <v>99100</v>
      </c>
      <c r="D8" s="62">
        <v>91950</v>
      </c>
      <c r="E8" s="62">
        <v>89300</v>
      </c>
      <c r="F8" s="62">
        <v>91950</v>
      </c>
      <c r="G8" s="62">
        <v>99100</v>
      </c>
      <c r="H8" s="62">
        <v>89300</v>
      </c>
      <c r="I8" s="62">
        <v>89300</v>
      </c>
      <c r="J8" s="62">
        <v>101200</v>
      </c>
      <c r="K8" s="62">
        <v>118750</v>
      </c>
      <c r="L8" s="62">
        <v>91100</v>
      </c>
      <c r="M8" s="62">
        <v>99400</v>
      </c>
      <c r="N8" s="62">
        <v>137600</v>
      </c>
      <c r="O8" s="62">
        <v>89500</v>
      </c>
      <c r="P8" s="62">
        <v>104750</v>
      </c>
      <c r="Q8" s="62">
        <v>89300</v>
      </c>
      <c r="R8" s="63">
        <v>1.7718253968253967</v>
      </c>
      <c r="T8" s="64"/>
    </row>
    <row r="9" spans="1:33" ht="15" x14ac:dyDescent="0.25">
      <c r="A9" s="58">
        <v>8</v>
      </c>
      <c r="B9" s="65">
        <v>95050</v>
      </c>
      <c r="C9" s="65">
        <v>105500</v>
      </c>
      <c r="D9" s="65">
        <v>97900</v>
      </c>
      <c r="E9" s="65">
        <v>95050</v>
      </c>
      <c r="F9" s="65">
        <v>97900</v>
      </c>
      <c r="G9" s="65">
        <v>105500</v>
      </c>
      <c r="H9" s="65">
        <v>95050</v>
      </c>
      <c r="I9" s="65">
        <v>95050</v>
      </c>
      <c r="J9" s="65">
        <v>107750</v>
      </c>
      <c r="K9" s="65">
        <v>126400</v>
      </c>
      <c r="L9" s="65">
        <v>97000</v>
      </c>
      <c r="M9" s="65">
        <v>105800</v>
      </c>
      <c r="N9" s="65">
        <v>146500</v>
      </c>
      <c r="O9" s="65">
        <v>95250</v>
      </c>
      <c r="P9" s="65">
        <v>111500</v>
      </c>
      <c r="Q9" s="65">
        <v>95050</v>
      </c>
      <c r="R9" s="66">
        <v>1.8859126984126984</v>
      </c>
      <c r="T9" s="64"/>
      <c r="X9" s="73"/>
    </row>
    <row r="10" spans="1:33" x14ac:dyDescent="0.2">
      <c r="A10" s="57">
        <v>9</v>
      </c>
      <c r="B10" s="67">
        <f>(B9-B8)+B9</f>
        <v>100800</v>
      </c>
      <c r="C10" s="67">
        <f t="shared" ref="C10:Q19" si="0">(C9-C8)+C9</f>
        <v>111900</v>
      </c>
      <c r="D10" s="67">
        <f t="shared" si="0"/>
        <v>103850</v>
      </c>
      <c r="E10" s="67">
        <f t="shared" si="0"/>
        <v>100800</v>
      </c>
      <c r="F10" s="67">
        <f t="shared" si="0"/>
        <v>103850</v>
      </c>
      <c r="G10" s="67">
        <f t="shared" si="0"/>
        <v>111900</v>
      </c>
      <c r="H10" s="67">
        <f t="shared" si="0"/>
        <v>100800</v>
      </c>
      <c r="I10" s="67">
        <f t="shared" si="0"/>
        <v>100800</v>
      </c>
      <c r="J10" s="67">
        <f t="shared" si="0"/>
        <v>114300</v>
      </c>
      <c r="K10" s="67">
        <f t="shared" si="0"/>
        <v>134050</v>
      </c>
      <c r="L10" s="67">
        <f t="shared" si="0"/>
        <v>102900</v>
      </c>
      <c r="M10" s="67">
        <f t="shared" si="0"/>
        <v>112200</v>
      </c>
      <c r="N10" s="67">
        <f t="shared" si="0"/>
        <v>155400</v>
      </c>
      <c r="O10" s="67">
        <f>(O9-O8)+O9</f>
        <v>101000</v>
      </c>
      <c r="P10" s="67">
        <f t="shared" si="0"/>
        <v>118250</v>
      </c>
      <c r="Q10" s="67">
        <f t="shared" si="0"/>
        <v>100800</v>
      </c>
      <c r="R10" s="63">
        <v>2</v>
      </c>
      <c r="T10" s="60"/>
    </row>
    <row r="11" spans="1:33" ht="15" x14ac:dyDescent="0.25">
      <c r="A11" s="58">
        <v>10</v>
      </c>
      <c r="B11" s="68">
        <f t="shared" ref="B11:Q26" si="1">(B10-B9)+B10</f>
        <v>106550</v>
      </c>
      <c r="C11" s="68">
        <f t="shared" si="0"/>
        <v>118300</v>
      </c>
      <c r="D11" s="68">
        <f t="shared" si="0"/>
        <v>109800</v>
      </c>
      <c r="E11" s="68">
        <f t="shared" si="0"/>
        <v>106550</v>
      </c>
      <c r="F11" s="68">
        <f t="shared" si="0"/>
        <v>109800</v>
      </c>
      <c r="G11" s="68">
        <f t="shared" si="0"/>
        <v>118300</v>
      </c>
      <c r="H11" s="68">
        <f t="shared" si="0"/>
        <v>106550</v>
      </c>
      <c r="I11" s="68">
        <f t="shared" si="0"/>
        <v>106550</v>
      </c>
      <c r="J11" s="68">
        <f t="shared" si="0"/>
        <v>120850</v>
      </c>
      <c r="K11" s="68">
        <f t="shared" si="0"/>
        <v>141700</v>
      </c>
      <c r="L11" s="68">
        <f t="shared" si="0"/>
        <v>108800</v>
      </c>
      <c r="M11" s="68">
        <f t="shared" si="0"/>
        <v>118600</v>
      </c>
      <c r="N11" s="68">
        <f t="shared" si="0"/>
        <v>164300</v>
      </c>
      <c r="O11" s="68">
        <f t="shared" si="0"/>
        <v>106750</v>
      </c>
      <c r="P11" s="68">
        <f t="shared" si="0"/>
        <v>125000</v>
      </c>
      <c r="Q11" s="68">
        <f t="shared" si="0"/>
        <v>106550</v>
      </c>
      <c r="R11" s="66">
        <v>2.1140873015873014</v>
      </c>
      <c r="T11" s="64"/>
      <c r="X11" s="73"/>
    </row>
    <row r="12" spans="1:33" x14ac:dyDescent="0.2">
      <c r="A12" s="57">
        <v>11</v>
      </c>
      <c r="B12" s="67">
        <f t="shared" si="1"/>
        <v>112300</v>
      </c>
      <c r="C12" s="67">
        <f t="shared" si="0"/>
        <v>124700</v>
      </c>
      <c r="D12" s="67">
        <f t="shared" si="0"/>
        <v>115750</v>
      </c>
      <c r="E12" s="67">
        <f t="shared" si="0"/>
        <v>112300</v>
      </c>
      <c r="F12" s="67">
        <f t="shared" si="0"/>
        <v>115750</v>
      </c>
      <c r="G12" s="67">
        <f t="shared" si="0"/>
        <v>124700</v>
      </c>
      <c r="H12" s="67">
        <f t="shared" si="0"/>
        <v>112300</v>
      </c>
      <c r="I12" s="67">
        <f t="shared" si="0"/>
        <v>112300</v>
      </c>
      <c r="J12" s="67">
        <f t="shared" si="0"/>
        <v>127400</v>
      </c>
      <c r="K12" s="67">
        <f t="shared" si="0"/>
        <v>149350</v>
      </c>
      <c r="L12" s="67">
        <f t="shared" si="0"/>
        <v>114700</v>
      </c>
      <c r="M12" s="67">
        <f t="shared" si="0"/>
        <v>125000</v>
      </c>
      <c r="N12" s="67">
        <f t="shared" si="0"/>
        <v>173200</v>
      </c>
      <c r="O12" s="67">
        <f t="shared" si="0"/>
        <v>112500</v>
      </c>
      <c r="P12" s="67">
        <f t="shared" si="0"/>
        <v>131750</v>
      </c>
      <c r="Q12" s="67">
        <f t="shared" si="0"/>
        <v>112300</v>
      </c>
      <c r="R12" s="63">
        <v>2.2281746031746033</v>
      </c>
      <c r="T12" s="64"/>
    </row>
    <row r="13" spans="1:33" x14ac:dyDescent="0.2">
      <c r="A13" s="58">
        <v>12</v>
      </c>
      <c r="B13" s="68">
        <f t="shared" si="1"/>
        <v>118050</v>
      </c>
      <c r="C13" s="68">
        <f t="shared" si="0"/>
        <v>131100</v>
      </c>
      <c r="D13" s="68">
        <f t="shared" si="0"/>
        <v>121700</v>
      </c>
      <c r="E13" s="68">
        <f t="shared" si="0"/>
        <v>118050</v>
      </c>
      <c r="F13" s="68">
        <f t="shared" si="0"/>
        <v>121700</v>
      </c>
      <c r="G13" s="68">
        <f t="shared" si="0"/>
        <v>131100</v>
      </c>
      <c r="H13" s="68">
        <f t="shared" si="0"/>
        <v>118050</v>
      </c>
      <c r="I13" s="68">
        <f t="shared" si="0"/>
        <v>118050</v>
      </c>
      <c r="J13" s="68">
        <f t="shared" si="0"/>
        <v>133950</v>
      </c>
      <c r="K13" s="68">
        <f t="shared" si="0"/>
        <v>157000</v>
      </c>
      <c r="L13" s="68">
        <f t="shared" si="0"/>
        <v>120600</v>
      </c>
      <c r="M13" s="68">
        <f t="shared" si="0"/>
        <v>131400</v>
      </c>
      <c r="N13" s="68">
        <f t="shared" si="0"/>
        <v>182100</v>
      </c>
      <c r="O13" s="68">
        <f t="shared" si="0"/>
        <v>118250</v>
      </c>
      <c r="P13" s="68">
        <f t="shared" si="0"/>
        <v>138500</v>
      </c>
      <c r="Q13" s="68">
        <f t="shared" si="0"/>
        <v>118050</v>
      </c>
      <c r="R13" s="66">
        <v>2.3422619047619047</v>
      </c>
      <c r="T13" s="60"/>
    </row>
    <row r="14" spans="1:33" s="69" customFormat="1" x14ac:dyDescent="0.2">
      <c r="A14" s="57">
        <v>13</v>
      </c>
      <c r="B14" s="67">
        <f t="shared" si="1"/>
        <v>123800</v>
      </c>
      <c r="C14" s="67">
        <f t="shared" si="0"/>
        <v>137500</v>
      </c>
      <c r="D14" s="67">
        <f t="shared" si="0"/>
        <v>127650</v>
      </c>
      <c r="E14" s="67">
        <f t="shared" si="0"/>
        <v>123800</v>
      </c>
      <c r="F14" s="67">
        <f t="shared" si="0"/>
        <v>127650</v>
      </c>
      <c r="G14" s="67">
        <f t="shared" si="0"/>
        <v>137500</v>
      </c>
      <c r="H14" s="67">
        <f t="shared" si="0"/>
        <v>123800</v>
      </c>
      <c r="I14" s="67">
        <f t="shared" si="0"/>
        <v>123800</v>
      </c>
      <c r="J14" s="67">
        <f t="shared" si="0"/>
        <v>140500</v>
      </c>
      <c r="K14" s="67">
        <f t="shared" si="0"/>
        <v>164650</v>
      </c>
      <c r="L14" s="67">
        <f t="shared" si="0"/>
        <v>126500</v>
      </c>
      <c r="M14" s="67">
        <f t="shared" si="0"/>
        <v>137800</v>
      </c>
      <c r="N14" s="67">
        <f t="shared" si="0"/>
        <v>191000</v>
      </c>
      <c r="O14" s="67">
        <f t="shared" si="0"/>
        <v>124000</v>
      </c>
      <c r="P14" s="67">
        <f t="shared" si="0"/>
        <v>145250</v>
      </c>
      <c r="Q14" s="67">
        <f t="shared" si="0"/>
        <v>123800</v>
      </c>
      <c r="R14" s="63">
        <v>2.4563492063492065</v>
      </c>
      <c r="T14" s="64"/>
      <c r="Y14" s="53"/>
      <c r="Z14" s="53"/>
      <c r="AA14" s="53"/>
      <c r="AB14" s="53"/>
      <c r="AC14" s="53"/>
      <c r="AD14" s="53"/>
      <c r="AE14" s="53"/>
      <c r="AF14" s="53"/>
      <c r="AG14" s="53"/>
    </row>
    <row r="15" spans="1:33" x14ac:dyDescent="0.2">
      <c r="A15" s="58">
        <v>14</v>
      </c>
      <c r="B15" s="68">
        <f t="shared" si="1"/>
        <v>129550</v>
      </c>
      <c r="C15" s="68">
        <f t="shared" si="0"/>
        <v>143900</v>
      </c>
      <c r="D15" s="68">
        <f t="shared" si="0"/>
        <v>133600</v>
      </c>
      <c r="E15" s="68">
        <f t="shared" si="0"/>
        <v>129550</v>
      </c>
      <c r="F15" s="68">
        <f t="shared" si="0"/>
        <v>133600</v>
      </c>
      <c r="G15" s="68">
        <f t="shared" si="0"/>
        <v>143900</v>
      </c>
      <c r="H15" s="68">
        <f t="shared" si="0"/>
        <v>129550</v>
      </c>
      <c r="I15" s="68">
        <f t="shared" si="0"/>
        <v>129550</v>
      </c>
      <c r="J15" s="68">
        <f t="shared" si="0"/>
        <v>147050</v>
      </c>
      <c r="K15" s="68">
        <f t="shared" si="0"/>
        <v>172300</v>
      </c>
      <c r="L15" s="68">
        <f t="shared" si="0"/>
        <v>132400</v>
      </c>
      <c r="M15" s="68">
        <f t="shared" si="0"/>
        <v>144200</v>
      </c>
      <c r="N15" s="68">
        <f t="shared" si="0"/>
        <v>199900</v>
      </c>
      <c r="O15" s="68">
        <f t="shared" si="0"/>
        <v>129750</v>
      </c>
      <c r="P15" s="68">
        <f t="shared" si="0"/>
        <v>152000</v>
      </c>
      <c r="Q15" s="68">
        <f t="shared" si="0"/>
        <v>129550</v>
      </c>
      <c r="R15" s="66">
        <v>2.5704365079365079</v>
      </c>
      <c r="T15" s="64"/>
    </row>
    <row r="16" spans="1:33" x14ac:dyDescent="0.2">
      <c r="A16" s="57">
        <v>15</v>
      </c>
      <c r="B16" s="67">
        <f t="shared" si="1"/>
        <v>135300</v>
      </c>
      <c r="C16" s="67">
        <f t="shared" si="0"/>
        <v>150300</v>
      </c>
      <c r="D16" s="67">
        <f t="shared" si="0"/>
        <v>139550</v>
      </c>
      <c r="E16" s="67">
        <f t="shared" si="0"/>
        <v>135300</v>
      </c>
      <c r="F16" s="67">
        <f t="shared" si="0"/>
        <v>139550</v>
      </c>
      <c r="G16" s="67">
        <f t="shared" si="0"/>
        <v>150300</v>
      </c>
      <c r="H16" s="67">
        <f t="shared" si="0"/>
        <v>135300</v>
      </c>
      <c r="I16" s="67">
        <f t="shared" si="0"/>
        <v>135300</v>
      </c>
      <c r="J16" s="67">
        <f t="shared" si="0"/>
        <v>153600</v>
      </c>
      <c r="K16" s="67">
        <f t="shared" si="0"/>
        <v>179950</v>
      </c>
      <c r="L16" s="67">
        <f t="shared" si="0"/>
        <v>138300</v>
      </c>
      <c r="M16" s="67">
        <f t="shared" si="0"/>
        <v>150600</v>
      </c>
      <c r="N16" s="67">
        <f t="shared" si="0"/>
        <v>208800</v>
      </c>
      <c r="O16" s="67">
        <f t="shared" si="0"/>
        <v>135500</v>
      </c>
      <c r="P16" s="67">
        <f t="shared" si="0"/>
        <v>158750</v>
      </c>
      <c r="Q16" s="67">
        <f t="shared" si="0"/>
        <v>135300</v>
      </c>
      <c r="R16" s="63">
        <v>2.6845238095238093</v>
      </c>
      <c r="T16" s="60"/>
    </row>
    <row r="17" spans="1:20" x14ac:dyDescent="0.2">
      <c r="A17" s="58">
        <v>16</v>
      </c>
      <c r="B17" s="68">
        <f t="shared" si="1"/>
        <v>141050</v>
      </c>
      <c r="C17" s="68">
        <f t="shared" si="0"/>
        <v>156700</v>
      </c>
      <c r="D17" s="68">
        <f t="shared" si="0"/>
        <v>145500</v>
      </c>
      <c r="E17" s="68">
        <f t="shared" si="0"/>
        <v>141050</v>
      </c>
      <c r="F17" s="68">
        <f t="shared" si="0"/>
        <v>145500</v>
      </c>
      <c r="G17" s="68">
        <f t="shared" si="0"/>
        <v>156700</v>
      </c>
      <c r="H17" s="68">
        <f t="shared" si="0"/>
        <v>141050</v>
      </c>
      <c r="I17" s="68">
        <f t="shared" si="0"/>
        <v>141050</v>
      </c>
      <c r="J17" s="68">
        <f t="shared" si="0"/>
        <v>160150</v>
      </c>
      <c r="K17" s="68">
        <f t="shared" si="0"/>
        <v>187600</v>
      </c>
      <c r="L17" s="68">
        <f t="shared" si="0"/>
        <v>144200</v>
      </c>
      <c r="M17" s="68">
        <f t="shared" si="0"/>
        <v>157000</v>
      </c>
      <c r="N17" s="68">
        <f t="shared" si="0"/>
        <v>217700</v>
      </c>
      <c r="O17" s="68">
        <f t="shared" si="0"/>
        <v>141250</v>
      </c>
      <c r="P17" s="68">
        <f t="shared" si="0"/>
        <v>165500</v>
      </c>
      <c r="Q17" s="68">
        <f t="shared" si="0"/>
        <v>141050</v>
      </c>
      <c r="R17" s="66">
        <v>2.7986111111111112</v>
      </c>
      <c r="T17" s="64"/>
    </row>
    <row r="18" spans="1:20" x14ac:dyDescent="0.2">
      <c r="A18" s="57">
        <v>17</v>
      </c>
      <c r="B18" s="67">
        <f t="shared" si="1"/>
        <v>146800</v>
      </c>
      <c r="C18" s="67">
        <f t="shared" si="0"/>
        <v>163100</v>
      </c>
      <c r="D18" s="67">
        <f t="shared" si="0"/>
        <v>151450</v>
      </c>
      <c r="E18" s="67">
        <f t="shared" si="0"/>
        <v>146800</v>
      </c>
      <c r="F18" s="67">
        <f t="shared" si="0"/>
        <v>151450</v>
      </c>
      <c r="G18" s="67">
        <f t="shared" si="0"/>
        <v>163100</v>
      </c>
      <c r="H18" s="67">
        <f t="shared" si="0"/>
        <v>146800</v>
      </c>
      <c r="I18" s="67">
        <f t="shared" si="0"/>
        <v>146800</v>
      </c>
      <c r="J18" s="67">
        <f t="shared" si="0"/>
        <v>166700</v>
      </c>
      <c r="K18" s="67">
        <f t="shared" si="0"/>
        <v>195250</v>
      </c>
      <c r="L18" s="67">
        <f t="shared" si="0"/>
        <v>150100</v>
      </c>
      <c r="M18" s="67">
        <f t="shared" si="0"/>
        <v>163400</v>
      </c>
      <c r="N18" s="67">
        <f t="shared" si="0"/>
        <v>226600</v>
      </c>
      <c r="O18" s="67">
        <f t="shared" si="0"/>
        <v>147000</v>
      </c>
      <c r="P18" s="67">
        <f t="shared" si="0"/>
        <v>172250</v>
      </c>
      <c r="Q18" s="67">
        <f t="shared" si="0"/>
        <v>146800</v>
      </c>
      <c r="R18" s="63">
        <v>2.9126984126984126</v>
      </c>
      <c r="T18" s="64"/>
    </row>
    <row r="19" spans="1:20" x14ac:dyDescent="0.2">
      <c r="A19" s="58">
        <v>18</v>
      </c>
      <c r="B19" s="68">
        <f t="shared" si="1"/>
        <v>152550</v>
      </c>
      <c r="C19" s="68">
        <f t="shared" si="0"/>
        <v>169500</v>
      </c>
      <c r="D19" s="68">
        <f t="shared" si="0"/>
        <v>157400</v>
      </c>
      <c r="E19" s="68">
        <f t="shared" si="0"/>
        <v>152550</v>
      </c>
      <c r="F19" s="68">
        <f t="shared" si="0"/>
        <v>157400</v>
      </c>
      <c r="G19" s="68">
        <f t="shared" si="0"/>
        <v>169500</v>
      </c>
      <c r="H19" s="68">
        <f t="shared" si="0"/>
        <v>152550</v>
      </c>
      <c r="I19" s="68">
        <f t="shared" si="0"/>
        <v>152550</v>
      </c>
      <c r="J19" s="68">
        <f t="shared" si="0"/>
        <v>173250</v>
      </c>
      <c r="K19" s="68">
        <f t="shared" si="0"/>
        <v>202900</v>
      </c>
      <c r="L19" s="68">
        <f t="shared" si="0"/>
        <v>156000</v>
      </c>
      <c r="M19" s="68">
        <f t="shared" si="0"/>
        <v>169800</v>
      </c>
      <c r="N19" s="68">
        <f t="shared" si="0"/>
        <v>235500</v>
      </c>
      <c r="O19" s="68">
        <f t="shared" si="0"/>
        <v>152750</v>
      </c>
      <c r="P19" s="68">
        <f t="shared" si="0"/>
        <v>179000</v>
      </c>
      <c r="Q19" s="68">
        <f t="shared" si="0"/>
        <v>152550</v>
      </c>
      <c r="R19" s="66">
        <v>3.0267857142857144</v>
      </c>
      <c r="T19" s="60"/>
    </row>
    <row r="20" spans="1:20" x14ac:dyDescent="0.2">
      <c r="A20" s="57">
        <v>19</v>
      </c>
      <c r="B20" s="67">
        <f t="shared" si="1"/>
        <v>158300</v>
      </c>
      <c r="C20" s="67">
        <f t="shared" si="1"/>
        <v>175900</v>
      </c>
      <c r="D20" s="67">
        <f t="shared" si="1"/>
        <v>163350</v>
      </c>
      <c r="E20" s="67">
        <f t="shared" si="1"/>
        <v>158300</v>
      </c>
      <c r="F20" s="67">
        <f t="shared" si="1"/>
        <v>163350</v>
      </c>
      <c r="G20" s="67">
        <f t="shared" si="1"/>
        <v>175900</v>
      </c>
      <c r="H20" s="67">
        <f t="shared" si="1"/>
        <v>158300</v>
      </c>
      <c r="I20" s="67">
        <f t="shared" si="1"/>
        <v>158300</v>
      </c>
      <c r="J20" s="67">
        <f t="shared" si="1"/>
        <v>179800</v>
      </c>
      <c r="K20" s="67">
        <f t="shared" si="1"/>
        <v>210550</v>
      </c>
      <c r="L20" s="67">
        <f t="shared" si="1"/>
        <v>161900</v>
      </c>
      <c r="M20" s="67">
        <f t="shared" si="1"/>
        <v>176200</v>
      </c>
      <c r="N20" s="67">
        <f t="shared" si="1"/>
        <v>244400</v>
      </c>
      <c r="O20" s="67">
        <f t="shared" si="1"/>
        <v>158500</v>
      </c>
      <c r="P20" s="67">
        <f t="shared" si="1"/>
        <v>185750</v>
      </c>
      <c r="Q20" s="67">
        <f t="shared" si="1"/>
        <v>158300</v>
      </c>
      <c r="R20" s="63">
        <v>3.1408730158730158</v>
      </c>
      <c r="T20" s="64"/>
    </row>
    <row r="21" spans="1:20" x14ac:dyDescent="0.2">
      <c r="A21" s="58">
        <v>20</v>
      </c>
      <c r="B21" s="68">
        <f t="shared" si="1"/>
        <v>164050</v>
      </c>
      <c r="C21" s="68">
        <f t="shared" si="1"/>
        <v>182300</v>
      </c>
      <c r="D21" s="68">
        <f t="shared" si="1"/>
        <v>169300</v>
      </c>
      <c r="E21" s="68">
        <f t="shared" si="1"/>
        <v>164050</v>
      </c>
      <c r="F21" s="68">
        <f t="shared" si="1"/>
        <v>169300</v>
      </c>
      <c r="G21" s="68">
        <f t="shared" si="1"/>
        <v>182300</v>
      </c>
      <c r="H21" s="68">
        <f t="shared" si="1"/>
        <v>164050</v>
      </c>
      <c r="I21" s="68">
        <f t="shared" si="1"/>
        <v>164050</v>
      </c>
      <c r="J21" s="68">
        <f t="shared" si="1"/>
        <v>186350</v>
      </c>
      <c r="K21" s="68">
        <f t="shared" si="1"/>
        <v>218200</v>
      </c>
      <c r="L21" s="68">
        <f t="shared" si="1"/>
        <v>167800</v>
      </c>
      <c r="M21" s="68">
        <f t="shared" si="1"/>
        <v>182600</v>
      </c>
      <c r="N21" s="68">
        <f t="shared" si="1"/>
        <v>253300</v>
      </c>
      <c r="O21" s="68">
        <f t="shared" si="1"/>
        <v>164250</v>
      </c>
      <c r="P21" s="68">
        <f t="shared" si="1"/>
        <v>192500</v>
      </c>
      <c r="Q21" s="68">
        <f t="shared" si="1"/>
        <v>164050</v>
      </c>
      <c r="R21" s="66">
        <v>3.2549603174603177</v>
      </c>
      <c r="T21" s="64"/>
    </row>
    <row r="22" spans="1:20" x14ac:dyDescent="0.2">
      <c r="A22" s="57">
        <v>21</v>
      </c>
      <c r="B22" s="67">
        <f t="shared" si="1"/>
        <v>169800</v>
      </c>
      <c r="C22" s="67">
        <f t="shared" si="1"/>
        <v>188700</v>
      </c>
      <c r="D22" s="67">
        <f t="shared" si="1"/>
        <v>175250</v>
      </c>
      <c r="E22" s="67">
        <f t="shared" si="1"/>
        <v>169800</v>
      </c>
      <c r="F22" s="67">
        <f t="shared" si="1"/>
        <v>175250</v>
      </c>
      <c r="G22" s="67">
        <f t="shared" si="1"/>
        <v>188700</v>
      </c>
      <c r="H22" s="67">
        <f t="shared" si="1"/>
        <v>169800</v>
      </c>
      <c r="I22" s="67">
        <f t="shared" si="1"/>
        <v>169800</v>
      </c>
      <c r="J22" s="67">
        <f t="shared" si="1"/>
        <v>192900</v>
      </c>
      <c r="K22" s="67">
        <f t="shared" si="1"/>
        <v>225850</v>
      </c>
      <c r="L22" s="67">
        <f t="shared" si="1"/>
        <v>173700</v>
      </c>
      <c r="M22" s="67">
        <f t="shared" si="1"/>
        <v>189000</v>
      </c>
      <c r="N22" s="67">
        <f t="shared" si="1"/>
        <v>262200</v>
      </c>
      <c r="O22" s="67">
        <f t="shared" si="1"/>
        <v>170000</v>
      </c>
      <c r="P22" s="67">
        <f t="shared" si="1"/>
        <v>199250</v>
      </c>
      <c r="Q22" s="67">
        <f t="shared" si="1"/>
        <v>169800</v>
      </c>
      <c r="R22" s="63">
        <v>3.3690476190476191</v>
      </c>
      <c r="T22" s="60"/>
    </row>
    <row r="23" spans="1:20" x14ac:dyDescent="0.2">
      <c r="A23" s="58">
        <v>22</v>
      </c>
      <c r="B23" s="68">
        <f>(B22-B21)+B22</f>
        <v>175550</v>
      </c>
      <c r="C23" s="68">
        <f t="shared" si="1"/>
        <v>195100</v>
      </c>
      <c r="D23" s="68">
        <f t="shared" si="1"/>
        <v>181200</v>
      </c>
      <c r="E23" s="68">
        <f t="shared" si="1"/>
        <v>175550</v>
      </c>
      <c r="F23" s="68">
        <f t="shared" si="1"/>
        <v>181200</v>
      </c>
      <c r="G23" s="68">
        <f t="shared" si="1"/>
        <v>195100</v>
      </c>
      <c r="H23" s="68">
        <f t="shared" si="1"/>
        <v>175550</v>
      </c>
      <c r="I23" s="68">
        <f t="shared" si="1"/>
        <v>175550</v>
      </c>
      <c r="J23" s="68">
        <f t="shared" si="1"/>
        <v>199450</v>
      </c>
      <c r="K23" s="68">
        <f t="shared" si="1"/>
        <v>233500</v>
      </c>
      <c r="L23" s="68">
        <f t="shared" si="1"/>
        <v>179600</v>
      </c>
      <c r="M23" s="68">
        <f t="shared" si="1"/>
        <v>195400</v>
      </c>
      <c r="N23" s="68">
        <f t="shared" si="1"/>
        <v>271100</v>
      </c>
      <c r="O23" s="68">
        <f t="shared" si="1"/>
        <v>175750</v>
      </c>
      <c r="P23" s="68">
        <f t="shared" si="1"/>
        <v>206000</v>
      </c>
      <c r="Q23" s="68">
        <f t="shared" si="1"/>
        <v>175550</v>
      </c>
      <c r="R23" s="66">
        <v>3.4831349206349205</v>
      </c>
      <c r="T23" s="64"/>
    </row>
    <row r="24" spans="1:20" x14ac:dyDescent="0.2">
      <c r="A24" s="57">
        <v>23</v>
      </c>
      <c r="B24" s="67">
        <f>(B23-B22)+B23</f>
        <v>181300</v>
      </c>
      <c r="C24" s="67">
        <f t="shared" si="1"/>
        <v>201500</v>
      </c>
      <c r="D24" s="67">
        <f t="shared" si="1"/>
        <v>187150</v>
      </c>
      <c r="E24" s="67">
        <f t="shared" si="1"/>
        <v>181300</v>
      </c>
      <c r="F24" s="67">
        <f t="shared" si="1"/>
        <v>187150</v>
      </c>
      <c r="G24" s="67">
        <f t="shared" si="1"/>
        <v>201500</v>
      </c>
      <c r="H24" s="67">
        <f t="shared" si="1"/>
        <v>181300</v>
      </c>
      <c r="I24" s="67">
        <f t="shared" si="1"/>
        <v>181300</v>
      </c>
      <c r="J24" s="67">
        <f t="shared" si="1"/>
        <v>206000</v>
      </c>
      <c r="K24" s="67">
        <f t="shared" si="1"/>
        <v>241150</v>
      </c>
      <c r="L24" s="67">
        <f t="shared" si="1"/>
        <v>185500</v>
      </c>
      <c r="M24" s="67">
        <f t="shared" si="1"/>
        <v>201800</v>
      </c>
      <c r="N24" s="67">
        <f t="shared" si="1"/>
        <v>280000</v>
      </c>
      <c r="O24" s="67">
        <f t="shared" si="1"/>
        <v>181500</v>
      </c>
      <c r="P24" s="67">
        <f t="shared" si="1"/>
        <v>212750</v>
      </c>
      <c r="Q24" s="67">
        <f t="shared" si="1"/>
        <v>181300</v>
      </c>
      <c r="R24" s="63">
        <v>3.5972222222222223</v>
      </c>
      <c r="T24" s="64"/>
    </row>
    <row r="25" spans="1:20" x14ac:dyDescent="0.2">
      <c r="A25" s="58">
        <v>24</v>
      </c>
      <c r="B25" s="68">
        <f>(B24-B23)+B24</f>
        <v>187050</v>
      </c>
      <c r="C25" s="68">
        <f t="shared" si="1"/>
        <v>207900</v>
      </c>
      <c r="D25" s="68">
        <f t="shared" si="1"/>
        <v>193100</v>
      </c>
      <c r="E25" s="68">
        <f t="shared" si="1"/>
        <v>187050</v>
      </c>
      <c r="F25" s="68">
        <f t="shared" si="1"/>
        <v>193100</v>
      </c>
      <c r="G25" s="68">
        <f t="shared" si="1"/>
        <v>207900</v>
      </c>
      <c r="H25" s="68">
        <f t="shared" si="1"/>
        <v>187050</v>
      </c>
      <c r="I25" s="68">
        <f t="shared" si="1"/>
        <v>187050</v>
      </c>
      <c r="J25" s="68">
        <f t="shared" si="1"/>
        <v>212550</v>
      </c>
      <c r="K25" s="68">
        <f t="shared" si="1"/>
        <v>248800</v>
      </c>
      <c r="L25" s="68">
        <f t="shared" si="1"/>
        <v>191400</v>
      </c>
      <c r="M25" s="68">
        <f t="shared" si="1"/>
        <v>208200</v>
      </c>
      <c r="N25" s="68">
        <f t="shared" si="1"/>
        <v>288900</v>
      </c>
      <c r="O25" s="68">
        <f t="shared" si="1"/>
        <v>187250</v>
      </c>
      <c r="P25" s="68">
        <f t="shared" si="1"/>
        <v>219500</v>
      </c>
      <c r="Q25" s="68">
        <f t="shared" si="1"/>
        <v>187050</v>
      </c>
      <c r="R25" s="66">
        <v>3.7113095238095237</v>
      </c>
      <c r="T25" s="60"/>
    </row>
    <row r="26" spans="1:20" x14ac:dyDescent="0.2">
      <c r="A26" s="57">
        <v>25</v>
      </c>
      <c r="B26" s="67">
        <f>(B25-B24)+B25</f>
        <v>192800</v>
      </c>
      <c r="C26" s="67">
        <f t="shared" si="1"/>
        <v>214300</v>
      </c>
      <c r="D26" s="67">
        <f t="shared" si="1"/>
        <v>199050</v>
      </c>
      <c r="E26" s="67">
        <f t="shared" si="1"/>
        <v>192800</v>
      </c>
      <c r="F26" s="67">
        <f t="shared" si="1"/>
        <v>199050</v>
      </c>
      <c r="G26" s="67">
        <f t="shared" si="1"/>
        <v>214300</v>
      </c>
      <c r="H26" s="67">
        <f t="shared" si="1"/>
        <v>192800</v>
      </c>
      <c r="I26" s="67">
        <f t="shared" si="1"/>
        <v>192800</v>
      </c>
      <c r="J26" s="67">
        <f t="shared" si="1"/>
        <v>219100</v>
      </c>
      <c r="K26" s="67">
        <f t="shared" si="1"/>
        <v>256450</v>
      </c>
      <c r="L26" s="67">
        <f t="shared" si="1"/>
        <v>197300</v>
      </c>
      <c r="M26" s="67">
        <f t="shared" si="1"/>
        <v>214600</v>
      </c>
      <c r="N26" s="67">
        <f t="shared" si="1"/>
        <v>297800</v>
      </c>
      <c r="O26" s="67">
        <f t="shared" si="1"/>
        <v>193000</v>
      </c>
      <c r="P26" s="67">
        <f t="shared" si="1"/>
        <v>226250</v>
      </c>
      <c r="Q26" s="67">
        <f t="shared" si="1"/>
        <v>192800</v>
      </c>
      <c r="R26" s="63">
        <v>3.8253968253968256</v>
      </c>
      <c r="T26" s="64"/>
    </row>
    <row r="27" spans="1:20" x14ac:dyDescent="0.2">
      <c r="A27" s="58">
        <v>26</v>
      </c>
      <c r="B27" s="68">
        <f t="shared" ref="B27:Q27" si="2">(B26-B25)+B26</f>
        <v>198550</v>
      </c>
      <c r="C27" s="68">
        <f t="shared" si="2"/>
        <v>220700</v>
      </c>
      <c r="D27" s="68">
        <f t="shared" si="2"/>
        <v>205000</v>
      </c>
      <c r="E27" s="68">
        <f t="shared" si="2"/>
        <v>198550</v>
      </c>
      <c r="F27" s="68">
        <f t="shared" si="2"/>
        <v>205000</v>
      </c>
      <c r="G27" s="68">
        <f t="shared" si="2"/>
        <v>220700</v>
      </c>
      <c r="H27" s="68">
        <f t="shared" si="2"/>
        <v>198550</v>
      </c>
      <c r="I27" s="68">
        <f t="shared" si="2"/>
        <v>198550</v>
      </c>
      <c r="J27" s="68">
        <f t="shared" si="2"/>
        <v>225650</v>
      </c>
      <c r="K27" s="68">
        <f t="shared" si="2"/>
        <v>264100</v>
      </c>
      <c r="L27" s="68">
        <f t="shared" si="2"/>
        <v>203200</v>
      </c>
      <c r="M27" s="68">
        <f t="shared" si="2"/>
        <v>221000</v>
      </c>
      <c r="N27" s="68">
        <f t="shared" si="2"/>
        <v>306700</v>
      </c>
      <c r="O27" s="68">
        <f t="shared" si="2"/>
        <v>198750</v>
      </c>
      <c r="P27" s="68">
        <f t="shared" si="2"/>
        <v>233000</v>
      </c>
      <c r="Q27" s="68">
        <f t="shared" si="2"/>
        <v>198550</v>
      </c>
      <c r="R27" s="66">
        <v>3.939484126984127</v>
      </c>
      <c r="T27" s="64"/>
    </row>
    <row r="28" spans="1:20" x14ac:dyDescent="0.2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 t="s">
        <v>102</v>
      </c>
      <c r="P28" s="71"/>
      <c r="Q28" s="71"/>
      <c r="R28" s="71"/>
      <c r="T28" s="60"/>
    </row>
    <row r="29" spans="1:20" x14ac:dyDescent="0.2">
      <c r="A29" s="120" t="s">
        <v>103</v>
      </c>
      <c r="B29" s="120"/>
      <c r="C29" s="120"/>
      <c r="D29" s="120"/>
      <c r="E29" s="120"/>
      <c r="F29" s="120"/>
      <c r="T29" s="64"/>
    </row>
    <row r="30" spans="1:20" x14ac:dyDescent="0.2">
      <c r="A30" s="121" t="s">
        <v>104</v>
      </c>
      <c r="B30" s="122"/>
      <c r="C30" s="122"/>
      <c r="D30" s="122"/>
      <c r="E30" s="122"/>
      <c r="F30" s="122"/>
      <c r="T30" s="64"/>
    </row>
    <row r="31" spans="1:20" x14ac:dyDescent="0.2">
      <c r="T31" s="60"/>
    </row>
    <row r="32" spans="1:20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T32" s="64"/>
    </row>
  </sheetData>
  <mergeCells count="2">
    <mergeCell ref="A29:F29"/>
    <mergeCell ref="A30:F30"/>
  </mergeCells>
  <hyperlinks>
    <hyperlink ref="A30" r:id="rId1" location="year2024" xr:uid="{F0E1E991-B17B-47CD-BFB8-91870165685B}"/>
  </hyperlinks>
  <pageMargins left="0.7" right="0.7" top="0.75" bottom="0.75" header="0.3" footer="0.3"/>
  <pageSetup scale="7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e a f 7 c f 2 8 - 0 e 4 a - 4 b 6 b - 8 2 a 2 - c 3 5 4 a 3 c 1 f c b c "   x m l n s = " h t t p : / / s c h e m a s . m i c r o s o f t . c o m / D a t a M a s h u p " > A A A A A B Q D A A B Q S w M E F A A C A A g A D k H R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D k H R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B 0 V Q o i k e 4 D g A A A B E A A A A T A B w A R m 9 y b X V s Y X M v U 2 V j d G l v b j E u b S C i G A A o o B Q A A A A A A A A A A A A A A A A A A A A A A A A A A A A r T k 0 u y c z P U w i G 0 I b W A F B L A Q I t A B Q A A g A I A A 5 B 0 V S H I L 8 k p A A A A P U A A A A S A A A A A A A A A A A A A A A A A A A A A A B D b 2 5 m a W c v U G F j a 2 F n Z S 5 4 b W x Q S w E C L Q A U A A I A C A A O Q d F U D 8 r p q 6 Q A A A D p A A A A E w A A A A A A A A A A A A A A A A D w A A A A W 0 N v b n R l b n R f V H l w Z X N d L n h t b F B L A Q I t A B Q A A g A I A A 5 B 0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H w H s j f k 2 M R 6 7 E T / 3 F D W C L A A A A A A I A A A A A A A N m A A D A A A A A E A A A A N C E 0 V u I 2 2 p i Z / / 9 I O G / 3 c U A A A A A B I A A A K A A A A A Q A A A A 3 s D J S l 4 F c 0 a 8 g m r 9 4 0 C 8 X 1 A A A A A 0 V t C H T 5 / K F g + / c W F R Z s 9 S U s O j N Y T a i H g j v s Y Y W Q z D R V D o k b i 1 2 Y s x 1 T / H G M S u Z y n J d 6 5 9 G T Z 1 w X Z s X + Z z I 0 L y O 0 v h 2 5 w E P v N s M 2 a 8 n e X M O x Q A A A A W q 1 V E L U g R C n B C N K D Z / m j 1 h c i + 7 A = = < / D a t a M a s h u p > 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CC60FC0-FD5F-408D-9289-9927DA6AF562}"/>
</file>

<file path=customXml/itemProps2.xml><?xml version="1.0" encoding="utf-8"?>
<ds:datastoreItem xmlns:ds="http://schemas.openxmlformats.org/officeDocument/2006/customXml" ds:itemID="{9E8F8DB3-6621-44FE-A556-CF8B394DDEC4}">
  <ds:schemaRefs>
    <ds:schemaRef ds:uri="9f5829b0-3c83-407a-9888-15708671f8c2"/>
    <ds:schemaRef ds:uri="6a7949fb-eacc-49ff-8531-d4b1ca318f69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A7B95D-8B8E-42D7-AEDF-0731BC02444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8E1BC4-3F2D-4FB6-9519-CC9C7E897C9D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A183E177-346A-4C81-97B3-082C5D5D9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Dashboard</vt:lpstr>
      <vt:lpstr>Comparison</vt:lpstr>
      <vt:lpstr>Workpapers===&gt;</vt:lpstr>
      <vt:lpstr>AMI SMI CROSSOVER</vt:lpstr>
      <vt:lpstr>Count</vt:lpstr>
      <vt:lpstr>Assistance</vt:lpstr>
      <vt:lpstr>FPL</vt:lpstr>
      <vt:lpstr>WA AMI</vt:lpstr>
      <vt:lpstr>Dashboard!Print_Area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Low-Income Energy Burden Program</dc:title>
  <dc:subject/>
  <dc:creator>Christopher.Mickelson@cngc.com</dc:creator>
  <cp:keywords>LI; Energy Burden; EDP; AMPED</cp:keywords>
  <dc:description/>
  <cp:lastModifiedBy>Harris, Zachary</cp:lastModifiedBy>
  <cp:revision/>
  <cp:lastPrinted>2025-02-25T16:53:22Z</cp:lastPrinted>
  <dcterms:created xsi:type="dcterms:W3CDTF">1998-06-26T22:33:08Z</dcterms:created>
  <dcterms:modified xsi:type="dcterms:W3CDTF">2025-02-25T16:54:22Z</dcterms:modified>
  <cp:category>Low-Income; Energy Burden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Workbook id">
    <vt:lpwstr>6d8e3442-f139-4f6f-8caf-6fa01d4ac4aa</vt:lpwstr>
  </property>
  <property fmtid="{D5CDD505-2E9C-101B-9397-08002B2CF9AE}" pid="4" name="Workbook type">
    <vt:lpwstr>Custom</vt:lpwstr>
  </property>
  <property fmtid="{D5CDD505-2E9C-101B-9397-08002B2CF9AE}" pid="5" name="Workbook version">
    <vt:lpwstr>Custom</vt:lpwstr>
  </property>
  <property fmtid="{D5CDD505-2E9C-101B-9397-08002B2CF9AE}" pid="6" name="MSIP_Label_1da8032d-c4fe-48b8-9054-92634c9ea061_Enabled">
    <vt:lpwstr>true</vt:lpwstr>
  </property>
  <property fmtid="{D5CDD505-2E9C-101B-9397-08002B2CF9AE}" pid="7" name="MSIP_Label_1da8032d-c4fe-48b8-9054-92634c9ea061_SetDate">
    <vt:lpwstr>2024-06-03T15:14:35Z</vt:lpwstr>
  </property>
  <property fmtid="{D5CDD505-2E9C-101B-9397-08002B2CF9AE}" pid="8" name="MSIP_Label_1da8032d-c4fe-48b8-9054-92634c9ea061_Method">
    <vt:lpwstr>Standard</vt:lpwstr>
  </property>
  <property fmtid="{D5CDD505-2E9C-101B-9397-08002B2CF9AE}" pid="9" name="MSIP_Label_1da8032d-c4fe-48b8-9054-92634c9ea061_Name">
    <vt:lpwstr>Label 2 - Docs</vt:lpwstr>
  </property>
  <property fmtid="{D5CDD505-2E9C-101B-9397-08002B2CF9AE}" pid="10" name="MSIP_Label_1da8032d-c4fe-48b8-9054-92634c9ea061_SiteId">
    <vt:lpwstr>ce6a0196-6152-4c6a-9d1d-e946c3735743</vt:lpwstr>
  </property>
  <property fmtid="{D5CDD505-2E9C-101B-9397-08002B2CF9AE}" pid="11" name="MSIP_Label_1da8032d-c4fe-48b8-9054-92634c9ea061_ActionId">
    <vt:lpwstr>a136daff-416a-41c8-80cd-56853cf1001e</vt:lpwstr>
  </property>
  <property fmtid="{D5CDD505-2E9C-101B-9397-08002B2CF9AE}" pid="12" name="MSIP_Label_1da8032d-c4fe-48b8-9054-92634c9ea061_ContentBits">
    <vt:lpwstr>0</vt:lpwstr>
  </property>
  <property fmtid="{D5CDD505-2E9C-101B-9397-08002B2CF9AE}" pid="13" name="MediaServiceImageTags">
    <vt:lpwstr/>
  </property>
  <property fmtid="{D5CDD505-2E9C-101B-9397-08002B2CF9AE}" pid="14" name="_docset_NoMedatataSyncRequired">
    <vt:lpwstr>False</vt:lpwstr>
  </property>
</Properties>
</file>