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MYRP Compliance/"/>
    </mc:Choice>
  </mc:AlternateContent>
  <xr:revisionPtr revIDLastSave="61" documentId="13_ncr:1_{B68640D2-984E-4E3C-B082-2A6AE9DB149E}" xr6:coauthVersionLast="47" xr6:coauthVersionMax="47" xr10:uidLastSave="{84F5244A-1DAD-4E2B-A2B1-9CFFE2418CE7}"/>
  <bookViews>
    <workbookView xWindow="-28920" yWindow="-120" windowWidth="29040" windowHeight="15720" tabRatio="867" xr2:uid="{78B1DCF1-87F6-44DB-9FE9-5D6F3590EF89}"/>
  </bookViews>
  <sheets>
    <sheet name="Settlement Rev Spread 2025" sheetId="7" r:id="rId1"/>
    <sheet name="Settlement Rev Spread 2026" sheetId="8" r:id="rId2"/>
    <sheet name="2025 Rates" sheetId="1" r:id="rId3"/>
    <sheet name="2026 Rates" sheetId="2" r:id="rId4"/>
    <sheet name="Exh. ZLH-3 (UTC Fees)" sheetId="6" r:id="rId5"/>
    <sheet name="Exh. ZLH-2 COVID Settlement " sheetId="3" r:id="rId6"/>
    <sheet name="Decoupling Rule 21 2025" sheetId="4" r:id="rId7"/>
    <sheet name="Decoupling Rule 21 2026" sheetId="5" r:id="rId8"/>
  </sheets>
  <definedNames>
    <definedName name="\0" localSheetId="4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bb" localSheetId="4">#REF!</definedName>
    <definedName name="\b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i" localSheetId="4">#REF!</definedName>
    <definedName name="\i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q" localSheetId="4">#REF!</definedName>
    <definedName name="\q">#REF!</definedName>
    <definedName name="\s" localSheetId="4">#REF!</definedName>
    <definedName name="\s">#REF!</definedName>
    <definedName name="\t" localSheetId="4">#REF!</definedName>
    <definedName name="\t">#REF!</definedName>
    <definedName name="\v" localSheetId="4">#REF!</definedName>
    <definedName name="\v">#REF!</definedName>
    <definedName name="\zzz" localSheetId="4">#REF!</definedName>
    <definedName name="\zzz">#REF!</definedName>
    <definedName name="___apr99" localSheetId="4">#REF!</definedName>
    <definedName name="___apr99">#REF!</definedName>
    <definedName name="___re22" localSheetId="4">#REF!</definedName>
    <definedName name="___re22">#REF!</definedName>
    <definedName name="___y1212" localSheetId="4">#REF!</definedName>
    <definedName name="___y1212">#REF!</definedName>
    <definedName name="__apr98" localSheetId="4">#REF!</definedName>
    <definedName name="__apr98">#REF!</definedName>
    <definedName name="__aug98" localSheetId="4">#REF!</definedName>
    <definedName name="__aug98">#REF!</definedName>
    <definedName name="__Aug99" localSheetId="4">#REF!</definedName>
    <definedName name="__Aug99">#REF!</definedName>
    <definedName name="__dec98" localSheetId="4">#REF!</definedName>
    <definedName name="__dec98">#REF!</definedName>
    <definedName name="__dec99" localSheetId="4">#REF!</definedName>
    <definedName name="__dec99">#REF!</definedName>
    <definedName name="__feb98" localSheetId="4">#REF!</definedName>
    <definedName name="__feb98">#REF!</definedName>
    <definedName name="__FEB99" localSheetId="4">#REF!</definedName>
    <definedName name="__FEB99">#REF!</definedName>
    <definedName name="__jan98" localSheetId="4">#REF!</definedName>
    <definedName name="__jan98">#REF!</definedName>
    <definedName name="__jan99" localSheetId="4">#REF!</definedName>
    <definedName name="__jan99">#REF!</definedName>
    <definedName name="__jul98" localSheetId="4">#REF!</definedName>
    <definedName name="__jul98">#REF!</definedName>
    <definedName name="__jul99" localSheetId="4">#REF!</definedName>
    <definedName name="__jul99">#REF!</definedName>
    <definedName name="__jun98" localSheetId="4">#REF!</definedName>
    <definedName name="__jun98">#REF!</definedName>
    <definedName name="__mar98" localSheetId="4">#REF!</definedName>
    <definedName name="__mar98">#REF!</definedName>
    <definedName name="__MAR99" localSheetId="4">#REF!</definedName>
    <definedName name="__MAR99">#REF!</definedName>
    <definedName name="__may98" localSheetId="4">#REF!</definedName>
    <definedName name="__may98">#REF!</definedName>
    <definedName name="__may99" localSheetId="4">#REF!</definedName>
    <definedName name="__may99">#REF!</definedName>
    <definedName name="__nov98" localSheetId="4">#REF!</definedName>
    <definedName name="__nov98">#REF!</definedName>
    <definedName name="__nov99" localSheetId="4">#REF!</definedName>
    <definedName name="__nov99">#REF!</definedName>
    <definedName name="__oct98" localSheetId="4">#REF!</definedName>
    <definedName name="__oct98">#REF!</definedName>
    <definedName name="__oct99" localSheetId="4">#REF!</definedName>
    <definedName name="__oct99">#REF!</definedName>
    <definedName name="__sep98" localSheetId="4">#REF!</definedName>
    <definedName name="__sep98">#REF!</definedName>
    <definedName name="__sep99" localSheetId="4">#REF!</definedName>
    <definedName name="__sep99">#REF!</definedName>
    <definedName name="_12_91" localSheetId="4">#REF!</definedName>
    <definedName name="_12_91">#REF!</definedName>
    <definedName name="_1994DD" localSheetId="4">#REF!</definedName>
    <definedName name="_1994DD">#REF!</definedName>
    <definedName name="_228" localSheetId="4">#REF!</definedName>
    <definedName name="_228">#REF!</definedName>
    <definedName name="_230" localSheetId="4">#REF!</definedName>
    <definedName name="_230">#REF!</definedName>
    <definedName name="_244" localSheetId="4">#REF!</definedName>
    <definedName name="_244">#REF!</definedName>
    <definedName name="_246" localSheetId="4">#REF!</definedName>
    <definedName name="_246">#REF!</definedName>
    <definedName name="_4000" localSheetId="4">#REF!</definedName>
    <definedName name="_4000">#REF!</definedName>
    <definedName name="_403" localSheetId="4">#REF!</definedName>
    <definedName name="_403">#REF!</definedName>
    <definedName name="_4030" localSheetId="4">#REF!</definedName>
    <definedName name="_4030">#REF!</definedName>
    <definedName name="_4085" localSheetId="4">#REF!</definedName>
    <definedName name="_4085">#REF!</definedName>
    <definedName name="_4091" localSheetId="4">#REF!</definedName>
    <definedName name="_4091">#REF!</definedName>
    <definedName name="_4150" localSheetId="4">#REF!</definedName>
    <definedName name="_4150">#REF!</definedName>
    <definedName name="_4170" localSheetId="4">#REF!</definedName>
    <definedName name="_4170">#REF!</definedName>
    <definedName name="_4181" localSheetId="4">#REF!</definedName>
    <definedName name="_4181">#REF!</definedName>
    <definedName name="_4190" localSheetId="4">#REF!</definedName>
    <definedName name="_4190">#REF!</definedName>
    <definedName name="_4270" localSheetId="4">#REF!</definedName>
    <definedName name="_4270">#REF!</definedName>
    <definedName name="_428" localSheetId="4">#REF!</definedName>
    <definedName name="_428">#REF!</definedName>
    <definedName name="_4281" localSheetId="4">#REF!</definedName>
    <definedName name="_4281">#REF!</definedName>
    <definedName name="_4310" localSheetId="4">#REF!</definedName>
    <definedName name="_4310">#REF!</definedName>
    <definedName name="_4311" localSheetId="4">#REF!</definedName>
    <definedName name="_4311">#REF!</definedName>
    <definedName name="_432" localSheetId="4">#REF!</definedName>
    <definedName name="_432">#REF!</definedName>
    <definedName name="_4320" localSheetId="4">#REF!</definedName>
    <definedName name="_4320">#REF!</definedName>
    <definedName name="_4800" localSheetId="4">#REF!</definedName>
    <definedName name="_4800">#REF!</definedName>
    <definedName name="_4930" localSheetId="4">#REF!</definedName>
    <definedName name="_4930">#REF!</definedName>
    <definedName name="_7120" localSheetId="4">#REF!</definedName>
    <definedName name="_7120">#REF!</definedName>
    <definedName name="_8040" localSheetId="4">#REF!</definedName>
    <definedName name="_8040">#REF!</definedName>
    <definedName name="_8120" localSheetId="4">#REF!</definedName>
    <definedName name="_8120">#REF!</definedName>
    <definedName name="_8700">#N/A</definedName>
    <definedName name="_8743" localSheetId="4">#REF!</definedName>
    <definedName name="_8743">#REF!</definedName>
    <definedName name="_8750" localSheetId="4">#REF!</definedName>
    <definedName name="_8750">#REF!</definedName>
    <definedName name="_8873" localSheetId="4">#REF!</definedName>
    <definedName name="_8873">#REF!</definedName>
    <definedName name="_8890" localSheetId="4">#REF!</definedName>
    <definedName name="_8890">#REF!</definedName>
    <definedName name="_89">#N/A</definedName>
    <definedName name="_9010" localSheetId="4">#REF!</definedName>
    <definedName name="_9010">#REF!</definedName>
    <definedName name="_9070" localSheetId="4">#REF!</definedName>
    <definedName name="_9070">#REF!</definedName>
    <definedName name="_9110" localSheetId="4">#REF!</definedName>
    <definedName name="_9110">#REF!</definedName>
    <definedName name="_9200" localSheetId="4">#REF!</definedName>
    <definedName name="_9200">#REF!</definedName>
    <definedName name="_9304" localSheetId="4">#REF!</definedName>
    <definedName name="_9304">#REF!</definedName>
    <definedName name="_9310" localSheetId="4">#REF!</definedName>
    <definedName name="_9310">#REF!</definedName>
    <definedName name="_AUG92" localSheetId="4">#REF!</definedName>
    <definedName name="_AUG92">#REF!</definedName>
    <definedName name="_DEC91" localSheetId="4">#REF!</definedName>
    <definedName name="_DEC91">#REF!</definedName>
    <definedName name="_Dist_Values" localSheetId="4" hidden="1">#REF!</definedName>
    <definedName name="_Dist_Values" hidden="1">#REF!</definedName>
    <definedName name="_Fill" localSheetId="4" hidden="1">#REF!</definedName>
    <definedName name="_Fill" hidden="1">#REF!</definedName>
    <definedName name="_JUL92" localSheetId="4">#REF!</definedName>
    <definedName name="_JUL92">#REF!</definedName>
    <definedName name="_JUN92" localSheetId="4">#REF!</definedName>
    <definedName name="_JUN92">#REF!</definedName>
    <definedName name="_JUN99" localSheetId="4">#REF!</definedName>
    <definedName name="_JUN99">#REF!</definedName>
    <definedName name="_MAY92" localSheetId="4">#REF!</definedName>
    <definedName name="_MAY92">#REF!</definedName>
    <definedName name="_OR321" localSheetId="4">#REF!</definedName>
    <definedName name="_OR321">#REF!</definedName>
    <definedName name="_OR324" localSheetId="4">#REF!</definedName>
    <definedName name="_OR324">#REF!</definedName>
    <definedName name="_OR325" localSheetId="4">#REF!</definedName>
    <definedName name="_OR325">#REF!</definedName>
    <definedName name="_Order1" hidden="1">0</definedName>
    <definedName name="_Order2" hidden="1">255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SEP92" localSheetId="4">#REF!</definedName>
    <definedName name="_SEP92">#REF!</definedName>
    <definedName name="_WA321" localSheetId="4">#REF!</definedName>
    <definedName name="_WA321">#REF!</definedName>
    <definedName name="_WA324" localSheetId="4">#REF!</definedName>
    <definedName name="_WA324">#REF!</definedName>
    <definedName name="_WA325" localSheetId="4">#REF!</definedName>
    <definedName name="_WA325">#REF!</definedName>
    <definedName name="AGREE" localSheetId="4">#REF!</definedName>
    <definedName name="AGREE">#REF!</definedName>
    <definedName name="alc" localSheetId="4">#REF!</definedName>
    <definedName name="alc">#REF!</definedName>
    <definedName name="ALCOA1" localSheetId="4">#REF!</definedName>
    <definedName name="ALCOA1">#REF!</definedName>
    <definedName name="ALCOA2" localSheetId="4">#REF!</definedName>
    <definedName name="ALCOA2">#REF!</definedName>
    <definedName name="Alloc_Factor_Name" localSheetId="5">#REF!</definedName>
    <definedName name="Alloc_Factor_Name" localSheetId="4">#REF!</definedName>
    <definedName name="Alloc_Factor_Name">#REF!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 localSheetId="4">#REF!</definedName>
    <definedName name="BELLINGHAM_MAX">#REF!</definedName>
    <definedName name="BELLINGHAM_MAX_" localSheetId="4">#REF!</definedName>
    <definedName name="BELLINGHAM_MAX_">#REF!</definedName>
    <definedName name="BELLINGHAM_MIN" localSheetId="4">#REF!</definedName>
    <definedName name="BELLINGHAM_MIN">#REF!</definedName>
    <definedName name="BUYSELL" localSheetId="4">#REF!</definedName>
    <definedName name="BUYSELL">#REF!</definedName>
    <definedName name="C_" localSheetId="4">#REF!</definedName>
    <definedName name="C_">#REF!</definedName>
    <definedName name="canadian_toll_DataTable" localSheetId="4">#REF!</definedName>
    <definedName name="canadian_toll_DataTable">#REF!</definedName>
    <definedName name="Canadian_tolls_DataTable" localSheetId="4">#REF!</definedName>
    <definedName name="Canadian_tolls_DataTable">#REF!</definedName>
    <definedName name="CAP" localSheetId="4">#REF!</definedName>
    <definedName name="CAP">#REF!</definedName>
    <definedName name="CENTRAL_STORES" localSheetId="4">#REF!</definedName>
    <definedName name="CENTRAL_STORES">#REF!</definedName>
    <definedName name="Check_Limit" localSheetId="5">#REF!</definedName>
    <definedName name="Check_Limit" localSheetId="4">#REF!</definedName>
    <definedName name="Check_Limit">#REF!</definedName>
    <definedName name="Citygate_all_monts_DataTable" localSheetId="4">#REF!</definedName>
    <definedName name="Citygate_all_monts_DataTable">#REF!</definedName>
    <definedName name="Citygate_DataTable" localSheetId="4">#REF!</definedName>
    <definedName name="Citygate_DataTable">#REF!</definedName>
    <definedName name="Citygate_Delivery_DataTable" localSheetId="4">#REF!</definedName>
    <definedName name="Citygate_Delivery_DataTable">#REF!</definedName>
    <definedName name="Citygate_info_DataTable" localSheetId="4">#REF!</definedName>
    <definedName name="Citygate_info_DataTable">#REF!</definedName>
    <definedName name="Class_Factor_Names" localSheetId="5">#REF!</definedName>
    <definedName name="Class_Factor_Names" localSheetId="4">#REF!</definedName>
    <definedName name="Class_Factor_Names">#REF!</definedName>
    <definedName name="CODINT22" localSheetId="4">#REF!</definedName>
    <definedName name="CODINT22">#REF!</definedName>
    <definedName name="CODINT23" localSheetId="4">#REF!</definedName>
    <definedName name="CODINT23">#REF!</definedName>
    <definedName name="CODINT24" localSheetId="4">#REF!</definedName>
    <definedName name="CODINT24">#REF!</definedName>
    <definedName name="COMBINTAX" localSheetId="4">#REF!</definedName>
    <definedName name="COMBINTAX">#REF!</definedName>
    <definedName name="CPRINT">#N/A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UST" localSheetId="4">#REF!</definedName>
    <definedName name="CUST">#REF!</definedName>
    <definedName name="Daily_Flow_DataTable" localSheetId="4">#REF!</definedName>
    <definedName name="Daily_Flow_DataTable">#REF!</definedName>
    <definedName name="Data" localSheetId="4">#REF!</definedName>
    <definedName name="Data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4">#REF!</definedName>
    <definedName name="DATE">#REF!</definedName>
    <definedName name="DAY" localSheetId="4">#REF!</definedName>
    <definedName name="DAY">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 localSheetId="4">#REF!</definedName>
    <definedName name="EstimatedBalances">#REF!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 localSheetId="4">#REF!</definedName>
    <definedName name="FERC321">#REF!</definedName>
    <definedName name="FERC324" localSheetId="4">#REF!</definedName>
    <definedName name="FERC324">#REF!</definedName>
    <definedName name="FERC325" localSheetId="4">#REF!</definedName>
    <definedName name="FERC325">#REF!</definedName>
    <definedName name="FERCINT05" localSheetId="4">#REF!</definedName>
    <definedName name="FERCINT05">#REF!</definedName>
    <definedName name="FERCINT06" localSheetId="4">#REF!</definedName>
    <definedName name="FERCINT06">#REF!</definedName>
    <definedName name="FERCINT07" localSheetId="4">#REF!</definedName>
    <definedName name="FERCINT07">#REF!</definedName>
    <definedName name="FERCINT08" localSheetId="4">#REF!</definedName>
    <definedName name="FERCINT08">#REF!</definedName>
    <definedName name="FERCINT09" localSheetId="4">#REF!</definedName>
    <definedName name="FERCINT09">#REF!</definedName>
    <definedName name="FERCINT10" localSheetId="4">#REF!</definedName>
    <definedName name="FERCINT10">#REF!</definedName>
    <definedName name="FERCINTRATE" localSheetId="4">#REF!</definedName>
    <definedName name="FERCINTRATE">#REF!</definedName>
    <definedName name="FERCINTRATE02" localSheetId="4">#REF!</definedName>
    <definedName name="FERCINTRATE02">#REF!</definedName>
    <definedName name="FERCINTRATE03" localSheetId="4">#REF!</definedName>
    <definedName name="FERCINTRATE03">#REF!</definedName>
    <definedName name="FERCOR" localSheetId="4">#REF!</definedName>
    <definedName name="FERCOR">#REF!</definedName>
    <definedName name="FERCWA" localSheetId="4">#REF!</definedName>
    <definedName name="FERCWA">#REF!</definedName>
    <definedName name="fffff" localSheetId="4" hidden="1">{"ALL",#N/A,FALSE,"A"}</definedName>
    <definedName name="fffff" hidden="1">{"ALL",#N/A,FALSE,"A"}</definedName>
    <definedName name="FILE" localSheetId="4">#REF!</definedName>
    <definedName name="FILE">#REF!</definedName>
    <definedName name="FIT" localSheetId="4">#REF!</definedName>
    <definedName name="FIT">#REF!</definedName>
    <definedName name="FITRBADJ" localSheetId="4">#REF!</definedName>
    <definedName name="FITRBADJ">#REF!</definedName>
    <definedName name="FO3_4">#N/A</definedName>
    <definedName name="FORM2259" localSheetId="4">#REF!</definedName>
    <definedName name="FORM2259">#REF!</definedName>
    <definedName name="fsdfsad" localSheetId="4" hidden="1">{"ALL",#N/A,FALSE,"A"}</definedName>
    <definedName name="fsdfsad" hidden="1">{"ALL",#N/A,FALSE,"A"}</definedName>
    <definedName name="Func_Factor_Name" localSheetId="5">#REF!</definedName>
    <definedName name="Func_Factor_Name" localSheetId="4">#REF!</definedName>
    <definedName name="Func_Factor_Name">#REF!</definedName>
    <definedName name="Gas_Price_DataTable" localSheetId="4">#REF!</definedName>
    <definedName name="Gas_Price_DataTable">#REF!</definedName>
    <definedName name="gas_yr2009_10_DataTable" localSheetId="4">#REF!</definedName>
    <definedName name="gas_yr2009_10_DataTable">#REF!</definedName>
    <definedName name="GC" localSheetId="4">#REF!</definedName>
    <definedName name="GC">#REF!</definedName>
    <definedName name="gcnew" localSheetId="4">#REF!</definedName>
    <definedName name="gcnew">#REF!</definedName>
    <definedName name="GEN_OFFICE" localSheetId="4">#REF!</definedName>
    <definedName name="GEN_OFFICE">#REF!</definedName>
    <definedName name="help" localSheetId="4" hidden="1">{"ALL",#N/A,FALSE,"A"}</definedName>
    <definedName name="help" hidden="1">{"ALL",#N/A,FALSE,"A"}</definedName>
    <definedName name="HOQUIAM_24_HR_A" localSheetId="4">#REF!</definedName>
    <definedName name="HOQUIAM_24_HR_A">#REF!</definedName>
    <definedName name="HOQUIAM_MAX" localSheetId="4">#REF!</definedName>
    <definedName name="HOQUIAM_MAX">#REF!</definedName>
    <definedName name="HOQUIAM_MAX_MIN" localSheetId="4">#REF!</definedName>
    <definedName name="HOQUIAM_MAX_MIN">#REF!</definedName>
    <definedName name="HOQUIAM_MIN" localSheetId="4">#REF!</definedName>
    <definedName name="HOQUIAM_MIN">#REF!</definedName>
    <definedName name="I" localSheetId="4">#REF!</definedName>
    <definedName name="I">#REF!</definedName>
    <definedName name="ID" localSheetId="4">#REF!</definedName>
    <definedName name="ID">#REF!</definedName>
    <definedName name="IMPORT" localSheetId="4">#REF!</definedName>
    <definedName name="IMPORT">#REF!</definedName>
    <definedName name="INCOMETAX" localSheetId="4">#REF!</definedName>
    <definedName name="INCOMETAX">#REF!</definedName>
    <definedName name="INCTAX4092" localSheetId="4">#REF!</definedName>
    <definedName name="INCTAX4092">#REF!</definedName>
    <definedName name="INCTAXOP" localSheetId="4">#REF!</definedName>
    <definedName name="INCTAXOP">#REF!</definedName>
    <definedName name="Index_DataTable" localSheetId="4">#REF!</definedName>
    <definedName name="Index_DataTable">#REF!</definedName>
    <definedName name="INPUT" localSheetId="4">#REF!</definedName>
    <definedName name="INPUT">#REF!</definedName>
    <definedName name="INSTRUCTIONS" localSheetId="4">#REF!</definedName>
    <definedName name="INSTRUCTIONS">#REF!</definedName>
    <definedName name="INTCY08" localSheetId="4">#REF!</definedName>
    <definedName name="INTCY08">#REF!</definedName>
    <definedName name="IntCY09" localSheetId="4">#REF!</definedName>
    <definedName name="IntCY09">#REF!</definedName>
    <definedName name="intdate" localSheetId="4">#REF!</definedName>
    <definedName name="intdate">#REF!</definedName>
    <definedName name="InterestDuringAmort" localSheetId="4">#REF!</definedName>
    <definedName name="InterestDuringAmort">#REF!</definedName>
    <definedName name="INTERSTATE" localSheetId="4">#REF!</definedName>
    <definedName name="INTERSTATE">#REF!</definedName>
    <definedName name="INTFY05" localSheetId="4">#REF!</definedName>
    <definedName name="INTFY05">#REF!</definedName>
    <definedName name="INTFY06" localSheetId="4">#REF!</definedName>
    <definedName name="INTFY06">#REF!</definedName>
    <definedName name="INTFY07" localSheetId="4">#REF!</definedName>
    <definedName name="INTFY07">#REF!</definedName>
    <definedName name="JANSEP">#N/A</definedName>
    <definedName name="jjjj" localSheetId="4">#REF!</definedName>
    <definedName name="jjjj">#REF!</definedName>
    <definedName name="jjjjjjjjj" localSheetId="4">#REF!</definedName>
    <definedName name="jjjjjjjjj">#REF!</definedName>
    <definedName name="JRS" localSheetId="4">#REF!</definedName>
    <definedName name="JRS">#REF!</definedName>
    <definedName name="july_int_rate" localSheetId="4">#REF!</definedName>
    <definedName name="july_int_rate">#REF!</definedName>
    <definedName name="kkkkkk" localSheetId="4">#REF!</definedName>
    <definedName name="kkkkkk">#REF!</definedName>
    <definedName name="LEGEND" localSheetId="4">#REF!</definedName>
    <definedName name="LEGEND">#REF!</definedName>
    <definedName name="llllll" localSheetId="4">#REF!</definedName>
    <definedName name="llllll">#REF!</definedName>
    <definedName name="M" localSheetId="4">#REF!</definedName>
    <definedName name="M">#REF!</definedName>
    <definedName name="M___R" localSheetId="4">#REF!</definedName>
    <definedName name="M___R">#REF!</definedName>
    <definedName name="MACRO">#N/A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 localSheetId="4">#REF!</definedName>
    <definedName name="MAIN_CR">#REF!</definedName>
    <definedName name="MAIN_DB" localSheetId="4">#REF!</definedName>
    <definedName name="MAIN_DB">#REF!</definedName>
    <definedName name="MAIN_DF" localSheetId="4">#REF!</definedName>
    <definedName name="MAIN_DF">#REF!</definedName>
    <definedName name="MAIN_EN" localSheetId="4">#REF!</definedName>
    <definedName name="MAIN_EN">#REF!</definedName>
    <definedName name="MAIN_MA" localSheetId="4">#REF!</definedName>
    <definedName name="MAIN_MA">#REF!</definedName>
    <definedName name="MARDEMAND">#N/A</definedName>
    <definedName name="MARDEPREC" localSheetId="4">#REF!</definedName>
    <definedName name="MARDEPREC">#REF!</definedName>
    <definedName name="MENU" localSheetId="4">#REF!</definedName>
    <definedName name="MENU">#REF!</definedName>
    <definedName name="MONTH" localSheetId="4">#REF!</definedName>
    <definedName name="MONTH">#REF!</definedName>
    <definedName name="Monthly_index_DataTable" localSheetId="4">#REF!</definedName>
    <definedName name="Monthly_index_DataTable">#REF!</definedName>
    <definedName name="Monthly_storage_DataTable" localSheetId="4">#REF!</definedName>
    <definedName name="Monthly_storage_DataTable">#REF!</definedName>
    <definedName name="Monthly_Volumes_DataTable" localSheetId="4">#REF!</definedName>
    <definedName name="Monthly_Volumes_DataTable">#REF!</definedName>
    <definedName name="N" localSheetId="4">#REF!</definedName>
    <definedName name="N">#REF!</definedName>
    <definedName name="NCT" localSheetId="4">#REF!</definedName>
    <definedName name="NCT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4">#REF!</definedName>
    <definedName name="njnjn">#REF!</definedName>
    <definedName name="NN" localSheetId="4">#REF!</definedName>
    <definedName name="NN">#REF!</definedName>
    <definedName name="nnnnn" localSheetId="4">#REF!</definedName>
    <definedName name="nnnnn">#REF!</definedName>
    <definedName name="Oct_07">"INTCY08"</definedName>
    <definedName name="OF" localSheetId="4">#REF!</definedName>
    <definedName name="OF">#REF!</definedName>
    <definedName name="old_int" localSheetId="4">#REF!</definedName>
    <definedName name="old_int">#REF!</definedName>
    <definedName name="OR" localSheetId="4">#REF!</definedName>
    <definedName name="OR">#REF!</definedName>
    <definedName name="OR_3_FACTOR" localSheetId="4">#REF!</definedName>
    <definedName name="OR_3_FACTOR">#REF!</definedName>
    <definedName name="OR_CUST" localSheetId="4">#REF!</definedName>
    <definedName name="OR_CUST">#REF!</definedName>
    <definedName name="OR_PEAK_DAY" localSheetId="4">#REF!</definedName>
    <definedName name="OR_PEAK_DAY">#REF!</definedName>
    <definedName name="OR_PLANT" localSheetId="4">#REF!</definedName>
    <definedName name="OR_PLANT">#REF!</definedName>
    <definedName name="OR320A" localSheetId="4">#REF!</definedName>
    <definedName name="OR320A">#REF!</definedName>
    <definedName name="OREGON_24_HR_AV" localSheetId="4">#REF!</definedName>
    <definedName name="OREGON_24_HR_AV">#REF!</definedName>
    <definedName name="OREGON_MAX" localSheetId="4">#REF!</definedName>
    <definedName name="OREGON_MAX">#REF!</definedName>
    <definedName name="OREGON_MAX_MIN" localSheetId="4">#REF!</definedName>
    <definedName name="OREGON_MAX_MIN">#REF!</definedName>
    <definedName name="OREGON_MIN" localSheetId="4">#REF!</definedName>
    <definedName name="OREGON_MIN">#REF!</definedName>
    <definedName name="ORTAXES" localSheetId="4">#REF!</definedName>
    <definedName name="ORTAXES">#REF!</definedName>
    <definedName name="ORTAXS" localSheetId="4">#REF!</definedName>
    <definedName name="ORTAXS">#REF!</definedName>
    <definedName name="OTI" localSheetId="4">#REF!</definedName>
    <definedName name="OTI">#REF!</definedName>
    <definedName name="OVER" localSheetId="4">#REF!</definedName>
    <definedName name="OVER">#REF!</definedName>
    <definedName name="Page1" localSheetId="4">#REF!</definedName>
    <definedName name="Page1">#REF!</definedName>
    <definedName name="Page2" localSheetId="4">#REF!</definedName>
    <definedName name="Page2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enalty__DataTable" localSheetId="4">#REF!</definedName>
    <definedName name="Penalty__DataTable">#REF!</definedName>
    <definedName name="Penalty_cost_DataTable" localSheetId="4">#REF!</definedName>
    <definedName name="Penalty_cost_DataTable">#REF!</definedName>
    <definedName name="Penalty_DataTable" localSheetId="4">#REF!</definedName>
    <definedName name="Penalty_DataTable">#REF!</definedName>
    <definedName name="penalty_info_DataTable" localSheetId="4">#REF!</definedName>
    <definedName name="penalty_info_DataTable">#REF!</definedName>
    <definedName name="PFU" localSheetId="4">#REF!</definedName>
    <definedName name="PFU">#REF!</definedName>
    <definedName name="PGAPeriodVolumes" localSheetId="4">#REF!</definedName>
    <definedName name="PGAPeriodVolumes">#REF!</definedName>
    <definedName name="pint3" localSheetId="4">'Exh. ZLH-3 (UTC Fees)'!pint3</definedName>
    <definedName name="pint3">[0]!pint3</definedName>
    <definedName name="pint3r" localSheetId="4">'Exh. ZLH-3 (UTC Fees)'!pint3r</definedName>
    <definedName name="pint3r">[0]!pint3r</definedName>
    <definedName name="ppopo" localSheetId="4">#REF!</definedName>
    <definedName name="ppopo">#REF!</definedName>
    <definedName name="ppppp" localSheetId="4">#REF!</definedName>
    <definedName name="ppppp">#REF!</definedName>
    <definedName name="PRINT" localSheetId="4">#REF!</definedName>
    <definedName name="PRINT">#REF!</definedName>
    <definedName name="_xlnm.Print_Area" localSheetId="2">'2025 Rates'!$A$1:$L$75</definedName>
    <definedName name="_xlnm.Print_Area" localSheetId="3">'2026 Rates'!$A$1:$L$75</definedName>
    <definedName name="_xlnm.Print_Area" localSheetId="0">'Settlement Rev Spread 2025'!$A$1:$M$20</definedName>
    <definedName name="_xlnm.Print_Area" localSheetId="1">'Settlement Rev Spread 2026'!$A$1:$M$19</definedName>
    <definedName name="Print_Area_MI" localSheetId="4">#REF!</definedName>
    <definedName name="Print_Area_MI">#REF!</definedName>
    <definedName name="print1" localSheetId="4">#REF!</definedName>
    <definedName name="print1">#REF!</definedName>
    <definedName name="print10" localSheetId="4">'Exh. ZLH-3 (UTC Fees)'!print10</definedName>
    <definedName name="print10">[0]!print10</definedName>
    <definedName name="print2" localSheetId="4">#REF!</definedName>
    <definedName name="print2">#REF!</definedName>
    <definedName name="print3" localSheetId="4">#REF!</definedName>
    <definedName name="print3">#REF!</definedName>
    <definedName name="pzint3" localSheetId="4">'Exh. ZLH-3 (UTC Fees)'!pzint3</definedName>
    <definedName name="pzint3">[0]!pzint3</definedName>
    <definedName name="qqqq" localSheetId="4">#REF!</definedName>
    <definedName name="qqqq">#REF!</definedName>
    <definedName name="QUIT" localSheetId="4">#REF!</definedName>
    <definedName name="QUIT">#REF!</definedName>
    <definedName name="revsens" localSheetId="4">#REF!</definedName>
    <definedName name="revsens">#REF!</definedName>
    <definedName name="ROR_System" localSheetId="5">#REF!</definedName>
    <definedName name="ROR_System" localSheetId="4">#REF!</definedName>
    <definedName name="ROR_System">#REF!</definedName>
    <definedName name="S" localSheetId="4">#REF!</definedName>
    <definedName name="S">#REF!</definedName>
    <definedName name="SAVE" localSheetId="4">#REF!</definedName>
    <definedName name="SAVE">#REF!</definedName>
    <definedName name="scenario_2790_DataTable" localSheetId="4">#REF!</definedName>
    <definedName name="scenario_2790_DataTable">#REF!</definedName>
    <definedName name="Sheet1_DataTable" localSheetId="4">#REF!</definedName>
    <definedName name="Sheet1_DataTable">#REF!</definedName>
    <definedName name="Sheet3_DataTable" localSheetId="4">#REF!</definedName>
    <definedName name="Sheet3_DataTable">#REF!</definedName>
    <definedName name="Sheet5_DataTable" localSheetId="4">#REF!</definedName>
    <definedName name="Sheet5_DataTable">#REF!</definedName>
    <definedName name="SSPBILL" localSheetId="4">#REF!</definedName>
    <definedName name="SSPBILL">#REF!</definedName>
    <definedName name="SSPREF" localSheetId="4">#REF!</definedName>
    <definedName name="SSPREF">#REF!</definedName>
    <definedName name="Storage_DataTable" localSheetId="4">#REF!</definedName>
    <definedName name="Storage_DataTable">#REF!</definedName>
    <definedName name="storage_info_DataTable" localSheetId="4">#REF!</definedName>
    <definedName name="storage_info_DataTable">#REF!</definedName>
    <definedName name="Storage_Inj_DataTable" localSheetId="4">#REF!</definedName>
    <definedName name="Storage_Inj_DataTable">#REF!</definedName>
    <definedName name="Storage_Monthly_DataTable" localSheetId="4">#REF!</definedName>
    <definedName name="Storage_Monthly_DataTable">#REF!</definedName>
    <definedName name="Supply_DataTable" localSheetId="4">#REF!</definedName>
    <definedName name="Supply_DataTable">#REF!</definedName>
    <definedName name="Supply_Info_all_years_DataTable" localSheetId="4">#REF!</definedName>
    <definedName name="Supply_Info_all_years_DataTable">#REF!</definedName>
    <definedName name="Supply_Info_DataTable" localSheetId="4">#REF!</definedName>
    <definedName name="Supply_Info_DataTable">#REF!</definedName>
    <definedName name="supply_pull_DataTable" localSheetId="4">#REF!</definedName>
    <definedName name="supply_pull_DataTable">#REF!</definedName>
    <definedName name="T" localSheetId="4">#REF!</definedName>
    <definedName name="T">#REF!</definedName>
    <definedName name="TAXINT18" localSheetId="4">#REF!</definedName>
    <definedName name="TAXINT18">#REF!</definedName>
    <definedName name="TAXINT19" localSheetId="4">#REF!</definedName>
    <definedName name="TAXINT19">#REF!</definedName>
    <definedName name="TESTPERIOD" localSheetId="4">#REF!</definedName>
    <definedName name="TESTPERIOD">#REF!</definedName>
    <definedName name="TestPeriodVolumes" localSheetId="4">#REF!</definedName>
    <definedName name="TestPeriodVolumes">#REF!</definedName>
    <definedName name="TITLES" localSheetId="4">#REF!</definedName>
    <definedName name="TITLES">#REF!</definedName>
    <definedName name="TOTALCustomerSheets" localSheetId="5">OFFSET(#REF!,,,12-COUNTBLANK(#REF!))</definedName>
    <definedName name="TOTALCustomerSheets" localSheetId="4">OFFSET(#REF!,,,12-COUNTBLANK(#REF!))</definedName>
    <definedName name="TOTALCustomerSheets">OFFSET(#REF!,,,12-COUNTBLANK(#REF!))</definedName>
    <definedName name="TOTALDemandSheets" localSheetId="5">OFFSET(#REF!,,,12-COUNTBLANK(#REF!))</definedName>
    <definedName name="TOTALDemandSheets" localSheetId="4">OFFSET(#REF!,,,12-COUNTBLANK(#REF!))</definedName>
    <definedName name="TOTALDemandSheets">OFFSET(#REF!,,,12-COUNTBLANK(#REF!))</definedName>
    <definedName name="TOTALECSheets" localSheetId="5">OFFSET(#REF!,,,12-COUNTBLANK(#REF!))</definedName>
    <definedName name="TOTALECSheets" localSheetId="4">OFFSET(#REF!,,,12-COUNTBLANK(#REF!))</definedName>
    <definedName name="TOTALECSheets">OFFSET(#REF!,,,12-COUNTBLANK(#REF!))</definedName>
    <definedName name="TRANSPORT" localSheetId="4">#REF!</definedName>
    <definedName name="TRANSPORT">#REF!</definedName>
    <definedName name="Transport_DataTable" localSheetId="4">#REF!</definedName>
    <definedName name="Transport_DataTable">#REF!</definedName>
    <definedName name="Transport_Info_DataTable" localSheetId="4">#REF!</definedName>
    <definedName name="Transport_Info_DataTable">#REF!</definedName>
    <definedName name="TRNSPTREV" localSheetId="4">#REF!</definedName>
    <definedName name="TRNSPTREV">#REF!</definedName>
    <definedName name="trth" localSheetId="4" hidden="1">{"ALL",#N/A,FALSE,"A"}</definedName>
    <definedName name="trth" hidden="1">{"ALL",#N/A,FALSE,"A"}</definedName>
    <definedName name="VARIANCE" localSheetId="4">#REF!</definedName>
    <definedName name="VARIANCE">#REF!</definedName>
    <definedName name="VARIANCEREVENUE" localSheetId="4">#REF!</definedName>
    <definedName name="VARIANCEREVENUE">#REF!</definedName>
    <definedName name="WA" localSheetId="4">#REF!</definedName>
    <definedName name="WA">#REF!</definedName>
    <definedName name="WA_3_FACTOR" localSheetId="4">#REF!</definedName>
    <definedName name="WA_3_FACTOR">#REF!</definedName>
    <definedName name="WA_CUST" localSheetId="4">#REF!</definedName>
    <definedName name="WA_CUST">#REF!</definedName>
    <definedName name="WA_PLANT" localSheetId="4">#REF!</definedName>
    <definedName name="WA_PLANT">#REF!</definedName>
    <definedName name="wa_revsens" localSheetId="4">#REF!</definedName>
    <definedName name="wa_revsens">#REF!</definedName>
    <definedName name="WA320A" localSheetId="4">#REF!</definedName>
    <definedName name="WA320A">#REF!</definedName>
    <definedName name="WACOG" localSheetId="4">#REF!</definedName>
    <definedName name="WACOG">#REF!</definedName>
    <definedName name="WALLA_WALLA_24_" localSheetId="4">#REF!</definedName>
    <definedName name="WALLA_WALLA_24_">#REF!</definedName>
    <definedName name="WALLA_WALLA_MAX" localSheetId="4">#REF!</definedName>
    <definedName name="WALLA_WALLA_MAX">#REF!</definedName>
    <definedName name="WALLA_WALLA_MIN" localSheetId="4">#REF!</definedName>
    <definedName name="WALLA_WALLA_MIN">#REF!</definedName>
    <definedName name="WATAXES" localSheetId="4">#REF!</definedName>
    <definedName name="WATAXES">#REF!</definedName>
    <definedName name="WATAXS" localSheetId="4">#REF!</definedName>
    <definedName name="WATAXS">#REF!</definedName>
    <definedName name="WCALL">#N/A</definedName>
    <definedName name="wrn.ALL." localSheetId="4" hidden="1">{"ALL",#N/A,FALSE,"A"}</definedName>
    <definedName name="wrn.ALL." hidden="1">{"ALL",#N/A,FALSE,"A"}</definedName>
    <definedName name="wrn.Annual_5yr." localSheetId="4" hidden="1">{"ISP1Y5",#N/A,TRUE,"Template";"ISP2Y5",#N/A,TRUE,"Template";"BSY5",#N/A,TRUE,"Template";"ICFY5",#N/A,TRUE,"Template";"TPY5",#N/A,TRUE,"Template";"CtrlY5",#N/A,TRUE,"Template"}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localSheetId="4" hidden="1">{"ASSETS",#N/A,FALSE,"Assets"}</definedName>
    <definedName name="wrn.Assets." hidden="1">{"ASSETS",#N/A,FALSE,"Assets"}</definedName>
    <definedName name="wrn.ASSOC_CO." localSheetId="4" hidden="1">{"ASSC_CO",#N/A,FALSE,"A"}</definedName>
    <definedName name="wrn.ASSOC_CO." hidden="1">{"ASSC_CO",#N/A,FALSE,"A"}</definedName>
    <definedName name="wrn.BS." localSheetId="4" hidden="1">{"BS",#N/A,FALSE,"A"}</definedName>
    <definedName name="wrn.BS." hidden="1">{"BS",#N/A,FALSE,"A"}</definedName>
    <definedName name="wrn.Liab." localSheetId="4" hidden="1">{"LIAB",#N/A,FALSE,"Liab"}</definedName>
    <definedName name="wrn.Liab." hidden="1">{"LIAB",#N/A,FALSE,"Liab"}</definedName>
    <definedName name="wrn.Monthly_Yr1." localSheetId="4" hidden="1">{"ISP1Y1",#N/A,TRUE,"Template";"ISP2Y1",#N/A,TRUE,"Template";"BSY1",#N/A,TRUE,"Template";"ICFY1",#N/A,TRUE,"Template";"TPY1",#N/A,TRUE,"Template";"CtrlY1",#N/A,TRUE,"Template"}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localSheetId="4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localSheetId="4" hidden="1">{"ISP1Y2",#N/A,TRUE,"Template";"ISP2Y2",#N/A,TRUE,"Template";"BSY2",#N/A,TRUE,"Template";"ICFY2",#N/A,TRUE,"Template";"TPY2",#N/A,TRUE,"Template";"CtrlY2",#N/A,TRUE,"Template"}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localSheetId="4" hidden="1">{"NW",#N/A,FALSE,"STMT"}</definedName>
    <definedName name="wrn.NetWorth." hidden="1">{"NW",#N/A,FALSE,"STMT"}</definedName>
    <definedName name="wrn.Pfd." localSheetId="4" hidden="1">{"Pfd",#N/A,FALSE,"Pfd"}</definedName>
    <definedName name="wrn.Pfd." hidden="1">{"Pfd",#N/A,FALSE,"Pfd"}</definedName>
    <definedName name="wrn.SCHED._.BC." localSheetId="4" hidden="1">{"SCHED_B&amp;C",#N/A,FALSE,"A"}</definedName>
    <definedName name="wrn.SCHED._.BC." hidden="1">{"SCHED_B&amp;C",#N/A,FALSE,"A"}</definedName>
    <definedName name="wrn.SCHED._.DE." localSheetId="4" hidden="1">{"SCHED_D&amp;E",#N/A,FALSE,"A"}</definedName>
    <definedName name="wrn.SCHED._.DE." hidden="1">{"SCHED_D&amp;E",#N/A,FALSE,"A"}</definedName>
    <definedName name="wrn.SHEDA." localSheetId="4" hidden="1">{"SCHED_A",#N/A,FALSE,"A"}</definedName>
    <definedName name="wrn.SHEDA." hidden="1">{"SCHED_A",#N/A,FALSE,"A"}</definedName>
    <definedName name="xyz5" localSheetId="4">'Exh. ZLH-3 (UTC Fees)'!xyz5</definedName>
    <definedName name="xyz5">[0]!xyz5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 localSheetId="4">#REF!</definedName>
    <definedName name="YAKIMA_MAX_MIN_">#REF!</definedName>
    <definedName name="YAKIMA_MIN" localSheetId="4">#REF!</definedName>
    <definedName name="YAKIMA_MIN">#REF!</definedName>
    <definedName name="YEAR" localSheetId="4">#REF!</definedName>
    <definedName name="YEAR">#REF!</definedName>
    <definedName name="YTD_Firm_therms_query" localSheetId="4">#REF!</definedName>
    <definedName name="YTD_Firm_therms_query">#REF!</definedName>
    <definedName name="Z" localSheetId="4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5" l="1"/>
  <c r="I4" i="5"/>
  <c r="H5" i="5"/>
  <c r="H4" i="5"/>
  <c r="G5" i="5"/>
  <c r="G4" i="5"/>
  <c r="D5" i="5"/>
  <c r="D4" i="5"/>
  <c r="C5" i="5"/>
  <c r="C4" i="5"/>
  <c r="J5" i="4"/>
  <c r="J4" i="4"/>
  <c r="I5" i="4"/>
  <c r="I4" i="4"/>
  <c r="H5" i="4"/>
  <c r="H4" i="4"/>
  <c r="E5" i="4"/>
  <c r="D5" i="4"/>
  <c r="E4" i="4"/>
  <c r="D4" i="4"/>
  <c r="M61" i="2"/>
  <c r="M48" i="2"/>
  <c r="M40" i="2"/>
  <c r="M31" i="2"/>
  <c r="M22" i="2"/>
  <c r="M15" i="2"/>
  <c r="M61" i="1"/>
  <c r="M48" i="1"/>
  <c r="M40" i="1"/>
  <c r="M31" i="1"/>
  <c r="M22" i="1"/>
  <c r="M15" i="1"/>
  <c r="A36" i="8"/>
  <c r="A35" i="8"/>
  <c r="A34" i="8"/>
  <c r="A33" i="8"/>
  <c r="A32" i="8"/>
  <c r="A31" i="8"/>
  <c r="A30" i="8"/>
  <c r="A29" i="8"/>
  <c r="M14" i="8"/>
  <c r="M12" i="8" s="1"/>
  <c r="A13" i="8"/>
  <c r="D11" i="8"/>
  <c r="K11" i="8" s="1"/>
  <c r="K14" i="8" s="1"/>
  <c r="K12" i="8" s="1"/>
  <c r="A10" i="8"/>
  <c r="A11" i="8" s="1"/>
  <c r="A9" i="8"/>
  <c r="D8" i="8"/>
  <c r="A8" i="8"/>
  <c r="A31" i="7"/>
  <c r="A30" i="7"/>
  <c r="A29" i="7"/>
  <c r="A28" i="7"/>
  <c r="A27" i="7"/>
  <c r="A26" i="7"/>
  <c r="A25" i="7"/>
  <c r="A24" i="7"/>
  <c r="A16" i="7"/>
  <c r="A13" i="7"/>
  <c r="D11" i="7"/>
  <c r="K11" i="7" s="1"/>
  <c r="K14" i="7" s="1"/>
  <c r="K12" i="7" s="1"/>
  <c r="A9" i="7"/>
  <c r="M14" i="7"/>
  <c r="M12" i="7" s="1"/>
  <c r="D8" i="7"/>
  <c r="A8" i="7"/>
  <c r="A12" i="8" l="1"/>
  <c r="F11" i="7"/>
  <c r="F14" i="7" s="1"/>
  <c r="G11" i="8"/>
  <c r="G14" i="8" s="1"/>
  <c r="G12" i="8" s="1"/>
  <c r="G11" i="7"/>
  <c r="G14" i="7" s="1"/>
  <c r="G12" i="7" s="1"/>
  <c r="H11" i="8"/>
  <c r="H14" i="8" s="1"/>
  <c r="H12" i="8" s="1"/>
  <c r="H11" i="7"/>
  <c r="H14" i="7" s="1"/>
  <c r="H12" i="7" s="1"/>
  <c r="I11" i="8"/>
  <c r="I14" i="8" s="1"/>
  <c r="I12" i="8" s="1"/>
  <c r="F11" i="8"/>
  <c r="F14" i="8" s="1"/>
  <c r="I11" i="7"/>
  <c r="I14" i="7" s="1"/>
  <c r="I12" i="7" s="1"/>
  <c r="J11" i="8"/>
  <c r="J14" i="8" s="1"/>
  <c r="J12" i="8" s="1"/>
  <c r="A14" i="8"/>
  <c r="J11" i="7"/>
  <c r="J14" i="7" s="1"/>
  <c r="J12" i="7" s="1"/>
  <c r="A10" i="7"/>
  <c r="A11" i="7" s="1"/>
  <c r="F12" i="8" l="1"/>
  <c r="D12" i="8" s="1"/>
  <c r="D14" i="8"/>
  <c r="F12" i="7"/>
  <c r="D12" i="7" s="1"/>
  <c r="D14" i="7"/>
  <c r="A12" i="7"/>
  <c r="A14" i="7" s="1"/>
  <c r="D32" i="6" l="1"/>
  <c r="F32" i="6" l="1"/>
  <c r="F13" i="6"/>
  <c r="F14" i="6" s="1"/>
  <c r="F15" i="6" s="1"/>
  <c r="H28" i="6" l="1"/>
  <c r="I28" i="6" s="1"/>
  <c r="H20" i="6"/>
  <c r="H26" i="6"/>
  <c r="I26" i="6" s="1"/>
  <c r="H24" i="6"/>
  <c r="I24" i="6" s="1"/>
  <c r="H30" i="6"/>
  <c r="I30" i="6" s="1"/>
  <c r="H22" i="6"/>
  <c r="I22" i="6" s="1"/>
  <c r="I20" i="6" l="1"/>
  <c r="H32" i="6"/>
  <c r="H35" i="6" s="1"/>
  <c r="I29" i="5" l="1"/>
  <c r="I45" i="5" s="1"/>
  <c r="I28" i="5"/>
  <c r="I44" i="5" s="1"/>
  <c r="H28" i="5"/>
  <c r="H44" i="5" s="1"/>
  <c r="I23" i="5"/>
  <c r="H23" i="5"/>
  <c r="G23" i="5"/>
  <c r="E23" i="5"/>
  <c r="D23" i="5"/>
  <c r="C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7" i="5"/>
  <c r="E7" i="5"/>
  <c r="I6" i="5"/>
  <c r="I34" i="5" s="1"/>
  <c r="I50" i="5" s="1"/>
  <c r="H6" i="5"/>
  <c r="H29" i="5" s="1"/>
  <c r="H45" i="5" s="1"/>
  <c r="G6" i="5"/>
  <c r="G36" i="5" s="1"/>
  <c r="G52" i="5" s="1"/>
  <c r="D6" i="5"/>
  <c r="D38" i="5" s="1"/>
  <c r="D54" i="5" s="1"/>
  <c r="C6" i="5"/>
  <c r="C33" i="5" s="1"/>
  <c r="C49" i="5" s="1"/>
  <c r="J5" i="5"/>
  <c r="E5" i="5"/>
  <c r="J4" i="5"/>
  <c r="E4" i="5"/>
  <c r="I33" i="5" l="1"/>
  <c r="I49" i="5" s="1"/>
  <c r="I36" i="5"/>
  <c r="I52" i="5" s="1"/>
  <c r="I31" i="5"/>
  <c r="I47" i="5" s="1"/>
  <c r="I38" i="5"/>
  <c r="I54" i="5" s="1"/>
  <c r="H31" i="5"/>
  <c r="H47" i="5" s="1"/>
  <c r="H33" i="5"/>
  <c r="H49" i="5" s="1"/>
  <c r="H36" i="5"/>
  <c r="H52" i="5" s="1"/>
  <c r="H38" i="5"/>
  <c r="H54" i="5" s="1"/>
  <c r="J6" i="5"/>
  <c r="J30" i="5" s="1"/>
  <c r="J46" i="5" s="1"/>
  <c r="J37" i="5"/>
  <c r="J53" i="5" s="1"/>
  <c r="G31" i="5"/>
  <c r="G47" i="5" s="1"/>
  <c r="G38" i="5"/>
  <c r="G54" i="5" s="1"/>
  <c r="G33" i="5"/>
  <c r="G49" i="5" s="1"/>
  <c r="G28" i="5"/>
  <c r="G44" i="5" s="1"/>
  <c r="D33" i="5"/>
  <c r="D49" i="5" s="1"/>
  <c r="E6" i="5"/>
  <c r="E37" i="5" s="1"/>
  <c r="E53" i="5" s="1"/>
  <c r="D28" i="5"/>
  <c r="D44" i="5" s="1"/>
  <c r="E28" i="5"/>
  <c r="E44" i="5" s="1"/>
  <c r="E34" i="5"/>
  <c r="E50" i="5" s="1"/>
  <c r="E38" i="5"/>
  <c r="E54" i="5" s="1"/>
  <c r="C28" i="5"/>
  <c r="C44" i="5" s="1"/>
  <c r="J33" i="5"/>
  <c r="J49" i="5" s="1"/>
  <c r="J31" i="5"/>
  <c r="J47" i="5" s="1"/>
  <c r="C30" i="5"/>
  <c r="C46" i="5" s="1"/>
  <c r="D30" i="5"/>
  <c r="D46" i="5" s="1"/>
  <c r="G30" i="5"/>
  <c r="G46" i="5" s="1"/>
  <c r="H35" i="5"/>
  <c r="H51" i="5" s="1"/>
  <c r="D27" i="5"/>
  <c r="D43" i="5" s="1"/>
  <c r="E32" i="5"/>
  <c r="E48" i="5" s="1"/>
  <c r="E27" i="5"/>
  <c r="E43" i="5" s="1"/>
  <c r="D34" i="5"/>
  <c r="D50" i="5" s="1"/>
  <c r="D35" i="5"/>
  <c r="D51" i="5" s="1"/>
  <c r="J23" i="5"/>
  <c r="G35" i="5"/>
  <c r="G51" i="5" s="1"/>
  <c r="C27" i="5"/>
  <c r="C43" i="5" s="1"/>
  <c r="D32" i="5"/>
  <c r="D48" i="5" s="1"/>
  <c r="C34" i="5"/>
  <c r="C50" i="5" s="1"/>
  <c r="G37" i="5"/>
  <c r="G53" i="5" s="1"/>
  <c r="G32" i="5"/>
  <c r="G48" i="5" s="1"/>
  <c r="H37" i="5"/>
  <c r="H53" i="5" s="1"/>
  <c r="D29" i="5"/>
  <c r="D45" i="5" s="1"/>
  <c r="H32" i="5"/>
  <c r="H48" i="5" s="1"/>
  <c r="C36" i="5"/>
  <c r="C52" i="5" s="1"/>
  <c r="I32" i="5"/>
  <c r="I48" i="5" s="1"/>
  <c r="D36" i="5"/>
  <c r="D52" i="5" s="1"/>
  <c r="I27" i="5"/>
  <c r="I43" i="5" s="1"/>
  <c r="G29" i="5"/>
  <c r="G45" i="5" s="1"/>
  <c r="D31" i="5"/>
  <c r="D47" i="5" s="1"/>
  <c r="H34" i="5"/>
  <c r="H50" i="5" s="1"/>
  <c r="C38" i="5"/>
  <c r="C54" i="5" s="1"/>
  <c r="C35" i="5"/>
  <c r="C51" i="5" s="1"/>
  <c r="C37" i="5"/>
  <c r="C53" i="5" s="1"/>
  <c r="C32" i="5"/>
  <c r="C48" i="5" s="1"/>
  <c r="D37" i="5"/>
  <c r="D53" i="5" s="1"/>
  <c r="H30" i="5"/>
  <c r="H46" i="5" s="1"/>
  <c r="I35" i="5"/>
  <c r="I51" i="5" s="1"/>
  <c r="C29" i="5"/>
  <c r="C45" i="5" s="1"/>
  <c r="I30" i="5"/>
  <c r="I46" i="5" s="1"/>
  <c r="G27" i="5"/>
  <c r="G43" i="5" s="1"/>
  <c r="I37" i="5"/>
  <c r="I53" i="5" s="1"/>
  <c r="H27" i="5"/>
  <c r="H43" i="5" s="1"/>
  <c r="C31" i="5"/>
  <c r="C47" i="5" s="1"/>
  <c r="G34" i="5"/>
  <c r="G50" i="5" s="1"/>
  <c r="J38" i="5" l="1"/>
  <c r="J54" i="5" s="1"/>
  <c r="J35" i="5"/>
  <c r="J51" i="5" s="1"/>
  <c r="J36" i="5"/>
  <c r="J52" i="5" s="1"/>
  <c r="J28" i="5"/>
  <c r="J44" i="5" s="1"/>
  <c r="J27" i="5"/>
  <c r="J43" i="5" s="1"/>
  <c r="J32" i="5"/>
  <c r="J48" i="5" s="1"/>
  <c r="J34" i="5"/>
  <c r="J50" i="5" s="1"/>
  <c r="J29" i="5"/>
  <c r="J45" i="5" s="1"/>
  <c r="J55" i="5"/>
  <c r="E33" i="5"/>
  <c r="E49" i="5" s="1"/>
  <c r="E31" i="5"/>
  <c r="E47" i="5" s="1"/>
  <c r="E36" i="5"/>
  <c r="E52" i="5" s="1"/>
  <c r="E30" i="5"/>
  <c r="E46" i="5" s="1"/>
  <c r="E35" i="5"/>
  <c r="E51" i="5" s="1"/>
  <c r="E29" i="5"/>
  <c r="E45" i="5" s="1"/>
  <c r="E55" i="5"/>
  <c r="H55" i="5"/>
  <c r="C55" i="5"/>
  <c r="I55" i="5"/>
  <c r="G55" i="5"/>
  <c r="D55" i="5"/>
  <c r="E33" i="4" l="1"/>
  <c r="E49" i="4" s="1"/>
  <c r="J30" i="4"/>
  <c r="J46" i="4" s="1"/>
  <c r="J29" i="4"/>
  <c r="J45" i="4" s="1"/>
  <c r="J28" i="4"/>
  <c r="J44" i="4" s="1"/>
  <c r="J23" i="4"/>
  <c r="I23" i="4"/>
  <c r="H23" i="4"/>
  <c r="F23" i="4"/>
  <c r="E23" i="4"/>
  <c r="D23" i="4"/>
  <c r="K22" i="4"/>
  <c r="F22" i="4"/>
  <c r="K21" i="4"/>
  <c r="F21" i="4"/>
  <c r="K20" i="4"/>
  <c r="F20" i="4"/>
  <c r="K19" i="4"/>
  <c r="F19" i="4"/>
  <c r="K18" i="4"/>
  <c r="F18" i="4"/>
  <c r="K17" i="4"/>
  <c r="F17" i="4"/>
  <c r="K16" i="4"/>
  <c r="F16" i="4"/>
  <c r="K15" i="4"/>
  <c r="F15" i="4"/>
  <c r="K14" i="4"/>
  <c r="F14" i="4"/>
  <c r="K13" i="4"/>
  <c r="F13" i="4"/>
  <c r="K12" i="4"/>
  <c r="F12" i="4"/>
  <c r="K11" i="4"/>
  <c r="K23" i="4" s="1"/>
  <c r="F11" i="4"/>
  <c r="K7" i="4"/>
  <c r="F7" i="4"/>
  <c r="J6" i="4"/>
  <c r="J27" i="4" s="1"/>
  <c r="J43" i="4" s="1"/>
  <c r="I6" i="4"/>
  <c r="I34" i="4" s="1"/>
  <c r="I50" i="4" s="1"/>
  <c r="H6" i="4"/>
  <c r="H29" i="4" s="1"/>
  <c r="H45" i="4" s="1"/>
  <c r="E6" i="4"/>
  <c r="E31" i="4" s="1"/>
  <c r="E47" i="4" s="1"/>
  <c r="D6" i="4"/>
  <c r="D38" i="4" s="1"/>
  <c r="D54" i="4" s="1"/>
  <c r="K5" i="4"/>
  <c r="F5" i="4"/>
  <c r="K4" i="4"/>
  <c r="F4" i="4"/>
  <c r="J36" i="4" l="1"/>
  <c r="J52" i="4" s="1"/>
  <c r="J33" i="4"/>
  <c r="J49" i="4" s="1"/>
  <c r="J34" i="4"/>
  <c r="J50" i="4" s="1"/>
  <c r="J38" i="4"/>
  <c r="J54" i="4" s="1"/>
  <c r="J31" i="4"/>
  <c r="J47" i="4" s="1"/>
  <c r="I33" i="4"/>
  <c r="I49" i="4" s="1"/>
  <c r="I31" i="4"/>
  <c r="I47" i="4" s="1"/>
  <c r="I36" i="4"/>
  <c r="I52" i="4" s="1"/>
  <c r="I28" i="4"/>
  <c r="I44" i="4" s="1"/>
  <c r="I38" i="4"/>
  <c r="I54" i="4" s="1"/>
  <c r="I29" i="4"/>
  <c r="I45" i="4" s="1"/>
  <c r="K6" i="4"/>
  <c r="K28" i="4" s="1"/>
  <c r="K44" i="4" s="1"/>
  <c r="H33" i="4"/>
  <c r="H49" i="4" s="1"/>
  <c r="H28" i="4"/>
  <c r="H44" i="4" s="1"/>
  <c r="H36" i="4"/>
  <c r="H52" i="4" s="1"/>
  <c r="H38" i="4"/>
  <c r="H54" i="4" s="1"/>
  <c r="H31" i="4"/>
  <c r="H47" i="4" s="1"/>
  <c r="D28" i="4"/>
  <c r="D44" i="4" s="1"/>
  <c r="E28" i="4"/>
  <c r="E44" i="4" s="1"/>
  <c r="E38" i="4"/>
  <c r="E54" i="4" s="1"/>
  <c r="F6" i="4"/>
  <c r="F36" i="4" s="1"/>
  <c r="F52" i="4" s="1"/>
  <c r="D33" i="4"/>
  <c r="D49" i="4" s="1"/>
  <c r="F27" i="4"/>
  <c r="F43" i="4" s="1"/>
  <c r="F38" i="4"/>
  <c r="F54" i="4" s="1"/>
  <c r="F32" i="4"/>
  <c r="F48" i="4" s="1"/>
  <c r="F37" i="4"/>
  <c r="F53" i="4" s="1"/>
  <c r="F33" i="4"/>
  <c r="F49" i="4" s="1"/>
  <c r="F29" i="4"/>
  <c r="F45" i="4" s="1"/>
  <c r="D30" i="4"/>
  <c r="D46" i="4" s="1"/>
  <c r="E30" i="4"/>
  <c r="E46" i="4" s="1"/>
  <c r="E37" i="4"/>
  <c r="E53" i="4" s="1"/>
  <c r="H30" i="4"/>
  <c r="H46" i="4" s="1"/>
  <c r="E32" i="4"/>
  <c r="E48" i="4" s="1"/>
  <c r="I35" i="4"/>
  <c r="I51" i="4" s="1"/>
  <c r="E27" i="4"/>
  <c r="E43" i="4" s="1"/>
  <c r="I30" i="4"/>
  <c r="I46" i="4" s="1"/>
  <c r="D34" i="4"/>
  <c r="D50" i="4" s="1"/>
  <c r="J35" i="4"/>
  <c r="J51" i="4" s="1"/>
  <c r="H37" i="4"/>
  <c r="H53" i="4" s="1"/>
  <c r="D35" i="4"/>
  <c r="D51" i="4" s="1"/>
  <c r="D37" i="4"/>
  <c r="D53" i="4" s="1"/>
  <c r="H35" i="4"/>
  <c r="H51" i="4" s="1"/>
  <c r="H27" i="4"/>
  <c r="H43" i="4" s="1"/>
  <c r="E29" i="4"/>
  <c r="E45" i="4" s="1"/>
  <c r="I32" i="4"/>
  <c r="I48" i="4" s="1"/>
  <c r="D36" i="4"/>
  <c r="D52" i="4" s="1"/>
  <c r="J37" i="4"/>
  <c r="J53" i="4" s="1"/>
  <c r="E35" i="4"/>
  <c r="E51" i="4" s="1"/>
  <c r="D27" i="4"/>
  <c r="D43" i="4" s="1"/>
  <c r="E34" i="4"/>
  <c r="E50" i="4" s="1"/>
  <c r="I27" i="4"/>
  <c r="I43" i="4" s="1"/>
  <c r="D31" i="4"/>
  <c r="D47" i="4" s="1"/>
  <c r="J32" i="4"/>
  <c r="J48" i="4" s="1"/>
  <c r="H34" i="4"/>
  <c r="H50" i="4" s="1"/>
  <c r="E36" i="4"/>
  <c r="E52" i="4" s="1"/>
  <c r="D32" i="4"/>
  <c r="D48" i="4" s="1"/>
  <c r="D29" i="4"/>
  <c r="D45" i="4" s="1"/>
  <c r="H32" i="4"/>
  <c r="H48" i="4" s="1"/>
  <c r="I37" i="4"/>
  <c r="I53" i="4" s="1"/>
  <c r="J55" i="4" l="1"/>
  <c r="K32" i="4"/>
  <c r="K48" i="4" s="1"/>
  <c r="K37" i="4"/>
  <c r="K53" i="4" s="1"/>
  <c r="K29" i="4"/>
  <c r="K45" i="4" s="1"/>
  <c r="K36" i="4"/>
  <c r="K52" i="4" s="1"/>
  <c r="K34" i="4"/>
  <c r="K50" i="4" s="1"/>
  <c r="K38" i="4"/>
  <c r="K54" i="4" s="1"/>
  <c r="K31" i="4"/>
  <c r="K47" i="4" s="1"/>
  <c r="K27" i="4"/>
  <c r="K43" i="4" s="1"/>
  <c r="K35" i="4"/>
  <c r="K51" i="4" s="1"/>
  <c r="K30" i="4"/>
  <c r="K46" i="4" s="1"/>
  <c r="K33" i="4"/>
  <c r="K49" i="4" s="1"/>
  <c r="F31" i="4"/>
  <c r="F47" i="4" s="1"/>
  <c r="E55" i="4"/>
  <c r="F30" i="4"/>
  <c r="F46" i="4" s="1"/>
  <c r="F34" i="4"/>
  <c r="F50" i="4" s="1"/>
  <c r="F28" i="4"/>
  <c r="F44" i="4" s="1"/>
  <c r="F35" i="4"/>
  <c r="F51" i="4" s="1"/>
  <c r="F55" i="4"/>
  <c r="H55" i="4"/>
  <c r="I55" i="4"/>
  <c r="D55" i="4"/>
  <c r="K55" i="4" l="1"/>
  <c r="D45" i="3"/>
  <c r="C45" i="3"/>
  <c r="C18" i="3"/>
  <c r="C13" i="3"/>
  <c r="C12" i="3"/>
  <c r="C10" i="3"/>
  <c r="C14" i="3" l="1"/>
  <c r="C21" i="3" s="1"/>
  <c r="C23" i="3" s="1"/>
  <c r="C25" i="3" s="1"/>
  <c r="C27" i="3" s="1"/>
  <c r="E33" i="3" s="1"/>
  <c r="E39" i="3"/>
  <c r="G39" i="3" s="1"/>
  <c r="E37" i="3"/>
  <c r="G37" i="3" s="1"/>
  <c r="E35" i="3"/>
  <c r="G35" i="3" s="1"/>
  <c r="E43" i="3"/>
  <c r="G43" i="3" s="1"/>
  <c r="E41" i="3" l="1"/>
  <c r="G41" i="3" s="1"/>
  <c r="G33" i="3"/>
  <c r="E45" i="3" l="1"/>
  <c r="E48" i="3" s="1"/>
  <c r="J69" i="2"/>
  <c r="K69" i="2" s="1"/>
  <c r="F69" i="2"/>
  <c r="B69" i="2"/>
  <c r="I68" i="2"/>
  <c r="J68" i="2" s="1"/>
  <c r="K68" i="2" s="1"/>
  <c r="J67" i="2"/>
  <c r="K67" i="2" s="1"/>
  <c r="I67" i="2"/>
  <c r="I66" i="2"/>
  <c r="J66" i="2" s="1"/>
  <c r="K66" i="2" s="1"/>
  <c r="I65" i="2"/>
  <c r="I69" i="2" s="1"/>
  <c r="B61" i="2"/>
  <c r="E58" i="2"/>
  <c r="E56" i="2"/>
  <c r="E59" i="2" s="1"/>
  <c r="I55" i="2"/>
  <c r="D55" i="2"/>
  <c r="F55" i="2" s="1"/>
  <c r="I54" i="2"/>
  <c r="D54" i="2"/>
  <c r="F54" i="2" s="1"/>
  <c r="I53" i="2"/>
  <c r="D53" i="2"/>
  <c r="F53" i="2" s="1"/>
  <c r="J53" i="2" s="1"/>
  <c r="K53" i="2" s="1"/>
  <c r="B48" i="2"/>
  <c r="E45" i="2"/>
  <c r="E46" i="2" s="1"/>
  <c r="I44" i="2"/>
  <c r="D44" i="2"/>
  <c r="F44" i="2" s="1"/>
  <c r="B40" i="2"/>
  <c r="E36" i="2"/>
  <c r="E38" i="2" s="1"/>
  <c r="I35" i="2"/>
  <c r="D35" i="2"/>
  <c r="F35" i="2" s="1"/>
  <c r="B31" i="2"/>
  <c r="E27" i="2"/>
  <c r="E29" i="2" s="1"/>
  <c r="I26" i="2"/>
  <c r="D26" i="2"/>
  <c r="F26" i="2" s="1"/>
  <c r="G20" i="2"/>
  <c r="B22" i="2"/>
  <c r="E20" i="2"/>
  <c r="I19" i="2"/>
  <c r="D19" i="2"/>
  <c r="F19" i="2" s="1"/>
  <c r="G13" i="2"/>
  <c r="B15" i="2"/>
  <c r="E13" i="2"/>
  <c r="I12" i="2"/>
  <c r="D12" i="2"/>
  <c r="F12" i="2" s="1"/>
  <c r="J12" i="2" s="1"/>
  <c r="K12" i="2" s="1"/>
  <c r="F69" i="1"/>
  <c r="B69" i="1"/>
  <c r="I68" i="1"/>
  <c r="J68" i="1" s="1"/>
  <c r="K68" i="1" s="1"/>
  <c r="I67" i="1"/>
  <c r="J67" i="1" s="1"/>
  <c r="K67" i="1" s="1"/>
  <c r="I66" i="1"/>
  <c r="J66" i="1" s="1"/>
  <c r="K66" i="1" s="1"/>
  <c r="I65" i="1"/>
  <c r="I69" i="1" s="1"/>
  <c r="B61" i="1"/>
  <c r="E59" i="1"/>
  <c r="F59" i="1" s="1"/>
  <c r="E58" i="1"/>
  <c r="E57" i="1"/>
  <c r="F56" i="1"/>
  <c r="I55" i="1"/>
  <c r="F55" i="1"/>
  <c r="I54" i="1"/>
  <c r="J54" i="1" s="1"/>
  <c r="K54" i="1" s="1"/>
  <c r="F54" i="1"/>
  <c r="I53" i="1"/>
  <c r="F53" i="1"/>
  <c r="B48" i="1"/>
  <c r="F46" i="1"/>
  <c r="N46" i="1" s="1"/>
  <c r="E46" i="1"/>
  <c r="F45" i="1"/>
  <c r="I44" i="1"/>
  <c r="J44" i="1" s="1"/>
  <c r="K44" i="1" s="1"/>
  <c r="F44" i="1"/>
  <c r="B40" i="1"/>
  <c r="E38" i="1"/>
  <c r="F38" i="1" s="1"/>
  <c r="E37" i="1"/>
  <c r="F36" i="1"/>
  <c r="I35" i="1"/>
  <c r="J35" i="1" s="1"/>
  <c r="K35" i="1" s="1"/>
  <c r="F35" i="1"/>
  <c r="B31" i="1"/>
  <c r="E29" i="1"/>
  <c r="F29" i="1" s="1"/>
  <c r="E28" i="1"/>
  <c r="F28" i="1" s="1"/>
  <c r="F27" i="1"/>
  <c r="N28" i="1" s="1"/>
  <c r="I26" i="1"/>
  <c r="F26" i="1"/>
  <c r="F31" i="1" s="1"/>
  <c r="G20" i="1"/>
  <c r="I20" i="1" s="1"/>
  <c r="B22" i="1"/>
  <c r="F20" i="1"/>
  <c r="I19" i="1"/>
  <c r="F19" i="1"/>
  <c r="B15" i="1"/>
  <c r="F13" i="1"/>
  <c r="I12" i="1"/>
  <c r="F12" i="1"/>
  <c r="F15" i="1" s="1"/>
  <c r="N27" i="1" l="1"/>
  <c r="J69" i="1"/>
  <c r="K69" i="1" s="1"/>
  <c r="N29" i="1"/>
  <c r="G29" i="1" s="1"/>
  <c r="M29" i="1" s="1"/>
  <c r="G13" i="1"/>
  <c r="I13" i="1" s="1"/>
  <c r="F22" i="1"/>
  <c r="N45" i="1"/>
  <c r="G45" i="1" s="1"/>
  <c r="J55" i="1"/>
  <c r="K55" i="1" s="1"/>
  <c r="E37" i="2"/>
  <c r="E28" i="2"/>
  <c r="J26" i="2"/>
  <c r="K26" i="2" s="1"/>
  <c r="J55" i="2"/>
  <c r="K55" i="2" s="1"/>
  <c r="E57" i="2"/>
  <c r="J20" i="1"/>
  <c r="K20" i="1" s="1"/>
  <c r="G46" i="1"/>
  <c r="F58" i="1"/>
  <c r="J26" i="1"/>
  <c r="J19" i="2"/>
  <c r="K19" i="2" s="1"/>
  <c r="D20" i="2"/>
  <c r="I73" i="2"/>
  <c r="J44" i="2"/>
  <c r="K44" i="2" s="1"/>
  <c r="F73" i="2"/>
  <c r="I20" i="2"/>
  <c r="F48" i="1"/>
  <c r="I13" i="2"/>
  <c r="I73" i="1"/>
  <c r="J35" i="2"/>
  <c r="K35" i="2" s="1"/>
  <c r="M21" i="1"/>
  <c r="M23" i="1" s="1"/>
  <c r="I21" i="1" s="1"/>
  <c r="J21" i="1" s="1"/>
  <c r="F57" i="1"/>
  <c r="N59" i="1" s="1"/>
  <c r="G59" i="1" s="1"/>
  <c r="J54" i="2"/>
  <c r="K54" i="2" s="1"/>
  <c r="F73" i="1"/>
  <c r="G27" i="1"/>
  <c r="G28" i="1"/>
  <c r="F37" i="1"/>
  <c r="N38" i="1" s="1"/>
  <c r="G38" i="1" s="1"/>
  <c r="J19" i="1"/>
  <c r="K19" i="1" s="1"/>
  <c r="J53" i="1"/>
  <c r="K53" i="1" s="1"/>
  <c r="J65" i="1"/>
  <c r="K65" i="1" s="1"/>
  <c r="J12" i="1"/>
  <c r="J65" i="2"/>
  <c r="K65" i="2" s="1"/>
  <c r="D13" i="2" l="1"/>
  <c r="I45" i="1"/>
  <c r="D45" i="2"/>
  <c r="F45" i="2" s="1"/>
  <c r="N56" i="1"/>
  <c r="G56" i="1" s="1"/>
  <c r="D56" i="2" s="1"/>
  <c r="I38" i="1"/>
  <c r="J38" i="1" s="1"/>
  <c r="K38" i="1" s="1"/>
  <c r="D38" i="2"/>
  <c r="I28" i="1"/>
  <c r="J28" i="1" s="1"/>
  <c r="K28" i="1" s="1"/>
  <c r="D28" i="2"/>
  <c r="M28" i="1"/>
  <c r="F74" i="1"/>
  <c r="F13" i="2"/>
  <c r="K12" i="1"/>
  <c r="I27" i="1"/>
  <c r="D27" i="2"/>
  <c r="M27" i="1"/>
  <c r="F20" i="2"/>
  <c r="F22" i="2" s="1"/>
  <c r="J45" i="1"/>
  <c r="K45" i="1" s="1"/>
  <c r="N58" i="1"/>
  <c r="G58" i="1" s="1"/>
  <c r="N37" i="1"/>
  <c r="G37" i="1" s="1"/>
  <c r="N36" i="1"/>
  <c r="G36" i="1" s="1"/>
  <c r="F40" i="1"/>
  <c r="J13" i="1"/>
  <c r="K13" i="1" s="1"/>
  <c r="I29" i="1"/>
  <c r="J29" i="1" s="1"/>
  <c r="K29" i="1" s="1"/>
  <c r="D29" i="2"/>
  <c r="M21" i="2"/>
  <c r="M23" i="2" s="1"/>
  <c r="I21" i="2" s="1"/>
  <c r="J21" i="2" s="1"/>
  <c r="K26" i="1"/>
  <c r="M14" i="1"/>
  <c r="M16" i="1" s="1"/>
  <c r="M14" i="2"/>
  <c r="M16" i="2" s="1"/>
  <c r="I59" i="1"/>
  <c r="J59" i="1" s="1"/>
  <c r="K59" i="1" s="1"/>
  <c r="D59" i="2"/>
  <c r="N57" i="1"/>
  <c r="G57" i="1" s="1"/>
  <c r="F61" i="1"/>
  <c r="J73" i="1"/>
  <c r="K73" i="1" s="1"/>
  <c r="I22" i="1"/>
  <c r="J22" i="1" s="1"/>
  <c r="K22" i="1" s="1"/>
  <c r="J73" i="2"/>
  <c r="K73" i="2" s="1"/>
  <c r="D46" i="2"/>
  <c r="I46" i="1"/>
  <c r="I56" i="1" l="1"/>
  <c r="J56" i="1"/>
  <c r="K56" i="1" s="1"/>
  <c r="F38" i="2"/>
  <c r="I14" i="2"/>
  <c r="F29" i="2"/>
  <c r="F15" i="2"/>
  <c r="F75" i="1"/>
  <c r="E73" i="1" s="1"/>
  <c r="J13" i="2"/>
  <c r="I36" i="1"/>
  <c r="D36" i="2"/>
  <c r="F27" i="2"/>
  <c r="F59" i="2"/>
  <c r="D58" i="2"/>
  <c r="I58" i="1"/>
  <c r="J58" i="1" s="1"/>
  <c r="K58" i="1" s="1"/>
  <c r="F46" i="2"/>
  <c r="N46" i="2" s="1"/>
  <c r="G46" i="2" s="1"/>
  <c r="I22" i="2"/>
  <c r="J22" i="2" s="1"/>
  <c r="K22" i="2" s="1"/>
  <c r="F56" i="2"/>
  <c r="I14" i="1"/>
  <c r="F28" i="2"/>
  <c r="I57" i="1"/>
  <c r="J57" i="1" s="1"/>
  <c r="K57" i="1" s="1"/>
  <c r="D57" i="2"/>
  <c r="I37" i="1"/>
  <c r="J37" i="1" s="1"/>
  <c r="K37" i="1" s="1"/>
  <c r="D37" i="2"/>
  <c r="J46" i="1"/>
  <c r="K46" i="1" s="1"/>
  <c r="M47" i="1"/>
  <c r="M49" i="1" s="1"/>
  <c r="I47" i="1" s="1"/>
  <c r="J47" i="1" s="1"/>
  <c r="J27" i="1"/>
  <c r="M30" i="1"/>
  <c r="M32" i="1" s="1"/>
  <c r="I30" i="1" s="1"/>
  <c r="J30" i="1" s="1"/>
  <c r="J20" i="2"/>
  <c r="K20" i="2" s="1"/>
  <c r="I31" i="1" l="1"/>
  <c r="N27" i="2"/>
  <c r="G27" i="2" s="1"/>
  <c r="F31" i="2"/>
  <c r="J14" i="2"/>
  <c r="I15" i="2"/>
  <c r="J36" i="1"/>
  <c r="K36" i="1" s="1"/>
  <c r="M39" i="1"/>
  <c r="M41" i="1" s="1"/>
  <c r="K13" i="2"/>
  <c r="J15" i="2"/>
  <c r="K15" i="2" s="1"/>
  <c r="I74" i="1"/>
  <c r="I48" i="1"/>
  <c r="J48" i="1" s="1"/>
  <c r="K48" i="1" s="1"/>
  <c r="F58" i="2"/>
  <c r="E74" i="1"/>
  <c r="N28" i="2"/>
  <c r="G28" i="2" s="1"/>
  <c r="F48" i="2"/>
  <c r="M60" i="1"/>
  <c r="M62" i="1" s="1"/>
  <c r="I60" i="1" s="1"/>
  <c r="J60" i="1" s="1"/>
  <c r="K27" i="1"/>
  <c r="J31" i="1"/>
  <c r="K31" i="1" s="1"/>
  <c r="J14" i="1"/>
  <c r="J15" i="1" s="1"/>
  <c r="K15" i="1" s="1"/>
  <c r="I15" i="1"/>
  <c r="N29" i="2"/>
  <c r="G29" i="2" s="1"/>
  <c r="F37" i="2"/>
  <c r="F36" i="2"/>
  <c r="I46" i="2"/>
  <c r="J46" i="2" s="1"/>
  <c r="K46" i="2" s="1"/>
  <c r="F57" i="2"/>
  <c r="N45" i="2"/>
  <c r="G45" i="2" s="1"/>
  <c r="N38" i="2" l="1"/>
  <c r="G38" i="2" s="1"/>
  <c r="I38" i="2" s="1"/>
  <c r="J38" i="2" s="1"/>
  <c r="K38" i="2" s="1"/>
  <c r="N59" i="2"/>
  <c r="G59" i="2" s="1"/>
  <c r="I59" i="2" s="1"/>
  <c r="J59" i="2" s="1"/>
  <c r="K59" i="2" s="1"/>
  <c r="F61" i="2"/>
  <c r="N56" i="2"/>
  <c r="G56" i="2" s="1"/>
  <c r="I56" i="2" s="1"/>
  <c r="N57" i="2"/>
  <c r="G57" i="2" s="1"/>
  <c r="I57" i="2" s="1"/>
  <c r="J57" i="2" s="1"/>
  <c r="K57" i="2" s="1"/>
  <c r="I29" i="2"/>
  <c r="J29" i="2" s="1"/>
  <c r="K29" i="2" s="1"/>
  <c r="M29" i="2"/>
  <c r="N36" i="2"/>
  <c r="G36" i="2" s="1"/>
  <c r="F40" i="2"/>
  <c r="F74" i="2"/>
  <c r="I61" i="1"/>
  <c r="J61" i="1" s="1"/>
  <c r="K61" i="1" s="1"/>
  <c r="I45" i="2"/>
  <c r="J74" i="1"/>
  <c r="K74" i="1" s="1"/>
  <c r="I75" i="1"/>
  <c r="I39" i="1"/>
  <c r="J76" i="1"/>
  <c r="I28" i="2"/>
  <c r="J28" i="2" s="1"/>
  <c r="K28" i="2" s="1"/>
  <c r="M28" i="2"/>
  <c r="N37" i="2"/>
  <c r="G37" i="2" s="1"/>
  <c r="N58" i="2"/>
  <c r="G58" i="2" s="1"/>
  <c r="I27" i="2"/>
  <c r="M27" i="2"/>
  <c r="F75" i="2" l="1"/>
  <c r="E73" i="2" s="1"/>
  <c r="J75" i="1"/>
  <c r="H73" i="1"/>
  <c r="J27" i="2"/>
  <c r="M30" i="2"/>
  <c r="M32" i="2" s="1"/>
  <c r="J45" i="2"/>
  <c r="K45" i="2" s="1"/>
  <c r="M47" i="2"/>
  <c r="M49" i="2" s="1"/>
  <c r="I47" i="2" s="1"/>
  <c r="J47" i="2" s="1"/>
  <c r="J39" i="1"/>
  <c r="I40" i="1"/>
  <c r="J40" i="1" s="1"/>
  <c r="K40" i="1" s="1"/>
  <c r="I36" i="2"/>
  <c r="H74" i="1"/>
  <c r="I58" i="2"/>
  <c r="J58" i="2" s="1"/>
  <c r="K58" i="2" s="1"/>
  <c r="I37" i="2"/>
  <c r="J37" i="2" s="1"/>
  <c r="K37" i="2" s="1"/>
  <c r="J56" i="2"/>
  <c r="K56" i="2" s="1"/>
  <c r="I74" i="2" l="1"/>
  <c r="J74" i="2" s="1"/>
  <c r="K74" i="2" s="1"/>
  <c r="M60" i="2"/>
  <c r="M62" i="2" s="1"/>
  <c r="I60" i="2" s="1"/>
  <c r="J60" i="2" s="1"/>
  <c r="I48" i="2"/>
  <c r="J48" i="2" s="1"/>
  <c r="K48" i="2" s="1"/>
  <c r="I30" i="2"/>
  <c r="K27" i="2"/>
  <c r="J36" i="2"/>
  <c r="K36" i="2" s="1"/>
  <c r="M39" i="2"/>
  <c r="M41" i="2" s="1"/>
  <c r="I39" i="2" s="1"/>
  <c r="J39" i="2" s="1"/>
  <c r="J78" i="1"/>
  <c r="K75" i="1"/>
  <c r="E74" i="2"/>
  <c r="I75" i="2" l="1"/>
  <c r="J75" i="2" s="1"/>
  <c r="I61" i="2"/>
  <c r="J61" i="2" s="1"/>
  <c r="K61" i="2" s="1"/>
  <c r="I40" i="2"/>
  <c r="J40" i="2" s="1"/>
  <c r="K40" i="2" s="1"/>
  <c r="J76" i="2"/>
  <c r="J30" i="2"/>
  <c r="J31" i="2" s="1"/>
  <c r="K31" i="2" s="1"/>
  <c r="I31" i="2"/>
  <c r="H74" i="2" l="1"/>
  <c r="H73" i="2"/>
  <c r="J78" i="2"/>
  <c r="K75" i="2"/>
</calcChain>
</file>

<file path=xl/sharedStrings.xml><?xml version="1.0" encoding="utf-8"?>
<sst xmlns="http://schemas.openxmlformats.org/spreadsheetml/2006/main" count="400" uniqueCount="141">
  <si>
    <t>Cascade Natural Gas Corporation</t>
  </si>
  <si>
    <t>Washington Jurisdiction</t>
  </si>
  <si>
    <t>2025 Forecast - See RJA-6 Page 1</t>
  </si>
  <si>
    <t>Settlement Agreement</t>
  </si>
  <si>
    <t>Proposed Rates Effective March 1, 2025</t>
  </si>
  <si>
    <t>Pro Forma Test Year Revenues</t>
  </si>
  <si>
    <t>Settlement Revenues</t>
  </si>
  <si>
    <t>Difference</t>
  </si>
  <si>
    <t>Present Rates</t>
  </si>
  <si>
    <t>2025 Proposed Rates</t>
  </si>
  <si>
    <t>Customer Class</t>
  </si>
  <si>
    <t>Billing Units</t>
  </si>
  <si>
    <t>Margin</t>
  </si>
  <si>
    <t>CRM</t>
  </si>
  <si>
    <t>Revenue</t>
  </si>
  <si>
    <t>$ Amount</t>
  </si>
  <si>
    <t>% Amount</t>
  </si>
  <si>
    <t>Residential - 503</t>
  </si>
  <si>
    <t>Basic Service Charge</t>
  </si>
  <si>
    <t>Delivery Charge</t>
  </si>
  <si>
    <t>Rounding Difference</t>
  </si>
  <si>
    <t>Proposed Revenue Needed</t>
  </si>
  <si>
    <t>Commercial - 504</t>
  </si>
  <si>
    <t>Industrial - 505</t>
  </si>
  <si>
    <t>Delivery Charge - first 500 therms</t>
  </si>
  <si>
    <t>Delivery Charge - next 3,500 therms</t>
  </si>
  <si>
    <t>Delivery Charge - over 4,000 therms</t>
  </si>
  <si>
    <t>Large Volume - 511</t>
  </si>
  <si>
    <t>Delivery Charge - first 20,000 therms</t>
  </si>
  <si>
    <t>Delivery Charge - next 80,000 therms</t>
  </si>
  <si>
    <t>Delivery Charge - over 100,000 therms</t>
  </si>
  <si>
    <t>Interruptible - 570</t>
  </si>
  <si>
    <t>Delivery Charge - first 30,000 therms</t>
  </si>
  <si>
    <t>Delivery Charge - over 30,000 therms</t>
  </si>
  <si>
    <t>Transport - 663</t>
  </si>
  <si>
    <t>Contract Demand</t>
  </si>
  <si>
    <t>System Balancing Charge</t>
  </si>
  <si>
    <t>Delivery Charge - first 100,000 therms</t>
  </si>
  <si>
    <t>Delivery Charge - next 200,000 therms</t>
  </si>
  <si>
    <t>Delivery Charge - over 500,000 therms</t>
  </si>
  <si>
    <t>Special Contracts - Total</t>
  </si>
  <si>
    <t>Contract Demand Charge</t>
  </si>
  <si>
    <t>Dispatch Delivery/ Sys Balancing Charge</t>
  </si>
  <si>
    <t>N/A</t>
  </si>
  <si>
    <t>Fixed Charge Recovery</t>
  </si>
  <si>
    <t>Volumectric Charge Recovery</t>
  </si>
  <si>
    <t>Total</t>
  </si>
  <si>
    <t>rounding difference</t>
  </si>
  <si>
    <t>Total with Rounding</t>
  </si>
  <si>
    <t>2026 Forecast - See RJA-6 Page 2</t>
  </si>
  <si>
    <t>Proposed Rates Effective March 1, 2026</t>
  </si>
  <si>
    <t>2025 Effective Rates</t>
  </si>
  <si>
    <t>2026 Proposed Rates</t>
  </si>
  <si>
    <t>Cascade Natural Gas Corp</t>
  </si>
  <si>
    <t>Commission Fees</t>
  </si>
  <si>
    <t xml:space="preserve">2 Year Amortization </t>
  </si>
  <si>
    <t>Deferral Balance as of January 31, 2024</t>
  </si>
  <si>
    <t>Est. Increase for February 1, 2024 through February 28, 2025</t>
  </si>
  <si>
    <t>Total to be amortized</t>
  </si>
  <si>
    <t>Two year Amortization</t>
  </si>
  <si>
    <t xml:space="preserve">Grossed up for Revenue Sensitive </t>
  </si>
  <si>
    <t>Schedule 555, Commission Fees Adjustment Rate</t>
  </si>
  <si>
    <t>Rate Class</t>
  </si>
  <si>
    <t>Volumes</t>
  </si>
  <si>
    <t>Revenue Allocation</t>
  </si>
  <si>
    <t>Allocated Amount</t>
  </si>
  <si>
    <t>Schedule 555 Rate</t>
  </si>
  <si>
    <t xml:space="preserve">Total </t>
  </si>
  <si>
    <t>Unadjusted Revenues</t>
  </si>
  <si>
    <t>Overall Revenue Increase</t>
  </si>
  <si>
    <t>COVID-19 Adjustments as of January 2024</t>
  </si>
  <si>
    <t xml:space="preserve">3 Year Amortization </t>
  </si>
  <si>
    <t>Deferral Type</t>
  </si>
  <si>
    <t>Bad Debt Expense</t>
  </si>
  <si>
    <t>Past Due Interest</t>
  </si>
  <si>
    <t>Other Direct Costs</t>
  </si>
  <si>
    <t>Credit &amp; Collections</t>
  </si>
  <si>
    <t>Total 186</t>
  </si>
  <si>
    <t>Add Reconnect Fees/Late Payment Fees</t>
  </si>
  <si>
    <t>Remove Past Due Interest</t>
  </si>
  <si>
    <t>Remove Credit &amp; Collections</t>
  </si>
  <si>
    <t>Total Adjusted 186</t>
  </si>
  <si>
    <t>Other Direct Benefits</t>
  </si>
  <si>
    <t xml:space="preserve">CARES Act Tax Benefit </t>
  </si>
  <si>
    <t>Total 253</t>
  </si>
  <si>
    <t>Total Ending Balance 1.31.2024</t>
  </si>
  <si>
    <t>Estimated Additional Costs Through February 2025</t>
  </si>
  <si>
    <t>Total to be Amortized</t>
  </si>
  <si>
    <t>Three Year Amortization</t>
  </si>
  <si>
    <t>Schedule 556, COVID-19 Adjustment Rate</t>
  </si>
  <si>
    <t>Schedule 556 Rate</t>
  </si>
  <si>
    <t>2025 Effective Year</t>
  </si>
  <si>
    <t>Group 1</t>
  </si>
  <si>
    <t>Group 2</t>
  </si>
  <si>
    <t>Sched 503</t>
  </si>
  <si>
    <t>Sched 504</t>
  </si>
  <si>
    <t>Sched 505</t>
  </si>
  <si>
    <t>Sched 511</t>
  </si>
  <si>
    <t>Sched 570</t>
  </si>
  <si>
    <t>Margin Revenue</t>
  </si>
  <si>
    <t>Annual Therms</t>
  </si>
  <si>
    <t>Step 1</t>
  </si>
  <si>
    <t>Rate</t>
  </si>
  <si>
    <t>Customer Count</t>
  </si>
  <si>
    <t>Monthly Therms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</si>
  <si>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</si>
  <si>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</si>
  <si>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</si>
  <si>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</si>
  <si>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</si>
  <si>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</si>
  <si>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</si>
  <si>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</si>
  <si>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</si>
  <si>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</si>
  <si>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</si>
  <si>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</si>
  <si>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Step 2</t>
  </si>
  <si>
    <t>Monthly Margin</t>
  </si>
  <si>
    <t>Step 3</t>
  </si>
  <si>
    <t>Authorized Margin Revenue Per Customer - Rule 21</t>
  </si>
  <si>
    <t>Group Rate</t>
  </si>
  <si>
    <t>Average</t>
  </si>
  <si>
    <t>2026 Effective Year</t>
  </si>
  <si>
    <r>
      <t>Revenenue Spread - 2025</t>
    </r>
    <r>
      <rPr>
        <b/>
        <vertAlign val="superscript"/>
        <sz val="11"/>
        <rFont val="Calibri"/>
        <family val="2"/>
        <scheme val="minor"/>
      </rPr>
      <t>1</t>
    </r>
  </si>
  <si>
    <t>Line No.</t>
  </si>
  <si>
    <t>Description</t>
  </si>
  <si>
    <t>Total System</t>
  </si>
  <si>
    <t>Special Contracts - 9xx</t>
  </si>
  <si>
    <r>
      <t>Pro-Forma Test Year Revenues</t>
    </r>
    <r>
      <rPr>
        <vertAlign val="superscript"/>
        <sz val="11"/>
        <rFont val="Calibri"/>
        <family val="2"/>
        <scheme val="minor"/>
      </rPr>
      <t>2</t>
    </r>
  </si>
  <si>
    <t>Per Settlement Agreement - 2025 Increase</t>
  </si>
  <si>
    <t>Equal Percentage Increase on Margin</t>
  </si>
  <si>
    <t>Total Rate Revenue at Equalized Rates of Return</t>
  </si>
  <si>
    <t>2025 Increase</t>
  </si>
  <si>
    <t>Notes:</t>
  </si>
  <si>
    <t>1) Similar to 240008-CNGC-WP-RJA-Cascade WA Rate Design 2024-3-29-24</t>
  </si>
  <si>
    <t>2) See Exh. RJA-6, Page 1 for 2025 Billing Units. Revenues are based on 2025 Billing Units and current rates.</t>
  </si>
  <si>
    <r>
      <t>Revenenue Spread - 2026</t>
    </r>
    <r>
      <rPr>
        <b/>
        <vertAlign val="superscript"/>
        <sz val="11"/>
        <rFont val="Calibri"/>
        <family val="2"/>
        <scheme val="minor"/>
      </rPr>
      <t>1</t>
    </r>
  </si>
  <si>
    <t>Per Settlement Agreement - 2026 Increase</t>
  </si>
  <si>
    <t>2026 Increase</t>
  </si>
  <si>
    <t>2) See Exh. RJA-6, Page 2 for 2026 Billing Units. Revenues are based on 2026 Billing Units and new 2025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</si>
</sst>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&quot;$&quot;* #,##0_);_(&quot;$&quot;* \(#,##0\);_(&quot;$&quot;* &quot;-&quot;??_);_(@_)"/>
    <numFmt numFmtId="167" formatCode="&quot;$&quot;#,##0.00000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0.0%"/>
    <numFmt numFmtId="171" formatCode="&quot;$&quot;#,##0.00000_);[Red]\(&quot;$&quot;#,##0.00000\)"/>
    <numFmt numFmtId="172" formatCode="&quot;$&quot;#,##0.00000_);\(&quot;$&quot;#,##0.000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i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u val="doubleAccounting"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164" fontId="4" fillId="0" borderId="0" xfId="1" applyNumberFormat="1" applyFont="1" applyFill="1" applyBorder="1"/>
    <xf numFmtId="165" fontId="4" fillId="0" borderId="0" xfId="1" applyNumberFormat="1" applyFont="1" applyFill="1" applyBorder="1"/>
    <xf numFmtId="166" fontId="4" fillId="0" borderId="0" xfId="2" applyNumberFormat="1" applyFont="1" applyFill="1" applyBorder="1"/>
    <xf numFmtId="165" fontId="4" fillId="0" borderId="25" xfId="1" applyNumberFormat="1" applyFont="1" applyFill="1" applyBorder="1"/>
    <xf numFmtId="166" fontId="4" fillId="0" borderId="26" xfId="2" applyNumberFormat="1" applyFont="1" applyFill="1" applyBorder="1"/>
    <xf numFmtId="9" fontId="4" fillId="0" borderId="27" xfId="3" applyFont="1" applyFill="1" applyBorder="1" applyAlignment="1">
      <alignment horizontal="center"/>
    </xf>
    <xf numFmtId="167" fontId="4" fillId="0" borderId="0" xfId="1" applyNumberFormat="1" applyFont="1" applyFill="1" applyBorder="1"/>
    <xf numFmtId="167" fontId="4" fillId="0" borderId="25" xfId="1" applyNumberFormat="1" applyFont="1" applyFill="1" applyBorder="1"/>
    <xf numFmtId="168" fontId="6" fillId="0" borderId="0" xfId="2" applyNumberFormat="1" applyFont="1" applyFill="1" applyBorder="1"/>
    <xf numFmtId="166" fontId="6" fillId="0" borderId="0" xfId="2" applyNumberFormat="1" applyFont="1" applyFill="1" applyBorder="1"/>
    <xf numFmtId="9" fontId="7" fillId="0" borderId="27" xfId="3" applyFont="1" applyFill="1" applyBorder="1" applyAlignment="1">
      <alignment horizontal="center"/>
    </xf>
    <xf numFmtId="166" fontId="8" fillId="0" borderId="0" xfId="2" applyNumberFormat="1" applyFont="1" applyFill="1" applyBorder="1"/>
    <xf numFmtId="166" fontId="3" fillId="0" borderId="28" xfId="2" applyNumberFormat="1" applyFont="1" applyFill="1" applyBorder="1"/>
    <xf numFmtId="166" fontId="3" fillId="0" borderId="25" xfId="2" applyNumberFormat="1" applyFont="1" applyFill="1" applyBorder="1"/>
    <xf numFmtId="166" fontId="3" fillId="0" borderId="0" xfId="2" applyNumberFormat="1" applyFont="1" applyFill="1" applyBorder="1"/>
    <xf numFmtId="166" fontId="3" fillId="0" borderId="29" xfId="2" applyNumberFormat="1" applyFont="1" applyFill="1" applyBorder="1"/>
    <xf numFmtId="166" fontId="4" fillId="0" borderId="30" xfId="2" applyNumberFormat="1" applyFont="1" applyFill="1" applyBorder="1"/>
    <xf numFmtId="166" fontId="9" fillId="0" borderId="0" xfId="2" applyNumberFormat="1" applyFont="1" applyFill="1" applyBorder="1"/>
    <xf numFmtId="166" fontId="9" fillId="0" borderId="32" xfId="2" applyNumberFormat="1" applyFont="1" applyFill="1" applyBorder="1"/>
    <xf numFmtId="166" fontId="9" fillId="0" borderId="17" xfId="2" applyNumberFormat="1" applyFont="1" applyFill="1" applyBorder="1"/>
    <xf numFmtId="166" fontId="9" fillId="0" borderId="20" xfId="2" applyNumberFormat="1" applyFont="1" applyFill="1" applyBorder="1"/>
    <xf numFmtId="166" fontId="4" fillId="0" borderId="13" xfId="2" applyNumberFormat="1" applyFont="1" applyFill="1" applyBorder="1"/>
    <xf numFmtId="9" fontId="4" fillId="0" borderId="0" xfId="3" applyFont="1" applyFill="1"/>
    <xf numFmtId="10" fontId="4" fillId="0" borderId="0" xfId="3" applyNumberFormat="1" applyFont="1" applyFill="1"/>
    <xf numFmtId="43" fontId="4" fillId="0" borderId="0" xfId="1" applyFont="1" applyFill="1" applyBorder="1"/>
    <xf numFmtId="9" fontId="4" fillId="0" borderId="33" xfId="3" applyFont="1" applyFill="1" applyBorder="1" applyAlignment="1">
      <alignment horizontal="center"/>
    </xf>
    <xf numFmtId="165" fontId="4" fillId="0" borderId="0" xfId="2" applyNumberFormat="1" applyFont="1" applyFill="1" applyBorder="1"/>
    <xf numFmtId="167" fontId="4" fillId="0" borderId="0" xfId="2" applyNumberFormat="1" applyFont="1" applyFill="1" applyBorder="1"/>
    <xf numFmtId="43" fontId="4" fillId="0" borderId="0" xfId="1" applyFont="1" applyFill="1"/>
    <xf numFmtId="166" fontId="4" fillId="0" borderId="25" xfId="2" applyNumberFormat="1" applyFont="1" applyFill="1" applyBorder="1"/>
    <xf numFmtId="9" fontId="6" fillId="0" borderId="0" xfId="3" applyFont="1" applyFill="1" applyBorder="1"/>
    <xf numFmtId="9" fontId="4" fillId="0" borderId="0" xfId="3" applyFont="1" applyFill="1" applyBorder="1" applyAlignment="1">
      <alignment horizontal="center"/>
    </xf>
    <xf numFmtId="166" fontId="4" fillId="0" borderId="34" xfId="2" applyNumberFormat="1" applyFont="1" applyFill="1" applyBorder="1"/>
    <xf numFmtId="170" fontId="4" fillId="0" borderId="0" xfId="3" applyNumberFormat="1" applyFont="1" applyFill="1"/>
    <xf numFmtId="44" fontId="11" fillId="0" borderId="0" xfId="2" applyFont="1" applyFill="1"/>
    <xf numFmtId="43" fontId="0" fillId="0" borderId="0" xfId="1" applyFont="1" applyFill="1" applyBorder="1"/>
    <xf numFmtId="44" fontId="11" fillId="0" borderId="34" xfId="2" applyFont="1" applyFill="1" applyBorder="1"/>
    <xf numFmtId="8" fontId="0" fillId="0" borderId="0" xfId="2" applyNumberFormat="1" applyFont="1" applyFill="1"/>
    <xf numFmtId="8" fontId="0" fillId="0" borderId="34" xfId="2" applyNumberFormat="1" applyFont="1" applyFill="1" applyBorder="1"/>
    <xf numFmtId="8" fontId="0" fillId="0" borderId="34" xfId="2" applyNumberFormat="1" applyFont="1" applyFill="1" applyBorder="1" applyAlignment="1">
      <alignment horizontal="right"/>
    </xf>
    <xf numFmtId="38" fontId="0" fillId="0" borderId="0" xfId="1" applyNumberFormat="1" applyFont="1" applyFill="1" applyAlignment="1">
      <alignment horizontal="center"/>
    </xf>
    <xf numFmtId="10" fontId="0" fillId="0" borderId="0" xfId="3" applyNumberFormat="1" applyFont="1" applyFill="1"/>
    <xf numFmtId="8" fontId="0" fillId="0" borderId="0" xfId="1" applyNumberFormat="1" applyFont="1" applyFill="1" applyAlignment="1">
      <alignment horizontal="center"/>
    </xf>
    <xf numFmtId="9" fontId="0" fillId="0" borderId="0" xfId="3" applyFont="1" applyFill="1"/>
    <xf numFmtId="3" fontId="0" fillId="0" borderId="0" xfId="1" applyNumberFormat="1" applyFont="1" applyFill="1" applyAlignment="1">
      <alignment horizontal="center"/>
    </xf>
    <xf numFmtId="3" fontId="0" fillId="0" borderId="37" xfId="1" applyNumberFormat="1" applyFont="1" applyFill="1" applyBorder="1" applyAlignment="1">
      <alignment horizontal="center"/>
    </xf>
    <xf numFmtId="166" fontId="0" fillId="0" borderId="0" xfId="2" applyNumberFormat="1" applyFont="1" applyFill="1"/>
    <xf numFmtId="164" fontId="0" fillId="0" borderId="0" xfId="1" applyNumberFormat="1" applyFont="1" applyFill="1"/>
    <xf numFmtId="164" fontId="0" fillId="0" borderId="39" xfId="1" applyNumberFormat="1" applyFont="1" applyFill="1" applyBorder="1"/>
    <xf numFmtId="44" fontId="2" fillId="0" borderId="0" xfId="2" applyFont="1" applyFill="1" applyBorder="1"/>
    <xf numFmtId="169" fontId="0" fillId="0" borderId="0" xfId="0" applyNumberFormat="1"/>
    <xf numFmtId="164" fontId="0" fillId="0" borderId="0" xfId="1" applyNumberFormat="1" applyFont="1" applyFill="1" applyBorder="1"/>
    <xf numFmtId="169" fontId="4" fillId="0" borderId="0" xfId="0" applyNumberFormat="1" applyFont="1"/>
    <xf numFmtId="0" fontId="4" fillId="0" borderId="0" xfId="0" applyFont="1"/>
    <xf numFmtId="167" fontId="4" fillId="0" borderId="0" xfId="0" applyNumberFormat="1" applyFont="1"/>
    <xf numFmtId="164" fontId="0" fillId="0" borderId="0" xfId="1" applyNumberFormat="1" applyFont="1" applyFill="1" applyAlignment="1">
      <alignment horizontal="center"/>
    </xf>
    <xf numFmtId="164" fontId="0" fillId="0" borderId="37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 applyAlignment="1">
      <alignment horizontal="center"/>
    </xf>
    <xf numFmtId="0" fontId="5" fillId="0" borderId="6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left" indent="1"/>
    </xf>
    <xf numFmtId="43" fontId="4" fillId="0" borderId="0" xfId="0" applyNumberFormat="1" applyFont="1"/>
    <xf numFmtId="169" fontId="4" fillId="0" borderId="25" xfId="1" applyNumberFormat="1" applyFont="1" applyFill="1" applyBorder="1"/>
    <xf numFmtId="169" fontId="4" fillId="0" borderId="0" xfId="1" applyNumberFormat="1" applyFont="1" applyFill="1" applyBorder="1"/>
    <xf numFmtId="166" fontId="4" fillId="0" borderId="0" xfId="0" applyNumberFormat="1" applyFont="1"/>
    <xf numFmtId="0" fontId="3" fillId="0" borderId="6" xfId="0" applyFont="1" applyBorder="1" applyAlignment="1">
      <alignment horizontal="left" indent="2"/>
    </xf>
    <xf numFmtId="0" fontId="4" fillId="0" borderId="31" xfId="0" applyFont="1" applyBorder="1"/>
    <xf numFmtId="0" fontId="4" fillId="0" borderId="33" xfId="0" applyFont="1" applyBorder="1"/>
    <xf numFmtId="0" fontId="3" fillId="0" borderId="13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13" xfId="0" applyFont="1" applyBorder="1" applyAlignment="1">
      <alignment horizontal="left" indent="2"/>
    </xf>
    <xf numFmtId="166" fontId="4" fillId="0" borderId="34" xfId="0" applyNumberFormat="1" applyFont="1" applyBorder="1"/>
    <xf numFmtId="0" fontId="6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0" fillId="0" borderId="0" xfId="0" applyNumberFormat="1"/>
    <xf numFmtId="44" fontId="0" fillId="0" borderId="0" xfId="2" applyFont="1" applyFill="1"/>
    <xf numFmtId="44" fontId="0" fillId="0" borderId="34" xfId="2" applyFont="1" applyFill="1" applyBorder="1"/>
    <xf numFmtId="43" fontId="0" fillId="0" borderId="0" xfId="0" applyNumberFormat="1"/>
    <xf numFmtId="165" fontId="0" fillId="0" borderId="0" xfId="0" applyNumberFormat="1"/>
    <xf numFmtId="165" fontId="0" fillId="0" borderId="43" xfId="0" applyNumberFormat="1" applyBorder="1"/>
    <xf numFmtId="0" fontId="0" fillId="0" borderId="17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169" fontId="2" fillId="0" borderId="36" xfId="2" applyNumberFormat="1" applyFont="1" applyFill="1" applyBorder="1"/>
    <xf numFmtId="0" fontId="2" fillId="0" borderId="36" xfId="0" applyFont="1" applyBorder="1"/>
    <xf numFmtId="169" fontId="2" fillId="0" borderId="38" xfId="2" applyNumberFormat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9" fontId="0" fillId="0" borderId="0" xfId="0" applyNumberFormat="1"/>
    <xf numFmtId="167" fontId="2" fillId="0" borderId="0" xfId="0" applyNumberFormat="1" applyFont="1"/>
    <xf numFmtId="0" fontId="14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1" fillId="0" borderId="0" xfId="0" applyFont="1"/>
    <xf numFmtId="8" fontId="0" fillId="0" borderId="0" xfId="0" applyNumberFormat="1"/>
    <xf numFmtId="44" fontId="0" fillId="0" borderId="0" xfId="0" applyNumberFormat="1"/>
    <xf numFmtId="8" fontId="11" fillId="0" borderId="0" xfId="0" applyNumberFormat="1" applyFont="1"/>
    <xf numFmtId="40" fontId="0" fillId="0" borderId="0" xfId="1" applyNumberFormat="1" applyFont="1" applyFill="1" applyBorder="1"/>
    <xf numFmtId="166" fontId="0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/>
    <xf numFmtId="44" fontId="0" fillId="0" borderId="34" xfId="0" applyNumberFormat="1" applyBorder="1"/>
    <xf numFmtId="8" fontId="12" fillId="0" borderId="0" xfId="0" applyNumberFormat="1" applyFont="1" applyAlignment="1">
      <alignment horizontal="right"/>
    </xf>
    <xf numFmtId="8" fontId="4" fillId="0" borderId="0" xfId="0" applyNumberFormat="1" applyFont="1"/>
    <xf numFmtId="0" fontId="12" fillId="0" borderId="0" xfId="0" applyFont="1" applyAlignment="1">
      <alignment horizontal="right"/>
    </xf>
    <xf numFmtId="43" fontId="11" fillId="0" borderId="0" xfId="0" applyNumberFormat="1" applyFont="1"/>
    <xf numFmtId="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8" fontId="0" fillId="0" borderId="0" xfId="0" applyNumberFormat="1" applyAlignment="1">
      <alignment horizontal="center"/>
    </xf>
    <xf numFmtId="8" fontId="13" fillId="0" borderId="0" xfId="1" applyNumberFormat="1" applyFont="1" applyFill="1" applyBorder="1" applyAlignment="1">
      <alignment horizontal="left" indent="2"/>
    </xf>
    <xf numFmtId="8" fontId="2" fillId="0" borderId="0" xfId="2" applyNumberFormat="1" applyFont="1" applyFill="1"/>
    <xf numFmtId="8" fontId="0" fillId="0" borderId="17" xfId="0" applyNumberFormat="1" applyBorder="1" applyAlignment="1">
      <alignment horizontal="center"/>
    </xf>
    <xf numFmtId="8" fontId="2" fillId="0" borderId="35" xfId="0" applyNumberFormat="1" applyFont="1" applyBorder="1" applyAlignment="1">
      <alignment horizontal="center"/>
    </xf>
    <xf numFmtId="171" fontId="2" fillId="0" borderId="36" xfId="0" applyNumberFormat="1" applyFont="1" applyBorder="1"/>
    <xf numFmtId="165" fontId="0" fillId="0" borderId="0" xfId="0" applyNumberFormat="1" applyAlignment="1">
      <alignment horizontal="center"/>
    </xf>
    <xf numFmtId="172" fontId="2" fillId="0" borderId="36" xfId="0" applyNumberFormat="1" applyFont="1" applyBorder="1"/>
    <xf numFmtId="171" fontId="2" fillId="0" borderId="38" xfId="0" applyNumberFormat="1" applyFont="1" applyBorder="1"/>
    <xf numFmtId="165" fontId="2" fillId="0" borderId="0" xfId="0" applyNumberFormat="1" applyFont="1" applyAlignment="1">
      <alignment horizontal="center"/>
    </xf>
    <xf numFmtId="167" fontId="0" fillId="0" borderId="0" xfId="0" applyNumberFormat="1"/>
    <xf numFmtId="0" fontId="15" fillId="0" borderId="0" xfId="0" applyFont="1"/>
    <xf numFmtId="164" fontId="0" fillId="0" borderId="39" xfId="0" applyNumberFormat="1" applyBorder="1"/>
    <xf numFmtId="0" fontId="2" fillId="0" borderId="1" xfId="0" applyFont="1" applyBorder="1"/>
    <xf numFmtId="0" fontId="0" fillId="0" borderId="21" xfId="0" applyBorder="1"/>
    <xf numFmtId="0" fontId="0" fillId="0" borderId="24" xfId="0" applyBorder="1"/>
    <xf numFmtId="0" fontId="2" fillId="0" borderId="6" xfId="0" applyFont="1" applyBorder="1"/>
    <xf numFmtId="0" fontId="2" fillId="0" borderId="40" xfId="0" applyFont="1" applyBorder="1"/>
    <xf numFmtId="0" fontId="2" fillId="0" borderId="0" xfId="0" applyFont="1"/>
    <xf numFmtId="0" fontId="0" fillId="0" borderId="6" xfId="0" applyBorder="1"/>
    <xf numFmtId="44" fontId="2" fillId="0" borderId="41" xfId="2" applyFont="1" applyFill="1" applyBorder="1"/>
    <xf numFmtId="44" fontId="2" fillId="0" borderId="40" xfId="2" applyFont="1" applyFill="1" applyBorder="1"/>
    <xf numFmtId="0" fontId="0" fillId="0" borderId="13" xfId="0" applyBorder="1"/>
    <xf numFmtId="43" fontId="0" fillId="0" borderId="17" xfId="0" applyNumberFormat="1" applyBorder="1"/>
    <xf numFmtId="43" fontId="0" fillId="0" borderId="42" xfId="0" applyNumberFormat="1" applyBorder="1"/>
    <xf numFmtId="0" fontId="0" fillId="0" borderId="0" xfId="0" applyAlignment="1">
      <alignment horizontal="center"/>
    </xf>
    <xf numFmtId="37" fontId="3" fillId="0" borderId="0" xfId="0" applyNumberFormat="1" applyFont="1"/>
    <xf numFmtId="0" fontId="3" fillId="0" borderId="0" xfId="0" quotePrefix="1" applyFont="1" applyAlignment="1">
      <alignment horizontal="center" wrapText="1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wrapText="1"/>
    </xf>
    <xf numFmtId="37" fontId="5" fillId="0" borderId="0" xfId="0" applyNumberFormat="1" applyFont="1" applyAlignment="1">
      <alignment horizontal="center" wrapText="1"/>
    </xf>
    <xf numFmtId="4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18" fillId="0" borderId="0" xfId="0" applyFont="1"/>
    <xf numFmtId="10" fontId="4" fillId="0" borderId="0" xfId="3" applyNumberFormat="1" applyFont="1" applyFill="1" applyBorder="1"/>
    <xf numFmtId="9" fontId="4" fillId="0" borderId="0" xfId="3" applyFont="1" applyFill="1" applyBorder="1"/>
    <xf numFmtId="41" fontId="3" fillId="0" borderId="0" xfId="0" applyNumberFormat="1" applyFont="1"/>
    <xf numFmtId="166" fontId="4" fillId="0" borderId="0" xfId="2" applyNumberFormat="1" applyFont="1"/>
    <xf numFmtId="0" fontId="4" fillId="0" borderId="6" xfId="0" applyFont="1" applyBorder="1" applyAlignment="1">
      <alignment horizontal="center"/>
    </xf>
    <xf numFmtId="2" fontId="4" fillId="0" borderId="0" xfId="0" applyNumberFormat="1" applyFont="1"/>
    <xf numFmtId="166" fontId="4" fillId="0" borderId="0" xfId="2" applyNumberFormat="1" applyFont="1" applyFill="1"/>
    <xf numFmtId="43" fontId="0" fillId="0" borderId="0" xfId="1" applyFont="1"/>
    <xf numFmtId="164" fontId="0" fillId="0" borderId="0" xfId="1" applyNumberFormat="1" applyFont="1"/>
    <xf numFmtId="0" fontId="3" fillId="0" borderId="0" xfId="0" applyFont="1" applyFill="1"/>
    <xf numFmtId="0" fontId="4" fillId="0" borderId="0" xfId="0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2D3D03C7-F832-4C82-A40E-05CA46A65E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546F-C74F-44EE-94EE-82073C35C417}">
  <dimension ref="A1:M31"/>
  <sheetViews>
    <sheetView tabSelected="1" topLeftCell="A6" zoomScale="130" zoomScaleNormal="130" workbookViewId="0">
      <selection activeCell="F12" sqref="F12"/>
    </sheetView>
  </sheetViews>
  <sheetFormatPr defaultColWidth="9.140625" defaultRowHeight="15" x14ac:dyDescent="0.25"/>
  <cols>
    <col min="1" max="1" width="6" style="172" bestFit="1" customWidth="1"/>
    <col min="2" max="2" width="49.5703125" style="54" customWidth="1"/>
    <col min="3" max="3" width="2.85546875" style="54" customWidth="1"/>
    <col min="4" max="4" width="20" style="54" customWidth="1"/>
    <col min="5" max="5" width="2.85546875" style="54" customWidth="1"/>
    <col min="6" max="11" width="15.7109375" style="54" customWidth="1"/>
    <col min="12" max="12" width="4.140625" style="54" customWidth="1"/>
    <col min="13" max="13" width="15.7109375" style="54" customWidth="1"/>
    <col min="14" max="14" width="21.85546875" style="54" bestFit="1" customWidth="1"/>
    <col min="15" max="16384" width="9.140625" style="54"/>
  </cols>
  <sheetData>
    <row r="1" spans="1:13" x14ac:dyDescent="0.25">
      <c r="A1" s="165" t="s">
        <v>0</v>
      </c>
    </row>
    <row r="2" spans="1:13" x14ac:dyDescent="0.25">
      <c r="A2" s="165" t="s">
        <v>1</v>
      </c>
    </row>
    <row r="3" spans="1:13" x14ac:dyDescent="0.25">
      <c r="A3" s="165" t="s">
        <v>3</v>
      </c>
    </row>
    <row r="4" spans="1:13" ht="17.25" x14ac:dyDescent="0.25">
      <c r="A4" s="165" t="s">
        <v>124</v>
      </c>
    </row>
    <row r="5" spans="1:13" x14ac:dyDescent="0.25">
      <c r="A5" s="54"/>
    </row>
    <row r="6" spans="1:13" ht="52.5" customHeight="1" x14ac:dyDescent="0.4">
      <c r="A6" s="166" t="s">
        <v>125</v>
      </c>
      <c r="B6" s="167" t="s">
        <v>126</v>
      </c>
      <c r="C6" s="168"/>
      <c r="D6" s="169" t="s">
        <v>127</v>
      </c>
      <c r="E6" s="170"/>
      <c r="F6" s="170" t="s">
        <v>17</v>
      </c>
      <c r="G6" s="170" t="s">
        <v>22</v>
      </c>
      <c r="H6" s="170" t="s">
        <v>23</v>
      </c>
      <c r="I6" s="170" t="s">
        <v>27</v>
      </c>
      <c r="J6" s="170" t="s">
        <v>31</v>
      </c>
      <c r="K6" s="170" t="s">
        <v>34</v>
      </c>
      <c r="M6" s="170" t="s">
        <v>128</v>
      </c>
    </row>
    <row r="7" spans="1:13" x14ac:dyDescent="0.25">
      <c r="A7" s="54"/>
      <c r="D7" s="171"/>
      <c r="E7" s="171"/>
      <c r="F7" s="171"/>
      <c r="G7" s="171"/>
      <c r="H7" s="171"/>
      <c r="I7" s="171"/>
      <c r="J7" s="171"/>
    </row>
    <row r="8" spans="1:13" ht="17.25" x14ac:dyDescent="0.25">
      <c r="A8" s="172">
        <f>IF(B8="","",MAX(A$6:A7)+1)</f>
        <v>1</v>
      </c>
      <c r="B8" s="173" t="s">
        <v>129</v>
      </c>
      <c r="D8" s="3">
        <f>SUM(F8:K8)</f>
        <v>123789890.11950842</v>
      </c>
      <c r="E8" s="3"/>
      <c r="F8" s="3">
        <v>59702004.405637234</v>
      </c>
      <c r="G8" s="3">
        <v>31965705.205074698</v>
      </c>
      <c r="H8" s="3">
        <v>2739175.8851145115</v>
      </c>
      <c r="I8" s="3">
        <v>2740306.8195457892</v>
      </c>
      <c r="J8" s="3">
        <v>166822.89697999999</v>
      </c>
      <c r="K8" s="3">
        <v>26475874.907156192</v>
      </c>
      <c r="L8" s="3"/>
      <c r="M8" s="3">
        <v>3148002.3499999996</v>
      </c>
    </row>
    <row r="9" spans="1:13" x14ac:dyDescent="0.25">
      <c r="A9" s="172" t="str">
        <f>IF(B9="","",MAX(A$6:A8)+1)</f>
        <v/>
      </c>
      <c r="B9" s="174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5">
      <c r="A10" s="172">
        <f>IF(B10="","",MAX(A$6:A9)+1)</f>
        <v>2</v>
      </c>
      <c r="B10" s="175" t="s">
        <v>130</v>
      </c>
      <c r="D10" s="15">
        <v>29799000</v>
      </c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5">
      <c r="A11" s="172">
        <f>IF(B11="","",MAX(A$6:A10)+1)</f>
        <v>3</v>
      </c>
      <c r="B11" s="176" t="s">
        <v>131</v>
      </c>
      <c r="D11" s="177">
        <f>D10/D8</f>
        <v>0.24072240448094467</v>
      </c>
      <c r="E11" s="3"/>
      <c r="F11" s="177">
        <f>$D$11</f>
        <v>0.24072240448094467</v>
      </c>
      <c r="G11" s="177">
        <f t="shared" ref="G11:K11" si="0">$D$11</f>
        <v>0.24072240448094467</v>
      </c>
      <c r="H11" s="177">
        <f t="shared" si="0"/>
        <v>0.24072240448094467</v>
      </c>
      <c r="I11" s="177">
        <f t="shared" si="0"/>
        <v>0.24072240448094467</v>
      </c>
      <c r="J11" s="177">
        <f t="shared" si="0"/>
        <v>0.24072240448094467</v>
      </c>
      <c r="K11" s="177">
        <f t="shared" si="0"/>
        <v>0.24072240448094467</v>
      </c>
      <c r="L11" s="15"/>
      <c r="M11" s="178">
        <v>0</v>
      </c>
    </row>
    <row r="12" spans="1:13" x14ac:dyDescent="0.25">
      <c r="A12" s="172">
        <f>IF(B12="","",MAX(A$6:A11)+1)</f>
        <v>4</v>
      </c>
      <c r="B12" s="54" t="s">
        <v>132</v>
      </c>
      <c r="D12" s="3">
        <f>SUM(F12:K12)</f>
        <v>153588890.11950845</v>
      </c>
      <c r="E12" s="3"/>
      <c r="F12" s="3">
        <f>F14+F8</f>
        <v>74073614.458494186</v>
      </c>
      <c r="G12" s="3">
        <f t="shared" ref="G12:K12" si="1">G14+G8</f>
        <v>39660566.622969329</v>
      </c>
      <c r="H12" s="3">
        <f t="shared" si="1"/>
        <v>3398556.8904754966</v>
      </c>
      <c r="I12" s="3">
        <f t="shared" si="1"/>
        <v>3399960.0661623818</v>
      </c>
      <c r="J12" s="3">
        <f t="shared" si="1"/>
        <v>206980.90586350253</v>
      </c>
      <c r="K12" s="3">
        <f t="shared" si="1"/>
        <v>32849211.175543539</v>
      </c>
      <c r="L12" s="15"/>
      <c r="M12" s="3">
        <f>M14+M8</f>
        <v>3148002.3499999996</v>
      </c>
    </row>
    <row r="13" spans="1:13" x14ac:dyDescent="0.25">
      <c r="A13" s="172" t="str">
        <f>IF(B13="","",MAX(A$6:A12)+1)</f>
        <v/>
      </c>
      <c r="B13" s="17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5">
      <c r="A14" s="172">
        <f>IF(B14="","",MAX(A$6:A13)+1)</f>
        <v>5</v>
      </c>
      <c r="B14" s="175" t="s">
        <v>133</v>
      </c>
      <c r="D14" s="15">
        <f>SUM(F14:K14)</f>
        <v>29799000</v>
      </c>
      <c r="E14" s="15"/>
      <c r="F14" s="15">
        <f t="shared" ref="F14:K14" si="2">F11*F8</f>
        <v>14371610.052856946</v>
      </c>
      <c r="G14" s="15">
        <f t="shared" si="2"/>
        <v>7694861.4178946298</v>
      </c>
      <c r="H14" s="15">
        <f t="shared" si="2"/>
        <v>659381.00536098506</v>
      </c>
      <c r="I14" s="15">
        <f t="shared" si="2"/>
        <v>659653.24661659251</v>
      </c>
      <c r="J14" s="15">
        <f t="shared" si="2"/>
        <v>40158.008883502524</v>
      </c>
      <c r="K14" s="15">
        <f t="shared" si="2"/>
        <v>6373336.2683873465</v>
      </c>
      <c r="L14" s="15"/>
      <c r="M14" s="3">
        <f>M11*M8</f>
        <v>0</v>
      </c>
    </row>
    <row r="15" spans="1:13" x14ac:dyDescent="0.25">
      <c r="B15" s="17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x14ac:dyDescent="0.25">
      <c r="A16" s="172" t="str">
        <f>IF(B16="","",MAX(A$6:A7)+1)</f>
        <v/>
      </c>
      <c r="B16" s="174"/>
      <c r="D16" s="15"/>
      <c r="E16" s="179"/>
      <c r="F16" s="15"/>
      <c r="G16" s="15"/>
      <c r="H16" s="15"/>
      <c r="I16" s="15"/>
      <c r="J16" s="15"/>
    </row>
    <row r="17" spans="1:13" x14ac:dyDescent="0.25">
      <c r="B17" s="175"/>
      <c r="D17" s="180"/>
      <c r="E17" s="171"/>
      <c r="F17" s="180"/>
      <c r="G17" s="180"/>
      <c r="H17" s="180"/>
      <c r="I17" s="180"/>
      <c r="J17" s="180"/>
      <c r="K17" s="180"/>
      <c r="L17" s="180"/>
      <c r="M17" s="180"/>
    </row>
    <row r="18" spans="1:13" x14ac:dyDescent="0.25">
      <c r="A18" s="173" t="s">
        <v>134</v>
      </c>
      <c r="B18" s="175"/>
      <c r="D18" s="180"/>
      <c r="E18" s="171"/>
      <c r="F18" s="180"/>
      <c r="G18" s="180"/>
      <c r="H18" s="180"/>
      <c r="I18" s="180"/>
      <c r="J18" s="180"/>
      <c r="K18" s="180"/>
      <c r="L18" s="180"/>
      <c r="M18" s="180"/>
    </row>
    <row r="19" spans="1:13" x14ac:dyDescent="0.25">
      <c r="B19" s="54" t="s">
        <v>135</v>
      </c>
      <c r="D19" s="171"/>
      <c r="E19" s="171"/>
      <c r="F19" s="171"/>
      <c r="G19" s="171"/>
      <c r="H19" s="171"/>
      <c r="I19" s="171"/>
      <c r="J19" s="171"/>
      <c r="K19" s="171"/>
      <c r="L19" s="171"/>
      <c r="M19" s="171"/>
    </row>
    <row r="20" spans="1:13" x14ac:dyDescent="0.25">
      <c r="B20" s="54" t="s">
        <v>136</v>
      </c>
    </row>
    <row r="24" spans="1:13" x14ac:dyDescent="0.25">
      <c r="A24" s="172" t="str">
        <f>IF(B24="","",MAX(A$1:A23)+1)</f>
        <v/>
      </c>
    </row>
    <row r="25" spans="1:13" x14ac:dyDescent="0.25">
      <c r="A25" s="172" t="str">
        <f>IF(B25="","",MAX(A$1:A24)+1)</f>
        <v/>
      </c>
    </row>
    <row r="26" spans="1:13" x14ac:dyDescent="0.25">
      <c r="A26" s="172" t="str">
        <f>IF(B26="","",MAX(A$1:A25)+1)</f>
        <v/>
      </c>
    </row>
    <row r="27" spans="1:13" x14ac:dyDescent="0.25">
      <c r="A27" s="172" t="str">
        <f>IF(B27="","",MAX(A$1:A26)+1)</f>
        <v/>
      </c>
    </row>
    <row r="28" spans="1:13" x14ac:dyDescent="0.25">
      <c r="A28" s="181" t="str">
        <f>IF(B28="","",MAX(A$1:A27)+1)</f>
        <v/>
      </c>
    </row>
    <row r="29" spans="1:13" x14ac:dyDescent="0.25">
      <c r="A29" s="181" t="str">
        <f>IF(B29="","",MAX(A$1:A28)+1)</f>
        <v/>
      </c>
    </row>
    <row r="30" spans="1:13" x14ac:dyDescent="0.25">
      <c r="A30" s="181" t="str">
        <f>IF(B30="","",MAX(A$1:A29)+1)</f>
        <v/>
      </c>
    </row>
    <row r="31" spans="1:13" x14ac:dyDescent="0.25">
      <c r="A31" s="181" t="str">
        <f>IF(B31="","",MAX(A$1:A30)+1)</f>
        <v/>
      </c>
    </row>
  </sheetData>
  <pageMargins left="0.45" right="0.45" top="0.5" bottom="0.5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53D8-0E85-4BB7-9903-8C9F1DFFC219}">
  <dimension ref="A1:M36"/>
  <sheetViews>
    <sheetView zoomScale="115" zoomScaleNormal="115" workbookViewId="0">
      <selection activeCell="B6" sqref="B6"/>
    </sheetView>
  </sheetViews>
  <sheetFormatPr defaultColWidth="9.140625" defaultRowHeight="15" x14ac:dyDescent="0.25"/>
  <cols>
    <col min="1" max="1" width="6" style="172" bestFit="1" customWidth="1"/>
    <col min="2" max="2" width="49.5703125" style="54" customWidth="1"/>
    <col min="3" max="3" width="2.85546875" style="54" customWidth="1"/>
    <col min="4" max="4" width="20" style="54" customWidth="1"/>
    <col min="5" max="5" width="2.85546875" style="54" customWidth="1"/>
    <col min="6" max="11" width="15.7109375" style="54" customWidth="1"/>
    <col min="12" max="12" width="3.28515625" style="54" customWidth="1"/>
    <col min="13" max="13" width="15.7109375" style="54" customWidth="1"/>
    <col min="14" max="14" width="21.85546875" style="54" bestFit="1" customWidth="1"/>
    <col min="15" max="16384" width="9.140625" style="54"/>
  </cols>
  <sheetData>
    <row r="1" spans="1:13" x14ac:dyDescent="0.25">
      <c r="A1" s="165" t="s">
        <v>0</v>
      </c>
    </row>
    <row r="2" spans="1:13" x14ac:dyDescent="0.25">
      <c r="A2" s="165" t="s">
        <v>1</v>
      </c>
    </row>
    <row r="3" spans="1:13" x14ac:dyDescent="0.25">
      <c r="A3" s="165" t="s">
        <v>3</v>
      </c>
    </row>
    <row r="4" spans="1:13" ht="17.25" x14ac:dyDescent="0.25">
      <c r="A4" s="165" t="s">
        <v>137</v>
      </c>
    </row>
    <row r="5" spans="1:13" x14ac:dyDescent="0.25">
      <c r="A5" s="165"/>
    </row>
    <row r="6" spans="1:13" ht="52.5" customHeight="1" x14ac:dyDescent="0.4">
      <c r="A6" s="166" t="s">
        <v>125</v>
      </c>
      <c r="B6" s="167" t="s">
        <v>126</v>
      </c>
      <c r="C6" s="168"/>
      <c r="D6" s="169" t="s">
        <v>127</v>
      </c>
      <c r="E6" s="170"/>
      <c r="F6" s="170" t="s">
        <v>17</v>
      </c>
      <c r="G6" s="170" t="s">
        <v>22</v>
      </c>
      <c r="H6" s="170" t="s">
        <v>23</v>
      </c>
      <c r="I6" s="170" t="s">
        <v>27</v>
      </c>
      <c r="J6" s="170" t="s">
        <v>31</v>
      </c>
      <c r="K6" s="170" t="s">
        <v>34</v>
      </c>
      <c r="M6" s="170" t="s">
        <v>128</v>
      </c>
    </row>
    <row r="7" spans="1:13" x14ac:dyDescent="0.25">
      <c r="A7" s="54"/>
      <c r="D7" s="171"/>
      <c r="E7" s="171"/>
      <c r="F7" s="171"/>
      <c r="G7" s="171"/>
      <c r="H7" s="171"/>
      <c r="I7" s="171"/>
      <c r="J7" s="171"/>
    </row>
    <row r="8" spans="1:13" ht="17.25" x14ac:dyDescent="0.25">
      <c r="A8" s="172">
        <f>IF(B8="","",MAX(A$6:A7)+1)</f>
        <v>1</v>
      </c>
      <c r="B8" s="173" t="s">
        <v>129</v>
      </c>
      <c r="D8" s="3">
        <f>SUM(F8:K8)</f>
        <v>155516765.94571465</v>
      </c>
      <c r="E8" s="15"/>
      <c r="F8" s="3">
        <v>75343618.144579172</v>
      </c>
      <c r="G8" s="3">
        <v>40279015.317432627</v>
      </c>
      <c r="H8" s="3">
        <v>3439181.4636290697</v>
      </c>
      <c r="I8" s="3">
        <v>3399950.3639262263</v>
      </c>
      <c r="J8" s="3">
        <v>206974.40788000001</v>
      </c>
      <c r="K8" s="3">
        <v>32848026.248267576</v>
      </c>
      <c r="L8" s="15"/>
      <c r="M8" s="3">
        <v>3148002.3499999996</v>
      </c>
    </row>
    <row r="9" spans="1:13" x14ac:dyDescent="0.25">
      <c r="A9" s="172" t="str">
        <f>IF(B9="","",MAX(A$6:A8)+1)</f>
        <v/>
      </c>
      <c r="B9" s="174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x14ac:dyDescent="0.25">
      <c r="A10" s="172">
        <f>IF(B10="","",MAX(A$6:A9)+1)</f>
        <v>2</v>
      </c>
      <c r="B10" s="175" t="s">
        <v>138</v>
      </c>
      <c r="D10" s="15">
        <v>10814000</v>
      </c>
      <c r="E10" s="15"/>
      <c r="F10" s="15"/>
      <c r="G10" s="15"/>
      <c r="H10" s="15"/>
      <c r="I10" s="15"/>
      <c r="J10" s="15"/>
      <c r="K10" s="15"/>
      <c r="L10" s="15"/>
      <c r="M10" s="15"/>
    </row>
    <row r="11" spans="1:13" x14ac:dyDescent="0.25">
      <c r="A11" s="172">
        <f>IF(B11="","",MAX(A$6:A10)+1)</f>
        <v>3</v>
      </c>
      <c r="B11" s="176" t="s">
        <v>131</v>
      </c>
      <c r="D11" s="177">
        <f>D10/D8</f>
        <v>6.9535911026948574E-2</v>
      </c>
      <c r="E11" s="15"/>
      <c r="F11" s="177">
        <f t="shared" ref="F11:K11" si="0">$D$11</f>
        <v>6.9535911026948574E-2</v>
      </c>
      <c r="G11" s="177">
        <f t="shared" si="0"/>
        <v>6.9535911026948574E-2</v>
      </c>
      <c r="H11" s="177">
        <f t="shared" si="0"/>
        <v>6.9535911026948574E-2</v>
      </c>
      <c r="I11" s="177">
        <f t="shared" si="0"/>
        <v>6.9535911026948574E-2</v>
      </c>
      <c r="J11" s="177">
        <f t="shared" si="0"/>
        <v>6.9535911026948574E-2</v>
      </c>
      <c r="K11" s="177">
        <f t="shared" si="0"/>
        <v>6.9535911026948574E-2</v>
      </c>
      <c r="L11" s="15"/>
      <c r="M11" s="177">
        <v>0</v>
      </c>
    </row>
    <row r="12" spans="1:13" x14ac:dyDescent="0.25">
      <c r="A12" s="172">
        <f>IF(B12="","",MAX(A$6:A11)+1)</f>
        <v>4</v>
      </c>
      <c r="B12" s="54" t="s">
        <v>132</v>
      </c>
      <c r="D12" s="3">
        <f>SUM(F12:K12)</f>
        <v>166330765.94571465</v>
      </c>
      <c r="E12" s="15"/>
      <c r="F12" s="3">
        <f t="shared" ref="F12:K12" si="1">F14+F8</f>
        <v>80582705.272329018</v>
      </c>
      <c r="G12" s="3">
        <f t="shared" si="1"/>
        <v>43079853.342798725</v>
      </c>
      <c r="H12" s="3">
        <f t="shared" si="1"/>
        <v>3678328.0798895117</v>
      </c>
      <c r="I12" s="3">
        <f t="shared" si="1"/>
        <v>3636369.0099282418</v>
      </c>
      <c r="J12" s="3">
        <f t="shared" si="1"/>
        <v>221366.56189119906</v>
      </c>
      <c r="K12" s="3">
        <f t="shared" si="1"/>
        <v>35132143.67887798</v>
      </c>
      <c r="L12" s="15"/>
      <c r="M12" s="3">
        <f>M14+M8</f>
        <v>3148002.3499999996</v>
      </c>
    </row>
    <row r="13" spans="1:13" x14ac:dyDescent="0.25">
      <c r="A13" s="172" t="str">
        <f>IF(B13="","",MAX(A$6:A12)+1)</f>
        <v/>
      </c>
      <c r="D13" s="3"/>
      <c r="E13" s="15"/>
      <c r="F13" s="3"/>
      <c r="G13" s="3"/>
      <c r="H13" s="3"/>
      <c r="I13" s="3"/>
      <c r="J13" s="3"/>
      <c r="K13" s="3"/>
      <c r="L13" s="15"/>
      <c r="M13" s="3"/>
    </row>
    <row r="14" spans="1:13" x14ac:dyDescent="0.25">
      <c r="A14" s="172">
        <f>IF(B14="","",MAX(A$6:A13)+1)</f>
        <v>5</v>
      </c>
      <c r="B14" s="175" t="s">
        <v>139</v>
      </c>
      <c r="D14" s="15">
        <f>SUM(F14:K14)</f>
        <v>10814000.000000002</v>
      </c>
      <c r="E14" s="179"/>
      <c r="F14" s="15">
        <f t="shared" ref="F14:K14" si="2">F11*F8</f>
        <v>5239087.1277498454</v>
      </c>
      <c r="G14" s="15">
        <f t="shared" si="2"/>
        <v>2800838.025366094</v>
      </c>
      <c r="H14" s="15">
        <f t="shared" si="2"/>
        <v>239146.61626044178</v>
      </c>
      <c r="I14" s="15">
        <f t="shared" si="2"/>
        <v>236418.64600201551</v>
      </c>
      <c r="J14" s="15">
        <f t="shared" si="2"/>
        <v>14392.154011199045</v>
      </c>
      <c r="K14" s="15">
        <f t="shared" si="2"/>
        <v>2284117.4306104057</v>
      </c>
      <c r="L14" s="182"/>
      <c r="M14" s="3">
        <f>M11*M8</f>
        <v>0</v>
      </c>
    </row>
    <row r="15" spans="1:13" x14ac:dyDescent="0.25">
      <c r="B15" s="175"/>
      <c r="D15" s="182"/>
      <c r="E15" s="179"/>
      <c r="F15" s="182"/>
      <c r="G15" s="182"/>
      <c r="H15" s="182"/>
      <c r="I15" s="182"/>
      <c r="J15" s="182"/>
      <c r="K15" s="182"/>
      <c r="L15" s="182"/>
      <c r="M15" s="182"/>
    </row>
    <row r="16" spans="1:13" x14ac:dyDescent="0.25">
      <c r="B16" s="175"/>
      <c r="D16" s="183"/>
      <c r="E16" s="171"/>
      <c r="F16" s="183"/>
      <c r="G16" s="183"/>
      <c r="H16" s="183"/>
      <c r="I16" s="183"/>
      <c r="J16" s="183"/>
      <c r="K16" s="183"/>
      <c r="L16" s="183"/>
      <c r="M16" s="183"/>
    </row>
    <row r="17" spans="1:13" x14ac:dyDescent="0.25">
      <c r="A17" s="173" t="s">
        <v>134</v>
      </c>
      <c r="B17" s="175"/>
      <c r="D17" s="24"/>
      <c r="E17" s="171"/>
      <c r="F17" s="183"/>
      <c r="G17" s="183"/>
      <c r="H17" s="183"/>
      <c r="I17" s="183"/>
      <c r="J17" s="183"/>
      <c r="K17" s="183"/>
      <c r="L17" s="183"/>
      <c r="M17" s="183"/>
    </row>
    <row r="18" spans="1:13" x14ac:dyDescent="0.25">
      <c r="B18" s="54" t="s">
        <v>135</v>
      </c>
      <c r="D18" s="183"/>
      <c r="E18" s="171"/>
      <c r="F18" s="183"/>
      <c r="G18" s="183"/>
      <c r="H18" s="183"/>
      <c r="I18" s="183"/>
      <c r="J18" s="183"/>
      <c r="K18" s="183"/>
      <c r="L18" s="183"/>
      <c r="M18" s="183"/>
    </row>
    <row r="19" spans="1:13" x14ac:dyDescent="0.25">
      <c r="B19" s="54" t="s">
        <v>140</v>
      </c>
      <c r="D19" s="183"/>
      <c r="E19" s="171"/>
      <c r="F19" s="183"/>
      <c r="G19" s="183"/>
      <c r="H19" s="183"/>
      <c r="I19" s="183"/>
      <c r="J19" s="183"/>
      <c r="K19" s="183"/>
      <c r="L19" s="183"/>
      <c r="M19" s="183"/>
    </row>
    <row r="20" spans="1:13" x14ac:dyDescent="0.25">
      <c r="B20" s="175"/>
      <c r="D20" s="183"/>
      <c r="E20" s="171"/>
      <c r="F20" s="183"/>
      <c r="G20" s="183"/>
      <c r="H20" s="183"/>
      <c r="I20" s="183"/>
      <c r="J20" s="183"/>
      <c r="K20" s="183"/>
      <c r="L20" s="183"/>
      <c r="M20" s="183"/>
    </row>
    <row r="21" spans="1:13" x14ac:dyDescent="0.25">
      <c r="B21" s="175"/>
      <c r="D21" s="183"/>
      <c r="E21" s="171"/>
      <c r="F21" s="183"/>
      <c r="G21" s="183"/>
      <c r="H21" s="183"/>
      <c r="I21" s="183"/>
      <c r="J21" s="183"/>
      <c r="K21" s="183"/>
      <c r="L21" s="183"/>
      <c r="M21" s="183"/>
    </row>
    <row r="22" spans="1:13" x14ac:dyDescent="0.25">
      <c r="B22" s="175"/>
      <c r="D22" s="183"/>
      <c r="E22" s="171"/>
      <c r="F22" s="183"/>
      <c r="G22" s="183"/>
      <c r="H22" s="183"/>
      <c r="I22" s="183"/>
      <c r="J22" s="183"/>
      <c r="K22" s="183"/>
      <c r="L22" s="183"/>
      <c r="M22" s="183"/>
    </row>
    <row r="23" spans="1:13" x14ac:dyDescent="0.25">
      <c r="B23" s="175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1:13" x14ac:dyDescent="0.25">
      <c r="B24" s="175"/>
      <c r="D24" s="29"/>
      <c r="E24" s="171"/>
      <c r="F24" s="29"/>
      <c r="G24" s="29"/>
      <c r="H24" s="29"/>
      <c r="I24" s="29"/>
      <c r="J24" s="29"/>
      <c r="K24" s="29"/>
      <c r="L24" s="29"/>
      <c r="M24" s="29"/>
    </row>
    <row r="29" spans="1:13" x14ac:dyDescent="0.25">
      <c r="A29" s="172" t="str">
        <f>IF(B29="","",MAX(A$1:A28)+1)</f>
        <v/>
      </c>
    </row>
    <row r="30" spans="1:13" x14ac:dyDescent="0.25">
      <c r="A30" s="172" t="str">
        <f>IF(B30="","",MAX(A$1:A29)+1)</f>
        <v/>
      </c>
    </row>
    <row r="31" spans="1:13" x14ac:dyDescent="0.25">
      <c r="A31" s="172" t="str">
        <f>IF(B31="","",MAX(A$1:A30)+1)</f>
        <v/>
      </c>
    </row>
    <row r="32" spans="1:13" x14ac:dyDescent="0.25">
      <c r="A32" s="172" t="str">
        <f>IF(B32="","",MAX(A$1:A31)+1)</f>
        <v/>
      </c>
    </row>
    <row r="33" spans="1:1" x14ac:dyDescent="0.25">
      <c r="A33" s="181" t="str">
        <f>IF(B33="","",MAX(A$1:A32)+1)</f>
        <v/>
      </c>
    </row>
    <row r="34" spans="1:1" x14ac:dyDescent="0.25">
      <c r="A34" s="181" t="str">
        <f>IF(B34="","",MAX(A$1:A33)+1)</f>
        <v/>
      </c>
    </row>
    <row r="35" spans="1:1" x14ac:dyDescent="0.25">
      <c r="A35" s="181" t="str">
        <f>IF(B35="","",MAX(A$1:A34)+1)</f>
        <v/>
      </c>
    </row>
    <row r="36" spans="1:1" x14ac:dyDescent="0.25">
      <c r="A36" s="181" t="str">
        <f>IF(B36="","",MAX(A$1:A35)+1)</f>
        <v/>
      </c>
    </row>
  </sheetData>
  <pageMargins left="0.45" right="0.45" top="0.5" bottom="0.5" header="0" footer="0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65DA-9A8C-4EF5-9AEA-8772B0C05F49}">
  <dimension ref="A1:R79"/>
  <sheetViews>
    <sheetView workbookViewId="0">
      <selection activeCell="M15" sqref="M15"/>
    </sheetView>
  </sheetViews>
  <sheetFormatPr defaultColWidth="9.140625" defaultRowHeight="14.85" customHeight="1" x14ac:dyDescent="0.25"/>
  <cols>
    <col min="1" max="1" width="2.28515625" style="54" customWidth="1"/>
    <col min="2" max="2" width="34.42578125" style="54" customWidth="1"/>
    <col min="3" max="3" width="15.42578125" style="54" customWidth="1"/>
    <col min="4" max="5" width="10.5703125" style="54" customWidth="1"/>
    <col min="6" max="6" width="19.140625" style="54" customWidth="1"/>
    <col min="7" max="7" width="11.5703125" style="54" customWidth="1"/>
    <col min="8" max="8" width="10.5703125" style="54" customWidth="1"/>
    <col min="9" max="9" width="19.28515625" style="54" customWidth="1"/>
    <col min="10" max="10" width="17.7109375" style="54" customWidth="1"/>
    <col min="11" max="11" width="9.5703125" style="54" bestFit="1" customWidth="1"/>
    <col min="12" max="12" width="0.85546875" style="54" customWidth="1"/>
    <col min="13" max="13" width="16.28515625" style="54" customWidth="1"/>
    <col min="14" max="14" width="30" style="54" customWidth="1"/>
    <col min="15" max="15" width="10.140625" style="54" bestFit="1" customWidth="1"/>
    <col min="16" max="16" width="9.140625" style="54" customWidth="1"/>
    <col min="17" max="16384" width="9.140625" style="54"/>
  </cols>
  <sheetData>
    <row r="1" spans="1:18" ht="15" x14ac:dyDescent="0.25">
      <c r="A1" s="186" t="s">
        <v>0</v>
      </c>
      <c r="B1" s="187"/>
      <c r="L1" s="58"/>
    </row>
    <row r="2" spans="1:18" ht="15" x14ac:dyDescent="0.25">
      <c r="A2" s="186" t="s">
        <v>1</v>
      </c>
      <c r="B2" s="187"/>
      <c r="L2" s="58"/>
    </row>
    <row r="3" spans="1:18" ht="15" x14ac:dyDescent="0.25">
      <c r="A3" s="186" t="s">
        <v>2</v>
      </c>
      <c r="B3" s="187"/>
      <c r="L3" s="58"/>
    </row>
    <row r="4" spans="1:18" ht="15" x14ac:dyDescent="0.25">
      <c r="A4" s="186" t="s">
        <v>3</v>
      </c>
      <c r="B4" s="187"/>
      <c r="L4" s="58"/>
    </row>
    <row r="5" spans="1:18" ht="15" x14ac:dyDescent="0.25">
      <c r="A5" s="186" t="s">
        <v>4</v>
      </c>
      <c r="B5" s="187"/>
    </row>
    <row r="6" spans="1:18" ht="15.75" thickBot="1" x14ac:dyDescent="0.3"/>
    <row r="7" spans="1:18" ht="15" x14ac:dyDescent="0.25">
      <c r="B7" s="59"/>
      <c r="C7" s="60" t="s">
        <v>5</v>
      </c>
      <c r="D7" s="61"/>
      <c r="E7" s="62"/>
      <c r="F7" s="62"/>
      <c r="G7" s="60" t="s">
        <v>6</v>
      </c>
      <c r="H7" s="62"/>
      <c r="I7" s="63"/>
      <c r="J7" s="61" t="s">
        <v>7</v>
      </c>
      <c r="K7" s="63"/>
    </row>
    <row r="8" spans="1:18" ht="15" x14ac:dyDescent="0.25">
      <c r="B8" s="64"/>
      <c r="C8" s="65"/>
      <c r="D8" s="66" t="s">
        <v>8</v>
      </c>
      <c r="E8" s="67"/>
      <c r="F8" s="68"/>
      <c r="G8" s="69" t="s">
        <v>9</v>
      </c>
      <c r="H8" s="67"/>
      <c r="I8" s="70"/>
      <c r="J8" s="65"/>
      <c r="K8" s="71"/>
    </row>
    <row r="9" spans="1:18" ht="15.75" thickBot="1" x14ac:dyDescent="0.3">
      <c r="B9" s="72" t="s">
        <v>10</v>
      </c>
      <c r="C9" s="73" t="s">
        <v>11</v>
      </c>
      <c r="D9" s="74" t="s">
        <v>12</v>
      </c>
      <c r="E9" s="75" t="s">
        <v>13</v>
      </c>
      <c r="F9" s="76" t="s">
        <v>14</v>
      </c>
      <c r="G9" s="77" t="s">
        <v>12</v>
      </c>
      <c r="H9" s="78" t="s">
        <v>13</v>
      </c>
      <c r="I9" s="79" t="s">
        <v>14</v>
      </c>
      <c r="J9" s="80" t="s">
        <v>15</v>
      </c>
      <c r="K9" s="79" t="s">
        <v>16</v>
      </c>
    </row>
    <row r="10" spans="1:18" ht="15" x14ac:dyDescent="0.25">
      <c r="B10" s="81"/>
      <c r="C10" s="82"/>
      <c r="D10" s="82"/>
      <c r="E10" s="82"/>
      <c r="F10" s="82"/>
      <c r="G10" s="83"/>
      <c r="H10" s="82"/>
      <c r="I10" s="84"/>
      <c r="J10" s="82"/>
      <c r="K10" s="85"/>
    </row>
    <row r="11" spans="1:18" ht="17.25" x14ac:dyDescent="0.4">
      <c r="B11" s="86" t="s">
        <v>17</v>
      </c>
      <c r="G11" s="87"/>
      <c r="I11" s="88"/>
      <c r="K11" s="89"/>
    </row>
    <row r="12" spans="1:18" ht="15" x14ac:dyDescent="0.25">
      <c r="B12" s="90" t="s">
        <v>18</v>
      </c>
      <c r="C12" s="1">
        <v>2497104</v>
      </c>
      <c r="D12" s="2">
        <v>5</v>
      </c>
      <c r="E12" s="2"/>
      <c r="F12" s="3">
        <f>C12*D12</f>
        <v>12485520</v>
      </c>
      <c r="G12" s="4">
        <v>5.5</v>
      </c>
      <c r="H12" s="2"/>
      <c r="I12" s="5">
        <f>ROUND(C12*G12,2)</f>
        <v>13734072</v>
      </c>
      <c r="J12" s="3">
        <f>ROUND(I12-F12,2)</f>
        <v>1248552</v>
      </c>
      <c r="K12" s="6">
        <f>J12/F12</f>
        <v>0.1</v>
      </c>
      <c r="N12" s="91"/>
    </row>
    <row r="13" spans="1:18" ht="15" x14ac:dyDescent="0.25">
      <c r="B13" s="90" t="s">
        <v>19</v>
      </c>
      <c r="C13" s="1">
        <v>132185006.73470671</v>
      </c>
      <c r="D13" s="7">
        <v>0.33950999999999998</v>
      </c>
      <c r="E13" s="7">
        <v>1.7690000000000001E-2</v>
      </c>
      <c r="F13" s="3">
        <f>C13*(D13+E13)</f>
        <v>47216484.405637234</v>
      </c>
      <c r="G13" s="8">
        <f>ROUND((M15-I12)/C13,5)</f>
        <v>0.45648</v>
      </c>
      <c r="H13" s="7">
        <v>0</v>
      </c>
      <c r="I13" s="5">
        <f>ROUND(C13*G13,2)</f>
        <v>60339811.869999997</v>
      </c>
      <c r="J13" s="3">
        <f>ROUND(I13-F13,2)</f>
        <v>13123327.460000001</v>
      </c>
      <c r="K13" s="6">
        <f>J13/F13</f>
        <v>0.27793952949265299</v>
      </c>
      <c r="P13" s="55"/>
      <c r="Q13" s="55"/>
      <c r="R13" s="55"/>
    </row>
    <row r="14" spans="1:18" ht="18" thickBot="1" x14ac:dyDescent="0.45">
      <c r="B14" s="90" t="s">
        <v>20</v>
      </c>
      <c r="C14" s="1"/>
      <c r="D14" s="9"/>
      <c r="E14" s="9"/>
      <c r="F14" s="10"/>
      <c r="G14" s="92"/>
      <c r="H14" s="93"/>
      <c r="I14" s="5">
        <f>M16</f>
        <v>-269.411505818367</v>
      </c>
      <c r="J14" s="3">
        <f>ROUND(I14-F14,2)</f>
        <v>-269.41000000000003</v>
      </c>
      <c r="K14" s="11"/>
      <c r="M14" s="94">
        <f>SUM(I12:I13)</f>
        <v>74073883.870000005</v>
      </c>
    </row>
    <row r="15" spans="1:18" ht="18" thickBot="1" x14ac:dyDescent="0.45">
      <c r="B15" s="95" t="str">
        <f>"Total "&amp;RIGHT(B11,3)&amp;" Revenue"</f>
        <v>Total 503 Revenue</v>
      </c>
      <c r="C15" s="12"/>
      <c r="D15" s="12"/>
      <c r="E15" s="12"/>
      <c r="F15" s="13">
        <f>SUM(F12:F14)</f>
        <v>59702004.405637234</v>
      </c>
      <c r="G15" s="14"/>
      <c r="H15" s="15"/>
      <c r="I15" s="13">
        <f>SUM(I12:I14)</f>
        <v>74073614.458494186</v>
      </c>
      <c r="J15" s="16">
        <f>SUM(J12:J14)</f>
        <v>14371610.050000001</v>
      </c>
      <c r="K15" s="6">
        <f>J15/F15</f>
        <v>0.24072240443309123</v>
      </c>
      <c r="M15" s="17">
        <f>'Settlement Rev Spread 2025'!F12</f>
        <v>74073614.458494186</v>
      </c>
      <c r="N15" s="96" t="s">
        <v>21</v>
      </c>
    </row>
    <row r="16" spans="1:18" ht="18.75" thickTop="1" thickBot="1" x14ac:dyDescent="0.45">
      <c r="B16" s="95"/>
      <c r="C16" s="18"/>
      <c r="D16" s="18"/>
      <c r="E16" s="18"/>
      <c r="F16" s="18"/>
      <c r="G16" s="19"/>
      <c r="H16" s="20"/>
      <c r="I16" s="21"/>
      <c r="J16" s="18"/>
      <c r="K16" s="6"/>
      <c r="M16" s="22">
        <f>M15-M14</f>
        <v>-269.411505818367</v>
      </c>
      <c r="N16" s="97" t="s">
        <v>20</v>
      </c>
    </row>
    <row r="17" spans="2:18" ht="15" x14ac:dyDescent="0.25">
      <c r="B17" s="81"/>
      <c r="C17" s="82"/>
      <c r="D17" s="82"/>
      <c r="E17" s="82"/>
      <c r="F17" s="82"/>
      <c r="G17" s="83"/>
      <c r="H17" s="82"/>
      <c r="I17" s="84"/>
      <c r="J17" s="82"/>
      <c r="K17" s="85"/>
    </row>
    <row r="18" spans="2:18" ht="17.25" x14ac:dyDescent="0.4">
      <c r="B18" s="86" t="s">
        <v>22</v>
      </c>
      <c r="G18" s="87"/>
      <c r="I18" s="88"/>
      <c r="K18" s="89"/>
    </row>
    <row r="19" spans="2:18" ht="15" x14ac:dyDescent="0.25">
      <c r="B19" s="90" t="s">
        <v>18</v>
      </c>
      <c r="C19" s="1">
        <v>337224</v>
      </c>
      <c r="D19" s="2">
        <v>13</v>
      </c>
      <c r="E19" s="2"/>
      <c r="F19" s="3">
        <f>C19*D19</f>
        <v>4383912</v>
      </c>
      <c r="G19" s="4">
        <v>20</v>
      </c>
      <c r="H19" s="2"/>
      <c r="I19" s="5">
        <f>ROUND(C19*G19,2)</f>
        <v>6744480</v>
      </c>
      <c r="J19" s="3">
        <f>ROUND(I19-F19,2)</f>
        <v>2360568</v>
      </c>
      <c r="K19" s="6">
        <f>J19/F19</f>
        <v>0.53846153846153844</v>
      </c>
    </row>
    <row r="20" spans="2:18" ht="15" x14ac:dyDescent="0.25">
      <c r="B20" s="90" t="s">
        <v>19</v>
      </c>
      <c r="C20" s="1">
        <v>93408944.747611403</v>
      </c>
      <c r="D20" s="7">
        <v>0.28432000000000002</v>
      </c>
      <c r="E20" s="7">
        <v>1.0959999999999999E-2</v>
      </c>
      <c r="F20" s="3">
        <f>C20*(D20+E20)</f>
        <v>27581793.205074698</v>
      </c>
      <c r="G20" s="8">
        <f>ROUND((M22-I19)/C20,5)</f>
        <v>0.35238999999999998</v>
      </c>
      <c r="H20" s="7">
        <v>0</v>
      </c>
      <c r="I20" s="5">
        <f>ROUND(C20*G20,2)</f>
        <v>32916378.039999999</v>
      </c>
      <c r="J20" s="3">
        <f>ROUND(I20-F20,2)</f>
        <v>5334584.83</v>
      </c>
      <c r="K20" s="6">
        <f>J20/F20</f>
        <v>0.19340964491817395</v>
      </c>
      <c r="P20" s="55"/>
      <c r="Q20" s="55"/>
      <c r="R20" s="55"/>
    </row>
    <row r="21" spans="2:18" ht="18" thickBot="1" x14ac:dyDescent="0.45">
      <c r="B21" s="90" t="s">
        <v>20</v>
      </c>
      <c r="C21" s="1"/>
      <c r="D21" s="9"/>
      <c r="E21" s="9"/>
      <c r="F21" s="10"/>
      <c r="G21" s="92"/>
      <c r="H21" s="93"/>
      <c r="I21" s="5">
        <f>M23</f>
        <v>-291.41703066974878</v>
      </c>
      <c r="J21" s="3">
        <f>ROUND(I21-F21,2)</f>
        <v>-291.42</v>
      </c>
      <c r="K21" s="11"/>
      <c r="M21" s="94">
        <f>SUM(I19:I20)</f>
        <v>39660858.039999999</v>
      </c>
    </row>
    <row r="22" spans="2:18" ht="18" thickBot="1" x14ac:dyDescent="0.45">
      <c r="B22" s="95" t="str">
        <f>"Total "&amp;RIGHT(B18,3)&amp;" Revenue"</f>
        <v>Total 504 Revenue</v>
      </c>
      <c r="C22" s="12"/>
      <c r="D22" s="12"/>
      <c r="E22" s="12"/>
      <c r="F22" s="13">
        <f>SUM(F19:F21)</f>
        <v>31965705.205074698</v>
      </c>
      <c r="G22" s="14"/>
      <c r="H22" s="15"/>
      <c r="I22" s="13">
        <f>SUM(I19:I21)</f>
        <v>39660566.622969329</v>
      </c>
      <c r="J22" s="16">
        <f>ROUND(I22-F22,2)</f>
        <v>7694861.4199999999</v>
      </c>
      <c r="K22" s="6">
        <f>J22/F22</f>
        <v>0.24072240454680807</v>
      </c>
      <c r="M22" s="17">
        <f>'Settlement Rev Spread 2025'!G12</f>
        <v>39660566.622969329</v>
      </c>
      <c r="N22" s="96" t="s">
        <v>21</v>
      </c>
    </row>
    <row r="23" spans="2:18" ht="18.75" thickTop="1" thickBot="1" x14ac:dyDescent="0.45">
      <c r="B23" s="95"/>
      <c r="C23" s="18"/>
      <c r="D23" s="18"/>
      <c r="E23" s="18"/>
      <c r="F23" s="18"/>
      <c r="G23" s="19"/>
      <c r="H23" s="20"/>
      <c r="I23" s="21"/>
      <c r="J23" s="18"/>
      <c r="K23" s="6"/>
      <c r="M23" s="22">
        <f>M22-M21</f>
        <v>-291.41703066974878</v>
      </c>
      <c r="N23" s="97" t="s">
        <v>20</v>
      </c>
    </row>
    <row r="24" spans="2:18" ht="15" x14ac:dyDescent="0.25">
      <c r="B24" s="81"/>
      <c r="C24" s="82"/>
      <c r="D24" s="82"/>
      <c r="E24" s="82"/>
      <c r="F24" s="82"/>
      <c r="G24" s="83"/>
      <c r="H24" s="82"/>
      <c r="I24" s="84"/>
      <c r="J24" s="82"/>
      <c r="K24" s="85"/>
    </row>
    <row r="25" spans="2:18" ht="17.25" x14ac:dyDescent="0.4">
      <c r="B25" s="86" t="s">
        <v>23</v>
      </c>
      <c r="G25" s="87"/>
      <c r="I25" s="88"/>
      <c r="K25" s="89"/>
    </row>
    <row r="26" spans="2:18" ht="15" x14ac:dyDescent="0.25">
      <c r="B26" s="90" t="s">
        <v>18</v>
      </c>
      <c r="C26" s="1">
        <v>6024</v>
      </c>
      <c r="D26" s="2">
        <v>60</v>
      </c>
      <c r="E26" s="2"/>
      <c r="F26" s="3">
        <f>C26*D26</f>
        <v>361440</v>
      </c>
      <c r="G26" s="4">
        <v>100</v>
      </c>
      <c r="H26" s="2"/>
      <c r="I26" s="5">
        <f>ROUND(C26*G26,2)</f>
        <v>602400</v>
      </c>
      <c r="J26" s="3">
        <f>ROUND(I26-F26,2)</f>
        <v>240960</v>
      </c>
      <c r="K26" s="6">
        <f>J26/F26</f>
        <v>0.66666666666666663</v>
      </c>
    </row>
    <row r="27" spans="2:18" ht="15" x14ac:dyDescent="0.25">
      <c r="B27" s="90" t="s">
        <v>24</v>
      </c>
      <c r="C27" s="1">
        <v>1811857.8420438562</v>
      </c>
      <c r="D27" s="7">
        <v>0.21929000000000001</v>
      </c>
      <c r="E27" s="7">
        <v>9.1500000000000001E-3</v>
      </c>
      <c r="F27" s="3">
        <f>C27*(D27+E27)</f>
        <v>413900.80543649849</v>
      </c>
      <c r="G27" s="8">
        <f>ROUND((M31-I26)*N27/C27,5)</f>
        <v>0.26863999999999999</v>
      </c>
      <c r="H27" s="7">
        <v>0</v>
      </c>
      <c r="I27" s="5">
        <f>ROUND(C27*G27,2)</f>
        <v>486737.49</v>
      </c>
      <c r="J27" s="3">
        <f>ROUND(I27-F27,2)</f>
        <v>72836.679999999993</v>
      </c>
      <c r="K27" s="6">
        <f>J27/F27</f>
        <v>0.17597617362253418</v>
      </c>
      <c r="M27" s="23">
        <f>(D27+E27)/G27</f>
        <v>0.850357355568791</v>
      </c>
      <c r="N27" s="24">
        <f>F27/SUM($F$27:$F$29)</f>
        <v>0.1740734990911596</v>
      </c>
      <c r="P27" s="55"/>
      <c r="Q27" s="55"/>
      <c r="R27" s="55"/>
    </row>
    <row r="28" spans="2:18" ht="15" x14ac:dyDescent="0.25">
      <c r="B28" s="90" t="s">
        <v>25</v>
      </c>
      <c r="C28" s="1">
        <v>5728797.3083692556</v>
      </c>
      <c r="D28" s="7">
        <v>0.17998</v>
      </c>
      <c r="E28" s="7">
        <f>E27</f>
        <v>9.1500000000000001E-3</v>
      </c>
      <c r="F28" s="3">
        <f>C28*(D28+E28)</f>
        <v>1083487.4349318773</v>
      </c>
      <c r="G28" s="8">
        <f>ROUND((M31-I26)*N28/C28,5)</f>
        <v>0.22241</v>
      </c>
      <c r="H28" s="7">
        <v>0</v>
      </c>
      <c r="I28" s="5">
        <f>ROUND(C28*G28,2)</f>
        <v>1274141.81</v>
      </c>
      <c r="J28" s="3">
        <f>ROUND(I28-F28,2)</f>
        <v>190654.38</v>
      </c>
      <c r="K28" s="6">
        <f>J28/F28</f>
        <v>0.17596362805258292</v>
      </c>
      <c r="M28" s="23">
        <f>(D28+E28)/G28</f>
        <v>0.85036644035789755</v>
      </c>
      <c r="N28" s="24">
        <f>F28/SUM($F$27:$F$29)</f>
        <v>0.45568031408151821</v>
      </c>
      <c r="P28" s="55"/>
      <c r="Q28" s="55"/>
      <c r="R28" s="55"/>
    </row>
    <row r="29" spans="2:18" ht="15" x14ac:dyDescent="0.25">
      <c r="B29" s="90" t="s">
        <v>26</v>
      </c>
      <c r="C29" s="1">
        <v>4805653.3912666403</v>
      </c>
      <c r="D29" s="7">
        <v>0.17404</v>
      </c>
      <c r="E29" s="7">
        <f>E27</f>
        <v>9.1500000000000001E-3</v>
      </c>
      <c r="F29" s="3">
        <f>C29*(D29+E29)</f>
        <v>880347.6447461358</v>
      </c>
      <c r="G29" s="8">
        <f>ROUND((M31-I26)*N29/C29,5)</f>
        <v>0.21543000000000001</v>
      </c>
      <c r="H29" s="7">
        <v>0</v>
      </c>
      <c r="I29" s="5">
        <f>ROUND(C29*G29,2)</f>
        <v>1035281.91</v>
      </c>
      <c r="J29" s="3">
        <f>ROUND(I29-F29,2)</f>
        <v>154934.26999999999</v>
      </c>
      <c r="K29" s="6">
        <f>J29/F29</f>
        <v>0.17599214460859733</v>
      </c>
      <c r="M29" s="23">
        <f>(D29+E29)/G29</f>
        <v>0.85034581998793102</v>
      </c>
      <c r="N29" s="24">
        <f>F29/SUM($F$27:$F$29)</f>
        <v>0.37024618682732224</v>
      </c>
      <c r="P29" s="55"/>
      <c r="Q29" s="55"/>
      <c r="R29" s="55"/>
    </row>
    <row r="30" spans="2:18" ht="18" thickBot="1" x14ac:dyDescent="0.45">
      <c r="B30" s="90" t="s">
        <v>20</v>
      </c>
      <c r="C30" s="1"/>
      <c r="D30" s="9"/>
      <c r="E30" s="9"/>
      <c r="F30" s="10"/>
      <c r="G30" s="92"/>
      <c r="H30" s="93"/>
      <c r="I30" s="5">
        <f>M32</f>
        <v>-4.319524503313005</v>
      </c>
      <c r="J30" s="3">
        <f>ROUND(I30-F30,2)</f>
        <v>-4.32</v>
      </c>
      <c r="K30" s="11"/>
      <c r="M30" s="94">
        <f>SUM(I26:I29)</f>
        <v>3398561.21</v>
      </c>
    </row>
    <row r="31" spans="2:18" ht="18" thickBot="1" x14ac:dyDescent="0.45">
      <c r="B31" s="95" t="str">
        <f>"Total "&amp;RIGHT(B25,3)&amp;" Revenue"</f>
        <v>Total 505 Revenue</v>
      </c>
      <c r="C31" s="25"/>
      <c r="D31" s="18"/>
      <c r="E31" s="12"/>
      <c r="F31" s="13">
        <f>SUM(F26:F30)</f>
        <v>2739175.8851145115</v>
      </c>
      <c r="G31" s="14"/>
      <c r="H31" s="15"/>
      <c r="I31" s="13">
        <f>SUM(I26:I30)</f>
        <v>3398556.8904754966</v>
      </c>
      <c r="J31" s="16">
        <f>SUM(J26:J30)</f>
        <v>659381.01</v>
      </c>
      <c r="K31" s="6">
        <f>J31/F31</f>
        <v>0.2407224061745252</v>
      </c>
      <c r="M31" s="17">
        <f>'Settlement Rev Spread 2025'!H12</f>
        <v>3398556.8904754966</v>
      </c>
      <c r="N31" s="96" t="s">
        <v>21</v>
      </c>
    </row>
    <row r="32" spans="2:18" ht="18.75" thickTop="1" thickBot="1" x14ac:dyDescent="0.45">
      <c r="B32" s="95"/>
      <c r="C32" s="18"/>
      <c r="D32" s="18"/>
      <c r="E32" s="18"/>
      <c r="F32" s="18"/>
      <c r="G32" s="19"/>
      <c r="H32" s="20"/>
      <c r="I32" s="21"/>
      <c r="J32" s="18"/>
      <c r="K32" s="6"/>
      <c r="M32" s="22">
        <f>M31-M30</f>
        <v>-4.319524503313005</v>
      </c>
      <c r="N32" s="97" t="s">
        <v>20</v>
      </c>
    </row>
    <row r="33" spans="2:18" ht="15" x14ac:dyDescent="0.25">
      <c r="B33" s="81"/>
      <c r="C33" s="82"/>
      <c r="D33" s="82"/>
      <c r="E33" s="82"/>
      <c r="F33" s="82"/>
      <c r="G33" s="83"/>
      <c r="H33" s="82"/>
      <c r="I33" s="84"/>
      <c r="J33" s="82"/>
      <c r="K33" s="85"/>
    </row>
    <row r="34" spans="2:18" ht="17.25" x14ac:dyDescent="0.4">
      <c r="B34" s="86" t="s">
        <v>27</v>
      </c>
      <c r="G34" s="87"/>
      <c r="I34" s="88"/>
      <c r="K34" s="89"/>
    </row>
    <row r="35" spans="2:18" ht="15" x14ac:dyDescent="0.25">
      <c r="B35" s="90" t="s">
        <v>18</v>
      </c>
      <c r="C35" s="1">
        <v>1188</v>
      </c>
      <c r="D35" s="2">
        <v>125</v>
      </c>
      <c r="E35" s="2"/>
      <c r="F35" s="3">
        <f>C35*D35</f>
        <v>148500</v>
      </c>
      <c r="G35" s="4">
        <v>250</v>
      </c>
      <c r="H35" s="2"/>
      <c r="I35" s="5">
        <f>ROUND(C35*G35,2)</f>
        <v>297000</v>
      </c>
      <c r="J35" s="3">
        <f t="shared" ref="J35:J40" si="0">ROUND(I35-F35,2)</f>
        <v>148500</v>
      </c>
      <c r="K35" s="6">
        <f>IFERROR(J35/F35,"")</f>
        <v>1</v>
      </c>
    </row>
    <row r="36" spans="2:18" ht="15" x14ac:dyDescent="0.25">
      <c r="B36" s="90" t="s">
        <v>28</v>
      </c>
      <c r="C36" s="1">
        <v>9861038.8412244879</v>
      </c>
      <c r="D36" s="7">
        <v>0.17424000000000001</v>
      </c>
      <c r="E36" s="7">
        <v>5.4099999999999999E-3</v>
      </c>
      <c r="F36" s="3">
        <f>C36*(D36+E36)</f>
        <v>1771535.6278259794</v>
      </c>
      <c r="G36" s="8">
        <f>ROUND((M40-I35)*N36/C36,5)</f>
        <v>0.21507999999999999</v>
      </c>
      <c r="H36" s="7">
        <v>0</v>
      </c>
      <c r="I36" s="5">
        <f>ROUND(C36*G36,2)</f>
        <v>2120912.23</v>
      </c>
      <c r="J36" s="3">
        <f t="shared" si="0"/>
        <v>349376.6</v>
      </c>
      <c r="K36" s="6">
        <f>J36/F36</f>
        <v>0.19721680699628569</v>
      </c>
      <c r="N36" s="24">
        <f>F36/SUM($F$36:$F$38)</f>
        <v>0.68351376131359931</v>
      </c>
      <c r="P36" s="55"/>
      <c r="Q36" s="55"/>
      <c r="R36" s="55"/>
    </row>
    <row r="37" spans="2:18" ht="15" x14ac:dyDescent="0.25">
      <c r="B37" s="90" t="s">
        <v>29</v>
      </c>
      <c r="C37" s="1">
        <v>5346794.8493877547</v>
      </c>
      <c r="D37" s="7">
        <v>0.13550999999999999</v>
      </c>
      <c r="E37" s="7">
        <f>E36</f>
        <v>5.4099999999999999E-3</v>
      </c>
      <c r="F37" s="3">
        <f>C37*(D37+E37)</f>
        <v>753470.33017572237</v>
      </c>
      <c r="G37" s="8">
        <f>ROUND((M40-I35)*N37/C37,5)</f>
        <v>0.16871</v>
      </c>
      <c r="H37" s="7">
        <v>0</v>
      </c>
      <c r="I37" s="5">
        <f>ROUND(C37*G37,2)</f>
        <v>902057.76</v>
      </c>
      <c r="J37" s="3">
        <f t="shared" si="0"/>
        <v>148587.43</v>
      </c>
      <c r="K37" s="6">
        <f>J37/F37</f>
        <v>0.19720408893253544</v>
      </c>
      <c r="N37" s="24">
        <f>F37/SUM($F$36:$F$38)</f>
        <v>0.29071238044962283</v>
      </c>
      <c r="P37" s="55"/>
      <c r="Q37" s="55"/>
      <c r="R37" s="55"/>
    </row>
    <row r="38" spans="2:18" ht="15" x14ac:dyDescent="0.25">
      <c r="B38" s="90" t="s">
        <v>30</v>
      </c>
      <c r="C38" s="1">
        <v>1480843.7495918367</v>
      </c>
      <c r="D38" s="7">
        <v>3.9699999999999999E-2</v>
      </c>
      <c r="E38" s="7">
        <f>E36</f>
        <v>5.4099999999999999E-3</v>
      </c>
      <c r="F38" s="3">
        <f>C38*(D38+E38)</f>
        <v>66800.861544087747</v>
      </c>
      <c r="G38" s="8">
        <f>ROUND((M40-I35)*N38/C38,5)</f>
        <v>5.4010000000000002E-2</v>
      </c>
      <c r="H38" s="7">
        <v>0</v>
      </c>
      <c r="I38" s="5">
        <f>ROUND(C38*G38,2)</f>
        <v>79980.37</v>
      </c>
      <c r="J38" s="3">
        <f t="shared" si="0"/>
        <v>13179.51</v>
      </c>
      <c r="K38" s="6">
        <f>J38/F38</f>
        <v>0.19729550929970693</v>
      </c>
      <c r="N38" s="24">
        <f>F38/SUM($F$36:$F$38)</f>
        <v>2.5773858236778045E-2</v>
      </c>
      <c r="P38" s="55"/>
      <c r="Q38" s="55"/>
      <c r="R38" s="55"/>
    </row>
    <row r="39" spans="2:18" ht="18" thickBot="1" x14ac:dyDescent="0.45">
      <c r="B39" s="90" t="s">
        <v>20</v>
      </c>
      <c r="C39" s="1"/>
      <c r="D39" s="9"/>
      <c r="E39" s="9"/>
      <c r="F39" s="10"/>
      <c r="G39" s="92"/>
      <c r="H39" s="93"/>
      <c r="I39" s="5">
        <f>M41</f>
        <v>9.7061623814515769</v>
      </c>
      <c r="J39" s="3">
        <f t="shared" si="0"/>
        <v>9.7100000000000009</v>
      </c>
      <c r="K39" s="11"/>
      <c r="M39" s="94">
        <f>SUM(I35:I38)</f>
        <v>3399950.3600000003</v>
      </c>
    </row>
    <row r="40" spans="2:18" ht="18" thickBot="1" x14ac:dyDescent="0.45">
      <c r="B40" s="95" t="str">
        <f>"Total "&amp;RIGHT(B34,3)&amp;" Revenue"</f>
        <v>Total 511 Revenue</v>
      </c>
      <c r="C40" s="25"/>
      <c r="D40" s="12"/>
      <c r="E40" s="12"/>
      <c r="F40" s="13">
        <f>SUM(F35:F39)</f>
        <v>2740306.8195457892</v>
      </c>
      <c r="G40" s="14"/>
      <c r="H40" s="15"/>
      <c r="I40" s="13">
        <f>SUM(I35:I39)</f>
        <v>3399960.0661623818</v>
      </c>
      <c r="J40" s="16">
        <f t="shared" si="0"/>
        <v>659653.25</v>
      </c>
      <c r="K40" s="6">
        <f>J40/F40</f>
        <v>0.24072240571562667</v>
      </c>
      <c r="M40" s="17">
        <f>'Settlement Rev Spread 2025'!I12</f>
        <v>3399960.0661623818</v>
      </c>
      <c r="N40" s="96" t="s">
        <v>21</v>
      </c>
    </row>
    <row r="41" spans="2:18" ht="18.75" thickTop="1" thickBot="1" x14ac:dyDescent="0.45">
      <c r="B41" s="95"/>
      <c r="C41" s="18"/>
      <c r="D41" s="18"/>
      <c r="E41" s="18"/>
      <c r="F41" s="18"/>
      <c r="G41" s="19"/>
      <c r="H41" s="20"/>
      <c r="I41" s="21"/>
      <c r="J41" s="18"/>
      <c r="K41" s="6"/>
      <c r="M41" s="22">
        <f>M40-M39</f>
        <v>9.7061623814515769</v>
      </c>
      <c r="N41" s="97" t="s">
        <v>20</v>
      </c>
    </row>
    <row r="42" spans="2:18" ht="15" x14ac:dyDescent="0.25">
      <c r="B42" s="81"/>
      <c r="C42" s="82"/>
      <c r="D42" s="82"/>
      <c r="E42" s="82"/>
      <c r="F42" s="82"/>
      <c r="G42" s="83"/>
      <c r="H42" s="82"/>
      <c r="I42" s="84"/>
      <c r="J42" s="82"/>
      <c r="K42" s="85"/>
    </row>
    <row r="43" spans="2:18" ht="17.25" x14ac:dyDescent="0.4">
      <c r="B43" s="86" t="s">
        <v>31</v>
      </c>
      <c r="G43" s="87"/>
      <c r="I43" s="88"/>
      <c r="K43" s="89"/>
    </row>
    <row r="44" spans="2:18" ht="15" x14ac:dyDescent="0.25">
      <c r="B44" s="90" t="s">
        <v>18</v>
      </c>
      <c r="C44" s="1">
        <v>84</v>
      </c>
      <c r="D44" s="2">
        <v>163</v>
      </c>
      <c r="E44" s="2"/>
      <c r="F44" s="3">
        <f>C44*D44</f>
        <v>13692</v>
      </c>
      <c r="G44" s="4">
        <v>300</v>
      </c>
      <c r="H44" s="2"/>
      <c r="I44" s="5">
        <f>ROUND(C44*G44,2)</f>
        <v>25200</v>
      </c>
      <c r="J44" s="3">
        <f>ROUND(I44-F44,2)</f>
        <v>11508</v>
      </c>
      <c r="K44" s="6">
        <f>IFERROR(J44/F44,"")</f>
        <v>0.8404907975460123</v>
      </c>
    </row>
    <row r="45" spans="2:18" ht="15" x14ac:dyDescent="0.25">
      <c r="B45" s="90" t="s">
        <v>32</v>
      </c>
      <c r="C45" s="1">
        <v>1086598</v>
      </c>
      <c r="D45" s="7">
        <v>9.8379999999999995E-2</v>
      </c>
      <c r="E45" s="7">
        <v>6.13E-3</v>
      </c>
      <c r="F45" s="3">
        <f>C45*(D45+E45)</f>
        <v>113560.35698</v>
      </c>
      <c r="G45" s="8">
        <f>ROUND((M48-I44)*N45/C45,5)</f>
        <v>0.12406</v>
      </c>
      <c r="H45" s="7">
        <v>0</v>
      </c>
      <c r="I45" s="5">
        <f>ROUND(C45*G45,2)</f>
        <v>134803.35</v>
      </c>
      <c r="J45" s="3">
        <f>ROUND(I45-F45,2)</f>
        <v>21242.99</v>
      </c>
      <c r="K45" s="6">
        <f>J45/F45</f>
        <v>0.18706343098006703</v>
      </c>
      <c r="N45" s="24">
        <f>F45/SUM($F$45:$F$46)</f>
        <v>0.74159009853401303</v>
      </c>
      <c r="P45" s="55"/>
      <c r="Q45" s="55"/>
      <c r="R45" s="55"/>
    </row>
    <row r="46" spans="2:18" ht="15" x14ac:dyDescent="0.25">
      <c r="B46" s="90" t="s">
        <v>33</v>
      </c>
      <c r="C46" s="1">
        <v>1011000</v>
      </c>
      <c r="D46" s="7">
        <v>3.3009999999999998E-2</v>
      </c>
      <c r="E46" s="7">
        <f>E45</f>
        <v>6.13E-3</v>
      </c>
      <c r="F46" s="3">
        <f>C46*(D46+E46)</f>
        <v>39570.539999999994</v>
      </c>
      <c r="G46" s="8">
        <f>ROUND((M48-I44)*N46/C46,5)</f>
        <v>4.6460000000000001E-2</v>
      </c>
      <c r="H46" s="7">
        <v>0</v>
      </c>
      <c r="I46" s="5">
        <f>ROUND(C46*G46,2)</f>
        <v>46971.06</v>
      </c>
      <c r="J46" s="3">
        <f>ROUND(I46-F46,2)</f>
        <v>7400.52</v>
      </c>
      <c r="K46" s="6">
        <f>J46/F46</f>
        <v>0.18702095043433831</v>
      </c>
      <c r="N46" s="24">
        <f>F46/SUM($F$45:$F$46)</f>
        <v>0.25840990146598691</v>
      </c>
      <c r="P46" s="55"/>
      <c r="Q46" s="55"/>
      <c r="R46" s="55"/>
    </row>
    <row r="47" spans="2:18" ht="18" thickBot="1" x14ac:dyDescent="0.45">
      <c r="B47" s="90" t="s">
        <v>20</v>
      </c>
      <c r="C47" s="1"/>
      <c r="D47" s="9"/>
      <c r="E47" s="9"/>
      <c r="F47" s="10"/>
      <c r="G47" s="92"/>
      <c r="H47" s="93"/>
      <c r="I47" s="5">
        <f>M49</f>
        <v>6.495863502525026</v>
      </c>
      <c r="J47" s="3">
        <f>ROUND(I47-F47,2)</f>
        <v>6.5</v>
      </c>
      <c r="K47" s="11"/>
      <c r="M47" s="94">
        <f>SUM(I43:I46)</f>
        <v>206974.41</v>
      </c>
    </row>
    <row r="48" spans="2:18" ht="18" thickBot="1" x14ac:dyDescent="0.45">
      <c r="B48" s="95" t="str">
        <f>"Total "&amp;RIGHT(B43,3)&amp;" Revenue"</f>
        <v>Total 570 Revenue</v>
      </c>
      <c r="C48" s="25"/>
      <c r="D48" s="12"/>
      <c r="E48" s="12"/>
      <c r="F48" s="13">
        <f>SUM(F44:F47)</f>
        <v>166822.89697999999</v>
      </c>
      <c r="G48" s="14"/>
      <c r="H48" s="15"/>
      <c r="I48" s="13">
        <f>SUM(I44:I47)</f>
        <v>206980.90586350253</v>
      </c>
      <c r="J48" s="16">
        <f>ROUND(I48-F48,2)</f>
        <v>40158.01</v>
      </c>
      <c r="K48" s="6">
        <f>J48/F48</f>
        <v>0.24072241117365592</v>
      </c>
      <c r="M48" s="17">
        <f>'Settlement Rev Spread 2025'!J12</f>
        <v>206980.90586350253</v>
      </c>
      <c r="N48" s="96" t="s">
        <v>21</v>
      </c>
    </row>
    <row r="49" spans="2:18" ht="18.75" thickTop="1" thickBot="1" x14ac:dyDescent="0.45">
      <c r="B49" s="98"/>
      <c r="C49" s="20"/>
      <c r="D49" s="20"/>
      <c r="E49" s="20"/>
      <c r="F49" s="20"/>
      <c r="G49" s="19"/>
      <c r="H49" s="20"/>
      <c r="I49" s="21"/>
      <c r="J49" s="20"/>
      <c r="K49" s="26"/>
      <c r="M49" s="22">
        <f>M48-M47</f>
        <v>6.495863502525026</v>
      </c>
      <c r="N49" s="97" t="s">
        <v>20</v>
      </c>
    </row>
    <row r="50" spans="2:18" ht="18" thickBot="1" x14ac:dyDescent="0.45">
      <c r="B50" s="99"/>
      <c r="C50" s="18"/>
      <c r="D50" s="18"/>
      <c r="E50" s="18"/>
      <c r="F50" s="18"/>
      <c r="G50" s="18"/>
      <c r="H50" s="18"/>
      <c r="I50" s="18"/>
      <c r="J50" s="18"/>
      <c r="K50" s="18"/>
      <c r="M50" s="3"/>
    </row>
    <row r="51" spans="2:18" ht="15" x14ac:dyDescent="0.25">
      <c r="B51" s="81"/>
      <c r="C51" s="82"/>
      <c r="D51" s="82"/>
      <c r="E51" s="82"/>
      <c r="F51" s="82"/>
      <c r="G51" s="83"/>
      <c r="H51" s="82"/>
      <c r="I51" s="84"/>
      <c r="J51" s="82"/>
      <c r="K51" s="85"/>
    </row>
    <row r="52" spans="2:18" ht="17.25" x14ac:dyDescent="0.4">
      <c r="B52" s="86" t="s">
        <v>34</v>
      </c>
      <c r="G52" s="87"/>
      <c r="I52" s="88"/>
      <c r="K52" s="89"/>
    </row>
    <row r="53" spans="2:18" ht="15" x14ac:dyDescent="0.25">
      <c r="B53" s="90" t="s">
        <v>35</v>
      </c>
      <c r="C53" s="1">
        <v>42366960</v>
      </c>
      <c r="D53" s="27">
        <v>0.2</v>
      </c>
      <c r="E53" s="27"/>
      <c r="F53" s="3">
        <f>C53*D53</f>
        <v>8473392</v>
      </c>
      <c r="G53" s="4">
        <v>0.4</v>
      </c>
      <c r="H53" s="2"/>
      <c r="I53" s="5">
        <f t="shared" ref="I53:I59" si="1">ROUND(C53*G53,2)</f>
        <v>16946784</v>
      </c>
      <c r="J53" s="3">
        <f>ROUND(I53-F53,2)</f>
        <v>8473392</v>
      </c>
      <c r="K53" s="6">
        <f t="shared" ref="K53:K59" si="2">J53/F53</f>
        <v>1</v>
      </c>
      <c r="M53" s="24"/>
    </row>
    <row r="54" spans="2:18" ht="15" x14ac:dyDescent="0.25">
      <c r="B54" s="90" t="s">
        <v>36</v>
      </c>
      <c r="C54" s="1">
        <v>854941070.21112633</v>
      </c>
      <c r="D54" s="28">
        <v>4.0000000000000002E-4</v>
      </c>
      <c r="E54" s="28"/>
      <c r="F54" s="3">
        <f>C54*D54</f>
        <v>341976.42808445054</v>
      </c>
      <c r="G54" s="8">
        <v>1.1000000000000001E-3</v>
      </c>
      <c r="H54" s="7"/>
      <c r="I54" s="5">
        <f t="shared" si="1"/>
        <v>940435.18</v>
      </c>
      <c r="J54" s="3">
        <f t="shared" ref="J54:J60" si="3">ROUND(I54-F54,2)</f>
        <v>598458.75</v>
      </c>
      <c r="K54" s="6">
        <f t="shared" si="2"/>
        <v>1.7500000024920184</v>
      </c>
      <c r="M54" s="24"/>
    </row>
    <row r="55" spans="2:18" ht="15" x14ac:dyDescent="0.25">
      <c r="B55" s="90" t="s">
        <v>18</v>
      </c>
      <c r="C55" s="1">
        <v>2316</v>
      </c>
      <c r="D55" s="27">
        <v>625</v>
      </c>
      <c r="E55" s="27"/>
      <c r="F55" s="3">
        <f>C55*D55</f>
        <v>1447500</v>
      </c>
      <c r="G55" s="4">
        <v>1000</v>
      </c>
      <c r="H55" s="2"/>
      <c r="I55" s="5">
        <f t="shared" si="1"/>
        <v>2316000</v>
      </c>
      <c r="J55" s="3">
        <f t="shared" si="3"/>
        <v>868500</v>
      </c>
      <c r="K55" s="6">
        <f t="shared" si="2"/>
        <v>0.6</v>
      </c>
      <c r="M55" s="29"/>
    </row>
    <row r="56" spans="2:18" ht="15" x14ac:dyDescent="0.25">
      <c r="B56" s="90" t="s">
        <v>37</v>
      </c>
      <c r="C56" s="1">
        <v>100667737.22113912</v>
      </c>
      <c r="D56" s="28">
        <v>6.4630000000000007E-2</v>
      </c>
      <c r="E56" s="28">
        <v>1.39E-3</v>
      </c>
      <c r="F56" s="3">
        <f>C56*(D56+E56)</f>
        <v>6646084.0113396058</v>
      </c>
      <c r="G56" s="8">
        <f>ROUNDUP(($M$61-SUM($I$53:$I$55))*N56/C56,5)</f>
        <v>5.1500000000000004E-2</v>
      </c>
      <c r="H56" s="7">
        <v>0</v>
      </c>
      <c r="I56" s="5">
        <f t="shared" si="1"/>
        <v>5184388.47</v>
      </c>
      <c r="J56" s="3">
        <f t="shared" si="3"/>
        <v>-1461695.54</v>
      </c>
      <c r="K56" s="6">
        <f>J56/F56</f>
        <v>-0.21993335285952487</v>
      </c>
      <c r="M56" s="55"/>
      <c r="N56" s="24">
        <f>F56/SUM($F$56:$F$59)</f>
        <v>0.40992298497620294</v>
      </c>
      <c r="P56" s="55"/>
      <c r="Q56" s="55"/>
      <c r="R56" s="55"/>
    </row>
    <row r="57" spans="2:18" ht="15" x14ac:dyDescent="0.25">
      <c r="B57" s="90" t="s">
        <v>38</v>
      </c>
      <c r="C57" s="1">
        <v>72067729.44475241</v>
      </c>
      <c r="D57" s="28">
        <v>2.5420000000000002E-2</v>
      </c>
      <c r="E57" s="28">
        <f>E56</f>
        <v>1.39E-3</v>
      </c>
      <c r="F57" s="3">
        <f>C57*(D57+E57)</f>
        <v>1932135.8264138121</v>
      </c>
      <c r="G57" s="8">
        <f t="shared" ref="G57:G58" si="4">ROUNDUP(($M$61-SUM($I$53:$I$55))*N57/C57,5)</f>
        <v>2.0920000000000001E-2</v>
      </c>
      <c r="H57" s="7">
        <v>0</v>
      </c>
      <c r="I57" s="5">
        <f t="shared" si="1"/>
        <v>1507656.9</v>
      </c>
      <c r="J57" s="3">
        <f t="shared" si="3"/>
        <v>-424478.93</v>
      </c>
      <c r="K57" s="6">
        <f t="shared" si="2"/>
        <v>-0.21969414582403582</v>
      </c>
      <c r="M57" s="55"/>
      <c r="N57" s="24">
        <f>F57/SUM($F$56:$F$59)</f>
        <v>0.1191719641207739</v>
      </c>
      <c r="P57" s="55"/>
      <c r="Q57" s="55"/>
      <c r="R57" s="55"/>
    </row>
    <row r="58" spans="2:18" ht="15" x14ac:dyDescent="0.25">
      <c r="B58" s="90" t="s">
        <v>38</v>
      </c>
      <c r="C58" s="1">
        <v>37181911.28548535</v>
      </c>
      <c r="D58" s="28">
        <v>1.6590000000000001E-2</v>
      </c>
      <c r="E58" s="28">
        <f>E56</f>
        <v>1.39E-3</v>
      </c>
      <c r="F58" s="3">
        <f>C58*(D58+E58)</f>
        <v>668530.76491302659</v>
      </c>
      <c r="G58" s="8">
        <f t="shared" si="4"/>
        <v>1.4029999999999999E-2</v>
      </c>
      <c r="H58" s="7">
        <v>0</v>
      </c>
      <c r="I58" s="5">
        <f t="shared" si="1"/>
        <v>521662.22</v>
      </c>
      <c r="J58" s="3">
        <f t="shared" si="3"/>
        <v>-146868.54</v>
      </c>
      <c r="K58" s="6">
        <f t="shared" si="2"/>
        <v>-0.21968852849891968</v>
      </c>
      <c r="M58" s="55"/>
      <c r="N58" s="24">
        <f>F58/SUM($F$56:$F$59)</f>
        <v>4.1234225482854596E-2</v>
      </c>
      <c r="P58" s="55"/>
      <c r="Q58" s="55"/>
      <c r="R58" s="55"/>
    </row>
    <row r="59" spans="2:18" ht="15" x14ac:dyDescent="0.25">
      <c r="B59" s="90" t="s">
        <v>39</v>
      </c>
      <c r="C59" s="1">
        <v>645023692.25974941</v>
      </c>
      <c r="D59" s="28">
        <v>9.41E-3</v>
      </c>
      <c r="E59" s="28">
        <f>E56</f>
        <v>1.39E-3</v>
      </c>
      <c r="F59" s="3">
        <f>C59*(D59+E59)</f>
        <v>6966255.8764052941</v>
      </c>
      <c r="G59" s="8">
        <f>ROUND(($M$61-SUM($I$53:$I$55))*N59/C59,5)</f>
        <v>8.4200000000000004E-3</v>
      </c>
      <c r="H59" s="7">
        <v>0</v>
      </c>
      <c r="I59" s="5">
        <f t="shared" si="1"/>
        <v>5431099.4900000002</v>
      </c>
      <c r="J59" s="3">
        <f t="shared" si="3"/>
        <v>-1535156.39</v>
      </c>
      <c r="K59" s="6">
        <f t="shared" si="2"/>
        <v>-0.22037037071801713</v>
      </c>
      <c r="M59" s="55"/>
      <c r="N59" s="24">
        <f>F59/SUM($F$56:$F$59)</f>
        <v>0.42967082542016849</v>
      </c>
      <c r="P59" s="55"/>
      <c r="Q59" s="55"/>
      <c r="R59" s="55"/>
    </row>
    <row r="60" spans="2:18" ht="18" thickBot="1" x14ac:dyDescent="0.45">
      <c r="B60" s="90" t="s">
        <v>20</v>
      </c>
      <c r="C60" s="1"/>
      <c r="D60" s="9"/>
      <c r="E60" s="9"/>
      <c r="F60" s="10"/>
      <c r="G60" s="8"/>
      <c r="H60" s="7"/>
      <c r="I60" s="5">
        <f>M62</f>
        <v>1184.9155435413122</v>
      </c>
      <c r="J60" s="3">
        <f t="shared" si="3"/>
        <v>1184.92</v>
      </c>
      <c r="K60" s="11"/>
      <c r="M60" s="94">
        <f>SUM(I53:I59)</f>
        <v>32848026.259999998</v>
      </c>
    </row>
    <row r="61" spans="2:18" ht="18" thickBot="1" x14ac:dyDescent="0.45">
      <c r="B61" s="95" t="str">
        <f>"Total "&amp;RIGHT(B52,3)&amp;" Revenue"</f>
        <v>Total 663 Revenue</v>
      </c>
      <c r="C61" s="1"/>
      <c r="D61" s="12"/>
      <c r="E61" s="12"/>
      <c r="F61" s="13">
        <f>SUM(F53:F60)</f>
        <v>26475874.907156192</v>
      </c>
      <c r="G61" s="14"/>
      <c r="H61" s="15"/>
      <c r="I61" s="13">
        <f>SUM(I53:I60)</f>
        <v>32849211.175543539</v>
      </c>
      <c r="J61" s="16">
        <f>ROUND(I61-F61,2)</f>
        <v>6373336.2699999996</v>
      </c>
      <c r="K61" s="6">
        <f>J61/F61</f>
        <v>0.24072240454185498</v>
      </c>
      <c r="M61" s="17">
        <f>'Settlement Rev Spread 2025'!K12</f>
        <v>32849211.175543539</v>
      </c>
      <c r="N61" s="96" t="s">
        <v>21</v>
      </c>
    </row>
    <row r="62" spans="2:18" ht="18.75" thickTop="1" thickBot="1" x14ac:dyDescent="0.45">
      <c r="B62" s="100"/>
      <c r="C62" s="20"/>
      <c r="D62" s="20"/>
      <c r="E62" s="20"/>
      <c r="F62" s="20"/>
      <c r="G62" s="19"/>
      <c r="H62" s="20"/>
      <c r="I62" s="21"/>
      <c r="J62" s="20"/>
      <c r="K62" s="26"/>
      <c r="M62" s="22">
        <f>M61-M60</f>
        <v>1184.9155435413122</v>
      </c>
      <c r="N62" s="97" t="s">
        <v>20</v>
      </c>
    </row>
    <row r="63" spans="2:18" ht="15" x14ac:dyDescent="0.25">
      <c r="B63" s="81"/>
      <c r="C63" s="82"/>
      <c r="D63" s="82"/>
      <c r="E63" s="82"/>
      <c r="F63" s="82"/>
      <c r="G63" s="83"/>
      <c r="H63" s="82"/>
      <c r="I63" s="84"/>
      <c r="J63" s="83"/>
      <c r="K63" s="85"/>
    </row>
    <row r="64" spans="2:18" ht="17.25" x14ac:dyDescent="0.4">
      <c r="B64" s="86" t="s">
        <v>40</v>
      </c>
      <c r="G64" s="87"/>
      <c r="I64" s="88"/>
      <c r="J64" s="87"/>
      <c r="K64" s="89"/>
    </row>
    <row r="65" spans="2:14" ht="15" x14ac:dyDescent="0.25">
      <c r="B65" s="90" t="s">
        <v>18</v>
      </c>
      <c r="E65" s="27"/>
      <c r="F65" s="3">
        <v>411977.32</v>
      </c>
      <c r="G65" s="4"/>
      <c r="H65" s="2"/>
      <c r="I65" s="5">
        <f>F65</f>
        <v>411977.32</v>
      </c>
      <c r="J65" s="30">
        <f>I65-F65</f>
        <v>0</v>
      </c>
      <c r="K65" s="6">
        <f>J65/F65</f>
        <v>0</v>
      </c>
    </row>
    <row r="66" spans="2:14" ht="15" x14ac:dyDescent="0.25">
      <c r="B66" s="90" t="s">
        <v>41</v>
      </c>
      <c r="E66" s="28"/>
      <c r="F66" s="3">
        <v>60000</v>
      </c>
      <c r="G66" s="4"/>
      <c r="H66" s="2"/>
      <c r="I66" s="5">
        <f>F66</f>
        <v>60000</v>
      </c>
      <c r="J66" s="30">
        <f>I66-F66</f>
        <v>0</v>
      </c>
      <c r="K66" s="6">
        <f>J66/F66</f>
        <v>0</v>
      </c>
    </row>
    <row r="67" spans="2:14" ht="15" x14ac:dyDescent="0.25">
      <c r="B67" s="90" t="s">
        <v>42</v>
      </c>
      <c r="E67" s="28"/>
      <c r="F67" s="3">
        <v>122757.90000000001</v>
      </c>
      <c r="G67" s="4"/>
      <c r="H67" s="2"/>
      <c r="I67" s="5">
        <f>F67</f>
        <v>122757.90000000001</v>
      </c>
      <c r="J67" s="30">
        <f>I67-F67</f>
        <v>0</v>
      </c>
      <c r="K67" s="6">
        <f>J67/F67</f>
        <v>0</v>
      </c>
    </row>
    <row r="68" spans="2:14" ht="15.75" thickBot="1" x14ac:dyDescent="0.3">
      <c r="B68" s="90" t="s">
        <v>19</v>
      </c>
      <c r="E68" s="28"/>
      <c r="F68" s="3">
        <v>2553267.1299999994</v>
      </c>
      <c r="G68" s="8"/>
      <c r="H68" s="7"/>
      <c r="I68" s="5">
        <f>F68</f>
        <v>2553267.1299999994</v>
      </c>
      <c r="J68" s="30">
        <f>I68-F68</f>
        <v>0</v>
      </c>
      <c r="K68" s="6">
        <f>J68/F68</f>
        <v>0</v>
      </c>
    </row>
    <row r="69" spans="2:14" ht="18" thickBot="1" x14ac:dyDescent="0.45">
      <c r="B69" s="95" t="str">
        <f>B64&amp;" Revenue"</f>
        <v>Special Contracts - Total Revenue</v>
      </c>
      <c r="C69" s="12"/>
      <c r="E69" s="12"/>
      <c r="F69" s="13">
        <f>SUM(F65:F68)</f>
        <v>3148002.3499999996</v>
      </c>
      <c r="G69" s="14"/>
      <c r="H69" s="15"/>
      <c r="I69" s="13">
        <f>SUM(I65:I68)</f>
        <v>3148002.3499999996</v>
      </c>
      <c r="J69" s="16">
        <f>I69-F69</f>
        <v>0</v>
      </c>
      <c r="K69" s="6">
        <f>J69/F69</f>
        <v>0</v>
      </c>
      <c r="M69" s="17" t="s">
        <v>43</v>
      </c>
      <c r="N69" s="96" t="s">
        <v>21</v>
      </c>
    </row>
    <row r="70" spans="2:14" ht="18.75" thickTop="1" thickBot="1" x14ac:dyDescent="0.45">
      <c r="B70" s="98"/>
      <c r="C70" s="20"/>
      <c r="D70" s="20"/>
      <c r="E70" s="20"/>
      <c r="F70" s="20"/>
      <c r="G70" s="19"/>
      <c r="H70" s="20"/>
      <c r="I70" s="21"/>
      <c r="J70" s="19"/>
      <c r="K70" s="26"/>
      <c r="M70" s="22"/>
      <c r="N70" s="97" t="s">
        <v>20</v>
      </c>
    </row>
    <row r="71" spans="2:14" ht="15" x14ac:dyDescent="0.25"/>
    <row r="72" spans="2:14" ht="15" x14ac:dyDescent="0.25"/>
    <row r="73" spans="2:14" ht="15" x14ac:dyDescent="0.25">
      <c r="B73" s="54" t="s">
        <v>44</v>
      </c>
      <c r="E73" s="31">
        <f>F73/F75</f>
        <v>0.21889392347264963</v>
      </c>
      <c r="F73" s="94">
        <f>SUM(F12,F19,F26,F35,F44,F53,F55,F65,F66)</f>
        <v>27785933.32</v>
      </c>
      <c r="H73" s="31">
        <f>I73/I75</f>
        <v>0.26246584063336997</v>
      </c>
      <c r="I73" s="94">
        <f>SUM(I12,I19,I26,I35,I44,I53,I55,I65,I66)</f>
        <v>41137913.32</v>
      </c>
      <c r="J73" s="3">
        <f>I73-F73</f>
        <v>13351980</v>
      </c>
      <c r="K73" s="32">
        <f>J73/F73</f>
        <v>0.480530196564943</v>
      </c>
    </row>
    <row r="74" spans="2:14" ht="15" x14ac:dyDescent="0.25">
      <c r="B74" s="54" t="s">
        <v>45</v>
      </c>
      <c r="E74" s="31">
        <f>F74/F75</f>
        <v>0.78110607652735042</v>
      </c>
      <c r="F74" s="101">
        <f>SUM(F13,F20,F27:F29,F36:F38,F45:F46,F54,F56:F59,F67:F68)</f>
        <v>99151959.149508417</v>
      </c>
      <c r="H74" s="31">
        <f>I74/I75</f>
        <v>0.73753415936663003</v>
      </c>
      <c r="I74" s="101">
        <f>SUM(I13,I20,I27:I29,I36:I38,I45:I46,I54,I56:I59,I67:I68)</f>
        <v>115598343.18000001</v>
      </c>
      <c r="J74" s="33">
        <f>I74-F74</f>
        <v>16446384.03049159</v>
      </c>
      <c r="K74" s="32">
        <f>J74/F74</f>
        <v>0.16587048981747859</v>
      </c>
    </row>
    <row r="75" spans="2:14" ht="15" x14ac:dyDescent="0.25">
      <c r="B75" s="54" t="s">
        <v>46</v>
      </c>
      <c r="F75" s="15">
        <f>SUM(F73:F74)</f>
        <v>126937892.46950841</v>
      </c>
      <c r="I75" s="15">
        <f>SUM(I73:I74)</f>
        <v>156736256.5</v>
      </c>
      <c r="J75" s="3">
        <f>I75-F75</f>
        <v>29798364.03049159</v>
      </c>
      <c r="K75" s="32">
        <f>J75/F75</f>
        <v>0.23474758758618447</v>
      </c>
    </row>
    <row r="76" spans="2:14" ht="15" x14ac:dyDescent="0.25">
      <c r="F76" s="94"/>
      <c r="I76" s="102" t="s">
        <v>47</v>
      </c>
      <c r="J76" s="3">
        <f>M16+M23+M32+M41+M49+M62</f>
        <v>635.96950843386003</v>
      </c>
    </row>
    <row r="77" spans="2:14" ht="15" x14ac:dyDescent="0.25">
      <c r="F77" s="94"/>
    </row>
    <row r="78" spans="2:14" ht="15" x14ac:dyDescent="0.25">
      <c r="F78" s="94"/>
      <c r="I78" s="103" t="s">
        <v>48</v>
      </c>
      <c r="J78" s="104">
        <f>J75+J76</f>
        <v>29799000.000000026</v>
      </c>
    </row>
    <row r="79" spans="2:14" ht="15" x14ac:dyDescent="0.25">
      <c r="I79" s="94"/>
      <c r="J79" s="94"/>
    </row>
  </sheetData>
  <printOptions horizontalCentered="1"/>
  <pageMargins left="0.45" right="0.45" top="0.75" bottom="0.5" header="0.3" footer="0.3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0F05-33D4-41BB-94A4-0EE7B0DB4D52}">
  <dimension ref="A1:R79"/>
  <sheetViews>
    <sheetView workbookViewId="0">
      <selection activeCell="G18" sqref="G18"/>
    </sheetView>
  </sheetViews>
  <sheetFormatPr defaultColWidth="9.140625" defaultRowHeight="14.85" customHeight="1" x14ac:dyDescent="0.25"/>
  <cols>
    <col min="1" max="1" width="2.28515625" style="54" customWidth="1"/>
    <col min="2" max="2" width="34.42578125" style="54" customWidth="1"/>
    <col min="3" max="3" width="15.42578125" style="54" customWidth="1"/>
    <col min="4" max="5" width="10.5703125" style="54" customWidth="1"/>
    <col min="6" max="6" width="19.140625" style="54" customWidth="1"/>
    <col min="7" max="7" width="11.5703125" style="54" customWidth="1"/>
    <col min="8" max="8" width="10.5703125" style="54" customWidth="1"/>
    <col min="9" max="9" width="19.28515625" style="54" customWidth="1"/>
    <col min="10" max="10" width="17.7109375" style="54" customWidth="1"/>
    <col min="11" max="11" width="9.5703125" style="54" bestFit="1" customWidth="1"/>
    <col min="12" max="12" width="0.85546875" style="54" customWidth="1"/>
    <col min="13" max="13" width="16.28515625" style="54" customWidth="1"/>
    <col min="14" max="14" width="30" style="54" customWidth="1"/>
    <col min="15" max="15" width="10.140625" style="54" bestFit="1" customWidth="1"/>
    <col min="16" max="16" width="9.140625" style="54" customWidth="1"/>
    <col min="17" max="16384" width="9.140625" style="54"/>
  </cols>
  <sheetData>
    <row r="1" spans="1:18" ht="15" x14ac:dyDescent="0.25">
      <c r="A1" s="186" t="s">
        <v>0</v>
      </c>
      <c r="B1" s="187"/>
      <c r="L1" s="58"/>
    </row>
    <row r="2" spans="1:18" ht="15" x14ac:dyDescent="0.25">
      <c r="A2" s="186" t="s">
        <v>1</v>
      </c>
      <c r="B2" s="187"/>
      <c r="L2" s="58"/>
    </row>
    <row r="3" spans="1:18" ht="15" x14ac:dyDescent="0.25">
      <c r="A3" s="186" t="s">
        <v>49</v>
      </c>
      <c r="B3" s="187"/>
      <c r="L3" s="58"/>
    </row>
    <row r="4" spans="1:18" ht="15" x14ac:dyDescent="0.25">
      <c r="A4" s="186" t="s">
        <v>3</v>
      </c>
      <c r="B4" s="187"/>
      <c r="L4" s="58"/>
    </row>
    <row r="5" spans="1:18" ht="15" x14ac:dyDescent="0.25">
      <c r="A5" s="186" t="s">
        <v>50</v>
      </c>
      <c r="B5" s="187"/>
    </row>
    <row r="6" spans="1:18" ht="15.75" thickBot="1" x14ac:dyDescent="0.3"/>
    <row r="7" spans="1:18" ht="15" x14ac:dyDescent="0.25">
      <c r="B7" s="59"/>
      <c r="C7" s="60" t="s">
        <v>5</v>
      </c>
      <c r="D7" s="61"/>
      <c r="E7" s="62"/>
      <c r="F7" s="62"/>
      <c r="G7" s="60" t="s">
        <v>6</v>
      </c>
      <c r="H7" s="62"/>
      <c r="I7" s="63"/>
      <c r="J7" s="61" t="s">
        <v>7</v>
      </c>
      <c r="K7" s="63"/>
    </row>
    <row r="8" spans="1:18" ht="15" x14ac:dyDescent="0.25">
      <c r="B8" s="64"/>
      <c r="C8" s="65"/>
      <c r="D8" s="66" t="s">
        <v>51</v>
      </c>
      <c r="E8" s="67"/>
      <c r="F8" s="68"/>
      <c r="G8" s="69" t="s">
        <v>52</v>
      </c>
      <c r="H8" s="67"/>
      <c r="I8" s="70"/>
      <c r="J8" s="65"/>
      <c r="K8" s="71"/>
    </row>
    <row r="9" spans="1:18" ht="15.75" thickBot="1" x14ac:dyDescent="0.3">
      <c r="B9" s="72" t="s">
        <v>10</v>
      </c>
      <c r="C9" s="73" t="s">
        <v>11</v>
      </c>
      <c r="D9" s="74" t="s">
        <v>12</v>
      </c>
      <c r="E9" s="75" t="s">
        <v>13</v>
      </c>
      <c r="F9" s="76" t="s">
        <v>14</v>
      </c>
      <c r="G9" s="77" t="s">
        <v>12</v>
      </c>
      <c r="H9" s="78" t="s">
        <v>13</v>
      </c>
      <c r="I9" s="79" t="s">
        <v>14</v>
      </c>
      <c r="J9" s="80" t="s">
        <v>15</v>
      </c>
      <c r="K9" s="79" t="s">
        <v>16</v>
      </c>
    </row>
    <row r="10" spans="1:18" ht="15" x14ac:dyDescent="0.25">
      <c r="B10" s="81"/>
      <c r="C10" s="82"/>
      <c r="D10" s="82"/>
      <c r="E10" s="82"/>
      <c r="F10" s="82"/>
      <c r="G10" s="83"/>
      <c r="H10" s="82"/>
      <c r="I10" s="84"/>
      <c r="J10" s="82"/>
      <c r="K10" s="85"/>
    </row>
    <row r="11" spans="1:18" ht="17.25" x14ac:dyDescent="0.4">
      <c r="B11" s="86" t="s">
        <v>17</v>
      </c>
      <c r="G11" s="87"/>
      <c r="I11" s="88"/>
      <c r="K11" s="89"/>
    </row>
    <row r="12" spans="1:18" ht="15" x14ac:dyDescent="0.25">
      <c r="B12" s="90" t="s">
        <v>18</v>
      </c>
      <c r="C12" s="1">
        <v>2539908</v>
      </c>
      <c r="D12" s="2">
        <f>'2025 Rates'!G12</f>
        <v>5.5</v>
      </c>
      <c r="E12" s="2"/>
      <c r="F12" s="3">
        <f>C12*D12</f>
        <v>13969494</v>
      </c>
      <c r="G12" s="4">
        <v>6</v>
      </c>
      <c r="H12" s="2"/>
      <c r="I12" s="5">
        <f>ROUND(C12*G12,2)</f>
        <v>15239448</v>
      </c>
      <c r="J12" s="3">
        <f>ROUND(I12-F12,2)</f>
        <v>1269954</v>
      </c>
      <c r="K12" s="6">
        <f>J12/F12</f>
        <v>9.0909090909090912E-2</v>
      </c>
    </row>
    <row r="13" spans="1:18" ht="15" x14ac:dyDescent="0.25">
      <c r="B13" s="90" t="s">
        <v>19</v>
      </c>
      <c r="C13" s="1">
        <v>134450850.29920077</v>
      </c>
      <c r="D13" s="7">
        <f>'2025 Rates'!G13</f>
        <v>0.45648</v>
      </c>
      <c r="E13" s="7">
        <f>'2025 Rates'!H13</f>
        <v>0</v>
      </c>
      <c r="F13" s="3">
        <f>C13*(D13+E13)</f>
        <v>61374124.144579172</v>
      </c>
      <c r="G13" s="8">
        <f>ROUND((M15-I12)/C13,5)</f>
        <v>0.48599999999999999</v>
      </c>
      <c r="H13" s="7">
        <v>0</v>
      </c>
      <c r="I13" s="5">
        <f>ROUND(C13*G13,2)</f>
        <v>65343113.25</v>
      </c>
      <c r="J13" s="3">
        <f>ROUND(I13-F13,2)</f>
        <v>3968989.11</v>
      </c>
      <c r="K13" s="6">
        <f>J13/F13</f>
        <v>6.4668769865460607E-2</v>
      </c>
      <c r="P13" s="55"/>
      <c r="Q13" s="55"/>
      <c r="R13" s="55"/>
    </row>
    <row r="14" spans="1:18" ht="18" thickBot="1" x14ac:dyDescent="0.45">
      <c r="B14" s="90" t="s">
        <v>20</v>
      </c>
      <c r="C14" s="1"/>
      <c r="D14" s="9"/>
      <c r="E14" s="9"/>
      <c r="F14" s="10"/>
      <c r="G14" s="92"/>
      <c r="H14" s="93"/>
      <c r="I14" s="5">
        <f>M16</f>
        <v>144.02232901751995</v>
      </c>
      <c r="J14" s="3">
        <f>ROUND(I14-F14,2)</f>
        <v>144.02000000000001</v>
      </c>
      <c r="K14" s="11"/>
      <c r="M14" s="94">
        <f>SUM(I12:I13)</f>
        <v>80582561.25</v>
      </c>
    </row>
    <row r="15" spans="1:18" ht="18" thickBot="1" x14ac:dyDescent="0.45">
      <c r="B15" s="95" t="str">
        <f>"Total "&amp;RIGHT(B11,3)&amp;" Revenue"</f>
        <v>Total 503 Revenue</v>
      </c>
      <c r="C15" s="12"/>
      <c r="D15" s="12"/>
      <c r="E15" s="12"/>
      <c r="F15" s="13">
        <f>SUM(F12:F14)</f>
        <v>75343618.144579172</v>
      </c>
      <c r="G15" s="14"/>
      <c r="H15" s="15"/>
      <c r="I15" s="13">
        <f>SUM(I12:I14)</f>
        <v>80582705.272329018</v>
      </c>
      <c r="J15" s="16">
        <f>SUM(J12:J14)</f>
        <v>5239087.129999999</v>
      </c>
      <c r="K15" s="6">
        <f>J15/F15</f>
        <v>6.9535911056813796E-2</v>
      </c>
      <c r="M15" s="17">
        <f>'Settlement Rev Spread 2026'!F12</f>
        <v>80582705.272329018</v>
      </c>
      <c r="N15" s="96" t="s">
        <v>21</v>
      </c>
    </row>
    <row r="16" spans="1:18" ht="18.75" thickTop="1" thickBot="1" x14ac:dyDescent="0.45">
      <c r="B16" s="95"/>
      <c r="C16" s="18"/>
      <c r="D16" s="18"/>
      <c r="E16" s="18"/>
      <c r="F16" s="18"/>
      <c r="G16" s="19"/>
      <c r="H16" s="20"/>
      <c r="I16" s="21"/>
      <c r="J16" s="18"/>
      <c r="K16" s="6"/>
      <c r="M16" s="22">
        <f>M15-M14</f>
        <v>144.02232901751995</v>
      </c>
      <c r="N16" s="97" t="s">
        <v>20</v>
      </c>
    </row>
    <row r="17" spans="2:18" ht="15" x14ac:dyDescent="0.25">
      <c r="B17" s="81"/>
      <c r="C17" s="82"/>
      <c r="D17" s="82"/>
      <c r="E17" s="82"/>
      <c r="F17" s="82"/>
      <c r="G17" s="83"/>
      <c r="H17" s="82"/>
      <c r="I17" s="84"/>
      <c r="J17" s="82"/>
      <c r="K17" s="85"/>
    </row>
    <row r="18" spans="2:18" ht="17.25" x14ac:dyDescent="0.4">
      <c r="B18" s="86" t="s">
        <v>22</v>
      </c>
      <c r="G18" s="87"/>
      <c r="I18" s="88"/>
      <c r="K18" s="89"/>
    </row>
    <row r="19" spans="2:18" ht="15" x14ac:dyDescent="0.25">
      <c r="B19" s="90" t="s">
        <v>18</v>
      </c>
      <c r="C19" s="1">
        <v>342480</v>
      </c>
      <c r="D19" s="2">
        <f>'2025 Rates'!G19</f>
        <v>20</v>
      </c>
      <c r="E19" s="2"/>
      <c r="F19" s="3">
        <f>C19*D19</f>
        <v>6849600</v>
      </c>
      <c r="G19" s="4">
        <v>25.5</v>
      </c>
      <c r="H19" s="2"/>
      <c r="I19" s="5">
        <f>ROUND(C19*G19,2)</f>
        <v>8733240</v>
      </c>
      <c r="J19" s="3">
        <f>ROUND(I19-F19,2)</f>
        <v>1883640</v>
      </c>
      <c r="K19" s="6">
        <f>J19/F19</f>
        <v>0.27500000000000002</v>
      </c>
    </row>
    <row r="20" spans="2:18" ht="15" x14ac:dyDescent="0.25">
      <c r="B20" s="90" t="s">
        <v>19</v>
      </c>
      <c r="C20" s="1">
        <v>94864823.966152921</v>
      </c>
      <c r="D20" s="7">
        <f>'2025 Rates'!G20</f>
        <v>0.35238999999999998</v>
      </c>
      <c r="E20" s="7">
        <f>'2025 Rates'!H20</f>
        <v>0</v>
      </c>
      <c r="F20" s="3">
        <f>C20*(D20+E20)</f>
        <v>33429415.317432627</v>
      </c>
      <c r="G20" s="8">
        <f>ROUND((M22-I19)/C20,5)</f>
        <v>0.36205999999999999</v>
      </c>
      <c r="H20" s="7">
        <v>0</v>
      </c>
      <c r="I20" s="5">
        <f>ROUND(C20*G20,2)</f>
        <v>34346758.170000002</v>
      </c>
      <c r="J20" s="3">
        <f>ROUND(I20-F20,2)</f>
        <v>917342.85</v>
      </c>
      <c r="K20" s="6">
        <f>J20/F20</f>
        <v>2.744118738809135E-2</v>
      </c>
      <c r="P20" s="55"/>
      <c r="Q20" s="55"/>
      <c r="R20" s="55"/>
    </row>
    <row r="21" spans="2:18" ht="18" thickBot="1" x14ac:dyDescent="0.45">
      <c r="B21" s="90" t="s">
        <v>20</v>
      </c>
      <c r="C21" s="1"/>
      <c r="D21" s="9"/>
      <c r="E21" s="9"/>
      <c r="F21" s="10"/>
      <c r="G21" s="92"/>
      <c r="H21" s="93"/>
      <c r="I21" s="5">
        <f>M23</f>
        <v>-144.82720127701759</v>
      </c>
      <c r="J21" s="3">
        <f>ROUND(I21-F21,2)</f>
        <v>-144.83000000000001</v>
      </c>
      <c r="K21" s="11"/>
      <c r="M21" s="94">
        <f>SUM(I19:I20)</f>
        <v>43079998.170000002</v>
      </c>
    </row>
    <row r="22" spans="2:18" ht="18" thickBot="1" x14ac:dyDescent="0.45">
      <c r="B22" s="95" t="str">
        <f>"Total "&amp;RIGHT(B18,3)&amp;" Revenue"</f>
        <v>Total 504 Revenue</v>
      </c>
      <c r="C22" s="12"/>
      <c r="D22" s="12"/>
      <c r="E22" s="12"/>
      <c r="F22" s="13">
        <f>SUM(F19:F21)</f>
        <v>40279015.317432627</v>
      </c>
      <c r="G22" s="14"/>
      <c r="H22" s="15"/>
      <c r="I22" s="13">
        <f>SUM(I19:I21)</f>
        <v>43079853.342798725</v>
      </c>
      <c r="J22" s="16">
        <f>ROUND(I22-F22,2)</f>
        <v>2800838.03</v>
      </c>
      <c r="K22" s="6">
        <f>J22/F22</f>
        <v>6.9535911141993742E-2</v>
      </c>
      <c r="M22" s="17">
        <f>'Settlement Rev Spread 2026'!G12</f>
        <v>43079853.342798725</v>
      </c>
      <c r="N22" s="96" t="s">
        <v>21</v>
      </c>
    </row>
    <row r="23" spans="2:18" ht="18.75" thickTop="1" thickBot="1" x14ac:dyDescent="0.45">
      <c r="B23" s="95"/>
      <c r="C23" s="18"/>
      <c r="D23" s="18"/>
      <c r="E23" s="18"/>
      <c r="F23" s="18"/>
      <c r="G23" s="19"/>
      <c r="H23" s="20"/>
      <c r="I23" s="21"/>
      <c r="J23" s="18"/>
      <c r="K23" s="6"/>
      <c r="M23" s="22">
        <f>M22-M21</f>
        <v>-144.82720127701759</v>
      </c>
      <c r="N23" s="97" t="s">
        <v>20</v>
      </c>
    </row>
    <row r="24" spans="2:18" ht="15" x14ac:dyDescent="0.25">
      <c r="B24" s="81"/>
      <c r="C24" s="82"/>
      <c r="D24" s="82"/>
      <c r="E24" s="82"/>
      <c r="F24" s="82"/>
      <c r="G24" s="83"/>
      <c r="H24" s="82"/>
      <c r="I24" s="84"/>
      <c r="J24" s="82"/>
      <c r="K24" s="85"/>
    </row>
    <row r="25" spans="2:18" ht="17.25" x14ac:dyDescent="0.4">
      <c r="B25" s="86" t="s">
        <v>23</v>
      </c>
      <c r="G25" s="87"/>
      <c r="I25" s="88"/>
      <c r="K25" s="89"/>
    </row>
    <row r="26" spans="2:18" ht="15" x14ac:dyDescent="0.25">
      <c r="B26" s="90" t="s">
        <v>18</v>
      </c>
      <c r="C26" s="1">
        <v>6096</v>
      </c>
      <c r="D26" s="2">
        <f>'2025 Rates'!G26</f>
        <v>100</v>
      </c>
      <c r="E26" s="2"/>
      <c r="F26" s="3">
        <f>C26*D26</f>
        <v>609600</v>
      </c>
      <c r="G26" s="4">
        <v>130</v>
      </c>
      <c r="H26" s="2"/>
      <c r="I26" s="5">
        <f>ROUND(C26*G26,2)</f>
        <v>792480</v>
      </c>
      <c r="J26" s="3">
        <f>ROUND(I26-F26,2)</f>
        <v>182880</v>
      </c>
      <c r="K26" s="6">
        <f>J26/F26</f>
        <v>0.3</v>
      </c>
    </row>
    <row r="27" spans="2:18" ht="15" x14ac:dyDescent="0.25">
      <c r="B27" s="90" t="s">
        <v>24</v>
      </c>
      <c r="C27" s="1">
        <v>1833513.5134627069</v>
      </c>
      <c r="D27" s="7">
        <f>'2025 Rates'!G27</f>
        <v>0.26863999999999999</v>
      </c>
      <c r="E27" s="7">
        <f>'2025 Rates'!H27</f>
        <v>0</v>
      </c>
      <c r="F27" s="3">
        <f>C27*(D27+E27)</f>
        <v>492555.07025662158</v>
      </c>
      <c r="G27" s="8">
        <f>ROUND((M31-I26)*N27/C27,5)</f>
        <v>0.27398</v>
      </c>
      <c r="H27" s="7">
        <v>0</v>
      </c>
      <c r="I27" s="5">
        <f>ROUND(C27*G27,2)</f>
        <v>502346.03</v>
      </c>
      <c r="J27" s="3">
        <f>ROUND(I27-F27,2)</f>
        <v>9790.9599999999991</v>
      </c>
      <c r="K27" s="6">
        <f>J27/F27</f>
        <v>1.9877899124861109E-2</v>
      </c>
      <c r="M27" s="23">
        <f>(D27+E27)/G27</f>
        <v>0.98050952624279142</v>
      </c>
      <c r="N27" s="24">
        <f>F27/SUM($F$27:$F$29)</f>
        <v>0.1740734722035169</v>
      </c>
      <c r="P27" s="55"/>
      <c r="Q27" s="55"/>
      <c r="R27" s="55"/>
    </row>
    <row r="28" spans="2:18" ht="15" x14ac:dyDescent="0.25">
      <c r="B28" s="90" t="s">
        <v>25</v>
      </c>
      <c r="C28" s="1">
        <v>5797268.9893457806</v>
      </c>
      <c r="D28" s="7">
        <f>'2025 Rates'!G28</f>
        <v>0.22241</v>
      </c>
      <c r="E28" s="7">
        <f>E27</f>
        <v>0</v>
      </c>
      <c r="F28" s="3">
        <f>C28*(D28+E28)</f>
        <v>1289370.5959203951</v>
      </c>
      <c r="G28" s="8">
        <f>ROUND((M31-I26)*N28/C28,5)</f>
        <v>0.22683</v>
      </c>
      <c r="H28" s="7">
        <v>0</v>
      </c>
      <c r="I28" s="5">
        <f>ROUND(C28*G28,2)</f>
        <v>1314994.52</v>
      </c>
      <c r="J28" s="3">
        <f>ROUND(I28-F28,2)</f>
        <v>25623.919999999998</v>
      </c>
      <c r="K28" s="6">
        <f>J28/F28</f>
        <v>1.9873200211851273E-2</v>
      </c>
      <c r="M28" s="23">
        <f>(D28+E28)/G28</f>
        <v>0.98051404135255471</v>
      </c>
      <c r="N28" s="24">
        <f>F28/SUM($F$27:$F$29)</f>
        <v>0.45567537549059195</v>
      </c>
      <c r="P28" s="55"/>
      <c r="Q28" s="55"/>
      <c r="R28" s="55"/>
    </row>
    <row r="29" spans="2:18" ht="15" x14ac:dyDescent="0.25">
      <c r="B29" s="90" t="s">
        <v>26</v>
      </c>
      <c r="C29" s="1">
        <v>4863091.4796084724</v>
      </c>
      <c r="D29" s="7">
        <f>'2025 Rates'!G29</f>
        <v>0.21543000000000001</v>
      </c>
      <c r="E29" s="7">
        <f>E27</f>
        <v>0</v>
      </c>
      <c r="F29" s="3">
        <f>C29*(D29+E29)</f>
        <v>1047655.7974520533</v>
      </c>
      <c r="G29" s="8">
        <f>ROUND((M31-I26)*N29/C29,5)</f>
        <v>0.21970999999999999</v>
      </c>
      <c r="H29" s="7">
        <v>0</v>
      </c>
      <c r="I29" s="5">
        <f>ROUND(C29*G29,2)</f>
        <v>1068469.83</v>
      </c>
      <c r="J29" s="3">
        <f>ROUND(I29-F29,2)</f>
        <v>20814.03</v>
      </c>
      <c r="K29" s="6">
        <f>J29/F29</f>
        <v>1.9867240796663053E-2</v>
      </c>
      <c r="M29" s="23">
        <f>(D29+E29)/G29</f>
        <v>0.98051977606845397</v>
      </c>
      <c r="N29" s="24">
        <f>F29/SUM($F$27:$F$29)</f>
        <v>0.37025115230589123</v>
      </c>
      <c r="P29" s="55"/>
      <c r="Q29" s="55"/>
      <c r="R29" s="55"/>
    </row>
    <row r="30" spans="2:18" ht="18" thickBot="1" x14ac:dyDescent="0.45">
      <c r="B30" s="90" t="s">
        <v>20</v>
      </c>
      <c r="C30" s="1"/>
      <c r="D30" s="9"/>
      <c r="E30" s="9"/>
      <c r="F30" s="10"/>
      <c r="G30" s="92"/>
      <c r="H30" s="93"/>
      <c r="I30" s="5">
        <f>M32</f>
        <v>37.699889511801302</v>
      </c>
      <c r="J30" s="3">
        <f>ROUND(I30-F30,2)</f>
        <v>37.700000000000003</v>
      </c>
      <c r="K30" s="11"/>
      <c r="M30" s="94">
        <f>SUM(I26:I29)</f>
        <v>3678290.38</v>
      </c>
    </row>
    <row r="31" spans="2:18" ht="18" thickBot="1" x14ac:dyDescent="0.45">
      <c r="B31" s="95" t="str">
        <f>"Total "&amp;RIGHT(B25,3)&amp;" Revenue"</f>
        <v>Total 505 Revenue</v>
      </c>
      <c r="C31" s="25"/>
      <c r="D31" s="18"/>
      <c r="E31" s="12"/>
      <c r="F31" s="13">
        <f>SUM(F26:F30)</f>
        <v>3439181.4636290697</v>
      </c>
      <c r="G31" s="14"/>
      <c r="H31" s="15"/>
      <c r="I31" s="13">
        <f>SUM(I26:I30)</f>
        <v>3678328.0798895117</v>
      </c>
      <c r="J31" s="16">
        <f>SUM(J26:J30)</f>
        <v>239146.61000000002</v>
      </c>
      <c r="K31" s="6">
        <f>J31/F31</f>
        <v>6.9535909206619576E-2</v>
      </c>
      <c r="M31" s="17">
        <f>'Settlement Rev Spread 2026'!H12</f>
        <v>3678328.0798895117</v>
      </c>
      <c r="N31" s="96" t="s">
        <v>21</v>
      </c>
    </row>
    <row r="32" spans="2:18" ht="18.75" thickTop="1" thickBot="1" x14ac:dyDescent="0.45">
      <c r="B32" s="95"/>
      <c r="C32" s="18"/>
      <c r="D32" s="18"/>
      <c r="E32" s="18"/>
      <c r="F32" s="18"/>
      <c r="G32" s="19"/>
      <c r="H32" s="20"/>
      <c r="I32" s="21"/>
      <c r="J32" s="18"/>
      <c r="K32" s="6"/>
      <c r="M32" s="22">
        <f>M31-M30</f>
        <v>37.699889511801302</v>
      </c>
      <c r="N32" s="97" t="s">
        <v>20</v>
      </c>
    </row>
    <row r="33" spans="2:18" ht="15" x14ac:dyDescent="0.25">
      <c r="B33" s="81"/>
      <c r="C33" s="82"/>
      <c r="D33" s="82"/>
      <c r="E33" s="82"/>
      <c r="F33" s="82"/>
      <c r="G33" s="83"/>
      <c r="H33" s="82"/>
      <c r="I33" s="84"/>
      <c r="J33" s="82"/>
      <c r="K33" s="85"/>
    </row>
    <row r="34" spans="2:18" ht="17.25" x14ac:dyDescent="0.4">
      <c r="B34" s="86" t="s">
        <v>27</v>
      </c>
      <c r="G34" s="87"/>
      <c r="I34" s="88"/>
      <c r="K34" s="89"/>
    </row>
    <row r="35" spans="2:18" ht="15" x14ac:dyDescent="0.25">
      <c r="B35" s="90" t="s">
        <v>18</v>
      </c>
      <c r="C35" s="1">
        <v>1188</v>
      </c>
      <c r="D35" s="2">
        <f>'2025 Rates'!G35</f>
        <v>250</v>
      </c>
      <c r="E35" s="2"/>
      <c r="F35" s="3">
        <f>C35*D35</f>
        <v>297000</v>
      </c>
      <c r="G35" s="4">
        <v>350</v>
      </c>
      <c r="H35" s="2"/>
      <c r="I35" s="5">
        <f>ROUND(C35*G35,2)</f>
        <v>415800</v>
      </c>
      <c r="J35" s="3">
        <f t="shared" ref="J35:J40" si="0">ROUND(I35-F35,2)</f>
        <v>118800</v>
      </c>
      <c r="K35" s="6">
        <f>IFERROR(J35/F35,"")</f>
        <v>0.4</v>
      </c>
    </row>
    <row r="36" spans="2:18" ht="15" x14ac:dyDescent="0.25">
      <c r="B36" s="90" t="s">
        <v>28</v>
      </c>
      <c r="C36" s="1">
        <v>9861038.8412244879</v>
      </c>
      <c r="D36" s="7">
        <f>'2025 Rates'!G36</f>
        <v>0.21507999999999999</v>
      </c>
      <c r="E36" s="7">
        <f>'2025 Rates'!H36</f>
        <v>0</v>
      </c>
      <c r="F36" s="3">
        <f>C36*(D36+E36)</f>
        <v>2120912.2339705629</v>
      </c>
      <c r="G36" s="8">
        <f>ROUND((M40-I35)*N36/C36,5)</f>
        <v>0.22323000000000001</v>
      </c>
      <c r="H36" s="7">
        <v>0</v>
      </c>
      <c r="I36" s="5">
        <f>ROUND(C36*G36,2)</f>
        <v>2201279.7000000002</v>
      </c>
      <c r="J36" s="3">
        <f t="shared" si="0"/>
        <v>80367.47</v>
      </c>
      <c r="K36" s="6">
        <f>J36/F36</f>
        <v>3.7892878692836779E-2</v>
      </c>
      <c r="N36" s="24">
        <f>F36/SUM($F$36:$F$38)</f>
        <v>0.68351471510067263</v>
      </c>
      <c r="P36" s="55"/>
      <c r="Q36" s="55"/>
      <c r="R36" s="55"/>
    </row>
    <row r="37" spans="2:18" ht="15" x14ac:dyDescent="0.25">
      <c r="B37" s="90" t="s">
        <v>29</v>
      </c>
      <c r="C37" s="1">
        <v>5346794.8493877547</v>
      </c>
      <c r="D37" s="7">
        <f>'2025 Rates'!G37</f>
        <v>0.16871</v>
      </c>
      <c r="E37" s="7">
        <f>E36</f>
        <v>0</v>
      </c>
      <c r="F37" s="3">
        <f>C37*(D37+E37)</f>
        <v>902057.75904020807</v>
      </c>
      <c r="G37" s="8">
        <f>ROUND((M40-I35)*N37/C37,5)</f>
        <v>0.17510999999999999</v>
      </c>
      <c r="H37" s="7">
        <v>0</v>
      </c>
      <c r="I37" s="5">
        <f>ROUND(C37*G37,2)</f>
        <v>936277.25</v>
      </c>
      <c r="J37" s="3">
        <f t="shared" si="0"/>
        <v>34219.49</v>
      </c>
      <c r="K37" s="6">
        <f>J37/F37</f>
        <v>3.7934921192196859E-2</v>
      </c>
      <c r="N37" s="24">
        <f>F37/SUM($F$36:$F$38)</f>
        <v>0.29070969665747926</v>
      </c>
      <c r="P37" s="55"/>
      <c r="Q37" s="55"/>
      <c r="R37" s="55"/>
    </row>
    <row r="38" spans="2:18" ht="15" x14ac:dyDescent="0.25">
      <c r="B38" s="90" t="s">
        <v>30</v>
      </c>
      <c r="C38" s="1">
        <v>1480843.7495918367</v>
      </c>
      <c r="D38" s="7">
        <f>'2025 Rates'!G38</f>
        <v>5.4010000000000002E-2</v>
      </c>
      <c r="E38" s="7">
        <f>E36</f>
        <v>0</v>
      </c>
      <c r="F38" s="3">
        <f>C38*(D38+E38)</f>
        <v>79980.370915455103</v>
      </c>
      <c r="G38" s="8">
        <f>ROUND((M40-I35)*N38/C38,5)</f>
        <v>5.6059999999999999E-2</v>
      </c>
      <c r="H38" s="7">
        <v>0</v>
      </c>
      <c r="I38" s="5">
        <f>ROUND(C38*G38,2)</f>
        <v>83016.100000000006</v>
      </c>
      <c r="J38" s="3">
        <f t="shared" si="0"/>
        <v>3035.73</v>
      </c>
      <c r="K38" s="6">
        <f>J38/F38</f>
        <v>3.7955938003950758E-2</v>
      </c>
      <c r="N38" s="24">
        <f>F38/SUM($F$36:$F$38)</f>
        <v>2.5775588241848096E-2</v>
      </c>
      <c r="P38" s="55"/>
      <c r="Q38" s="55"/>
      <c r="R38" s="55"/>
    </row>
    <row r="39" spans="2:18" ht="18" thickBot="1" x14ac:dyDescent="0.45">
      <c r="B39" s="90" t="s">
        <v>20</v>
      </c>
      <c r="C39" s="1"/>
      <c r="D39" s="9"/>
      <c r="E39" s="9"/>
      <c r="F39" s="10"/>
      <c r="G39" s="92"/>
      <c r="H39" s="93"/>
      <c r="I39" s="5">
        <f>M41</f>
        <v>-4.040071758441627</v>
      </c>
      <c r="J39" s="3">
        <f t="shared" si="0"/>
        <v>-4.04</v>
      </c>
      <c r="K39" s="11"/>
      <c r="M39" s="94">
        <f>SUM(I35:I38)</f>
        <v>3636373.0500000003</v>
      </c>
    </row>
    <row r="40" spans="2:18" ht="18" thickBot="1" x14ac:dyDescent="0.45">
      <c r="B40" s="95" t="str">
        <f>"Total "&amp;RIGHT(B34,3)&amp;" Revenue"</f>
        <v>Total 511 Revenue</v>
      </c>
      <c r="C40" s="25"/>
      <c r="D40" s="12"/>
      <c r="E40" s="12"/>
      <c r="F40" s="13">
        <f>SUM(F35:F39)</f>
        <v>3399950.3639262263</v>
      </c>
      <c r="G40" s="14"/>
      <c r="H40" s="15"/>
      <c r="I40" s="13">
        <f>SUM(I35:I39)</f>
        <v>3636369.0099282418</v>
      </c>
      <c r="J40" s="16">
        <f t="shared" si="0"/>
        <v>236418.65</v>
      </c>
      <c r="K40" s="6">
        <f>J40/F40</f>
        <v>6.9535912202843539E-2</v>
      </c>
      <c r="M40" s="17">
        <f>'Settlement Rev Spread 2026'!I12</f>
        <v>3636369.0099282418</v>
      </c>
      <c r="N40" s="96" t="s">
        <v>21</v>
      </c>
    </row>
    <row r="41" spans="2:18" ht="18.75" thickTop="1" thickBot="1" x14ac:dyDescent="0.45">
      <c r="B41" s="95"/>
      <c r="C41" s="18"/>
      <c r="D41" s="18"/>
      <c r="E41" s="18"/>
      <c r="F41" s="18"/>
      <c r="G41" s="19"/>
      <c r="H41" s="20"/>
      <c r="I41" s="21"/>
      <c r="J41" s="18"/>
      <c r="K41" s="6"/>
      <c r="M41" s="22">
        <f>M40-M39</f>
        <v>-4.040071758441627</v>
      </c>
      <c r="N41" s="97" t="s">
        <v>20</v>
      </c>
    </row>
    <row r="42" spans="2:18" ht="15" x14ac:dyDescent="0.25">
      <c r="B42" s="81"/>
      <c r="C42" s="82"/>
      <c r="D42" s="82"/>
      <c r="E42" s="82"/>
      <c r="F42" s="82"/>
      <c r="G42" s="83"/>
      <c r="H42" s="82"/>
      <c r="I42" s="84"/>
      <c r="J42" s="82"/>
      <c r="K42" s="85"/>
    </row>
    <row r="43" spans="2:18" ht="17.25" x14ac:dyDescent="0.4">
      <c r="B43" s="86" t="s">
        <v>31</v>
      </c>
      <c r="G43" s="87"/>
      <c r="I43" s="88"/>
      <c r="K43" s="89"/>
    </row>
    <row r="44" spans="2:18" ht="15" x14ac:dyDescent="0.25">
      <c r="B44" s="90" t="s">
        <v>18</v>
      </c>
      <c r="C44" s="1">
        <v>84</v>
      </c>
      <c r="D44" s="2">
        <f>'2025 Rates'!G44</f>
        <v>300</v>
      </c>
      <c r="E44" s="2"/>
      <c r="F44" s="3">
        <f>C44*D44</f>
        <v>25200</v>
      </c>
      <c r="G44" s="4">
        <v>400</v>
      </c>
      <c r="H44" s="2"/>
      <c r="I44" s="5">
        <f>ROUND(C44*G44,2)</f>
        <v>33600</v>
      </c>
      <c r="J44" s="3">
        <f>ROUND(I44-F44,2)</f>
        <v>8400</v>
      </c>
      <c r="K44" s="6">
        <f>IFERROR(J44/F44,"")</f>
        <v>0.33333333333333331</v>
      </c>
    </row>
    <row r="45" spans="2:18" ht="15" x14ac:dyDescent="0.25">
      <c r="B45" s="90" t="s">
        <v>32</v>
      </c>
      <c r="C45" s="1">
        <v>1086598</v>
      </c>
      <c r="D45" s="7">
        <f>'2025 Rates'!G45</f>
        <v>0.12406</v>
      </c>
      <c r="E45" s="7">
        <f>'2025 Rates'!H45</f>
        <v>0</v>
      </c>
      <c r="F45" s="3">
        <f>C45*(D45+E45)</f>
        <v>134803.34788000002</v>
      </c>
      <c r="G45" s="8">
        <f>ROUND((M48-I44)*N45/C45,5)</f>
        <v>0.12814999999999999</v>
      </c>
      <c r="H45" s="7">
        <v>0</v>
      </c>
      <c r="I45" s="5">
        <f>ROUND(C45*G45,2)</f>
        <v>139247.53</v>
      </c>
      <c r="J45" s="3">
        <f>ROUND(I45-F45,2)</f>
        <v>4444.18</v>
      </c>
      <c r="K45" s="6">
        <f>J45/F45</f>
        <v>3.29678755749905E-2</v>
      </c>
      <c r="N45" s="24">
        <f>F45/SUM($F$45:$F$46)</f>
        <v>0.74159695774661327</v>
      </c>
      <c r="P45" s="55"/>
      <c r="Q45" s="55"/>
      <c r="R45" s="55"/>
    </row>
    <row r="46" spans="2:18" ht="15" x14ac:dyDescent="0.25">
      <c r="B46" s="90" t="s">
        <v>33</v>
      </c>
      <c r="C46" s="1">
        <v>1011000</v>
      </c>
      <c r="D46" s="7">
        <f>'2025 Rates'!G46</f>
        <v>4.6460000000000001E-2</v>
      </c>
      <c r="E46" s="7">
        <f>E45</f>
        <v>0</v>
      </c>
      <c r="F46" s="3">
        <f>C46*(D46+E46)</f>
        <v>46971.06</v>
      </c>
      <c r="G46" s="8">
        <f>ROUND((M48-I44)*N46/C46,5)</f>
        <v>4.7989999999999998E-2</v>
      </c>
      <c r="H46" s="7">
        <v>0</v>
      </c>
      <c r="I46" s="5">
        <f>ROUND(C46*G46,2)</f>
        <v>48517.89</v>
      </c>
      <c r="J46" s="3">
        <f>ROUND(I46-F46,2)</f>
        <v>1546.83</v>
      </c>
      <c r="K46" s="6">
        <f>J46/F46</f>
        <v>3.2931554024967717E-2</v>
      </c>
      <c r="N46" s="24">
        <f>F46/SUM($F$45:$F$46)</f>
        <v>0.25840304225338673</v>
      </c>
      <c r="P46" s="55"/>
      <c r="Q46" s="55"/>
      <c r="R46" s="55"/>
    </row>
    <row r="47" spans="2:18" ht="18" thickBot="1" x14ac:dyDescent="0.45">
      <c r="B47" s="90" t="s">
        <v>20</v>
      </c>
      <c r="C47" s="1"/>
      <c r="D47" s="9"/>
      <c r="E47" s="9"/>
      <c r="F47" s="10"/>
      <c r="G47" s="92"/>
      <c r="H47" s="93"/>
      <c r="I47" s="5">
        <f>M49</f>
        <v>1.141891199076781</v>
      </c>
      <c r="J47" s="3">
        <f>ROUND(I47-F47,2)</f>
        <v>1.1399999999999999</v>
      </c>
      <c r="K47" s="11"/>
      <c r="M47" s="94">
        <f>SUM(I43:I46)</f>
        <v>221365.41999999998</v>
      </c>
    </row>
    <row r="48" spans="2:18" ht="18" thickBot="1" x14ac:dyDescent="0.45">
      <c r="B48" s="95" t="str">
        <f>"Total "&amp;RIGHT(B43,3)&amp;" Revenue"</f>
        <v>Total 570 Revenue</v>
      </c>
      <c r="C48" s="25"/>
      <c r="D48" s="12"/>
      <c r="E48" s="12"/>
      <c r="F48" s="13">
        <f>SUM(F44:F47)</f>
        <v>206974.40788000001</v>
      </c>
      <c r="G48" s="14"/>
      <c r="H48" s="15"/>
      <c r="I48" s="13">
        <f>SUM(I44:I47)</f>
        <v>221366.56189119906</v>
      </c>
      <c r="J48" s="16">
        <f>ROUND(I48-F48,2)</f>
        <v>14392.15</v>
      </c>
      <c r="K48" s="6">
        <f>J48/F48</f>
        <v>6.9535891646779369E-2</v>
      </c>
      <c r="M48" s="17">
        <f>'Settlement Rev Spread 2026'!J12</f>
        <v>221366.56189119906</v>
      </c>
      <c r="N48" s="96" t="s">
        <v>21</v>
      </c>
    </row>
    <row r="49" spans="2:18" ht="18.75" thickTop="1" thickBot="1" x14ac:dyDescent="0.45">
      <c r="B49" s="98"/>
      <c r="C49" s="20"/>
      <c r="D49" s="20"/>
      <c r="E49" s="20"/>
      <c r="F49" s="20"/>
      <c r="G49" s="19"/>
      <c r="H49" s="20"/>
      <c r="I49" s="21"/>
      <c r="J49" s="20"/>
      <c r="K49" s="26"/>
      <c r="M49" s="22">
        <f>M48-M47</f>
        <v>1.141891199076781</v>
      </c>
      <c r="N49" s="97" t="s">
        <v>20</v>
      </c>
    </row>
    <row r="50" spans="2:18" ht="18" thickBot="1" x14ac:dyDescent="0.45">
      <c r="B50" s="99"/>
      <c r="C50" s="18"/>
      <c r="D50" s="18"/>
      <c r="E50" s="18"/>
      <c r="F50" s="18"/>
      <c r="G50" s="18"/>
      <c r="H50" s="18"/>
      <c r="I50" s="18"/>
      <c r="J50" s="18"/>
      <c r="K50" s="18"/>
      <c r="M50" s="3"/>
    </row>
    <row r="51" spans="2:18" ht="15" x14ac:dyDescent="0.25">
      <c r="B51" s="81"/>
      <c r="C51" s="82"/>
      <c r="D51" s="82"/>
      <c r="E51" s="82"/>
      <c r="F51" s="82"/>
      <c r="G51" s="83"/>
      <c r="H51" s="82"/>
      <c r="I51" s="84"/>
      <c r="J51" s="82"/>
      <c r="K51" s="85"/>
    </row>
    <row r="52" spans="2:18" ht="17.25" x14ac:dyDescent="0.4">
      <c r="B52" s="86" t="s">
        <v>34</v>
      </c>
      <c r="G52" s="87"/>
      <c r="I52" s="88"/>
      <c r="K52" s="89"/>
    </row>
    <row r="53" spans="2:18" ht="15" x14ac:dyDescent="0.25">
      <c r="B53" s="90" t="s">
        <v>35</v>
      </c>
      <c r="C53" s="1">
        <v>42366960</v>
      </c>
      <c r="D53" s="27">
        <f>'2025 Rates'!G53</f>
        <v>0.4</v>
      </c>
      <c r="E53" s="27"/>
      <c r="F53" s="3">
        <f>C53*D53</f>
        <v>16946784</v>
      </c>
      <c r="G53" s="4">
        <v>0.45</v>
      </c>
      <c r="H53" s="2"/>
      <c r="I53" s="5">
        <f t="shared" ref="I53:I59" si="1">ROUND(C53*G53,2)</f>
        <v>19065132</v>
      </c>
      <c r="J53" s="3">
        <f>ROUND(I53-F53,2)</f>
        <v>2118348</v>
      </c>
      <c r="K53" s="6">
        <f t="shared" ref="K53:K59" si="2">J53/F53</f>
        <v>0.125</v>
      </c>
      <c r="M53" s="24"/>
    </row>
    <row r="54" spans="2:18" ht="15" x14ac:dyDescent="0.25">
      <c r="B54" s="90" t="s">
        <v>36</v>
      </c>
      <c r="C54" s="1">
        <v>854941070.21112633</v>
      </c>
      <c r="D54" s="28">
        <f>'2025 Rates'!G54</f>
        <v>1.1000000000000001E-3</v>
      </c>
      <c r="E54" s="28"/>
      <c r="F54" s="3">
        <f>C54*D54</f>
        <v>940435.17723223905</v>
      </c>
      <c r="G54" s="8">
        <v>1.1000000000000001E-3</v>
      </c>
      <c r="H54" s="7"/>
      <c r="I54" s="5">
        <f t="shared" si="1"/>
        <v>940435.18</v>
      </c>
      <c r="J54" s="3">
        <f t="shared" ref="J54:J60" si="3">ROUND(I54-F54,2)</f>
        <v>0</v>
      </c>
      <c r="K54" s="6">
        <f t="shared" si="2"/>
        <v>0</v>
      </c>
      <c r="M54" s="24"/>
    </row>
    <row r="55" spans="2:18" ht="15" x14ac:dyDescent="0.25">
      <c r="B55" s="90" t="s">
        <v>18</v>
      </c>
      <c r="C55" s="1">
        <v>2316</v>
      </c>
      <c r="D55" s="27">
        <f>'2025 Rates'!G55</f>
        <v>1000</v>
      </c>
      <c r="E55" s="27"/>
      <c r="F55" s="3">
        <f>C55*D55</f>
        <v>2316000</v>
      </c>
      <c r="G55" s="4">
        <v>1200</v>
      </c>
      <c r="H55" s="2"/>
      <c r="I55" s="5">
        <f t="shared" si="1"/>
        <v>2779200</v>
      </c>
      <c r="J55" s="3">
        <f t="shared" si="3"/>
        <v>463200</v>
      </c>
      <c r="K55" s="6">
        <f t="shared" si="2"/>
        <v>0.2</v>
      </c>
      <c r="M55" s="29"/>
    </row>
    <row r="56" spans="2:18" ht="15" x14ac:dyDescent="0.25">
      <c r="B56" s="90" t="s">
        <v>37</v>
      </c>
      <c r="C56" s="1">
        <v>100667737.22113912</v>
      </c>
      <c r="D56" s="28">
        <f>'2025 Rates'!G56</f>
        <v>5.1500000000000004E-2</v>
      </c>
      <c r="E56" s="28">
        <f>'2025 Rates'!H56</f>
        <v>0</v>
      </c>
      <c r="F56" s="3">
        <f>C56*(D56+E56)</f>
        <v>5184388.4668886652</v>
      </c>
      <c r="G56" s="8">
        <f>ROUND(($M$61-SUM($I$53:$I$55))*N56/C56,5)</f>
        <v>5.0290000000000001E-2</v>
      </c>
      <c r="H56" s="7">
        <v>0</v>
      </c>
      <c r="I56" s="5">
        <f t="shared" si="1"/>
        <v>5062580.5</v>
      </c>
      <c r="J56" s="3">
        <f t="shared" si="3"/>
        <v>-121807.97</v>
      </c>
      <c r="K56" s="6">
        <f t="shared" si="2"/>
        <v>-2.3495147166913838E-2</v>
      </c>
      <c r="M56" s="55"/>
      <c r="N56" s="24">
        <f>F56/SUM($F$56:$F$59)</f>
        <v>0.41000138932639135</v>
      </c>
      <c r="P56" s="55"/>
      <c r="Q56" s="55"/>
      <c r="R56" s="55"/>
    </row>
    <row r="57" spans="2:18" ht="15" x14ac:dyDescent="0.25">
      <c r="B57" s="90" t="s">
        <v>38</v>
      </c>
      <c r="C57" s="1">
        <v>72067729.44475241</v>
      </c>
      <c r="D57" s="28">
        <f>'2025 Rates'!G57</f>
        <v>2.0920000000000001E-2</v>
      </c>
      <c r="E57" s="28">
        <f>E56</f>
        <v>0</v>
      </c>
      <c r="F57" s="3">
        <f>C57*(D57+E57)</f>
        <v>1507656.8999842205</v>
      </c>
      <c r="G57" s="8">
        <f t="shared" ref="G57:G59" si="4">ROUND(($M$61-SUM($I$53:$I$55))*N57/C57,5)</f>
        <v>2.043E-2</v>
      </c>
      <c r="H57" s="7">
        <v>0</v>
      </c>
      <c r="I57" s="5">
        <f t="shared" si="1"/>
        <v>1472343.71</v>
      </c>
      <c r="J57" s="3">
        <f t="shared" si="3"/>
        <v>-35313.19</v>
      </c>
      <c r="K57" s="6">
        <f t="shared" si="2"/>
        <v>-2.3422563847497132E-2</v>
      </c>
      <c r="M57" s="55"/>
      <c r="N57" s="24">
        <f>F57/SUM($F$56:$F$59)</f>
        <v>0.11923130906739694</v>
      </c>
      <c r="P57" s="55"/>
      <c r="Q57" s="55"/>
      <c r="R57" s="55"/>
    </row>
    <row r="58" spans="2:18" ht="15" x14ac:dyDescent="0.25">
      <c r="B58" s="90" t="s">
        <v>38</v>
      </c>
      <c r="C58" s="1">
        <v>37181911.28548535</v>
      </c>
      <c r="D58" s="28">
        <f>'2025 Rates'!G58</f>
        <v>1.4029999999999999E-2</v>
      </c>
      <c r="E58" s="28">
        <f>E56</f>
        <v>0</v>
      </c>
      <c r="F58" s="3">
        <f>C58*(D58+E58)</f>
        <v>521662.21533535945</v>
      </c>
      <c r="G58" s="8">
        <f t="shared" si="4"/>
        <v>1.37E-2</v>
      </c>
      <c r="H58" s="7">
        <v>0</v>
      </c>
      <c r="I58" s="5">
        <f t="shared" si="1"/>
        <v>509392.18</v>
      </c>
      <c r="J58" s="3">
        <f t="shared" si="3"/>
        <v>-12270.04</v>
      </c>
      <c r="K58" s="6">
        <f t="shared" si="2"/>
        <v>-2.3521044153278374E-2</v>
      </c>
      <c r="M58" s="55"/>
      <c r="N58" s="24">
        <f>F58/SUM($F$56:$F$59)</f>
        <v>4.1255055328625632E-2</v>
      </c>
      <c r="P58" s="55"/>
      <c r="Q58" s="55"/>
      <c r="R58" s="55"/>
    </row>
    <row r="59" spans="2:18" ht="15" x14ac:dyDescent="0.25">
      <c r="B59" s="90" t="s">
        <v>39</v>
      </c>
      <c r="C59" s="1">
        <v>645023692.25974941</v>
      </c>
      <c r="D59" s="28">
        <f>'2025 Rates'!G59</f>
        <v>8.4200000000000004E-3</v>
      </c>
      <c r="E59" s="28">
        <f>E56</f>
        <v>0</v>
      </c>
      <c r="F59" s="3">
        <f>C59*(D59+E59)</f>
        <v>5431099.4888270907</v>
      </c>
      <c r="G59" s="8">
        <f t="shared" si="4"/>
        <v>8.2199999999999999E-3</v>
      </c>
      <c r="H59" s="7">
        <v>0</v>
      </c>
      <c r="I59" s="5">
        <f t="shared" si="1"/>
        <v>5302094.75</v>
      </c>
      <c r="J59" s="3">
        <f t="shared" si="3"/>
        <v>-129004.74</v>
      </c>
      <c r="K59" s="6">
        <f t="shared" si="2"/>
        <v>-2.3752969406174527E-2</v>
      </c>
      <c r="M59" s="55"/>
      <c r="N59" s="24">
        <f>F59/SUM($F$56:$F$59)</f>
        <v>0.429512246277586</v>
      </c>
      <c r="P59" s="55"/>
      <c r="Q59" s="55"/>
      <c r="R59" s="55"/>
    </row>
    <row r="60" spans="2:18" ht="18" thickBot="1" x14ac:dyDescent="0.45">
      <c r="B60" s="90" t="s">
        <v>20</v>
      </c>
      <c r="C60" s="1"/>
      <c r="D60" s="9"/>
      <c r="E60" s="9"/>
      <c r="F60" s="10"/>
      <c r="G60" s="8"/>
      <c r="H60" s="7"/>
      <c r="I60" s="5">
        <f>M62</f>
        <v>965.35887797921896</v>
      </c>
      <c r="J60" s="3">
        <f t="shared" si="3"/>
        <v>965.36</v>
      </c>
      <c r="K60" s="11"/>
      <c r="M60" s="94">
        <f>SUM(I53:I59)</f>
        <v>35131178.32</v>
      </c>
    </row>
    <row r="61" spans="2:18" ht="18" thickBot="1" x14ac:dyDescent="0.45">
      <c r="B61" s="95" t="str">
        <f>"Total "&amp;RIGHT(B52,3)&amp;" Revenue"</f>
        <v>Total 663 Revenue</v>
      </c>
      <c r="C61" s="1"/>
      <c r="D61" s="12"/>
      <c r="E61" s="12"/>
      <c r="F61" s="13">
        <f>SUM(F53:F60)</f>
        <v>32848026.248267576</v>
      </c>
      <c r="G61" s="14"/>
      <c r="H61" s="15"/>
      <c r="I61" s="13">
        <f>SUM(I53:I60)</f>
        <v>35132143.67887798</v>
      </c>
      <c r="J61" s="16">
        <f>ROUND(I61-F61,2)</f>
        <v>2284117.4300000002</v>
      </c>
      <c r="K61" s="6">
        <f>J61/F61</f>
        <v>6.9535911008365869E-2</v>
      </c>
      <c r="M61" s="17">
        <f>'Settlement Rev Spread 2026'!K12</f>
        <v>35132143.67887798</v>
      </c>
      <c r="N61" s="96" t="s">
        <v>21</v>
      </c>
    </row>
    <row r="62" spans="2:18" ht="18.75" thickTop="1" thickBot="1" x14ac:dyDescent="0.45">
      <c r="B62" s="100"/>
      <c r="C62" s="20"/>
      <c r="D62" s="20"/>
      <c r="E62" s="20"/>
      <c r="F62" s="20"/>
      <c r="G62" s="19"/>
      <c r="H62" s="20"/>
      <c r="I62" s="21"/>
      <c r="J62" s="20"/>
      <c r="K62" s="26"/>
      <c r="M62" s="22">
        <f>M61-M60</f>
        <v>965.35887797921896</v>
      </c>
      <c r="N62" s="97" t="s">
        <v>20</v>
      </c>
    </row>
    <row r="63" spans="2:18" ht="15" x14ac:dyDescent="0.25">
      <c r="B63" s="81"/>
      <c r="C63" s="82"/>
      <c r="D63" s="82"/>
      <c r="E63" s="82"/>
      <c r="F63" s="82"/>
      <c r="G63" s="83"/>
      <c r="H63" s="82"/>
      <c r="I63" s="84"/>
      <c r="J63" s="83"/>
      <c r="K63" s="85"/>
    </row>
    <row r="64" spans="2:18" ht="17.25" x14ac:dyDescent="0.4">
      <c r="B64" s="86" t="s">
        <v>40</v>
      </c>
      <c r="G64" s="87"/>
      <c r="I64" s="88"/>
      <c r="J64" s="87"/>
      <c r="K64" s="89"/>
    </row>
    <row r="65" spans="2:14" ht="15" x14ac:dyDescent="0.25">
      <c r="B65" s="90" t="s">
        <v>18</v>
      </c>
      <c r="E65" s="27"/>
      <c r="F65" s="3">
        <v>411977.32</v>
      </c>
      <c r="G65" s="4"/>
      <c r="H65" s="2"/>
      <c r="I65" s="5">
        <f>F65</f>
        <v>411977.32</v>
      </c>
      <c r="J65" s="30">
        <f>I65-F65</f>
        <v>0</v>
      </c>
      <c r="K65" s="6">
        <f>J65/F65</f>
        <v>0</v>
      </c>
    </row>
    <row r="66" spans="2:14" ht="15" x14ac:dyDescent="0.25">
      <c r="B66" s="90" t="s">
        <v>41</v>
      </c>
      <c r="E66" s="28"/>
      <c r="F66" s="3">
        <v>60000</v>
      </c>
      <c r="G66" s="4"/>
      <c r="H66" s="2"/>
      <c r="I66" s="5">
        <f>F66</f>
        <v>60000</v>
      </c>
      <c r="J66" s="30">
        <f>I66-F66</f>
        <v>0</v>
      </c>
      <c r="K66" s="6">
        <f>J66/F66</f>
        <v>0</v>
      </c>
    </row>
    <row r="67" spans="2:14" ht="15" x14ac:dyDescent="0.25">
      <c r="B67" s="90" t="s">
        <v>42</v>
      </c>
      <c r="E67" s="28"/>
      <c r="F67" s="3">
        <v>122757.90000000001</v>
      </c>
      <c r="G67" s="4"/>
      <c r="H67" s="2"/>
      <c r="I67" s="5">
        <f>F67</f>
        <v>122757.90000000001</v>
      </c>
      <c r="J67" s="30">
        <f>I67-F67</f>
        <v>0</v>
      </c>
      <c r="K67" s="6">
        <f>J67/F67</f>
        <v>0</v>
      </c>
    </row>
    <row r="68" spans="2:14" ht="15.75" thickBot="1" x14ac:dyDescent="0.3">
      <c r="B68" s="90" t="s">
        <v>19</v>
      </c>
      <c r="E68" s="28"/>
      <c r="F68" s="3">
        <v>2553267.1299999994</v>
      </c>
      <c r="G68" s="8"/>
      <c r="H68" s="7"/>
      <c r="I68" s="5">
        <f>F68</f>
        <v>2553267.1299999994</v>
      </c>
      <c r="J68" s="30">
        <f>I68-F68</f>
        <v>0</v>
      </c>
      <c r="K68" s="6">
        <f>J68/F68</f>
        <v>0</v>
      </c>
    </row>
    <row r="69" spans="2:14" ht="18" thickBot="1" x14ac:dyDescent="0.45">
      <c r="B69" s="95" t="str">
        <f>B64&amp;" Revenue"</f>
        <v>Special Contracts - Total Revenue</v>
      </c>
      <c r="C69" s="12"/>
      <c r="E69" s="12"/>
      <c r="F69" s="13">
        <f>SUM(F65:F68)</f>
        <v>3148002.3499999996</v>
      </c>
      <c r="G69" s="14"/>
      <c r="H69" s="15"/>
      <c r="I69" s="13">
        <f>SUM(I65:I68)</f>
        <v>3148002.3499999996</v>
      </c>
      <c r="J69" s="16">
        <f>I69-F69</f>
        <v>0</v>
      </c>
      <c r="K69" s="6">
        <f>J69/F69</f>
        <v>0</v>
      </c>
      <c r="M69" s="17" t="s">
        <v>43</v>
      </c>
      <c r="N69" s="96" t="s">
        <v>21</v>
      </c>
    </row>
    <row r="70" spans="2:14" ht="18.75" thickTop="1" thickBot="1" x14ac:dyDescent="0.45">
      <c r="B70" s="98"/>
      <c r="C70" s="20"/>
      <c r="D70" s="20"/>
      <c r="E70" s="20"/>
      <c r="F70" s="20"/>
      <c r="G70" s="19"/>
      <c r="H70" s="20"/>
      <c r="I70" s="21"/>
      <c r="J70" s="19"/>
      <c r="K70" s="26"/>
      <c r="M70" s="22"/>
      <c r="N70" s="97" t="s">
        <v>20</v>
      </c>
    </row>
    <row r="71" spans="2:14" ht="15" x14ac:dyDescent="0.25"/>
    <row r="72" spans="2:14" ht="15" x14ac:dyDescent="0.25"/>
    <row r="73" spans="2:14" ht="15" x14ac:dyDescent="0.25">
      <c r="B73" s="54" t="s">
        <v>44</v>
      </c>
      <c r="E73" s="31">
        <f>F73/F75</f>
        <v>0.2614673425336636</v>
      </c>
      <c r="F73" s="94">
        <f>SUM(F12,F19,F26,F35,F44,F53,F55,F65,F66)</f>
        <v>41485655.32</v>
      </c>
      <c r="H73" s="31">
        <f>I73/I75</f>
        <v>0.28045493882343531</v>
      </c>
      <c r="I73" s="94">
        <f>SUM(I12,I19,I26,I35,I44,I53,I55,I65,I66)</f>
        <v>47530877.32</v>
      </c>
      <c r="J73" s="3">
        <f>I73-F73</f>
        <v>6045222</v>
      </c>
      <c r="K73" s="32">
        <f>J73/F73</f>
        <v>0.14571836827380746</v>
      </c>
    </row>
    <row r="74" spans="2:14" ht="15" x14ac:dyDescent="0.25">
      <c r="B74" s="54" t="s">
        <v>45</v>
      </c>
      <c r="E74" s="31">
        <f>F74/F75</f>
        <v>0.73853265746633645</v>
      </c>
      <c r="F74" s="101">
        <f>SUM(F13,F20,F27:F29,F36:F38,F45:F46,F54,F56:F59,F67:F68)</f>
        <v>117179112.97571468</v>
      </c>
      <c r="H74" s="31">
        <f>I74/I75</f>
        <v>0.7195450611765648</v>
      </c>
      <c r="I74" s="101">
        <f>SUM(I13,I20,I27:I29,I36:I38,I45:I46,I54,I56:I59,I67:I68)</f>
        <v>121946891.62</v>
      </c>
      <c r="J74" s="33">
        <f>I74-F74</f>
        <v>4767778.6442853212</v>
      </c>
      <c r="K74" s="32">
        <f>J74/F74</f>
        <v>4.0687956438733588E-2</v>
      </c>
    </row>
    <row r="75" spans="2:14" ht="15" x14ac:dyDescent="0.25">
      <c r="B75" s="54" t="s">
        <v>46</v>
      </c>
      <c r="F75" s="15">
        <f>SUM(F73:F74)</f>
        <v>158664768.29571468</v>
      </c>
      <c r="I75" s="15">
        <f>SUM(I73:I74)</f>
        <v>169477768.94</v>
      </c>
      <c r="J75" s="3">
        <f>I75-F75</f>
        <v>10813000.644285321</v>
      </c>
      <c r="K75" s="32">
        <f>J75/F75</f>
        <v>6.8149979106466613E-2</v>
      </c>
    </row>
    <row r="76" spans="2:14" ht="15" x14ac:dyDescent="0.25">
      <c r="F76" s="94"/>
      <c r="I76" s="102" t="s">
        <v>47</v>
      </c>
      <c r="J76" s="3">
        <f>M16+M23+M32+M41+M49+M62</f>
        <v>999.35571467215777</v>
      </c>
    </row>
    <row r="77" spans="2:14" ht="15" x14ac:dyDescent="0.25">
      <c r="F77" s="94"/>
    </row>
    <row r="78" spans="2:14" ht="15" x14ac:dyDescent="0.25">
      <c r="F78" s="94"/>
      <c r="I78" s="103" t="s">
        <v>48</v>
      </c>
      <c r="J78" s="104">
        <f>J75+J76</f>
        <v>10813999.999999993</v>
      </c>
    </row>
    <row r="79" spans="2:14" ht="15" x14ac:dyDescent="0.25">
      <c r="I79" s="34"/>
    </row>
  </sheetData>
  <printOptions horizontalCentered="1"/>
  <pageMargins left="0.45" right="0.45" top="0.75" bottom="0.5" header="0.3" footer="0.3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A4C43-0060-433B-BC1D-82A03185C901}">
  <sheetPr>
    <pageSetUpPr fitToPage="1"/>
  </sheetPr>
  <dimension ref="A1:J38"/>
  <sheetViews>
    <sheetView zoomScaleNormal="100" workbookViewId="0">
      <selection activeCell="F10" sqref="F10"/>
    </sheetView>
  </sheetViews>
  <sheetFormatPr defaultRowHeight="15" x14ac:dyDescent="0.25"/>
  <cols>
    <col min="2" max="2" width="54.28515625" bestFit="1" customWidth="1"/>
    <col min="3" max="3" width="4.85546875" customWidth="1"/>
    <col min="4" max="4" width="15.140625" bestFit="1" customWidth="1"/>
    <col min="5" max="5" width="2.42578125" customWidth="1"/>
    <col min="6" max="6" width="15.28515625" customWidth="1"/>
    <col min="7" max="7" width="3.140625" customWidth="1"/>
    <col min="8" max="8" width="16.85546875" bestFit="1" customWidth="1"/>
    <col min="9" max="9" width="17.28515625" bestFit="1" customWidth="1"/>
    <col min="10" max="10" width="12.7109375" bestFit="1" customWidth="1"/>
    <col min="11" max="11" width="13.5703125" bestFit="1" customWidth="1"/>
  </cols>
  <sheetData>
    <row r="1" spans="1:10" x14ac:dyDescent="0.25">
      <c r="B1" t="s">
        <v>53</v>
      </c>
    </row>
    <row r="2" spans="1:10" x14ac:dyDescent="0.25">
      <c r="B2" t="s">
        <v>54</v>
      </c>
    </row>
    <row r="3" spans="1:10" x14ac:dyDescent="0.25">
      <c r="B3" t="s">
        <v>55</v>
      </c>
    </row>
    <row r="6" spans="1:10" x14ac:dyDescent="0.25">
      <c r="A6">
        <v>1</v>
      </c>
      <c r="B6" t="s">
        <v>56</v>
      </c>
      <c r="I6" s="105"/>
      <c r="J6" s="105"/>
    </row>
    <row r="7" spans="1:10" x14ac:dyDescent="0.25">
      <c r="A7">
        <v>2</v>
      </c>
      <c r="F7" s="106">
        <v>769075.04</v>
      </c>
      <c r="I7" s="105"/>
    </row>
    <row r="8" spans="1:10" x14ac:dyDescent="0.25">
      <c r="A8">
        <v>3</v>
      </c>
      <c r="I8" s="105"/>
      <c r="J8" s="105"/>
    </row>
    <row r="9" spans="1:10" ht="15.75" customHeight="1" x14ac:dyDescent="0.25">
      <c r="A9">
        <v>4</v>
      </c>
      <c r="B9" t="s">
        <v>57</v>
      </c>
      <c r="I9" s="105"/>
    </row>
    <row r="10" spans="1:10" ht="15.75" customHeight="1" x14ac:dyDescent="0.25">
      <c r="A10">
        <v>5</v>
      </c>
      <c r="F10" s="107">
        <v>879553.22</v>
      </c>
      <c r="H10" s="108"/>
      <c r="I10" s="105"/>
      <c r="J10" s="105"/>
    </row>
    <row r="11" spans="1:10" ht="15.75" customHeight="1" x14ac:dyDescent="0.25">
      <c r="A11">
        <v>6</v>
      </c>
      <c r="I11" s="105"/>
      <c r="J11" s="105"/>
    </row>
    <row r="12" spans="1:10" x14ac:dyDescent="0.25">
      <c r="A12">
        <v>7</v>
      </c>
      <c r="I12" s="105"/>
    </row>
    <row r="13" spans="1:10" x14ac:dyDescent="0.25">
      <c r="A13">
        <v>8</v>
      </c>
      <c r="B13" t="s">
        <v>58</v>
      </c>
      <c r="F13" s="109">
        <f>+F7+F10</f>
        <v>1648628.26</v>
      </c>
      <c r="I13" s="105"/>
    </row>
    <row r="14" spans="1:10" x14ac:dyDescent="0.25">
      <c r="A14">
        <v>9</v>
      </c>
      <c r="B14" t="s">
        <v>59</v>
      </c>
      <c r="F14" s="109">
        <f>+F13/2</f>
        <v>824314.13</v>
      </c>
      <c r="I14" s="105"/>
    </row>
    <row r="15" spans="1:10" ht="15.75" thickBot="1" x14ac:dyDescent="0.3">
      <c r="A15">
        <v>10</v>
      </c>
      <c r="B15" t="s">
        <v>60</v>
      </c>
      <c r="F15" s="110">
        <f>+F14/(1-0.04924)</f>
        <v>867005.4798266649</v>
      </c>
      <c r="I15" s="105"/>
    </row>
    <row r="16" spans="1:10" x14ac:dyDescent="0.25">
      <c r="A16">
        <v>11</v>
      </c>
      <c r="I16" s="105"/>
      <c r="J16" s="105"/>
    </row>
    <row r="17" spans="1:9" x14ac:dyDescent="0.25">
      <c r="A17">
        <v>12</v>
      </c>
      <c r="B17" t="s">
        <v>61</v>
      </c>
    </row>
    <row r="18" spans="1:9" ht="15.75" thickBot="1" x14ac:dyDescent="0.3">
      <c r="A18">
        <v>13</v>
      </c>
    </row>
    <row r="19" spans="1:9" ht="15.75" thickBot="1" x14ac:dyDescent="0.3">
      <c r="A19">
        <v>14</v>
      </c>
      <c r="B19" s="111" t="s">
        <v>62</v>
      </c>
      <c r="C19" s="111"/>
      <c r="D19" s="111" t="s">
        <v>63</v>
      </c>
      <c r="F19" t="s">
        <v>64</v>
      </c>
      <c r="H19" t="s">
        <v>65</v>
      </c>
      <c r="I19" s="112" t="s">
        <v>66</v>
      </c>
    </row>
    <row r="20" spans="1:9" x14ac:dyDescent="0.25">
      <c r="A20">
        <v>15</v>
      </c>
      <c r="B20" s="113">
        <v>503</v>
      </c>
      <c r="D20" s="56">
        <v>132185007</v>
      </c>
      <c r="F20" s="42">
        <v>0.50102950308372163</v>
      </c>
      <c r="H20" s="109">
        <f>+F15*F20</f>
        <v>434395.32472841756</v>
      </c>
      <c r="I20" s="114">
        <f>ROUND(H20/$D$20,5)</f>
        <v>3.29E-3</v>
      </c>
    </row>
    <row r="21" spans="1:9" x14ac:dyDescent="0.25">
      <c r="A21">
        <v>16</v>
      </c>
      <c r="B21" s="113"/>
      <c r="D21" s="56"/>
      <c r="F21" s="42"/>
      <c r="H21" s="109"/>
      <c r="I21" s="115"/>
    </row>
    <row r="22" spans="1:9" x14ac:dyDescent="0.25">
      <c r="A22">
        <v>17</v>
      </c>
      <c r="B22" s="113">
        <v>504</v>
      </c>
      <c r="D22" s="56">
        <v>93408945</v>
      </c>
      <c r="F22" s="42">
        <v>0.22437782967568534</v>
      </c>
      <c r="H22" s="109">
        <f>+F15*F22</f>
        <v>194536.80788043325</v>
      </c>
      <c r="I22" s="114">
        <f>ROUND(H22/$D$22,5)</f>
        <v>2.0799999999999998E-3</v>
      </c>
    </row>
    <row r="23" spans="1:9" x14ac:dyDescent="0.25">
      <c r="A23">
        <v>18</v>
      </c>
      <c r="B23" s="113"/>
      <c r="D23" s="56"/>
      <c r="F23" s="42"/>
      <c r="H23" s="109"/>
      <c r="I23" s="115"/>
    </row>
    <row r="24" spans="1:9" x14ac:dyDescent="0.25">
      <c r="A24">
        <v>19</v>
      </c>
      <c r="B24" s="113">
        <v>505</v>
      </c>
      <c r="D24" s="56">
        <v>12346309</v>
      </c>
      <c r="F24" s="42">
        <v>2.0308140623331934E-2</v>
      </c>
      <c r="H24" s="109">
        <f>+F15*F24</f>
        <v>17607.269205519289</v>
      </c>
      <c r="I24" s="114">
        <f>ROUND(H24/$D$24,5)</f>
        <v>1.4300000000000001E-3</v>
      </c>
    </row>
    <row r="25" spans="1:9" x14ac:dyDescent="0.25">
      <c r="A25">
        <v>20</v>
      </c>
      <c r="B25" s="113"/>
      <c r="D25" s="56"/>
      <c r="F25" s="42"/>
      <c r="H25" s="109"/>
      <c r="I25" s="115"/>
    </row>
    <row r="26" spans="1:9" x14ac:dyDescent="0.25">
      <c r="A26">
        <v>21</v>
      </c>
      <c r="B26" s="113">
        <v>511</v>
      </c>
      <c r="D26" s="56">
        <v>16688677</v>
      </c>
      <c r="F26" s="42">
        <v>2.0489419180905199E-2</v>
      </c>
      <c r="H26" s="109">
        <f>+F15*F26</f>
        <v>17764.438708310383</v>
      </c>
      <c r="I26" s="114">
        <f>ROUND(H26/$D$26,5)</f>
        <v>1.06E-3</v>
      </c>
    </row>
    <row r="27" spans="1:9" x14ac:dyDescent="0.25">
      <c r="A27">
        <v>22</v>
      </c>
      <c r="B27" s="113"/>
      <c r="D27" s="56"/>
      <c r="F27" s="42"/>
      <c r="H27" s="109"/>
      <c r="I27" s="115"/>
    </row>
    <row r="28" spans="1:9" x14ac:dyDescent="0.25">
      <c r="A28">
        <v>23</v>
      </c>
      <c r="B28" s="113">
        <v>663</v>
      </c>
      <c r="D28" s="56">
        <v>854941070</v>
      </c>
      <c r="F28" s="42">
        <v>0.23239479797091206</v>
      </c>
      <c r="H28" s="109">
        <f>+F15*F28</f>
        <v>201487.56332399146</v>
      </c>
      <c r="I28" s="114">
        <f>ROUND(H28/$D$28,5)</f>
        <v>2.4000000000000001E-4</v>
      </c>
    </row>
    <row r="29" spans="1:9" x14ac:dyDescent="0.25">
      <c r="A29">
        <v>24</v>
      </c>
      <c r="B29" s="113"/>
      <c r="D29" s="56"/>
      <c r="F29" s="42"/>
      <c r="H29" s="109"/>
      <c r="I29" s="115"/>
    </row>
    <row r="30" spans="1:9" ht="15.75" thickBot="1" x14ac:dyDescent="0.3">
      <c r="A30">
        <v>25</v>
      </c>
      <c r="B30" s="113">
        <v>570</v>
      </c>
      <c r="D30" s="57">
        <v>2097598</v>
      </c>
      <c r="F30" s="42">
        <v>1.4003094654438193E-3</v>
      </c>
      <c r="H30" s="109">
        <f>+F15*F30</f>
        <v>1214.0759799929392</v>
      </c>
      <c r="I30" s="116">
        <f>ROUND(H30/$D$30,5)</f>
        <v>5.8E-4</v>
      </c>
    </row>
    <row r="31" spans="1:9" ht="15.75" thickTop="1" x14ac:dyDescent="0.25">
      <c r="A31">
        <v>26</v>
      </c>
    </row>
    <row r="32" spans="1:9" x14ac:dyDescent="0.25">
      <c r="A32">
        <v>27</v>
      </c>
      <c r="B32" s="117" t="s">
        <v>67</v>
      </c>
      <c r="D32" s="118">
        <f>SUM(D20:D31)</f>
        <v>1111667606</v>
      </c>
      <c r="F32" s="119">
        <f>SUM(F20:F31)</f>
        <v>1</v>
      </c>
      <c r="H32" s="109">
        <f>SUM(H20:H31)</f>
        <v>867005.47982666502</v>
      </c>
    </row>
    <row r="33" spans="1:8" x14ac:dyDescent="0.25">
      <c r="A33">
        <v>28</v>
      </c>
    </row>
    <row r="34" spans="1:8" x14ac:dyDescent="0.25">
      <c r="A34">
        <v>29</v>
      </c>
      <c r="B34" s="117" t="s">
        <v>68</v>
      </c>
      <c r="F34" s="120"/>
      <c r="H34" s="48">
        <v>370707520</v>
      </c>
    </row>
    <row r="35" spans="1:8" x14ac:dyDescent="0.25">
      <c r="B35" s="117" t="s">
        <v>69</v>
      </c>
      <c r="H35" s="42">
        <f>+H32/H34</f>
        <v>2.3387857894726955E-3</v>
      </c>
    </row>
    <row r="38" spans="1:8" x14ac:dyDescent="0.25">
      <c r="B38" s="121"/>
    </row>
  </sheetData>
  <pageMargins left="0.7" right="0.7" top="1.2" bottom="0.75" header="0.86" footer="0.3"/>
  <pageSetup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D281-9B83-4E3B-BA9E-4ECEC502974D}">
  <sheetPr>
    <pageSetUpPr fitToPage="1"/>
  </sheetPr>
  <dimension ref="A1:V51"/>
  <sheetViews>
    <sheetView zoomScale="90" zoomScaleNormal="90" workbookViewId="0">
      <selection activeCell="H21" sqref="H21"/>
    </sheetView>
  </sheetViews>
  <sheetFormatPr defaultRowHeight="15" x14ac:dyDescent="0.25"/>
  <cols>
    <col min="1" max="1" width="6.85546875" customWidth="1"/>
    <col min="2" max="2" width="45.42578125" bestFit="1" customWidth="1"/>
    <col min="3" max="3" width="22" customWidth="1"/>
    <col min="4" max="4" width="25.140625" customWidth="1"/>
    <col min="5" max="5" width="18.28515625" customWidth="1"/>
    <col min="6" max="6" width="6" bestFit="1" customWidth="1"/>
    <col min="7" max="7" width="24.140625" customWidth="1"/>
    <col min="8" max="8" width="14.42578125" style="113" bestFit="1" customWidth="1"/>
    <col min="9" max="9" width="14.7109375" bestFit="1" customWidth="1"/>
    <col min="10" max="12" width="12.7109375" bestFit="1" customWidth="1"/>
    <col min="13" max="14" width="12.5703125" bestFit="1" customWidth="1"/>
    <col min="15" max="15" width="12.85546875" bestFit="1" customWidth="1"/>
    <col min="16" max="17" width="12.140625" bestFit="1" customWidth="1"/>
  </cols>
  <sheetData>
    <row r="1" spans="1:21" x14ac:dyDescent="0.25">
      <c r="B1" t="s">
        <v>53</v>
      </c>
    </row>
    <row r="2" spans="1:21" x14ac:dyDescent="0.25">
      <c r="B2" t="s">
        <v>70</v>
      </c>
    </row>
    <row r="3" spans="1:21" x14ac:dyDescent="0.25">
      <c r="B3" t="s">
        <v>71</v>
      </c>
    </row>
    <row r="5" spans="1:21" x14ac:dyDescent="0.25">
      <c r="A5">
        <v>1</v>
      </c>
      <c r="B5" s="122" t="s">
        <v>72</v>
      </c>
      <c r="C5" s="122"/>
      <c r="F5" s="123"/>
      <c r="G5" s="124"/>
      <c r="H5" s="124"/>
      <c r="I5" s="124"/>
      <c r="J5" s="124"/>
      <c r="K5" s="124"/>
      <c r="L5" s="124"/>
      <c r="M5" s="124"/>
      <c r="N5" s="124"/>
      <c r="O5" s="124"/>
    </row>
    <row r="6" spans="1:21" ht="15.75" customHeight="1" x14ac:dyDescent="0.25">
      <c r="A6">
        <v>2</v>
      </c>
      <c r="B6" s="125" t="s">
        <v>73</v>
      </c>
      <c r="C6" s="35">
        <v>1067047.2</v>
      </c>
      <c r="D6" s="126"/>
      <c r="E6" s="126"/>
      <c r="F6" s="128"/>
      <c r="G6" s="36"/>
      <c r="H6" s="129"/>
      <c r="I6" s="129"/>
      <c r="J6" s="36"/>
      <c r="K6" s="36"/>
      <c r="L6" s="129"/>
      <c r="M6" s="129"/>
      <c r="N6" s="36"/>
      <c r="O6" s="36"/>
      <c r="Q6" s="126"/>
      <c r="R6" s="126"/>
      <c r="S6" s="126"/>
      <c r="T6" s="126"/>
      <c r="U6" s="126"/>
    </row>
    <row r="7" spans="1:21" x14ac:dyDescent="0.25">
      <c r="A7">
        <v>3</v>
      </c>
      <c r="B7" s="125" t="s">
        <v>74</v>
      </c>
      <c r="C7" s="35">
        <v>0</v>
      </c>
      <c r="D7" s="126"/>
      <c r="E7" s="126"/>
      <c r="G7" s="130"/>
      <c r="H7" s="131"/>
      <c r="I7" s="131"/>
      <c r="J7" s="131"/>
      <c r="K7" s="131"/>
      <c r="L7" s="131"/>
      <c r="M7" s="131"/>
      <c r="N7" s="131"/>
      <c r="O7" s="131"/>
      <c r="Q7" s="126"/>
      <c r="R7" s="126"/>
      <c r="S7" s="126"/>
      <c r="T7" s="126"/>
      <c r="U7" s="126"/>
    </row>
    <row r="8" spans="1:21" x14ac:dyDescent="0.25">
      <c r="A8">
        <v>4</v>
      </c>
      <c r="B8" s="125" t="s">
        <v>75</v>
      </c>
      <c r="C8" s="35">
        <v>0</v>
      </c>
      <c r="D8" s="126"/>
      <c r="E8" s="126"/>
      <c r="F8" s="128"/>
      <c r="G8" s="36"/>
      <c r="H8" s="36"/>
      <c r="I8" s="36"/>
      <c r="J8" s="36"/>
      <c r="K8" s="36"/>
      <c r="L8" s="36"/>
      <c r="M8" s="36"/>
      <c r="N8" s="36"/>
      <c r="O8" s="36"/>
      <c r="Q8" s="126"/>
      <c r="R8" s="126"/>
      <c r="S8" s="126"/>
      <c r="T8" s="126"/>
      <c r="U8" s="126"/>
    </row>
    <row r="9" spans="1:21" x14ac:dyDescent="0.25">
      <c r="A9">
        <v>5</v>
      </c>
      <c r="B9" t="s">
        <v>76</v>
      </c>
      <c r="C9" s="37">
        <v>0</v>
      </c>
      <c r="D9" s="108"/>
      <c r="E9" s="126"/>
      <c r="F9" s="133"/>
      <c r="G9" s="126"/>
      <c r="H9" s="126"/>
      <c r="I9" s="126"/>
      <c r="J9" s="126"/>
      <c r="K9" s="134"/>
      <c r="L9" s="134"/>
      <c r="M9" s="134"/>
      <c r="N9" s="126"/>
      <c r="O9" s="126"/>
      <c r="Q9" s="126"/>
      <c r="R9" s="126"/>
      <c r="S9" s="126"/>
      <c r="T9" s="126"/>
      <c r="U9" s="126"/>
    </row>
    <row r="10" spans="1:21" x14ac:dyDescent="0.25">
      <c r="A10">
        <v>6</v>
      </c>
      <c r="B10" s="135" t="s">
        <v>77</v>
      </c>
      <c r="C10" s="128">
        <f>SUM(C6:C9)</f>
        <v>1067047.2</v>
      </c>
      <c r="D10" s="126"/>
      <c r="E10" s="126"/>
      <c r="G10" s="113"/>
      <c r="H10"/>
      <c r="K10" s="54"/>
      <c r="L10" s="54"/>
      <c r="M10" s="54"/>
      <c r="Q10" s="126"/>
      <c r="R10" s="126"/>
      <c r="S10" s="126"/>
      <c r="T10" s="126"/>
      <c r="U10" s="126"/>
    </row>
    <row r="11" spans="1:21" x14ac:dyDescent="0.25">
      <c r="A11">
        <v>7</v>
      </c>
      <c r="B11" s="125" t="s">
        <v>78</v>
      </c>
      <c r="C11" s="136">
        <v>0</v>
      </c>
      <c r="D11" s="108"/>
      <c r="E11" s="126"/>
      <c r="F11" s="128"/>
      <c r="G11" s="36"/>
      <c r="H11" s="36"/>
      <c r="I11" s="36"/>
      <c r="J11" s="36"/>
      <c r="K11" s="25"/>
      <c r="L11" s="25"/>
      <c r="M11" s="25"/>
      <c r="N11" s="36"/>
      <c r="O11" s="36"/>
      <c r="Q11" s="126"/>
      <c r="R11" s="126"/>
      <c r="S11" s="126"/>
      <c r="T11" s="126"/>
      <c r="U11" s="126"/>
    </row>
    <row r="12" spans="1:21" x14ac:dyDescent="0.25">
      <c r="A12">
        <v>8</v>
      </c>
      <c r="B12" t="s">
        <v>79</v>
      </c>
      <c r="C12" s="38">
        <f>-C7</f>
        <v>0</v>
      </c>
      <c r="D12" s="126"/>
      <c r="E12" s="126"/>
      <c r="H12"/>
      <c r="K12" s="54"/>
      <c r="L12" s="54"/>
      <c r="M12" s="54"/>
      <c r="Q12" s="126"/>
      <c r="R12" s="126"/>
      <c r="S12" s="126"/>
      <c r="T12" s="126"/>
      <c r="U12" s="126"/>
    </row>
    <row r="13" spans="1:21" x14ac:dyDescent="0.25">
      <c r="A13">
        <v>9</v>
      </c>
      <c r="B13" t="s">
        <v>80</v>
      </c>
      <c r="C13" s="39">
        <f>-C9</f>
        <v>0</v>
      </c>
      <c r="D13" s="126"/>
      <c r="E13" s="126"/>
      <c r="F13" s="137"/>
      <c r="G13" s="126"/>
      <c r="H13" s="126"/>
      <c r="I13" s="126"/>
      <c r="J13" s="126"/>
      <c r="K13" s="134"/>
      <c r="L13" s="134"/>
      <c r="M13" s="134"/>
      <c r="N13" s="126"/>
      <c r="O13" s="126"/>
      <c r="Q13" s="126"/>
      <c r="R13" s="126"/>
      <c r="S13" s="126"/>
      <c r="T13" s="126"/>
      <c r="U13" s="126"/>
    </row>
    <row r="14" spans="1:21" x14ac:dyDescent="0.25">
      <c r="A14">
        <v>10</v>
      </c>
      <c r="B14" s="138" t="s">
        <v>81</v>
      </c>
      <c r="C14" s="128">
        <f>SUM(C10:C13)</f>
        <v>1067047.2</v>
      </c>
      <c r="D14" s="126"/>
      <c r="E14" s="126"/>
      <c r="G14" s="113"/>
      <c r="H14"/>
      <c r="Q14" s="126"/>
      <c r="R14" s="126"/>
      <c r="S14" s="126"/>
      <c r="T14" s="126"/>
      <c r="U14" s="126"/>
    </row>
    <row r="15" spans="1:21" x14ac:dyDescent="0.25">
      <c r="C15" s="128"/>
      <c r="D15" s="126"/>
      <c r="E15" s="126"/>
      <c r="G15" s="113"/>
      <c r="H15"/>
      <c r="Q15" s="126"/>
      <c r="R15" s="126"/>
      <c r="S15" s="126"/>
      <c r="T15" s="126"/>
      <c r="U15" s="126"/>
    </row>
    <row r="16" spans="1:21" x14ac:dyDescent="0.25">
      <c r="A16">
        <v>11</v>
      </c>
      <c r="B16" s="125" t="s">
        <v>82</v>
      </c>
      <c r="C16" s="35">
        <v>0</v>
      </c>
      <c r="D16" s="108"/>
      <c r="E16" s="126"/>
      <c r="G16" s="113"/>
      <c r="H16"/>
      <c r="Q16" s="126"/>
      <c r="R16" s="126"/>
      <c r="S16" s="126"/>
      <c r="T16" s="126"/>
      <c r="U16" s="126"/>
    </row>
    <row r="17" spans="1:22" x14ac:dyDescent="0.25">
      <c r="A17">
        <v>12</v>
      </c>
      <c r="B17" s="125" t="s">
        <v>83</v>
      </c>
      <c r="C17" s="35">
        <v>0</v>
      </c>
      <c r="D17" s="108"/>
      <c r="E17" s="126"/>
      <c r="G17" s="113"/>
      <c r="H17"/>
      <c r="Q17" s="126"/>
      <c r="R17" s="126"/>
      <c r="S17" s="126"/>
      <c r="T17" s="126"/>
      <c r="U17" s="126"/>
    </row>
    <row r="18" spans="1:22" x14ac:dyDescent="0.25">
      <c r="A18">
        <v>13</v>
      </c>
      <c r="B18" s="135" t="s">
        <v>84</v>
      </c>
      <c r="C18" s="128">
        <f>SUM(C16:C17)</f>
        <v>0</v>
      </c>
      <c r="D18" s="126"/>
      <c r="E18" s="126"/>
      <c r="G18" s="113"/>
      <c r="H18"/>
      <c r="Q18" s="126"/>
      <c r="R18" s="126"/>
      <c r="S18" s="126"/>
      <c r="T18" s="126"/>
      <c r="U18" s="126"/>
    </row>
    <row r="19" spans="1:22" x14ac:dyDescent="0.25">
      <c r="C19" s="126"/>
      <c r="D19" s="126"/>
      <c r="E19" s="126"/>
      <c r="G19" s="113"/>
      <c r="H19"/>
      <c r="Q19" s="126"/>
      <c r="R19" s="126"/>
      <c r="S19" s="126"/>
      <c r="T19" s="126"/>
      <c r="U19" s="126"/>
    </row>
    <row r="20" spans="1:22" x14ac:dyDescent="0.25">
      <c r="C20" s="126"/>
      <c r="D20" s="126"/>
      <c r="E20" s="126"/>
      <c r="F20" s="126"/>
      <c r="G20" s="139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2" ht="15.75" x14ac:dyDescent="0.25">
      <c r="A21">
        <v>14</v>
      </c>
      <c r="B21" s="138" t="s">
        <v>85</v>
      </c>
      <c r="C21" s="38">
        <f>+C14+C18</f>
        <v>1067047.2</v>
      </c>
      <c r="D21" s="126"/>
      <c r="E21" s="126"/>
      <c r="F21" s="126"/>
      <c r="G21" s="139"/>
      <c r="H21" s="126"/>
      <c r="I21" s="126"/>
      <c r="J21" s="140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2" ht="15.75" x14ac:dyDescent="0.25">
      <c r="A22">
        <v>15</v>
      </c>
      <c r="B22" s="117" t="s">
        <v>86</v>
      </c>
      <c r="C22" s="132">
        <v>0</v>
      </c>
      <c r="D22" s="108"/>
      <c r="E22" s="126"/>
      <c r="F22" s="126"/>
      <c r="G22" s="139"/>
      <c r="H22" s="126"/>
      <c r="I22" s="126"/>
      <c r="J22" s="140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2" x14ac:dyDescent="0.25">
      <c r="A23">
        <v>16</v>
      </c>
      <c r="B23" s="138" t="s">
        <v>87</v>
      </c>
      <c r="C23" s="126">
        <f>+C21+C22</f>
        <v>1067047.2</v>
      </c>
      <c r="D23" s="126"/>
      <c r="E23" s="126"/>
      <c r="F23" s="126"/>
      <c r="G23" s="139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</row>
    <row r="24" spans="1:22" x14ac:dyDescent="0.25">
      <c r="B24" s="138"/>
      <c r="C24" s="126"/>
      <c r="D24" s="126"/>
      <c r="E24" s="127"/>
      <c r="F24" s="126"/>
      <c r="G24" s="126"/>
      <c r="H24" s="139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</row>
    <row r="25" spans="1:22" x14ac:dyDescent="0.25">
      <c r="A25">
        <v>17</v>
      </c>
      <c r="B25" t="s">
        <v>60</v>
      </c>
      <c r="C25" s="141">
        <f>+C23/(1-0.04924)</f>
        <v>1122309.7311624384</v>
      </c>
      <c r="D25" s="126"/>
      <c r="E25" s="127"/>
      <c r="F25" s="126"/>
      <c r="G25" s="126"/>
      <c r="H25" s="139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</row>
    <row r="26" spans="1:22" x14ac:dyDescent="0.25">
      <c r="B26" s="138"/>
      <c r="C26" s="126"/>
      <c r="D26" s="126"/>
      <c r="E26" s="127"/>
      <c r="F26" s="126"/>
      <c r="G26" s="126"/>
      <c r="H26" s="139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1:22" x14ac:dyDescent="0.25">
      <c r="A27">
        <v>18</v>
      </c>
      <c r="B27" s="125" t="s">
        <v>88</v>
      </c>
      <c r="C27" s="40">
        <f>+C25/3</f>
        <v>374103.24372081278</v>
      </c>
      <c r="D27" s="126"/>
      <c r="E27" s="127"/>
      <c r="F27" s="126"/>
      <c r="G27" s="126"/>
      <c r="H27" s="139"/>
      <c r="I27" s="38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</row>
    <row r="28" spans="1:22" x14ac:dyDescent="0.25">
      <c r="D28" s="126"/>
      <c r="E28" s="127"/>
      <c r="F28" s="126"/>
      <c r="G28" s="126"/>
      <c r="H28" s="139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</row>
    <row r="29" spans="1:22" ht="15.75" customHeight="1" x14ac:dyDescent="0.25">
      <c r="C29" s="126"/>
      <c r="D29" s="126"/>
      <c r="E29" s="126"/>
      <c r="F29" s="126"/>
      <c r="G29" s="126"/>
      <c r="H29" s="139"/>
      <c r="I29" s="126"/>
      <c r="J29" s="128"/>
      <c r="K29" s="128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</row>
    <row r="30" spans="1:22" x14ac:dyDescent="0.25">
      <c r="A30">
        <v>19</v>
      </c>
      <c r="B30" t="s">
        <v>89</v>
      </c>
      <c r="C30" s="126"/>
      <c r="D30" s="126"/>
      <c r="E30" s="126"/>
      <c r="F30" s="126"/>
      <c r="G30" s="126"/>
      <c r="H30" s="139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  <row r="31" spans="1:22" ht="15.75" thickBot="1" x14ac:dyDescent="0.3">
      <c r="C31" s="126"/>
      <c r="D31" s="126"/>
      <c r="E31" s="126"/>
      <c r="F31" s="126"/>
      <c r="G31" s="126"/>
      <c r="H31" s="139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</row>
    <row r="32" spans="1:22" ht="15.75" thickBot="1" x14ac:dyDescent="0.3">
      <c r="A32">
        <v>20</v>
      </c>
      <c r="B32" s="111" t="s">
        <v>62</v>
      </c>
      <c r="C32" s="142" t="s">
        <v>63</v>
      </c>
      <c r="D32" t="s">
        <v>64</v>
      </c>
      <c r="E32" s="126" t="s">
        <v>65</v>
      </c>
      <c r="F32" s="126"/>
      <c r="G32" s="143" t="s">
        <v>90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</row>
    <row r="33" spans="1:21" x14ac:dyDescent="0.25">
      <c r="A33">
        <v>21</v>
      </c>
      <c r="B33" s="113">
        <v>503</v>
      </c>
      <c r="C33" s="41">
        <v>132185007</v>
      </c>
      <c r="D33" s="42">
        <v>0.838644458553651</v>
      </c>
      <c r="E33" s="139">
        <f>+$C$27*D33</f>
        <v>313739.6122734056</v>
      </c>
      <c r="F33" s="139"/>
      <c r="G33" s="144">
        <f>ROUND(E33/C33,5)</f>
        <v>2.3700000000000001E-3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x14ac:dyDescent="0.25">
      <c r="B34" s="113"/>
      <c r="C34" s="43"/>
      <c r="D34" s="44"/>
      <c r="E34" s="139"/>
      <c r="F34" s="139"/>
      <c r="G34" s="144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1" x14ac:dyDescent="0.25">
      <c r="A35">
        <v>22</v>
      </c>
      <c r="B35" s="113">
        <v>504</v>
      </c>
      <c r="C35" s="45">
        <v>93408945</v>
      </c>
      <c r="D35" s="42">
        <v>0.1370087305481609</v>
      </c>
      <c r="E35" s="139">
        <f>+$C$27*D35</f>
        <v>51255.410516137803</v>
      </c>
      <c r="F35" s="139"/>
      <c r="G35" s="144">
        <f>ROUND(E35/C35,5)</f>
        <v>5.5000000000000003E-4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1:21" x14ac:dyDescent="0.25">
      <c r="B36" s="113"/>
      <c r="C36" s="45"/>
      <c r="D36" s="44"/>
      <c r="E36" s="145"/>
      <c r="F36" s="145"/>
      <c r="G36" s="146"/>
      <c r="H36" s="126"/>
    </row>
    <row r="37" spans="1:21" x14ac:dyDescent="0.25">
      <c r="A37">
        <v>23</v>
      </c>
      <c r="B37" s="113">
        <v>505</v>
      </c>
      <c r="C37" s="45">
        <v>12346309</v>
      </c>
      <c r="D37" s="42">
        <v>1.7763673718470565E-2</v>
      </c>
      <c r="E37" s="139">
        <f>+$C$27*D37</f>
        <v>6645.4479584779901</v>
      </c>
      <c r="F37" s="145"/>
      <c r="G37" s="144">
        <f>ROUND(E37/C37,5)</f>
        <v>5.4000000000000001E-4</v>
      </c>
      <c r="H37" s="126"/>
    </row>
    <row r="38" spans="1:21" x14ac:dyDescent="0.25">
      <c r="B38" s="113"/>
      <c r="C38" s="45"/>
      <c r="D38" s="44"/>
      <c r="E38" s="145"/>
      <c r="F38" s="145"/>
      <c r="G38" s="146"/>
      <c r="H38" s="126"/>
    </row>
    <row r="39" spans="1:21" x14ac:dyDescent="0.25">
      <c r="A39">
        <v>24</v>
      </c>
      <c r="B39" s="113">
        <v>511</v>
      </c>
      <c r="C39" s="45">
        <v>16688677</v>
      </c>
      <c r="D39" s="42">
        <v>2.1792195123483352E-3</v>
      </c>
      <c r="E39" s="139">
        <f>+$C$27*D39</f>
        <v>815.25308834920008</v>
      </c>
      <c r="F39" s="145"/>
      <c r="G39" s="144">
        <f>ROUND(E39/C39,5)</f>
        <v>5.0000000000000002E-5</v>
      </c>
      <c r="H39" s="126"/>
    </row>
    <row r="40" spans="1:21" x14ac:dyDescent="0.25">
      <c r="B40" s="113"/>
      <c r="C40" s="45"/>
      <c r="D40" s="44"/>
      <c r="E40" s="145"/>
      <c r="F40" s="145"/>
      <c r="G40" s="146"/>
      <c r="H40" s="126"/>
    </row>
    <row r="41" spans="1:21" x14ac:dyDescent="0.25">
      <c r="A41">
        <v>25</v>
      </c>
      <c r="B41" s="113">
        <v>663</v>
      </c>
      <c r="C41" s="45">
        <v>854941070</v>
      </c>
      <c r="D41" s="42">
        <v>4.2502788257031904E-3</v>
      </c>
      <c r="E41" s="139">
        <f>+$C$27*D41</f>
        <v>1590.0430954134506</v>
      </c>
      <c r="F41" s="145"/>
      <c r="G41" s="144">
        <f>ROUND(E41/C41,5)</f>
        <v>0</v>
      </c>
      <c r="H41" s="126"/>
    </row>
    <row r="42" spans="1:21" x14ac:dyDescent="0.25">
      <c r="B42" s="113"/>
      <c r="C42" s="45"/>
      <c r="D42" s="44"/>
      <c r="E42" s="145"/>
      <c r="F42" s="145"/>
      <c r="G42" s="146"/>
      <c r="H42" s="126"/>
    </row>
    <row r="43" spans="1:21" ht="15.75" thickBot="1" x14ac:dyDescent="0.3">
      <c r="A43">
        <v>26</v>
      </c>
      <c r="B43" s="113">
        <v>570</v>
      </c>
      <c r="C43" s="46">
        <v>2097598</v>
      </c>
      <c r="D43" s="42">
        <v>1.5363884166601514E-4</v>
      </c>
      <c r="E43" s="139">
        <f>+$C$27*D43</f>
        <v>57.476789028764628</v>
      </c>
      <c r="F43" s="145"/>
      <c r="G43" s="147">
        <f>ROUND(E43/C43,5)</f>
        <v>3.0000000000000001E-5</v>
      </c>
      <c r="H43" s="126"/>
    </row>
    <row r="44" spans="1:21" ht="15.75" thickTop="1" x14ac:dyDescent="0.25">
      <c r="E44" s="113"/>
      <c r="F44" s="113"/>
      <c r="H44" s="126"/>
    </row>
    <row r="45" spans="1:21" x14ac:dyDescent="0.25">
      <c r="A45">
        <v>27</v>
      </c>
      <c r="B45" s="117" t="s">
        <v>67</v>
      </c>
      <c r="C45" s="118">
        <f>SUM(C33:C44)</f>
        <v>1111667606</v>
      </c>
      <c r="D45" s="119">
        <f>SUM(D33:D44)</f>
        <v>0.99999999999999989</v>
      </c>
      <c r="E45" s="148">
        <f>SUM(E33:E44)</f>
        <v>374103.24372081284</v>
      </c>
      <c r="F45" s="145"/>
      <c r="H45"/>
    </row>
    <row r="47" spans="1:21" x14ac:dyDescent="0.25">
      <c r="B47" s="117" t="s">
        <v>68</v>
      </c>
      <c r="E47" s="48">
        <v>370707520</v>
      </c>
      <c r="F47" s="42"/>
      <c r="G47" s="149"/>
    </row>
    <row r="48" spans="1:21" x14ac:dyDescent="0.25">
      <c r="B48" s="117" t="s">
        <v>69</v>
      </c>
      <c r="E48" s="42">
        <f>+E45/E47</f>
        <v>1.0091601155563634E-3</v>
      </c>
    </row>
    <row r="51" spans="2:2" x14ac:dyDescent="0.25">
      <c r="B51" s="121"/>
    </row>
  </sheetData>
  <pageMargins left="0.7" right="0.7" top="0.75" bottom="0.75" header="0.3" footer="0.3"/>
  <pageSetup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8A99D-466A-492B-9A65-15093A63D92C}">
  <dimension ref="B1:O55"/>
  <sheetViews>
    <sheetView zoomScale="115" zoomScaleNormal="115" workbookViewId="0">
      <selection activeCell="D5" sqref="D5"/>
    </sheetView>
  </sheetViews>
  <sheetFormatPr defaultRowHeight="15" x14ac:dyDescent="0.25"/>
  <cols>
    <col min="3" max="3" width="15.5703125" bestFit="1" customWidth="1"/>
    <col min="4" max="5" width="15.42578125" bestFit="1" customWidth="1"/>
    <col min="6" max="6" width="16.28515625" bestFit="1" customWidth="1"/>
    <col min="7" max="7" width="5.28515625" customWidth="1"/>
    <col min="8" max="9" width="14.42578125" bestFit="1" customWidth="1"/>
    <col min="10" max="10" width="13.28515625" bestFit="1" customWidth="1"/>
    <col min="11" max="11" width="13.28515625" customWidth="1"/>
    <col min="13" max="14" width="13.28515625" bestFit="1" customWidth="1"/>
    <col min="15" max="15" width="11.5703125" bestFit="1" customWidth="1"/>
  </cols>
  <sheetData>
    <row r="1" spans="2:15" x14ac:dyDescent="0.25">
      <c r="B1" t="s">
        <v>91</v>
      </c>
    </row>
    <row r="2" spans="2:15" x14ac:dyDescent="0.25">
      <c r="D2" s="164" t="s">
        <v>92</v>
      </c>
      <c r="E2" s="164"/>
      <c r="F2" s="113"/>
      <c r="G2" s="113"/>
      <c r="H2" s="164" t="s">
        <v>93</v>
      </c>
      <c r="I2" s="164"/>
      <c r="J2" s="164"/>
      <c r="K2" s="113"/>
    </row>
    <row r="3" spans="2:15" x14ac:dyDescent="0.25">
      <c r="D3" t="s">
        <v>94</v>
      </c>
      <c r="E3" t="s">
        <v>95</v>
      </c>
      <c r="F3" t="s">
        <v>46</v>
      </c>
      <c r="H3" t="s">
        <v>96</v>
      </c>
      <c r="I3" t="s">
        <v>97</v>
      </c>
      <c r="J3" t="s">
        <v>98</v>
      </c>
      <c r="K3" t="s">
        <v>46</v>
      </c>
    </row>
    <row r="4" spans="2:15" x14ac:dyDescent="0.25">
      <c r="C4" t="s">
        <v>99</v>
      </c>
      <c r="D4" s="47">
        <f>'2025 Rates'!I13</f>
        <v>60339811.869999997</v>
      </c>
      <c r="E4" s="47">
        <f>'2025 Rates'!I20</f>
        <v>32916378.039999999</v>
      </c>
      <c r="F4" s="47">
        <f>D4+E4</f>
        <v>93256189.909999996</v>
      </c>
      <c r="G4" s="47"/>
      <c r="H4" s="47">
        <f>'2025 Rates'!I27+'2025 Rates'!I28+'2025 Rates'!I29</f>
        <v>2796161.21</v>
      </c>
      <c r="I4" s="47">
        <f>'2025 Rates'!I36+'2025 Rates'!I37+'2025 Rates'!I38</f>
        <v>3102950.3600000003</v>
      </c>
      <c r="J4" s="47">
        <f>'2025 Rates'!I45+'2025 Rates'!I46</f>
        <v>181774.41</v>
      </c>
      <c r="K4" s="47">
        <f>H4+I4+J4</f>
        <v>6080885.9800000004</v>
      </c>
      <c r="M4" s="185"/>
      <c r="N4" s="185"/>
      <c r="O4" s="185"/>
    </row>
    <row r="5" spans="2:15" x14ac:dyDescent="0.25">
      <c r="C5" t="s">
        <v>100</v>
      </c>
      <c r="D5" s="48">
        <f>'2025 Rates'!C13</f>
        <v>132185006.73470671</v>
      </c>
      <c r="E5" s="48">
        <f>'2025 Rates'!C20</f>
        <v>93408944.747611403</v>
      </c>
      <c r="F5" s="48">
        <f>D5+E5</f>
        <v>225593951.4823181</v>
      </c>
      <c r="G5" s="48"/>
      <c r="H5" s="48">
        <f>'2025 Rates'!C27+'2025 Rates'!C28+'2025 Rates'!C29</f>
        <v>12346308.541679751</v>
      </c>
      <c r="I5" s="48">
        <f>'2025 Rates'!C36+'2025 Rates'!C37+'2025 Rates'!C38</f>
        <v>16688677.440204078</v>
      </c>
      <c r="J5" s="48">
        <f>'2025 Rates'!C45+'2025 Rates'!C46</f>
        <v>2097598</v>
      </c>
      <c r="K5" s="48">
        <f>H5+I5+J5</f>
        <v>31132583.981883831</v>
      </c>
      <c r="M5" s="118"/>
      <c r="N5" s="118"/>
      <c r="O5" s="118"/>
    </row>
    <row r="6" spans="2:15" x14ac:dyDescent="0.25">
      <c r="B6" t="s">
        <v>101</v>
      </c>
      <c r="C6" t="s">
        <v>102</v>
      </c>
      <c r="D6" s="51">
        <f>D4/D5</f>
        <v>0.4564799999677806</v>
      </c>
      <c r="E6" s="51">
        <f t="shared" ref="E6:K6" si="0">E4/E5</f>
        <v>0.35239000000416681</v>
      </c>
      <c r="F6" s="51">
        <f t="shared" si="0"/>
        <v>0.41338071919587505</v>
      </c>
      <c r="G6" s="51"/>
      <c r="H6" s="51">
        <f t="shared" si="0"/>
        <v>0.2264775094969054</v>
      </c>
      <c r="I6" s="51">
        <f t="shared" si="0"/>
        <v>0.18593147186875317</v>
      </c>
      <c r="J6" s="51">
        <f t="shared" si="0"/>
        <v>8.6658363518653247E-2</v>
      </c>
      <c r="K6" s="53">
        <f t="shared" si="0"/>
        <v>0.19532223806216956</v>
      </c>
    </row>
    <row r="7" spans="2:15" x14ac:dyDescent="0.25">
      <c r="C7" t="s">
        <v>103</v>
      </c>
      <c r="D7" s="48">
        <v>208092</v>
      </c>
      <c r="E7" s="48">
        <v>28102</v>
      </c>
      <c r="F7" s="48">
        <f>D7+E7</f>
        <v>236194</v>
      </c>
      <c r="G7" s="48"/>
      <c r="H7" s="48">
        <v>502</v>
      </c>
      <c r="I7" s="48">
        <v>99</v>
      </c>
      <c r="J7" s="48">
        <v>7</v>
      </c>
      <c r="K7" s="48">
        <f>H7+I7+J7</f>
        <v>608</v>
      </c>
    </row>
    <row r="10" spans="2:15" x14ac:dyDescent="0.25">
      <c r="C10" s="150" t="s">
        <v>104</v>
      </c>
      <c r="D10" t="s">
        <v>94</v>
      </c>
      <c r="E10" t="s">
        <v>95</v>
      </c>
      <c r="F10" t="s">
        <v>46</v>
      </c>
      <c r="H10" t="s">
        <v>96</v>
      </c>
      <c r="I10" t="s">
        <v>97</v>
      </c>
      <c r="J10" t="s">
        <v>98</v>
      </c>
      <c r="K10" t="s">
        <v>46</v>
      </c>
    </row>
    <row r="11" spans="2:15" x14ac:dyDescent="0.25">
      <c r="C11" t="s">
        <v>105</v>
      </c>
      <c r="D11" s="48">
        <v>22488823.882265437</v>
      </c>
      <c r="E11" s="48">
        <v>15087041.9519042</v>
      </c>
      <c r="F11" s="48">
        <f>D11+E11</f>
        <v>37575865.834169641</v>
      </c>
      <c r="G11" s="48"/>
      <c r="H11" s="48">
        <v>1870247.5564516129</v>
      </c>
      <c r="I11" s="48">
        <v>2349439.29</v>
      </c>
      <c r="J11" s="48">
        <v>254735</v>
      </c>
      <c r="K11" s="48">
        <f>H11+I11+J11</f>
        <v>4474421.8464516131</v>
      </c>
    </row>
    <row r="12" spans="2:15" x14ac:dyDescent="0.25">
      <c r="C12" t="s">
        <v>106</v>
      </c>
      <c r="D12" s="48">
        <v>17649088.751864944</v>
      </c>
      <c r="E12" s="48">
        <v>11992555.138146201</v>
      </c>
      <c r="F12" s="48">
        <f t="shared" ref="F12:F22" si="1">D12+E12</f>
        <v>29641643.890011147</v>
      </c>
      <c r="G12" s="48"/>
      <c r="H12" s="48">
        <v>1351073.2862903227</v>
      </c>
      <c r="I12" s="48">
        <v>3096067.59</v>
      </c>
      <c r="J12" s="48">
        <v>233311</v>
      </c>
      <c r="K12" s="48">
        <f t="shared" ref="K12:K22" si="2">H12+I12+J12</f>
        <v>4680451.8762903223</v>
      </c>
    </row>
    <row r="13" spans="2:15" x14ac:dyDescent="0.25">
      <c r="C13" t="s">
        <v>107</v>
      </c>
      <c r="D13" s="48">
        <v>15072194.165189933</v>
      </c>
      <c r="E13" s="48">
        <v>9794427.6819577962</v>
      </c>
      <c r="F13" s="48">
        <f t="shared" si="1"/>
        <v>24866621.847147729</v>
      </c>
      <c r="G13" s="48"/>
      <c r="H13" s="48">
        <v>1672523.0343434343</v>
      </c>
      <c r="I13" s="48">
        <v>1638334.17</v>
      </c>
      <c r="J13" s="48">
        <v>244613</v>
      </c>
      <c r="K13" s="48">
        <f t="shared" si="2"/>
        <v>3555470.2043434344</v>
      </c>
    </row>
    <row r="14" spans="2:15" x14ac:dyDescent="0.25">
      <c r="C14" t="s">
        <v>108</v>
      </c>
      <c r="D14" s="48">
        <v>9741847.5232911687</v>
      </c>
      <c r="E14" s="48">
        <v>6291497.8800618565</v>
      </c>
      <c r="F14" s="48">
        <f t="shared" si="1"/>
        <v>16033345.403353024</v>
      </c>
      <c r="G14" s="48"/>
      <c r="H14" s="48">
        <v>1163198.4114052954</v>
      </c>
      <c r="I14" s="48">
        <v>1157894.0999999999</v>
      </c>
      <c r="J14" s="48">
        <v>207895</v>
      </c>
      <c r="K14" s="48">
        <f t="shared" si="2"/>
        <v>2528987.5114052952</v>
      </c>
    </row>
    <row r="15" spans="2:15" x14ac:dyDescent="0.25">
      <c r="C15" t="s">
        <v>109</v>
      </c>
      <c r="D15" s="48">
        <v>6177365.8128786767</v>
      </c>
      <c r="E15" s="48">
        <v>4380949.2747116555</v>
      </c>
      <c r="F15" s="48">
        <f t="shared" si="1"/>
        <v>10558315.087590333</v>
      </c>
      <c r="G15" s="48"/>
      <c r="H15" s="48">
        <v>909464.17959183676</v>
      </c>
      <c r="I15" s="48">
        <v>897016.22999999986</v>
      </c>
      <c r="J15" s="48">
        <v>123718</v>
      </c>
      <c r="K15" s="48">
        <f t="shared" si="2"/>
        <v>1930198.4095918366</v>
      </c>
    </row>
    <row r="16" spans="2:15" x14ac:dyDescent="0.25">
      <c r="C16" t="s">
        <v>110</v>
      </c>
      <c r="D16" s="48">
        <v>3214119.9183472493</v>
      </c>
      <c r="E16" s="48">
        <v>2794326.6484336322</v>
      </c>
      <c r="F16" s="48">
        <f t="shared" si="1"/>
        <v>6008446.566780882</v>
      </c>
      <c r="G16" s="48"/>
      <c r="H16" s="48">
        <v>552655.89795918367</v>
      </c>
      <c r="I16" s="48">
        <v>707155.0199999999</v>
      </c>
      <c r="J16" s="48">
        <v>98688</v>
      </c>
      <c r="K16" s="48">
        <f t="shared" si="2"/>
        <v>1358498.9179591835</v>
      </c>
    </row>
    <row r="17" spans="2:11" x14ac:dyDescent="0.25">
      <c r="C17" t="s">
        <v>111</v>
      </c>
      <c r="D17" s="48">
        <v>3320636.1637978242</v>
      </c>
      <c r="E17" s="48">
        <v>2887369.364801696</v>
      </c>
      <c r="F17" s="48">
        <f t="shared" si="1"/>
        <v>6208005.5285995202</v>
      </c>
      <c r="G17" s="48"/>
      <c r="H17" s="48">
        <v>451364.72801635991</v>
      </c>
      <c r="I17" s="48">
        <v>878127.03</v>
      </c>
      <c r="J17" s="48">
        <v>86202</v>
      </c>
      <c r="K17" s="48">
        <f t="shared" si="2"/>
        <v>1415693.75801636</v>
      </c>
    </row>
    <row r="18" spans="2:11" x14ac:dyDescent="0.25">
      <c r="C18" t="s">
        <v>112</v>
      </c>
      <c r="D18" s="48">
        <v>1742851.4551867836</v>
      </c>
      <c r="E18" s="48">
        <v>2887410.2914435351</v>
      </c>
      <c r="F18" s="48">
        <f t="shared" si="1"/>
        <v>4630261.7466303185</v>
      </c>
      <c r="G18" s="48"/>
      <c r="H18" s="48">
        <v>499303.80737704923</v>
      </c>
      <c r="I18" s="48">
        <v>968498</v>
      </c>
      <c r="J18" s="48">
        <v>85131</v>
      </c>
      <c r="K18" s="48">
        <f t="shared" si="2"/>
        <v>1552932.8073770492</v>
      </c>
    </row>
    <row r="19" spans="2:11" x14ac:dyDescent="0.25">
      <c r="C19" t="s">
        <v>113</v>
      </c>
      <c r="D19" s="48">
        <v>3795726.2761420133</v>
      </c>
      <c r="E19" s="48">
        <v>4057680.6029422241</v>
      </c>
      <c r="F19" s="48">
        <f t="shared" si="1"/>
        <v>7853406.8790842369</v>
      </c>
      <c r="G19" s="48"/>
      <c r="H19" s="48">
        <v>550131.30737704923</v>
      </c>
      <c r="I19" s="48">
        <v>630536.05102040828</v>
      </c>
      <c r="J19" s="48">
        <v>107273</v>
      </c>
      <c r="K19" s="48">
        <f t="shared" si="2"/>
        <v>1287940.3583974575</v>
      </c>
    </row>
    <row r="20" spans="2:11" x14ac:dyDescent="0.25">
      <c r="C20" t="s">
        <v>114</v>
      </c>
      <c r="D20" s="48">
        <v>9240948.6422871519</v>
      </c>
      <c r="E20" s="48">
        <v>7401627.4767222079</v>
      </c>
      <c r="F20" s="48">
        <f t="shared" si="1"/>
        <v>16642576.119009361</v>
      </c>
      <c r="G20" s="48"/>
      <c r="H20" s="48">
        <v>942073.68979591841</v>
      </c>
      <c r="I20" s="48">
        <v>1203514.7142857143</v>
      </c>
      <c r="J20" s="48">
        <v>169608</v>
      </c>
      <c r="K20" s="48">
        <f t="shared" si="2"/>
        <v>2315196.4040816328</v>
      </c>
    </row>
    <row r="21" spans="2:11" x14ac:dyDescent="0.25">
      <c r="C21" t="s">
        <v>115</v>
      </c>
      <c r="D21" s="48">
        <v>17341165.19363929</v>
      </c>
      <c r="E21" s="48">
        <v>10969043.267989578</v>
      </c>
      <c r="F21" s="48">
        <f t="shared" si="1"/>
        <v>28310208.461628869</v>
      </c>
      <c r="G21" s="48"/>
      <c r="H21" s="48">
        <v>1007467.1602434077</v>
      </c>
      <c r="I21" s="48">
        <v>1561254.2448979591</v>
      </c>
      <c r="J21" s="48">
        <v>236897</v>
      </c>
      <c r="K21" s="48">
        <f t="shared" si="2"/>
        <v>2805618.4051413666</v>
      </c>
    </row>
    <row r="22" spans="2:11" x14ac:dyDescent="0.25">
      <c r="C22" t="s">
        <v>116</v>
      </c>
      <c r="D22" s="48">
        <v>22400238.949816242</v>
      </c>
      <c r="E22" s="48">
        <v>14865015.168496821</v>
      </c>
      <c r="F22" s="48">
        <f t="shared" si="1"/>
        <v>37265254.118313059</v>
      </c>
      <c r="G22" s="48"/>
      <c r="H22" s="48">
        <v>1376805.4828282828</v>
      </c>
      <c r="I22" s="48">
        <v>1600841</v>
      </c>
      <c r="J22" s="48">
        <v>249527</v>
      </c>
      <c r="K22" s="48">
        <f t="shared" si="2"/>
        <v>3227173.4828282828</v>
      </c>
    </row>
    <row r="23" spans="2:11" x14ac:dyDescent="0.25">
      <c r="C23" t="s">
        <v>46</v>
      </c>
      <c r="D23" s="151">
        <f>SUM(D11:D22)</f>
        <v>132185006.73470673</v>
      </c>
      <c r="E23" s="151">
        <f t="shared" ref="E23:K23" si="3">SUM(E11:E22)</f>
        <v>93408944.747611389</v>
      </c>
      <c r="F23" s="49">
        <f>SUM(F11:F22)</f>
        <v>225593951.4823181</v>
      </c>
      <c r="G23" s="49"/>
      <c r="H23" s="151">
        <f t="shared" si="3"/>
        <v>12346308.541679751</v>
      </c>
      <c r="I23" s="151">
        <f t="shared" si="3"/>
        <v>16688677.44020408</v>
      </c>
      <c r="J23" s="151">
        <f t="shared" si="3"/>
        <v>2097598</v>
      </c>
      <c r="K23" s="151">
        <f t="shared" si="3"/>
        <v>31132583.981883831</v>
      </c>
    </row>
    <row r="26" spans="2:11" x14ac:dyDescent="0.25">
      <c r="B26" t="s">
        <v>117</v>
      </c>
      <c r="C26" s="150" t="s">
        <v>118</v>
      </c>
      <c r="D26" t="s">
        <v>94</v>
      </c>
      <c r="E26" t="s">
        <v>95</v>
      </c>
      <c r="F26" t="s">
        <v>46</v>
      </c>
      <c r="H26" t="s">
        <v>96</v>
      </c>
      <c r="I26" t="s">
        <v>97</v>
      </c>
      <c r="J26" t="s">
        <v>98</v>
      </c>
      <c r="K26" t="s">
        <v>46</v>
      </c>
    </row>
    <row r="27" spans="2:11" x14ac:dyDescent="0.25">
      <c r="C27" t="s">
        <v>105</v>
      </c>
      <c r="D27" s="47">
        <f>D11*$D$6</f>
        <v>10265698.32505195</v>
      </c>
      <c r="E27" s="47">
        <f>E11*$E$6</f>
        <v>5316522.7134943856</v>
      </c>
      <c r="F27" s="47">
        <f>F11*$F$6</f>
        <v>15533138.442936756</v>
      </c>
      <c r="G27" s="47"/>
      <c r="H27" s="47">
        <f>H11*$H$6</f>
        <v>423569.00872783427</v>
      </c>
      <c r="I27" s="47">
        <f>I11*$I$6</f>
        <v>436834.70525597845</v>
      </c>
      <c r="J27" s="47">
        <f>J11*$J$6</f>
        <v>22074.918230924133</v>
      </c>
      <c r="K27" s="47">
        <f>K11*$K$6</f>
        <v>873954.08908319427</v>
      </c>
    </row>
    <row r="28" spans="2:11" x14ac:dyDescent="0.25">
      <c r="C28" t="s">
        <v>106</v>
      </c>
      <c r="D28" s="47">
        <f t="shared" ref="D28:D38" si="4">D12*$D$6</f>
        <v>8056456.0328826662</v>
      </c>
      <c r="E28" s="47">
        <f t="shared" ref="E28:E38" si="5">E12*$E$6</f>
        <v>4226056.5051813107</v>
      </c>
      <c r="F28" s="47">
        <f t="shared" ref="F28:F38" si="6">F12*$F$6</f>
        <v>12253284.069400823</v>
      </c>
      <c r="G28" s="47"/>
      <c r="H28" s="47">
        <f t="shared" ref="H28:H38" si="7">H12*$H$6</f>
        <v>305987.71302683174</v>
      </c>
      <c r="I28" s="47">
        <f t="shared" ref="I28:I38" si="8">I12*$I$6</f>
        <v>575656.40401384339</v>
      </c>
      <c r="J28" s="47">
        <f t="shared" ref="J28:J38" si="9">J12*$J$6</f>
        <v>20218.349450900507</v>
      </c>
      <c r="K28" s="47">
        <f t="shared" ref="K28:K38" si="10">K12*$K$6</f>
        <v>914196.33561930654</v>
      </c>
    </row>
    <row r="29" spans="2:11" x14ac:dyDescent="0.25">
      <c r="C29" t="s">
        <v>107</v>
      </c>
      <c r="D29" s="47">
        <f t="shared" si="4"/>
        <v>6880155.1920402832</v>
      </c>
      <c r="E29" s="47">
        <f t="shared" si="5"/>
        <v>3451458.3708859193</v>
      </c>
      <c r="F29" s="47">
        <f t="shared" si="6"/>
        <v>10279382.023145787</v>
      </c>
      <c r="G29" s="47"/>
      <c r="H29" s="47">
        <f t="shared" si="7"/>
        <v>378788.85139430815</v>
      </c>
      <c r="I29" s="47">
        <f t="shared" si="8"/>
        <v>304617.88364097208</v>
      </c>
      <c r="J29" s="47">
        <f t="shared" si="9"/>
        <v>21197.762275388326</v>
      </c>
      <c r="K29" s="47">
        <f t="shared" si="10"/>
        <v>694462.397675719</v>
      </c>
    </row>
    <row r="30" spans="2:11" x14ac:dyDescent="0.25">
      <c r="C30" t="s">
        <v>108</v>
      </c>
      <c r="D30" s="47">
        <f t="shared" si="4"/>
        <v>4446958.5571180759</v>
      </c>
      <c r="E30" s="47">
        <f t="shared" si="5"/>
        <v>2217060.937981213</v>
      </c>
      <c r="F30" s="47">
        <f t="shared" si="6"/>
        <v>6627875.8539539501</v>
      </c>
      <c r="G30" s="47"/>
      <c r="H30" s="47">
        <f t="shared" si="7"/>
        <v>263438.27926582808</v>
      </c>
      <c r="I30" s="47">
        <f t="shared" si="8"/>
        <v>215288.95428114524</v>
      </c>
      <c r="J30" s="47">
        <f t="shared" si="9"/>
        <v>18015.840483710417</v>
      </c>
      <c r="K30" s="47">
        <f t="shared" si="10"/>
        <v>493967.50075895881</v>
      </c>
    </row>
    <row r="31" spans="2:11" x14ac:dyDescent="0.25">
      <c r="C31" t="s">
        <v>109</v>
      </c>
      <c r="D31" s="47">
        <f t="shared" si="4"/>
        <v>2819843.9460638273</v>
      </c>
      <c r="E31" s="47">
        <f t="shared" si="5"/>
        <v>1543802.7149338948</v>
      </c>
      <c r="F31" s="47">
        <f t="shared" si="6"/>
        <v>4364603.8844047505</v>
      </c>
      <c r="G31" s="47"/>
      <c r="H31" s="47">
        <f t="shared" si="7"/>
        <v>205973.1823706055</v>
      </c>
      <c r="I31" s="47">
        <f t="shared" si="8"/>
        <v>166783.54793405998</v>
      </c>
      <c r="J31" s="47">
        <f t="shared" si="9"/>
        <v>10721.199417800743</v>
      </c>
      <c r="K31" s="47">
        <f t="shared" si="10"/>
        <v>377010.67326551775</v>
      </c>
    </row>
    <row r="32" spans="2:11" x14ac:dyDescent="0.25">
      <c r="C32" t="s">
        <v>110</v>
      </c>
      <c r="D32" s="47">
        <f t="shared" si="4"/>
        <v>1467181.4602235954</v>
      </c>
      <c r="E32" s="47">
        <f t="shared" si="5"/>
        <v>984692.76765317109</v>
      </c>
      <c r="F32" s="47">
        <f t="shared" si="6"/>
        <v>2483775.9630258675</v>
      </c>
      <c r="G32" s="47"/>
      <c r="H32" s="47">
        <f t="shared" si="7"/>
        <v>125164.13137857179</v>
      </c>
      <c r="I32" s="47">
        <f t="shared" si="8"/>
        <v>131482.37370797756</v>
      </c>
      <c r="J32" s="47">
        <f t="shared" si="9"/>
        <v>8552.140578928851</v>
      </c>
      <c r="K32" s="47">
        <f t="shared" si="10"/>
        <v>265345.0490608234</v>
      </c>
    </row>
    <row r="33" spans="2:11" x14ac:dyDescent="0.25">
      <c r="C33" t="s">
        <v>111</v>
      </c>
      <c r="D33" s="47">
        <f t="shared" si="4"/>
        <v>1515803.995943442</v>
      </c>
      <c r="E33" s="47">
        <f t="shared" si="5"/>
        <v>1017480.0904745008</v>
      </c>
      <c r="F33" s="47">
        <f t="shared" si="6"/>
        <v>2566269.7901844382</v>
      </c>
      <c r="G33" s="47"/>
      <c r="H33" s="47">
        <f t="shared" si="7"/>
        <v>102223.95947589328</v>
      </c>
      <c r="I33" s="47">
        <f t="shared" si="8"/>
        <v>163271.45117563679</v>
      </c>
      <c r="J33" s="47">
        <f t="shared" si="9"/>
        <v>7470.1242520349469</v>
      </c>
      <c r="K33" s="47">
        <f t="shared" si="10"/>
        <v>276516.47322639893</v>
      </c>
    </row>
    <row r="34" spans="2:11" x14ac:dyDescent="0.25">
      <c r="C34" t="s">
        <v>112</v>
      </c>
      <c r="D34" s="47">
        <f t="shared" si="4"/>
        <v>795576.83220750932</v>
      </c>
      <c r="E34" s="47">
        <f t="shared" si="5"/>
        <v>1017494.5126138186</v>
      </c>
      <c r="F34" s="47">
        <f t="shared" si="6"/>
        <v>1914060.9308871897</v>
      </c>
      <c r="G34" s="47"/>
      <c r="H34" s="47">
        <f t="shared" si="7"/>
        <v>113081.08277707669</v>
      </c>
      <c r="I34" s="47">
        <f t="shared" si="8"/>
        <v>180074.25864194371</v>
      </c>
      <c r="J34" s="47">
        <f t="shared" si="9"/>
        <v>7377.3131447064698</v>
      </c>
      <c r="K34" s="47">
        <f t="shared" si="10"/>
        <v>303322.31149705331</v>
      </c>
    </row>
    <row r="35" spans="2:11" x14ac:dyDescent="0.25">
      <c r="C35" t="s">
        <v>113</v>
      </c>
      <c r="D35" s="47">
        <f t="shared" si="4"/>
        <v>1732673.1304110102</v>
      </c>
      <c r="E35" s="47">
        <f t="shared" si="5"/>
        <v>1429886.067687718</v>
      </c>
      <c r="F35" s="47">
        <f t="shared" si="6"/>
        <v>3246446.9838136742</v>
      </c>
      <c r="G35" s="47"/>
      <c r="H35" s="47">
        <f t="shared" si="7"/>
        <v>124592.36839103066</v>
      </c>
      <c r="I35" s="47">
        <f t="shared" si="8"/>
        <v>117236.49603253575</v>
      </c>
      <c r="J35" s="47">
        <f t="shared" si="9"/>
        <v>9296.1026297364897</v>
      </c>
      <c r="K35" s="47">
        <f t="shared" si="10"/>
        <v>251563.39329278417</v>
      </c>
    </row>
    <row r="36" spans="2:11" x14ac:dyDescent="0.25">
      <c r="C36" t="s">
        <v>114</v>
      </c>
      <c r="D36" s="47">
        <f t="shared" si="4"/>
        <v>4218308.2359335013</v>
      </c>
      <c r="E36" s="47">
        <f t="shared" si="5"/>
        <v>2608259.5065529798</v>
      </c>
      <c r="F36" s="47">
        <f t="shared" si="6"/>
        <v>6879720.0853481842</v>
      </c>
      <c r="G36" s="47"/>
      <c r="H36" s="47">
        <f t="shared" si="7"/>
        <v>213358.50302753982</v>
      </c>
      <c r="I36" s="47">
        <f t="shared" si="8"/>
        <v>223771.26224284479</v>
      </c>
      <c r="J36" s="47">
        <f t="shared" si="9"/>
        <v>14697.951719671741</v>
      </c>
      <c r="K36" s="47">
        <f t="shared" si="10"/>
        <v>452209.34319871158</v>
      </c>
    </row>
    <row r="37" spans="2:11" x14ac:dyDescent="0.25">
      <c r="C37" t="s">
        <v>115</v>
      </c>
      <c r="D37" s="47">
        <f t="shared" si="4"/>
        <v>7915895.0870337412</v>
      </c>
      <c r="E37" s="47">
        <f t="shared" si="5"/>
        <v>3865381.1572525534</v>
      </c>
      <c r="F37" s="47">
        <f t="shared" si="6"/>
        <v>11702894.334453288</v>
      </c>
      <c r="G37" s="47"/>
      <c r="H37" s="47">
        <f t="shared" si="7"/>
        <v>228168.65335184667</v>
      </c>
      <c r="I37" s="47">
        <f t="shared" si="8"/>
        <v>290286.29971521633</v>
      </c>
      <c r="J37" s="47">
        <f t="shared" si="9"/>
        <v>20529.106342478397</v>
      </c>
      <c r="K37" s="47">
        <f t="shared" si="10"/>
        <v>547999.66604062647</v>
      </c>
    </row>
    <row r="38" spans="2:11" x14ac:dyDescent="0.25">
      <c r="C38" t="s">
        <v>116</v>
      </c>
      <c r="D38" s="47">
        <f t="shared" si="4"/>
        <v>10225261.075090395</v>
      </c>
      <c r="E38" s="47">
        <f t="shared" si="5"/>
        <v>5238282.6952885343</v>
      </c>
      <c r="F38" s="47">
        <f t="shared" si="6"/>
        <v>15404737.548445297</v>
      </c>
      <c r="G38" s="47"/>
      <c r="H38" s="47">
        <f t="shared" si="7"/>
        <v>311815.4768126338</v>
      </c>
      <c r="I38" s="47">
        <f t="shared" si="8"/>
        <v>297646.72335784667</v>
      </c>
      <c r="J38" s="47">
        <f t="shared" si="9"/>
        <v>21623.601473718987</v>
      </c>
      <c r="K38" s="47">
        <f t="shared" si="10"/>
        <v>630338.74728090665</v>
      </c>
    </row>
    <row r="40" spans="2:11" ht="15.75" thickBot="1" x14ac:dyDescent="0.3"/>
    <row r="41" spans="2:11" ht="15.75" thickBot="1" x14ac:dyDescent="0.3">
      <c r="B41" t="s">
        <v>119</v>
      </c>
      <c r="C41" s="152" t="s">
        <v>120</v>
      </c>
      <c r="D41" s="153"/>
      <c r="E41" s="153"/>
      <c r="F41" s="153"/>
      <c r="G41" s="153"/>
      <c r="H41" s="153"/>
      <c r="I41" s="153"/>
      <c r="J41" s="154"/>
    </row>
    <row r="42" spans="2:11" ht="15.75" thickBot="1" x14ac:dyDescent="0.3">
      <c r="C42" s="155"/>
      <c r="D42" t="s">
        <v>94</v>
      </c>
      <c r="E42" t="s">
        <v>95</v>
      </c>
      <c r="F42" s="156" t="s">
        <v>121</v>
      </c>
      <c r="G42" s="157"/>
      <c r="H42" t="s">
        <v>96</v>
      </c>
      <c r="I42" t="s">
        <v>97</v>
      </c>
      <c r="J42" t="s">
        <v>98</v>
      </c>
      <c r="K42" s="156" t="s">
        <v>121</v>
      </c>
    </row>
    <row r="43" spans="2:11" ht="15.75" thickBot="1" x14ac:dyDescent="0.3">
      <c r="C43" s="158" t="s">
        <v>105</v>
      </c>
      <c r="D43" s="108">
        <f t="shared" ref="D43:D54" si="11">D27/$D$7</f>
        <v>49.33249872677446</v>
      </c>
      <c r="E43" s="108">
        <f t="shared" ref="E43:E54" si="12">E27/$E$7</f>
        <v>189.18663132497281</v>
      </c>
      <c r="F43" s="159">
        <f>ROUND(F27/$F$7,2)</f>
        <v>65.760000000000005</v>
      </c>
      <c r="G43" s="50"/>
      <c r="H43" s="108">
        <f t="shared" ref="H43:H54" si="13">H27/$H$7</f>
        <v>843.76296559329535</v>
      </c>
      <c r="I43" s="108">
        <f t="shared" ref="I43:I54" si="14">I27/$I$7</f>
        <v>4412.4717702624084</v>
      </c>
      <c r="J43" s="108">
        <f t="shared" ref="J43:J54" si="15">J27/$J$7</f>
        <v>3153.5597472748764</v>
      </c>
      <c r="K43" s="159">
        <f>ROUND(K27/$K$7,2)</f>
        <v>1437.42</v>
      </c>
    </row>
    <row r="44" spans="2:11" ht="15.75" thickBot="1" x14ac:dyDescent="0.3">
      <c r="C44" s="158" t="s">
        <v>106</v>
      </c>
      <c r="D44" s="108">
        <f t="shared" si="11"/>
        <v>38.715837383862265</v>
      </c>
      <c r="E44" s="108">
        <f t="shared" si="12"/>
        <v>150.38276653552455</v>
      </c>
      <c r="F44" s="159">
        <f t="shared" ref="F44:F54" si="16">ROUND(F28/$F$7,2)</f>
        <v>51.88</v>
      </c>
      <c r="G44" s="50"/>
      <c r="H44" s="108">
        <f t="shared" si="13"/>
        <v>609.53727694587997</v>
      </c>
      <c r="I44" s="108">
        <f t="shared" si="14"/>
        <v>5814.711151654984</v>
      </c>
      <c r="J44" s="108">
        <f t="shared" si="15"/>
        <v>2888.3356358429296</v>
      </c>
      <c r="K44" s="159">
        <f t="shared" ref="K44:K54" si="17">ROUND(K28/$K$7,2)</f>
        <v>1503.61</v>
      </c>
    </row>
    <row r="45" spans="2:11" ht="15.75" thickBot="1" x14ac:dyDescent="0.3">
      <c r="C45" s="158" t="s">
        <v>107</v>
      </c>
      <c r="D45" s="108">
        <f t="shared" si="11"/>
        <v>33.063045153298944</v>
      </c>
      <c r="E45" s="108">
        <f t="shared" si="12"/>
        <v>122.81895846864705</v>
      </c>
      <c r="F45" s="159">
        <f t="shared" si="16"/>
        <v>43.52</v>
      </c>
      <c r="G45" s="50"/>
      <c r="H45" s="108">
        <f t="shared" si="13"/>
        <v>754.55946492890064</v>
      </c>
      <c r="I45" s="108">
        <f t="shared" si="14"/>
        <v>3076.9483196057786</v>
      </c>
      <c r="J45" s="108">
        <f t="shared" si="15"/>
        <v>3028.2517536269038</v>
      </c>
      <c r="K45" s="159">
        <f t="shared" si="17"/>
        <v>1142.21</v>
      </c>
    </row>
    <row r="46" spans="2:11" ht="15.75" thickBot="1" x14ac:dyDescent="0.3">
      <c r="C46" s="158" t="s">
        <v>108</v>
      </c>
      <c r="D46" s="108">
        <f t="shared" si="11"/>
        <v>21.370156263182036</v>
      </c>
      <c r="E46" s="108">
        <f t="shared" si="12"/>
        <v>78.893350579361368</v>
      </c>
      <c r="F46" s="159">
        <f t="shared" si="16"/>
        <v>28.06</v>
      </c>
      <c r="G46" s="50"/>
      <c r="H46" s="108">
        <f t="shared" si="13"/>
        <v>524.77744873670929</v>
      </c>
      <c r="I46" s="108">
        <f t="shared" si="14"/>
        <v>2174.6359018297499</v>
      </c>
      <c r="J46" s="108">
        <f t="shared" si="15"/>
        <v>2573.6914976729167</v>
      </c>
      <c r="K46" s="159">
        <f t="shared" si="17"/>
        <v>812.45</v>
      </c>
    </row>
    <row r="47" spans="2:11" ht="15.75" thickBot="1" x14ac:dyDescent="0.3">
      <c r="C47" s="158" t="s">
        <v>109</v>
      </c>
      <c r="D47" s="108">
        <f t="shared" si="11"/>
        <v>13.550948359686231</v>
      </c>
      <c r="E47" s="108">
        <f t="shared" si="12"/>
        <v>54.935688382815982</v>
      </c>
      <c r="F47" s="159">
        <f t="shared" si="16"/>
        <v>18.48</v>
      </c>
      <c r="G47" s="50"/>
      <c r="H47" s="108">
        <f t="shared" si="13"/>
        <v>410.30514416455281</v>
      </c>
      <c r="I47" s="108">
        <f t="shared" si="14"/>
        <v>1684.6823023642423</v>
      </c>
      <c r="J47" s="108">
        <f t="shared" si="15"/>
        <v>1531.5999168286776</v>
      </c>
      <c r="K47" s="159">
        <f t="shared" si="17"/>
        <v>620.08000000000004</v>
      </c>
    </row>
    <row r="48" spans="2:11" ht="15.75" thickBot="1" x14ac:dyDescent="0.3">
      <c r="C48" s="158" t="s">
        <v>110</v>
      </c>
      <c r="D48" s="108">
        <f t="shared" si="11"/>
        <v>7.0506384686753716</v>
      </c>
      <c r="E48" s="108">
        <f t="shared" si="12"/>
        <v>35.03995330058968</v>
      </c>
      <c r="F48" s="159">
        <f t="shared" si="16"/>
        <v>10.52</v>
      </c>
      <c r="G48" s="50"/>
      <c r="H48" s="108">
        <f t="shared" si="13"/>
        <v>249.33093900113903</v>
      </c>
      <c r="I48" s="108">
        <f t="shared" si="14"/>
        <v>1328.1047849290662</v>
      </c>
      <c r="J48" s="108">
        <f t="shared" si="15"/>
        <v>1221.7343684184073</v>
      </c>
      <c r="K48" s="159">
        <f t="shared" si="17"/>
        <v>436.42</v>
      </c>
    </row>
    <row r="49" spans="3:11" ht="15.75" thickBot="1" x14ac:dyDescent="0.3">
      <c r="C49" s="158" t="s">
        <v>111</v>
      </c>
      <c r="D49" s="108">
        <f t="shared" si="11"/>
        <v>7.2842973105330433</v>
      </c>
      <c r="E49" s="108">
        <f t="shared" si="12"/>
        <v>36.206678900950138</v>
      </c>
      <c r="F49" s="159">
        <f t="shared" si="16"/>
        <v>10.87</v>
      </c>
      <c r="G49" s="50"/>
      <c r="H49" s="108">
        <f t="shared" si="13"/>
        <v>203.63338541014596</v>
      </c>
      <c r="I49" s="108">
        <f t="shared" si="14"/>
        <v>1649.2065775316846</v>
      </c>
      <c r="J49" s="108">
        <f t="shared" si="15"/>
        <v>1067.1606074335639</v>
      </c>
      <c r="K49" s="159">
        <f t="shared" si="17"/>
        <v>454.8</v>
      </c>
    </row>
    <row r="50" spans="3:11" ht="15.75" thickBot="1" x14ac:dyDescent="0.3">
      <c r="C50" s="158" t="s">
        <v>112</v>
      </c>
      <c r="D50" s="108">
        <f t="shared" si="11"/>
        <v>3.8231975866804553</v>
      </c>
      <c r="E50" s="108">
        <f t="shared" si="12"/>
        <v>36.207192107815054</v>
      </c>
      <c r="F50" s="159">
        <f t="shared" si="16"/>
        <v>8.1</v>
      </c>
      <c r="G50" s="50"/>
      <c r="H50" s="108">
        <f t="shared" si="13"/>
        <v>225.26112106987389</v>
      </c>
      <c r="I50" s="108">
        <f t="shared" si="14"/>
        <v>1818.9319054741788</v>
      </c>
      <c r="J50" s="108">
        <f t="shared" si="15"/>
        <v>1053.9018778152099</v>
      </c>
      <c r="K50" s="159">
        <f t="shared" si="17"/>
        <v>498.89</v>
      </c>
    </row>
    <row r="51" spans="3:11" ht="15.75" thickBot="1" x14ac:dyDescent="0.3">
      <c r="C51" s="158" t="s">
        <v>113</v>
      </c>
      <c r="D51" s="108">
        <f t="shared" si="11"/>
        <v>8.3264764162534366</v>
      </c>
      <c r="E51" s="108">
        <f t="shared" si="12"/>
        <v>50.882003689691764</v>
      </c>
      <c r="F51" s="159">
        <f t="shared" si="16"/>
        <v>13.74</v>
      </c>
      <c r="G51" s="50"/>
      <c r="H51" s="108">
        <f t="shared" si="13"/>
        <v>248.19196890643556</v>
      </c>
      <c r="I51" s="108">
        <f t="shared" si="14"/>
        <v>1184.2070306316743</v>
      </c>
      <c r="J51" s="108">
        <f t="shared" si="15"/>
        <v>1328.0146613909271</v>
      </c>
      <c r="K51" s="159">
        <f t="shared" si="17"/>
        <v>413.76</v>
      </c>
    </row>
    <row r="52" spans="3:11" ht="15.75" thickBot="1" x14ac:dyDescent="0.3">
      <c r="C52" s="158" t="s">
        <v>114</v>
      </c>
      <c r="D52" s="108">
        <f t="shared" si="11"/>
        <v>20.271361878080373</v>
      </c>
      <c r="E52" s="108">
        <f t="shared" si="12"/>
        <v>92.814017029143116</v>
      </c>
      <c r="F52" s="159">
        <f t="shared" si="16"/>
        <v>29.13</v>
      </c>
      <c r="G52" s="50"/>
      <c r="H52" s="108">
        <f t="shared" si="13"/>
        <v>425.01693830187213</v>
      </c>
      <c r="I52" s="108">
        <f t="shared" si="14"/>
        <v>2260.3157802307555</v>
      </c>
      <c r="J52" s="108">
        <f t="shared" si="15"/>
        <v>2099.7073885245345</v>
      </c>
      <c r="K52" s="159">
        <f t="shared" si="17"/>
        <v>743.77</v>
      </c>
    </row>
    <row r="53" spans="3:11" ht="15.75" thickBot="1" x14ac:dyDescent="0.3">
      <c r="C53" s="158" t="s">
        <v>115</v>
      </c>
      <c r="D53" s="108">
        <f t="shared" si="11"/>
        <v>38.040362373535459</v>
      </c>
      <c r="E53" s="108">
        <f t="shared" si="12"/>
        <v>137.5482583891735</v>
      </c>
      <c r="F53" s="159">
        <f t="shared" si="16"/>
        <v>49.55</v>
      </c>
      <c r="G53" s="50"/>
      <c r="H53" s="108">
        <f t="shared" si="13"/>
        <v>454.51922978455514</v>
      </c>
      <c r="I53" s="108">
        <f t="shared" si="14"/>
        <v>2932.1848456082457</v>
      </c>
      <c r="J53" s="108">
        <f t="shared" si="15"/>
        <v>2932.7294774969137</v>
      </c>
      <c r="K53" s="159">
        <f t="shared" si="17"/>
        <v>901.32</v>
      </c>
    </row>
    <row r="54" spans="3:11" ht="15.75" thickBot="1" x14ac:dyDescent="0.3">
      <c r="C54" s="158" t="s">
        <v>116</v>
      </c>
      <c r="D54" s="108">
        <f t="shared" si="11"/>
        <v>49.138174822147874</v>
      </c>
      <c r="E54" s="108">
        <f t="shared" si="12"/>
        <v>186.40248719979127</v>
      </c>
      <c r="F54" s="160">
        <f t="shared" si="16"/>
        <v>65.22</v>
      </c>
      <c r="G54" s="50"/>
      <c r="H54" s="108">
        <f t="shared" si="13"/>
        <v>621.14636815265703</v>
      </c>
      <c r="I54" s="108">
        <f t="shared" si="14"/>
        <v>3006.5325591701685</v>
      </c>
      <c r="J54" s="108">
        <f t="shared" si="15"/>
        <v>3089.0859248169982</v>
      </c>
      <c r="K54" s="160">
        <f t="shared" si="17"/>
        <v>1036.74</v>
      </c>
    </row>
    <row r="55" spans="3:11" ht="15.75" thickBot="1" x14ac:dyDescent="0.3">
      <c r="C55" s="161" t="s">
        <v>122</v>
      </c>
      <c r="D55" s="162">
        <f>AVERAGE(D43:D54)</f>
        <v>24.163916228559163</v>
      </c>
      <c r="E55" s="162">
        <f t="shared" ref="E55:K55" si="18">AVERAGE(E43:E54)</f>
        <v>97.609832159039684</v>
      </c>
      <c r="F55" s="162">
        <f t="shared" si="18"/>
        <v>32.902500000000003</v>
      </c>
      <c r="G55" s="162"/>
      <c r="H55" s="162">
        <f t="shared" si="18"/>
        <v>464.17018758300145</v>
      </c>
      <c r="I55" s="162">
        <f t="shared" si="18"/>
        <v>2611.9110774410779</v>
      </c>
      <c r="J55" s="162">
        <f t="shared" si="18"/>
        <v>2163.9810714285713</v>
      </c>
      <c r="K55" s="163">
        <f t="shared" si="18"/>
        <v>833.45583333333332</v>
      </c>
    </row>
  </sheetData>
  <mergeCells count="2">
    <mergeCell ref="D2:E2"/>
    <mergeCell ref="H2:J2"/>
  </mergeCells>
  <pageMargins left="0.7" right="0.7" top="0.75" bottom="0.75" header="0.3" footer="0.3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C0F0-7C41-49BD-AF05-FD3D06E21478}">
  <dimension ref="A1:N55"/>
  <sheetViews>
    <sheetView topLeftCell="A19" zoomScale="115" zoomScaleNormal="115" workbookViewId="0">
      <selection activeCell="G11" sqref="G11"/>
    </sheetView>
  </sheetViews>
  <sheetFormatPr defaultRowHeight="15" x14ac:dyDescent="0.25"/>
  <cols>
    <col min="2" max="2" width="15.5703125" bestFit="1" customWidth="1"/>
    <col min="3" max="4" width="15.42578125" bestFit="1" customWidth="1"/>
    <col min="5" max="5" width="16.28515625" bestFit="1" customWidth="1"/>
    <col min="6" max="6" width="5.7109375" customWidth="1"/>
    <col min="7" max="8" width="14.42578125" bestFit="1" customWidth="1"/>
    <col min="9" max="9" width="13.28515625" bestFit="1" customWidth="1"/>
    <col min="10" max="10" width="13.28515625" customWidth="1"/>
    <col min="12" max="13" width="14.28515625" bestFit="1" customWidth="1"/>
    <col min="14" max="14" width="13.28515625" bestFit="1" customWidth="1"/>
  </cols>
  <sheetData>
    <row r="1" spans="1:14" x14ac:dyDescent="0.25">
      <c r="A1" t="s">
        <v>123</v>
      </c>
    </row>
    <row r="2" spans="1:14" x14ac:dyDescent="0.25">
      <c r="C2" s="164" t="s">
        <v>92</v>
      </c>
      <c r="D2" s="164"/>
      <c r="E2" s="113"/>
      <c r="F2" s="113"/>
      <c r="G2" s="164" t="s">
        <v>93</v>
      </c>
      <c r="H2" s="164"/>
      <c r="I2" s="164"/>
      <c r="J2" s="113"/>
    </row>
    <row r="3" spans="1:14" x14ac:dyDescent="0.25">
      <c r="C3" t="s">
        <v>94</v>
      </c>
      <c r="D3" t="s">
        <v>95</v>
      </c>
      <c r="E3" t="s">
        <v>46</v>
      </c>
      <c r="G3" t="s">
        <v>96</v>
      </c>
      <c r="H3" t="s">
        <v>97</v>
      </c>
      <c r="I3" t="s">
        <v>98</v>
      </c>
      <c r="J3" t="s">
        <v>46</v>
      </c>
    </row>
    <row r="4" spans="1:14" x14ac:dyDescent="0.25">
      <c r="B4" t="s">
        <v>99</v>
      </c>
      <c r="C4" s="47">
        <f>'2026 Rates'!I13</f>
        <v>65343113.25</v>
      </c>
      <c r="D4" s="47">
        <f>'2026 Rates'!I20</f>
        <v>34346758.170000002</v>
      </c>
      <c r="E4" s="47">
        <f>C4+D4</f>
        <v>99689871.420000002</v>
      </c>
      <c r="F4" s="47"/>
      <c r="G4" s="47">
        <f>'2026 Rates'!I27+'2026 Rates'!I28+'2026 Rates'!I29</f>
        <v>2885810.38</v>
      </c>
      <c r="H4" s="47">
        <f>'2026 Rates'!I36+'2026 Rates'!I37+'2026 Rates'!I38</f>
        <v>3220573.0500000003</v>
      </c>
      <c r="I4" s="47">
        <f>'2026 Rates'!I45+'2026 Rates'!I46</f>
        <v>187765.41999999998</v>
      </c>
      <c r="J4" s="47">
        <f>G4+H4+I4</f>
        <v>6294148.8499999996</v>
      </c>
      <c r="L4" s="184"/>
      <c r="M4" s="184"/>
      <c r="N4" s="184"/>
    </row>
    <row r="5" spans="1:14" x14ac:dyDescent="0.25">
      <c r="B5" t="s">
        <v>100</v>
      </c>
      <c r="C5" s="48">
        <f>'2026 Rates'!C13</f>
        <v>134450850.29920077</v>
      </c>
      <c r="D5" s="48">
        <f>'2026 Rates'!C20</f>
        <v>94864823.966152921</v>
      </c>
      <c r="E5" s="48">
        <f>C5+D5</f>
        <v>229315674.26535368</v>
      </c>
      <c r="F5" s="48"/>
      <c r="G5" s="48">
        <f>'2026 Rates'!C27+'2026 Rates'!C28+'2026 Rates'!C29</f>
        <v>12493873.982416959</v>
      </c>
      <c r="H5" s="48">
        <f>'2026 Rates'!C36+'2026 Rates'!C37+'2026 Rates'!C38</f>
        <v>16688677.440204078</v>
      </c>
      <c r="I5" s="48">
        <f>'2026 Rates'!C45+'2026 Rates'!C46</f>
        <v>2097598</v>
      </c>
      <c r="J5" s="48">
        <f>G5+H5+I5</f>
        <v>31280149.422621038</v>
      </c>
      <c r="L5" s="184"/>
      <c r="M5" s="184"/>
      <c r="N5" s="184"/>
    </row>
    <row r="6" spans="1:14" x14ac:dyDescent="0.25">
      <c r="A6" t="s">
        <v>101</v>
      </c>
      <c r="B6" t="s">
        <v>102</v>
      </c>
      <c r="C6" s="51">
        <f>C4/C5</f>
        <v>0.48600000003412713</v>
      </c>
      <c r="D6" s="51">
        <f>D4/D5</f>
        <v>0.36206000005075301</v>
      </c>
      <c r="E6" s="51">
        <f>E4/E5</f>
        <v>0.43472768156547126</v>
      </c>
      <c r="F6" s="51"/>
      <c r="G6" s="51">
        <f>G4/G5</f>
        <v>0.23097802843708012</v>
      </c>
      <c r="H6" s="51">
        <f>H4/H5</f>
        <v>0.19297952528229925</v>
      </c>
      <c r="I6" s="51">
        <f>I4/I5</f>
        <v>8.9514492290705835E-2</v>
      </c>
      <c r="J6" s="53">
        <f>J4/J5</f>
        <v>0.20121863118237618</v>
      </c>
    </row>
    <row r="7" spans="1:14" x14ac:dyDescent="0.25">
      <c r="B7" t="s">
        <v>103</v>
      </c>
      <c r="C7" s="48">
        <v>211659</v>
      </c>
      <c r="D7" s="48">
        <v>28540</v>
      </c>
      <c r="E7" s="48">
        <f>C7+D7</f>
        <v>240199</v>
      </c>
      <c r="F7" s="48"/>
      <c r="G7" s="48">
        <v>508</v>
      </c>
      <c r="H7" s="48">
        <v>99</v>
      </c>
      <c r="I7" s="48">
        <v>7</v>
      </c>
      <c r="J7" s="48">
        <f>G7+H7+I7</f>
        <v>614</v>
      </c>
      <c r="L7" s="108"/>
      <c r="M7" s="108"/>
      <c r="N7" s="108"/>
    </row>
    <row r="8" spans="1:14" x14ac:dyDescent="0.25">
      <c r="L8" s="108"/>
      <c r="M8" s="108"/>
      <c r="N8" s="108"/>
    </row>
    <row r="10" spans="1:14" x14ac:dyDescent="0.25">
      <c r="B10" t="s">
        <v>104</v>
      </c>
    </row>
    <row r="11" spans="1:14" x14ac:dyDescent="0.25">
      <c r="B11" t="s">
        <v>105</v>
      </c>
      <c r="C11" s="48">
        <v>22874315.082254101</v>
      </c>
      <c r="D11" s="48">
        <v>15322189.783906693</v>
      </c>
      <c r="E11" s="48">
        <f t="shared" ref="E11:E23" si="0">C11+D11</f>
        <v>38196504.866160795</v>
      </c>
      <c r="F11" s="48"/>
      <c r="G11" s="48">
        <v>1892601.1129032257</v>
      </c>
      <c r="H11" s="48">
        <v>2349439.29</v>
      </c>
      <c r="I11" s="48">
        <v>254735</v>
      </c>
      <c r="J11" s="48">
        <f t="shared" ref="J11:J22" si="1">G11+H11+I11</f>
        <v>4496775.4029032253</v>
      </c>
    </row>
    <row r="12" spans="1:14" x14ac:dyDescent="0.25">
      <c r="B12" t="s">
        <v>106</v>
      </c>
      <c r="C12" s="48">
        <v>17951619.841853518</v>
      </c>
      <c r="D12" s="48">
        <v>12179472.053330461</v>
      </c>
      <c r="E12" s="48">
        <f t="shared" si="0"/>
        <v>30131091.89518398</v>
      </c>
      <c r="F12" s="48"/>
      <c r="G12" s="48">
        <v>1367221.5725806453</v>
      </c>
      <c r="H12" s="48">
        <v>3096067.59</v>
      </c>
      <c r="I12" s="48">
        <v>233311</v>
      </c>
      <c r="J12" s="48">
        <f t="shared" si="1"/>
        <v>4696600.1625806447</v>
      </c>
    </row>
    <row r="13" spans="1:14" x14ac:dyDescent="0.25">
      <c r="B13" t="s">
        <v>107</v>
      </c>
      <c r="C13" s="48">
        <v>15330553.528294871</v>
      </c>
      <c r="D13" s="48">
        <v>9947084.4083366133</v>
      </c>
      <c r="E13" s="48">
        <f t="shared" si="0"/>
        <v>25277637.936631486</v>
      </c>
      <c r="F13" s="48"/>
      <c r="G13">
        <v>1692513.3494949494</v>
      </c>
      <c r="H13">
        <v>1638334.17</v>
      </c>
      <c r="I13">
        <v>244613</v>
      </c>
      <c r="J13" s="48">
        <f t="shared" si="1"/>
        <v>3575460.5194949494</v>
      </c>
    </row>
    <row r="14" spans="1:14" x14ac:dyDescent="0.25">
      <c r="B14" t="s">
        <v>108</v>
      </c>
      <c r="C14" s="48">
        <v>9908836.9804331046</v>
      </c>
      <c r="D14" s="48">
        <v>6389557.6648268942</v>
      </c>
      <c r="E14" s="48">
        <f t="shared" si="0"/>
        <v>16298394.645259999</v>
      </c>
      <c r="F14" s="48"/>
      <c r="G14">
        <v>1177101.1812627292</v>
      </c>
      <c r="H14">
        <v>1157894.0999999999</v>
      </c>
      <c r="I14">
        <v>207895</v>
      </c>
      <c r="J14" s="48">
        <f t="shared" si="1"/>
        <v>2542890.2812627293</v>
      </c>
    </row>
    <row r="15" spans="1:14" x14ac:dyDescent="0.25">
      <c r="B15" t="s">
        <v>109</v>
      </c>
      <c r="C15" s="48">
        <v>6283254.8612540979</v>
      </c>
      <c r="D15" s="48">
        <v>4449231.0974404188</v>
      </c>
      <c r="E15" s="48">
        <f t="shared" si="0"/>
        <v>10732485.958694518</v>
      </c>
      <c r="F15" s="48"/>
      <c r="G15">
        <v>920334.26938775508</v>
      </c>
      <c r="H15">
        <v>897016.22999999986</v>
      </c>
      <c r="I15">
        <v>123718</v>
      </c>
      <c r="J15" s="48">
        <f t="shared" si="1"/>
        <v>1941068.4993877551</v>
      </c>
    </row>
    <row r="16" spans="1:14" x14ac:dyDescent="0.25">
      <c r="B16" t="s">
        <v>110</v>
      </c>
      <c r="C16" s="48">
        <v>3269214.6156385657</v>
      </c>
      <c r="D16" s="48">
        <v>2837879.2451176378</v>
      </c>
      <c r="E16" s="48">
        <f t="shared" si="0"/>
        <v>6107093.8607562035</v>
      </c>
      <c r="F16" s="48"/>
      <c r="G16">
        <v>559261.3469387755</v>
      </c>
      <c r="H16">
        <v>707155.0199999999</v>
      </c>
      <c r="I16">
        <v>98688</v>
      </c>
      <c r="J16" s="48">
        <f t="shared" si="1"/>
        <v>1365104.3669387754</v>
      </c>
    </row>
    <row r="17" spans="1:10" x14ac:dyDescent="0.25">
      <c r="B17" t="s">
        <v>111</v>
      </c>
      <c r="C17" s="48">
        <v>3377556.7046944797</v>
      </c>
      <c r="D17" s="48">
        <v>2932372.1326396842</v>
      </c>
      <c r="E17" s="48">
        <f t="shared" si="0"/>
        <v>6309928.8373341635</v>
      </c>
      <c r="F17" s="48"/>
      <c r="G17">
        <v>456759.52556237218</v>
      </c>
      <c r="H17">
        <v>878127.03</v>
      </c>
      <c r="I17">
        <v>86202</v>
      </c>
      <c r="J17" s="48">
        <f t="shared" si="1"/>
        <v>1421088.5555623723</v>
      </c>
    </row>
    <row r="18" spans="1:10" x14ac:dyDescent="0.25">
      <c r="B18" t="s">
        <v>112</v>
      </c>
      <c r="C18" s="48">
        <v>1772726.4678766094</v>
      </c>
      <c r="D18" s="48">
        <v>2932413.6971674077</v>
      </c>
      <c r="E18" s="48">
        <f t="shared" si="0"/>
        <v>4705140.1650440171</v>
      </c>
      <c r="F18" s="48"/>
      <c r="G18">
        <v>505271.58196721319</v>
      </c>
      <c r="H18">
        <v>968498</v>
      </c>
      <c r="I18">
        <v>85131</v>
      </c>
      <c r="J18" s="48">
        <f t="shared" si="1"/>
        <v>1558900.5819672132</v>
      </c>
    </row>
    <row r="19" spans="1:10" x14ac:dyDescent="0.25">
      <c r="B19" t="s">
        <v>113</v>
      </c>
      <c r="C19" s="48">
        <v>3860790.5536106261</v>
      </c>
      <c r="D19" s="48">
        <v>4120923.9345232039</v>
      </c>
      <c r="E19" s="48">
        <f t="shared" si="0"/>
        <v>7981714.48813383</v>
      </c>
      <c r="F19" s="48"/>
      <c r="G19">
        <v>556706.58196721319</v>
      </c>
      <c r="H19">
        <v>630536.05102040828</v>
      </c>
      <c r="I19">
        <v>107273</v>
      </c>
      <c r="J19" s="48">
        <f t="shared" si="1"/>
        <v>1294515.6329876215</v>
      </c>
    </row>
    <row r="20" spans="1:10" x14ac:dyDescent="0.25">
      <c r="B20" t="s">
        <v>114</v>
      </c>
      <c r="C20" s="48">
        <v>9399351.9629676118</v>
      </c>
      <c r="D20" s="48">
        <v>7516989.8293947699</v>
      </c>
      <c r="E20" s="48">
        <f t="shared" si="0"/>
        <v>16916341.792362381</v>
      </c>
      <c r="F20" s="48"/>
      <c r="G20">
        <v>953333.53469387756</v>
      </c>
      <c r="H20">
        <v>1203514.7142857143</v>
      </c>
      <c r="I20">
        <v>169608</v>
      </c>
      <c r="J20" s="48">
        <f t="shared" si="1"/>
        <v>2326456.2489795918</v>
      </c>
    </row>
    <row r="21" spans="1:10" x14ac:dyDescent="0.25">
      <c r="B21" t="s">
        <v>115</v>
      </c>
      <c r="C21" s="48">
        <v>17638418.025298897</v>
      </c>
      <c r="D21" s="48">
        <v>11140007.646018879</v>
      </c>
      <c r="E21" s="48">
        <f t="shared" si="0"/>
        <v>28778425.671317779</v>
      </c>
      <c r="F21" s="48"/>
      <c r="G21">
        <v>1019508.6004056796</v>
      </c>
      <c r="H21">
        <v>1561254.2448979591</v>
      </c>
      <c r="I21">
        <v>236897</v>
      </c>
      <c r="J21" s="48">
        <f t="shared" si="1"/>
        <v>2817659.8453036388</v>
      </c>
    </row>
    <row r="22" spans="1:10" x14ac:dyDescent="0.25">
      <c r="B22" t="s">
        <v>116</v>
      </c>
      <c r="C22" s="48">
        <v>22784211.675024297</v>
      </c>
      <c r="D22" s="48">
        <v>15096702.473450262</v>
      </c>
      <c r="E22" s="48">
        <f t="shared" si="0"/>
        <v>37880914.148474559</v>
      </c>
      <c r="F22" s="48"/>
      <c r="G22">
        <v>1393261.3252525253</v>
      </c>
      <c r="H22">
        <v>1600841</v>
      </c>
      <c r="I22">
        <v>249527</v>
      </c>
      <c r="J22" s="48">
        <f t="shared" si="1"/>
        <v>3243629.3252525255</v>
      </c>
    </row>
    <row r="23" spans="1:10" x14ac:dyDescent="0.25">
      <c r="B23" t="s">
        <v>46</v>
      </c>
      <c r="C23" s="151">
        <f>SUM(C11:C22)</f>
        <v>134450850.29920077</v>
      </c>
      <c r="D23" s="151">
        <f>SUM(D11:D22)</f>
        <v>94864823.966152906</v>
      </c>
      <c r="E23" s="49">
        <f t="shared" si="0"/>
        <v>229315674.26535368</v>
      </c>
      <c r="F23" s="52"/>
      <c r="G23" s="151">
        <f>SUM(G11:G22)</f>
        <v>12493873.982416963</v>
      </c>
      <c r="H23" s="151">
        <f>SUM(H11:H22)</f>
        <v>16688677.44020408</v>
      </c>
      <c r="I23" s="151">
        <f>SUM(I11:I22)</f>
        <v>2097598</v>
      </c>
      <c r="J23" s="151">
        <f>SUM(J11:J22)</f>
        <v>31280149.422621042</v>
      </c>
    </row>
    <row r="26" spans="1:10" x14ac:dyDescent="0.25">
      <c r="A26" t="s">
        <v>117</v>
      </c>
      <c r="B26" t="s">
        <v>118</v>
      </c>
      <c r="C26" t="s">
        <v>94</v>
      </c>
      <c r="D26" t="s">
        <v>95</v>
      </c>
      <c r="E26" t="s">
        <v>46</v>
      </c>
      <c r="G26" t="s">
        <v>96</v>
      </c>
      <c r="H26" t="s">
        <v>97</v>
      </c>
      <c r="I26" t="s">
        <v>98</v>
      </c>
      <c r="J26" t="s">
        <v>46</v>
      </c>
    </row>
    <row r="27" spans="1:10" x14ac:dyDescent="0.25">
      <c r="B27" t="s">
        <v>105</v>
      </c>
      <c r="C27" s="47">
        <f t="shared" ref="C27:C38" si="2">C11*$C$6</f>
        <v>11116917.130756129</v>
      </c>
      <c r="D27" s="47">
        <f t="shared" ref="D27:D38" si="3">D11*$D$6</f>
        <v>5547552.0339389043</v>
      </c>
      <c r="E27" s="47">
        <f t="shared" ref="E27:E38" si="4">E11*$E$6</f>
        <v>16605078.004370324</v>
      </c>
      <c r="F27" s="47"/>
      <c r="G27" s="47">
        <f t="shared" ref="G27:G38" si="5">G11*$G$6</f>
        <v>437149.27367621078</v>
      </c>
      <c r="H27" s="47">
        <f t="shared" ref="H27:H38" si="6">H11*$H$6</f>
        <v>453393.6788637822</v>
      </c>
      <c r="I27" s="47">
        <f t="shared" ref="I27:I38" si="7">I11*$I$6</f>
        <v>22802.474193672952</v>
      </c>
      <c r="J27" s="47">
        <f t="shared" ref="J27:J38" si="8">J11*$J$6</f>
        <v>904834.99130676512</v>
      </c>
    </row>
    <row r="28" spans="1:10" x14ac:dyDescent="0.25">
      <c r="B28" t="s">
        <v>106</v>
      </c>
      <c r="C28" s="47">
        <f t="shared" si="2"/>
        <v>8724487.2437534463</v>
      </c>
      <c r="D28" s="47">
        <f t="shared" si="3"/>
        <v>4409699.6522469716</v>
      </c>
      <c r="E28" s="47">
        <f t="shared" si="4"/>
        <v>13098819.722629493</v>
      </c>
      <c r="F28" s="47"/>
      <c r="G28" s="47">
        <f t="shared" si="5"/>
        <v>315798.14327132172</v>
      </c>
      <c r="H28" s="47">
        <f t="shared" si="6"/>
        <v>597477.65376011224</v>
      </c>
      <c r="I28" s="47">
        <f t="shared" si="7"/>
        <v>20884.71571083687</v>
      </c>
      <c r="J28" s="47">
        <f t="shared" si="8"/>
        <v>945043.4559254027</v>
      </c>
    </row>
    <row r="29" spans="1:10" x14ac:dyDescent="0.25">
      <c r="B29" t="s">
        <v>107</v>
      </c>
      <c r="C29" s="47">
        <f t="shared" si="2"/>
        <v>7450649.0152744949</v>
      </c>
      <c r="D29" s="47">
        <f t="shared" si="3"/>
        <v>3601441.3813871988</v>
      </c>
      <c r="E29" s="47">
        <f t="shared" si="4"/>
        <v>10988888.935643209</v>
      </c>
      <c r="F29" s="47"/>
      <c r="G29" s="47">
        <f t="shared" si="5"/>
        <v>390933.39656978217</v>
      </c>
      <c r="H29" s="47">
        <f t="shared" si="6"/>
        <v>316164.95038036973</v>
      </c>
      <c r="I29" s="47">
        <f t="shared" si="7"/>
        <v>21896.408502706425</v>
      </c>
      <c r="J29" s="47">
        <f t="shared" si="8"/>
        <v>719449.27157940133</v>
      </c>
    </row>
    <row r="30" spans="1:10" x14ac:dyDescent="0.25">
      <c r="B30" t="s">
        <v>108</v>
      </c>
      <c r="C30" s="47">
        <f t="shared" si="2"/>
        <v>4815694.7728286488</v>
      </c>
      <c r="D30" s="47">
        <f t="shared" si="3"/>
        <v>2313403.2484515146</v>
      </c>
      <c r="E30" s="47">
        <f t="shared" si="4"/>
        <v>7085363.3173729703</v>
      </c>
      <c r="F30" s="47"/>
      <c r="G30" s="47">
        <f t="shared" si="5"/>
        <v>271884.51011902327</v>
      </c>
      <c r="H30" s="47">
        <f t="shared" si="6"/>
        <v>223449.85374517512</v>
      </c>
      <c r="I30" s="47">
        <f t="shared" si="7"/>
        <v>18609.615374776291</v>
      </c>
      <c r="J30" s="47">
        <f t="shared" si="8"/>
        <v>511676.90164265397</v>
      </c>
    </row>
    <row r="31" spans="1:10" x14ac:dyDescent="0.25">
      <c r="B31" t="s">
        <v>109</v>
      </c>
      <c r="C31" s="47">
        <f t="shared" si="2"/>
        <v>3053661.862783921</v>
      </c>
      <c r="D31" s="47">
        <f t="shared" si="3"/>
        <v>1610888.6113650899</v>
      </c>
      <c r="E31" s="47">
        <f t="shared" si="4"/>
        <v>4665708.7382572414</v>
      </c>
      <c r="F31" s="47"/>
      <c r="G31" s="47">
        <f t="shared" si="5"/>
        <v>212576.99504626426</v>
      </c>
      <c r="H31" s="47">
        <f t="shared" si="6"/>
        <v>173105.76623591775</v>
      </c>
      <c r="I31" s="47">
        <f t="shared" si="7"/>
        <v>11074.553957221544</v>
      </c>
      <c r="J31" s="47">
        <f t="shared" si="8"/>
        <v>390579.14647803304</v>
      </c>
    </row>
    <row r="32" spans="1:10" x14ac:dyDescent="0.25">
      <c r="B32" t="s">
        <v>110</v>
      </c>
      <c r="C32" s="47">
        <f t="shared" si="2"/>
        <v>1588838.3033119119</v>
      </c>
      <c r="D32" s="47">
        <f t="shared" si="3"/>
        <v>1027482.5596313229</v>
      </c>
      <c r="E32" s="47">
        <f t="shared" si="4"/>
        <v>2654922.7551892675</v>
      </c>
      <c r="F32" s="47"/>
      <c r="G32" s="47">
        <f t="shared" si="5"/>
        <v>129177.08329698422</v>
      </c>
      <c r="H32" s="47">
        <f t="shared" si="6"/>
        <v>136466.44006059482</v>
      </c>
      <c r="I32" s="47">
        <f t="shared" si="7"/>
        <v>8834.006215185178</v>
      </c>
      <c r="J32" s="47">
        <f t="shared" si="8"/>
        <v>274684.43213650456</v>
      </c>
    </row>
    <row r="33" spans="1:10" x14ac:dyDescent="0.25">
      <c r="B33" t="s">
        <v>111</v>
      </c>
      <c r="C33" s="47">
        <f t="shared" si="2"/>
        <v>1641492.5585967836</v>
      </c>
      <c r="D33" s="47">
        <f t="shared" si="3"/>
        <v>1061694.6544923508</v>
      </c>
      <c r="E33" s="47">
        <f t="shared" si="4"/>
        <v>2743100.7342973906</v>
      </c>
      <c r="F33" s="47"/>
      <c r="G33" s="47">
        <f t="shared" si="5"/>
        <v>105501.41468425283</v>
      </c>
      <c r="H33" s="47">
        <f t="shared" si="6"/>
        <v>169460.53738695537</v>
      </c>
      <c r="I33" s="47">
        <f t="shared" si="7"/>
        <v>7716.3282644434248</v>
      </c>
      <c r="J33" s="47">
        <f t="shared" si="8"/>
        <v>285949.49393920071</v>
      </c>
    </row>
    <row r="34" spans="1:10" x14ac:dyDescent="0.25">
      <c r="B34" t="s">
        <v>112</v>
      </c>
      <c r="C34" s="47">
        <f t="shared" si="2"/>
        <v>861545.06344853027</v>
      </c>
      <c r="D34" s="47">
        <f t="shared" si="3"/>
        <v>1061709.7033452604</v>
      </c>
      <c r="E34" s="47">
        <f t="shared" si="4"/>
        <v>2045454.6753901644</v>
      </c>
      <c r="F34" s="47"/>
      <c r="G34" s="47">
        <f t="shared" si="5"/>
        <v>116706.63382807143</v>
      </c>
      <c r="H34" s="47">
        <f t="shared" si="6"/>
        <v>186900.28427685626</v>
      </c>
      <c r="I34" s="47">
        <f t="shared" si="7"/>
        <v>7620.4582432000789</v>
      </c>
      <c r="J34" s="47">
        <f t="shared" si="8"/>
        <v>313679.84125285223</v>
      </c>
    </row>
    <row r="35" spans="1:10" x14ac:dyDescent="0.25">
      <c r="B35" t="s">
        <v>113</v>
      </c>
      <c r="C35" s="47">
        <f t="shared" si="2"/>
        <v>1876344.2091865221</v>
      </c>
      <c r="D35" s="47">
        <f t="shared" si="3"/>
        <v>1492021.7199426205</v>
      </c>
      <c r="E35" s="47">
        <f t="shared" si="4"/>
        <v>3469872.234343952</v>
      </c>
      <c r="F35" s="47"/>
      <c r="G35" s="47">
        <f t="shared" si="5"/>
        <v>128586.98872073264</v>
      </c>
      <c r="H35" s="47">
        <f t="shared" si="6"/>
        <v>121680.54779929401</v>
      </c>
      <c r="I35" s="47">
        <f t="shared" si="7"/>
        <v>9602.4881315008879</v>
      </c>
      <c r="J35" s="47">
        <f t="shared" si="8"/>
        <v>260480.66371395646</v>
      </c>
    </row>
    <row r="36" spans="1:10" x14ac:dyDescent="0.25">
      <c r="B36" t="s">
        <v>114</v>
      </c>
      <c r="C36" s="47">
        <f t="shared" si="2"/>
        <v>4568085.0543230325</v>
      </c>
      <c r="D36" s="47">
        <f t="shared" si="3"/>
        <v>2721601.3380121803</v>
      </c>
      <c r="E36" s="47">
        <f t="shared" si="4"/>
        <v>7354002.0479627866</v>
      </c>
      <c r="F36" s="47"/>
      <c r="G36" s="47">
        <f t="shared" si="5"/>
        <v>220199.10028654456</v>
      </c>
      <c r="H36" s="47">
        <f t="shared" si="6"/>
        <v>232253.69823311915</v>
      </c>
      <c r="I36" s="47">
        <f t="shared" si="7"/>
        <v>15182.374008442035</v>
      </c>
      <c r="J36" s="47">
        <f t="shared" si="8"/>
        <v>468126.34192535881</v>
      </c>
    </row>
    <row r="37" spans="1:10" x14ac:dyDescent="0.25">
      <c r="B37" t="s">
        <v>115</v>
      </c>
      <c r="C37" s="47">
        <f t="shared" si="2"/>
        <v>8572271.1608972121</v>
      </c>
      <c r="D37" s="47">
        <f t="shared" si="3"/>
        <v>4033351.1688829842</v>
      </c>
      <c r="E37" s="47">
        <f t="shared" si="4"/>
        <v>12510778.271196218</v>
      </c>
      <c r="F37" s="47"/>
      <c r="G37" s="47">
        <f t="shared" si="5"/>
        <v>235484.08649635082</v>
      </c>
      <c r="H37" s="47">
        <f t="shared" si="6"/>
        <v>301290.10302538273</v>
      </c>
      <c r="I37" s="47">
        <f t="shared" si="7"/>
        <v>21205.71468019134</v>
      </c>
      <c r="J37" s="47">
        <f t="shared" si="8"/>
        <v>566965.65720954398</v>
      </c>
    </row>
    <row r="38" spans="1:10" x14ac:dyDescent="0.25">
      <c r="B38" t="s">
        <v>116</v>
      </c>
      <c r="C38" s="47">
        <f t="shared" si="2"/>
        <v>11073126.874839367</v>
      </c>
      <c r="D38" s="47">
        <f t="shared" si="3"/>
        <v>5465912.0983036049</v>
      </c>
      <c r="E38" s="47">
        <f t="shared" si="4"/>
        <v>16467881.983347002</v>
      </c>
      <c r="F38" s="47"/>
      <c r="G38" s="47">
        <f t="shared" si="5"/>
        <v>321812.75400446175</v>
      </c>
      <c r="H38" s="47">
        <f t="shared" si="6"/>
        <v>308929.5362324412</v>
      </c>
      <c r="I38" s="47">
        <f t="shared" si="7"/>
        <v>22336.282717822956</v>
      </c>
      <c r="J38" s="47">
        <f t="shared" si="8"/>
        <v>652678.65289032762</v>
      </c>
    </row>
    <row r="40" spans="1:10" ht="15.75" thickBot="1" x14ac:dyDescent="0.3"/>
    <row r="41" spans="1:10" ht="15.75" thickBot="1" x14ac:dyDescent="0.3">
      <c r="A41" t="s">
        <v>119</v>
      </c>
      <c r="B41" s="152" t="s">
        <v>120</v>
      </c>
      <c r="C41" s="153"/>
      <c r="D41" s="153"/>
      <c r="E41" s="153"/>
      <c r="F41" s="153"/>
      <c r="G41" s="153"/>
      <c r="H41" s="153"/>
      <c r="I41" s="154"/>
    </row>
    <row r="42" spans="1:10" ht="15.75" thickBot="1" x14ac:dyDescent="0.3">
      <c r="B42" s="155"/>
      <c r="C42" t="s">
        <v>94</v>
      </c>
      <c r="D42" t="s">
        <v>95</v>
      </c>
      <c r="E42" s="156" t="s">
        <v>121</v>
      </c>
      <c r="F42" s="157"/>
      <c r="G42" t="s">
        <v>96</v>
      </c>
      <c r="H42" t="s">
        <v>97</v>
      </c>
      <c r="I42" t="s">
        <v>98</v>
      </c>
      <c r="J42" s="156" t="s">
        <v>121</v>
      </c>
    </row>
    <row r="43" spans="1:10" ht="15.75" thickBot="1" x14ac:dyDescent="0.3">
      <c r="B43" s="158" t="s">
        <v>105</v>
      </c>
      <c r="C43" s="108">
        <f t="shared" ref="C43:C54" si="9">C27/$C$7</f>
        <v>52.522770733850813</v>
      </c>
      <c r="D43" s="108">
        <f t="shared" ref="D43:D54" si="10">D27/$D$7</f>
        <v>194.37813713871424</v>
      </c>
      <c r="E43" s="159">
        <f t="shared" ref="E43:E54" si="11">ROUND(E27/$E$7,2)</f>
        <v>69.13</v>
      </c>
      <c r="F43" s="50"/>
      <c r="G43" s="108">
        <f t="shared" ref="G43:G54" si="12">G27/$G$7</f>
        <v>860.53006629175354</v>
      </c>
      <c r="H43" s="108">
        <f t="shared" ref="H43:H54" si="13">H27/$H$7</f>
        <v>4579.7341299371938</v>
      </c>
      <c r="I43" s="108">
        <f t="shared" ref="I43:I54" si="14">I27/$I$7</f>
        <v>3257.4963133818501</v>
      </c>
      <c r="J43" s="160">
        <f t="shared" ref="J43:J54" si="15">ROUND(J27/$J$7,2)</f>
        <v>1473.67</v>
      </c>
    </row>
    <row r="44" spans="1:10" ht="15.75" thickBot="1" x14ac:dyDescent="0.3">
      <c r="B44" s="158" t="s">
        <v>106</v>
      </c>
      <c r="C44" s="108">
        <f t="shared" si="9"/>
        <v>41.2195429618086</v>
      </c>
      <c r="D44" s="108">
        <f t="shared" si="10"/>
        <v>154.50944822168788</v>
      </c>
      <c r="E44" s="159">
        <f t="shared" si="11"/>
        <v>54.53</v>
      </c>
      <c r="F44" s="50"/>
      <c r="G44" s="108">
        <f t="shared" si="12"/>
        <v>621.64988832937343</v>
      </c>
      <c r="H44" s="108">
        <f t="shared" si="13"/>
        <v>6035.1278157587094</v>
      </c>
      <c r="I44" s="108">
        <f t="shared" si="14"/>
        <v>2983.5308158338385</v>
      </c>
      <c r="J44" s="160">
        <f t="shared" si="15"/>
        <v>1539.16</v>
      </c>
    </row>
    <row r="45" spans="1:10" ht="15.75" thickBot="1" x14ac:dyDescent="0.3">
      <c r="B45" s="158" t="s">
        <v>107</v>
      </c>
      <c r="C45" s="108">
        <f t="shared" si="9"/>
        <v>35.20119161138669</v>
      </c>
      <c r="D45" s="108">
        <f t="shared" si="10"/>
        <v>126.18925653073576</v>
      </c>
      <c r="E45" s="159">
        <f t="shared" si="11"/>
        <v>45.75</v>
      </c>
      <c r="F45" s="50"/>
      <c r="G45" s="108">
        <f t="shared" si="12"/>
        <v>769.55393025547676</v>
      </c>
      <c r="H45" s="108">
        <f t="shared" si="13"/>
        <v>3193.5853573774721</v>
      </c>
      <c r="I45" s="108">
        <f t="shared" si="14"/>
        <v>3128.0583575294891</v>
      </c>
      <c r="J45" s="160">
        <f t="shared" si="15"/>
        <v>1171.74</v>
      </c>
    </row>
    <row r="46" spans="1:10" ht="15.75" thickBot="1" x14ac:dyDescent="0.3">
      <c r="B46" s="158" t="s">
        <v>108</v>
      </c>
      <c r="C46" s="108">
        <f t="shared" si="9"/>
        <v>22.75213798056614</v>
      </c>
      <c r="D46" s="108">
        <f t="shared" si="10"/>
        <v>81.058277801384534</v>
      </c>
      <c r="E46" s="159">
        <f t="shared" si="11"/>
        <v>29.5</v>
      </c>
      <c r="F46" s="50"/>
      <c r="G46" s="108">
        <f t="shared" si="12"/>
        <v>535.20572858075445</v>
      </c>
      <c r="H46" s="108">
        <f t="shared" si="13"/>
        <v>2257.0692297492437</v>
      </c>
      <c r="I46" s="108">
        <f t="shared" si="14"/>
        <v>2658.5164821108988</v>
      </c>
      <c r="J46" s="160">
        <f t="shared" si="15"/>
        <v>833.35</v>
      </c>
    </row>
    <row r="47" spans="1:10" ht="15.75" thickBot="1" x14ac:dyDescent="0.3">
      <c r="B47" s="158" t="s">
        <v>109</v>
      </c>
      <c r="C47" s="108">
        <f t="shared" si="9"/>
        <v>14.427271520624783</v>
      </c>
      <c r="D47" s="108">
        <f t="shared" si="10"/>
        <v>56.443188905574274</v>
      </c>
      <c r="E47" s="159">
        <f t="shared" si="11"/>
        <v>19.420000000000002</v>
      </c>
      <c r="F47" s="50"/>
      <c r="G47" s="108">
        <f t="shared" si="12"/>
        <v>418.45865166587453</v>
      </c>
      <c r="H47" s="108">
        <f t="shared" si="13"/>
        <v>1748.5430932920985</v>
      </c>
      <c r="I47" s="108">
        <f t="shared" si="14"/>
        <v>1582.0791367459349</v>
      </c>
      <c r="J47" s="160">
        <f t="shared" si="15"/>
        <v>636.12</v>
      </c>
    </row>
    <row r="48" spans="1:10" ht="15.75" thickBot="1" x14ac:dyDescent="0.3">
      <c r="B48" s="158" t="s">
        <v>110</v>
      </c>
      <c r="C48" s="108">
        <f t="shared" si="9"/>
        <v>7.5065945852144811</v>
      </c>
      <c r="D48" s="108">
        <f t="shared" si="10"/>
        <v>36.001491227446493</v>
      </c>
      <c r="E48" s="159">
        <f t="shared" si="11"/>
        <v>11.05</v>
      </c>
      <c r="F48" s="50"/>
      <c r="G48" s="108">
        <f t="shared" si="12"/>
        <v>254.28559704130751</v>
      </c>
      <c r="H48" s="108">
        <f t="shared" si="13"/>
        <v>1378.4488895009576</v>
      </c>
      <c r="I48" s="108">
        <f t="shared" si="14"/>
        <v>1262.0008878835968</v>
      </c>
      <c r="J48" s="160">
        <f t="shared" si="15"/>
        <v>447.37</v>
      </c>
    </row>
    <row r="49" spans="2:10" ht="15.75" thickBot="1" x14ac:dyDescent="0.3">
      <c r="B49" s="158" t="s">
        <v>111</v>
      </c>
      <c r="C49" s="108">
        <f t="shared" si="9"/>
        <v>7.7553638569434025</v>
      </c>
      <c r="D49" s="108">
        <f t="shared" si="10"/>
        <v>37.200233163712362</v>
      </c>
      <c r="E49" s="159">
        <f t="shared" si="11"/>
        <v>11.42</v>
      </c>
      <c r="F49" s="50"/>
      <c r="G49" s="108">
        <f t="shared" si="12"/>
        <v>207.67995016585203</v>
      </c>
      <c r="H49" s="108">
        <f t="shared" si="13"/>
        <v>1711.7225998682361</v>
      </c>
      <c r="I49" s="108">
        <f t="shared" si="14"/>
        <v>1102.3326092062036</v>
      </c>
      <c r="J49" s="160">
        <f t="shared" si="15"/>
        <v>465.72</v>
      </c>
    </row>
    <row r="50" spans="2:10" ht="15.75" thickBot="1" x14ac:dyDescent="0.3">
      <c r="B50" s="158" t="s">
        <v>112</v>
      </c>
      <c r="C50" s="108">
        <f t="shared" si="9"/>
        <v>4.070439071565727</v>
      </c>
      <c r="D50" s="108">
        <f t="shared" si="10"/>
        <v>37.200760453583051</v>
      </c>
      <c r="E50" s="159">
        <f t="shared" si="11"/>
        <v>8.52</v>
      </c>
      <c r="F50" s="50"/>
      <c r="G50" s="108">
        <f t="shared" si="12"/>
        <v>229.73746816549493</v>
      </c>
      <c r="H50" s="108">
        <f t="shared" si="13"/>
        <v>1887.8816593621843</v>
      </c>
      <c r="I50" s="108">
        <f t="shared" si="14"/>
        <v>1088.6368918857256</v>
      </c>
      <c r="J50" s="160">
        <f t="shared" si="15"/>
        <v>510.88</v>
      </c>
    </row>
    <row r="51" spans="2:10" ht="15.75" thickBot="1" x14ac:dyDescent="0.3">
      <c r="B51" s="158" t="s">
        <v>113</v>
      </c>
      <c r="C51" s="108">
        <f t="shared" si="9"/>
        <v>8.8649394034107782</v>
      </c>
      <c r="D51" s="108">
        <f t="shared" si="10"/>
        <v>52.278266290911724</v>
      </c>
      <c r="E51" s="159">
        <f t="shared" si="11"/>
        <v>14.45</v>
      </c>
      <c r="F51" s="50"/>
      <c r="G51" s="108">
        <f t="shared" si="12"/>
        <v>253.12399354474928</v>
      </c>
      <c r="H51" s="108">
        <f t="shared" si="13"/>
        <v>1229.0964424171113</v>
      </c>
      <c r="I51" s="108">
        <f t="shared" si="14"/>
        <v>1371.7840187858412</v>
      </c>
      <c r="J51" s="160">
        <f t="shared" si="15"/>
        <v>424.24</v>
      </c>
    </row>
    <row r="52" spans="2:10" ht="15.75" thickBot="1" x14ac:dyDescent="0.3">
      <c r="B52" s="158" t="s">
        <v>114</v>
      </c>
      <c r="C52" s="108">
        <f t="shared" si="9"/>
        <v>21.582285914244292</v>
      </c>
      <c r="D52" s="108">
        <f t="shared" si="10"/>
        <v>95.360943868681858</v>
      </c>
      <c r="E52" s="159">
        <f t="shared" si="11"/>
        <v>30.62</v>
      </c>
      <c r="F52" s="50"/>
      <c r="G52" s="108">
        <f t="shared" si="12"/>
        <v>433.46279583965463</v>
      </c>
      <c r="H52" s="108">
        <f t="shared" si="13"/>
        <v>2345.9969518496882</v>
      </c>
      <c r="I52" s="108">
        <f t="shared" si="14"/>
        <v>2168.9105726345765</v>
      </c>
      <c r="J52" s="160">
        <f t="shared" si="15"/>
        <v>762.42</v>
      </c>
    </row>
    <row r="53" spans="2:10" ht="15.75" thickBot="1" x14ac:dyDescent="0.3">
      <c r="B53" s="158" t="s">
        <v>115</v>
      </c>
      <c r="C53" s="108">
        <f t="shared" si="9"/>
        <v>40.500385813488734</v>
      </c>
      <c r="D53" s="108">
        <f t="shared" si="10"/>
        <v>141.32274593142901</v>
      </c>
      <c r="E53" s="159">
        <f t="shared" si="11"/>
        <v>52.09</v>
      </c>
      <c r="F53" s="50"/>
      <c r="G53" s="108">
        <f t="shared" si="12"/>
        <v>463.55135137076934</v>
      </c>
      <c r="H53" s="108">
        <f t="shared" si="13"/>
        <v>3043.334373993765</v>
      </c>
      <c r="I53" s="108">
        <f t="shared" si="14"/>
        <v>3029.3878114559056</v>
      </c>
      <c r="J53" s="160">
        <f t="shared" si="15"/>
        <v>923.4</v>
      </c>
    </row>
    <row r="54" spans="2:10" ht="15.75" thickBot="1" x14ac:dyDescent="0.3">
      <c r="B54" s="158" t="s">
        <v>116</v>
      </c>
      <c r="C54" s="108">
        <f t="shared" si="9"/>
        <v>52.315880141356459</v>
      </c>
      <c r="D54" s="108">
        <f t="shared" si="10"/>
        <v>191.51759279269814</v>
      </c>
      <c r="E54" s="160">
        <f t="shared" si="11"/>
        <v>68.56</v>
      </c>
      <c r="F54" s="50"/>
      <c r="G54" s="108">
        <f t="shared" si="12"/>
        <v>633.48967323712941</v>
      </c>
      <c r="H54" s="108">
        <f t="shared" si="13"/>
        <v>3120.5003659842546</v>
      </c>
      <c r="I54" s="108">
        <f t="shared" si="14"/>
        <v>3190.897531117565</v>
      </c>
      <c r="J54" s="160">
        <f t="shared" si="15"/>
        <v>1062.99</v>
      </c>
    </row>
    <row r="55" spans="2:10" ht="15.75" thickBot="1" x14ac:dyDescent="0.3">
      <c r="B55" s="161" t="s">
        <v>122</v>
      </c>
      <c r="C55" s="162">
        <f>AVERAGE(C43:C54)</f>
        <v>25.726566966205073</v>
      </c>
      <c r="D55" s="162">
        <f>AVERAGE(D43:D54)</f>
        <v>100.28836186054662</v>
      </c>
      <c r="E55" s="162">
        <f>AVERAGE(E43:E54)</f>
        <v>34.586666666666666</v>
      </c>
      <c r="F55" s="162"/>
      <c r="G55" s="162">
        <f>AVERAGE(G43:G54)</f>
        <v>473.39409120734916</v>
      </c>
      <c r="H55" s="162">
        <f>AVERAGE(H43:H54)</f>
        <v>2710.9200757575763</v>
      </c>
      <c r="I55" s="162">
        <f>AVERAGE(I43:I54)</f>
        <v>2235.3026190476189</v>
      </c>
      <c r="J55" s="163">
        <f>AVERAGE(J43:J54)</f>
        <v>854.255</v>
      </c>
    </row>
  </sheetData>
  <mergeCells count="2">
    <mergeCell ref="C2:D2"/>
    <mergeCell ref="G2:I2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2025-02-25T08:00:00+00:00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D46004D-2D04-4129-B9BE-AC04188F6AAE}"/>
</file>

<file path=customXml/itemProps2.xml><?xml version="1.0" encoding="utf-8"?>
<ds:datastoreItem xmlns:ds="http://schemas.openxmlformats.org/officeDocument/2006/customXml" ds:itemID="{2A8023AE-717A-485A-8498-69253698A7E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9f5829b0-3c83-407a-9888-15708671f8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a7949fb-eacc-49ff-8531-d4b1ca318f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926AF6-6C3A-4C3C-A3E9-9660D236CB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7D41135-7F04-4F5E-846D-7F1465FD7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Settlement Rev Spread 2025</vt:lpstr>
      <vt:lpstr>Settlement Rev Spread 2026</vt:lpstr>
      <vt:lpstr>2025 Rates</vt:lpstr>
      <vt:lpstr>2026 Rates</vt:lpstr>
      <vt:lpstr>Exh. ZLH-3 (UTC Fees)</vt:lpstr>
      <vt:lpstr>Exh. ZLH-2 COVID Settlement </vt:lpstr>
      <vt:lpstr>Decoupling Rule 21 2025</vt:lpstr>
      <vt:lpstr>Decoupling Rule 21 2026</vt:lpstr>
      <vt:lpstr>'2025 Rates'!Print_Area</vt:lpstr>
      <vt:lpstr>'2026 Rates'!Print_Area</vt:lpstr>
      <vt:lpstr>'Settlement Rev Spread 2025'!Print_Area</vt:lpstr>
      <vt:lpstr>'Settlement Rev Spread 2026'!Print_Area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Harris, Zachary</dc:creator>
  <cp:keywords/>
  <dc:description/>
  <cp:lastModifiedBy>Harris, Zachary</cp:lastModifiedBy>
  <cp:revision/>
  <cp:lastPrinted>2025-02-25T01:01:00Z</cp:lastPrinted>
  <dcterms:created xsi:type="dcterms:W3CDTF">2025-01-06T18:30:19Z</dcterms:created>
  <dcterms:modified xsi:type="dcterms:W3CDTF">2025-02-25T01:01:07Z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2025-01-06T18:36:55Z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24f4ae19-f718-41aa-877e-e675342cd1dd</vt:lpwstr>
  </property>
  <property fmtid="{D5CDD505-2E9C-101B-9397-08002B2CF9AE}" pid="8" name="MSIP_Label_1da8032d-c4fe-48b8-9054-92634c9ea061_ContentBits">
    <vt:lpwstr>0</vt:lpwstr>
  </property>
  <property fmtid="{D5CDD505-2E9C-101B-9397-08002B2CF9AE}" pid="9" name="ContentTypeId">
    <vt:lpwstr>0x0101006E56B4D1795A2E4DB2F0B01679ED314A009EB8DA041E6AD244B4287ED7B15DC401</vt:lpwstr>
  </property>
  <property fmtid="{D5CDD505-2E9C-101B-9397-08002B2CF9AE}" pid="10" name="MediaServiceImageTags">
    <vt:lpwstr/>
  </property>
  <property fmtid="{D5CDD505-2E9C-101B-9397-08002B2CF9AE}" pid="11" name="_docset_NoMedatataSyncRequired">
    <vt:lpwstr>False</vt:lpwstr>
  </property>
</Properties>
</file>